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autoCompressPictures="0"/>
  <bookViews>
    <workbookView xWindow="560" yWindow="560" windowWidth="31620" windowHeight="14080" tabRatio="500"/>
  </bookViews>
  <sheets>
    <sheet name="Full" sheetId="1" r:id="rId1"/>
    <sheet name="Data-bearing" sheetId="3" r:id="rId2"/>
    <sheet name="Rejected" sheetId="2" r:id="rId3"/>
    <sheet name="calcs" sheetId="4"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73" i="3" l="1"/>
  <c r="K73" i="3"/>
  <c r="M73" i="3"/>
  <c r="L73" i="3"/>
  <c r="H73" i="3"/>
  <c r="I73" i="3"/>
  <c r="J73" i="3"/>
  <c r="N72" i="3"/>
  <c r="K72" i="3"/>
  <c r="M72" i="3"/>
  <c r="L72" i="3"/>
  <c r="H72" i="3"/>
  <c r="I72" i="3"/>
  <c r="J72" i="3"/>
  <c r="N71" i="3"/>
  <c r="K71" i="3"/>
  <c r="M71" i="3"/>
  <c r="L71" i="3"/>
  <c r="H71" i="3"/>
  <c r="I71" i="3"/>
  <c r="J71" i="3"/>
  <c r="N70" i="3"/>
  <c r="K70" i="3"/>
  <c r="M70" i="3"/>
  <c r="L70" i="3"/>
  <c r="H70" i="3"/>
  <c r="I70" i="3"/>
  <c r="J70" i="3"/>
  <c r="N69" i="3"/>
  <c r="K69" i="3"/>
  <c r="M69" i="3"/>
  <c r="L69" i="3"/>
  <c r="H69" i="3"/>
  <c r="I69" i="3"/>
  <c r="J69" i="3"/>
  <c r="N68" i="3"/>
  <c r="K68" i="3"/>
  <c r="M68" i="3"/>
  <c r="L68" i="3"/>
  <c r="H68" i="3"/>
  <c r="J68" i="3"/>
  <c r="N67" i="3"/>
  <c r="M67" i="3"/>
  <c r="L67" i="3"/>
  <c r="H67" i="3"/>
  <c r="I67" i="3"/>
  <c r="J67" i="3"/>
  <c r="N66" i="3"/>
  <c r="K66" i="3"/>
  <c r="M66" i="3"/>
  <c r="H66" i="3"/>
  <c r="I66" i="3"/>
  <c r="J66" i="3"/>
  <c r="N65" i="3"/>
  <c r="K65" i="3"/>
  <c r="M65" i="3"/>
  <c r="H65" i="3"/>
  <c r="J65" i="3"/>
  <c r="K64" i="3"/>
  <c r="M64" i="3"/>
  <c r="H64" i="3"/>
  <c r="J64" i="3"/>
  <c r="N63" i="3"/>
  <c r="M63" i="3"/>
  <c r="H63" i="3"/>
  <c r="J63" i="3"/>
  <c r="H88" i="1"/>
  <c r="M88" i="1"/>
  <c r="J88" i="1"/>
  <c r="L88" i="1"/>
  <c r="K88" i="1"/>
  <c r="G88" i="1"/>
  <c r="I88" i="1"/>
  <c r="M87" i="1"/>
  <c r="L87" i="1"/>
  <c r="K87" i="1"/>
  <c r="J87" i="1"/>
  <c r="I87" i="1"/>
  <c r="H87" i="1"/>
  <c r="G87" i="1"/>
  <c r="M86" i="1"/>
  <c r="K86" i="1"/>
  <c r="L86" i="1"/>
  <c r="J86" i="1"/>
  <c r="I86" i="1"/>
  <c r="H86" i="1"/>
  <c r="G86" i="1"/>
  <c r="L85" i="1"/>
  <c r="I85" i="1"/>
  <c r="K85" i="1"/>
  <c r="H85" i="1"/>
  <c r="M85" i="1"/>
  <c r="J85" i="1"/>
  <c r="G85" i="1"/>
  <c r="J84" i="1"/>
  <c r="G84" i="1"/>
  <c r="M84" i="1"/>
  <c r="L84" i="1"/>
  <c r="K84" i="1"/>
  <c r="H84" i="1"/>
  <c r="I84" i="1"/>
  <c r="K83" i="1"/>
  <c r="M83" i="1"/>
  <c r="J83" i="1"/>
  <c r="L83" i="1"/>
  <c r="G83" i="1"/>
  <c r="I83" i="1"/>
  <c r="M82" i="1"/>
  <c r="L82" i="1"/>
  <c r="K82" i="1"/>
  <c r="H82" i="1"/>
  <c r="I82" i="1"/>
  <c r="G82" i="1"/>
  <c r="M81" i="1"/>
  <c r="M80" i="1"/>
  <c r="H81" i="1"/>
  <c r="L81" i="1"/>
  <c r="J81" i="1"/>
  <c r="G81" i="1"/>
  <c r="I81" i="1"/>
  <c r="J80" i="1"/>
  <c r="L80" i="1"/>
  <c r="G80" i="1"/>
  <c r="I80" i="1"/>
  <c r="J79" i="1"/>
  <c r="L79" i="1"/>
  <c r="G79" i="1"/>
  <c r="I79" i="1"/>
  <c r="L78" i="1"/>
  <c r="G78" i="1"/>
  <c r="I78" i="1"/>
  <c r="M78" i="1"/>
  <c r="K62" i="3"/>
  <c r="M62" i="3"/>
  <c r="J62" i="3"/>
  <c r="I62" i="3"/>
  <c r="H62" i="3"/>
  <c r="N61" i="3"/>
  <c r="K61" i="3"/>
  <c r="M61" i="3"/>
  <c r="H61" i="3"/>
  <c r="J61" i="3"/>
  <c r="J76" i="1"/>
  <c r="L76" i="1"/>
  <c r="I76" i="1"/>
  <c r="H76" i="1"/>
  <c r="G76" i="1"/>
  <c r="J75" i="1"/>
  <c r="L75" i="1"/>
  <c r="G75" i="1"/>
  <c r="I75" i="1"/>
  <c r="M75" i="1"/>
  <c r="N60" i="3"/>
  <c r="K60" i="3"/>
  <c r="I60" i="3"/>
  <c r="M60" i="3"/>
  <c r="H60" i="3"/>
  <c r="J60" i="3"/>
  <c r="N59" i="3"/>
  <c r="K59" i="3"/>
  <c r="I59" i="3"/>
  <c r="M59" i="3"/>
  <c r="L59" i="3"/>
  <c r="H59" i="3"/>
  <c r="J59" i="3"/>
  <c r="J72" i="1"/>
  <c r="H72" i="1"/>
  <c r="L72" i="1"/>
  <c r="K72" i="1"/>
  <c r="G73" i="1"/>
  <c r="G72" i="1"/>
  <c r="M73" i="1"/>
  <c r="J73" i="1"/>
  <c r="H73" i="1"/>
  <c r="L73" i="1"/>
  <c r="I73" i="1"/>
  <c r="M72" i="1"/>
  <c r="I72" i="1"/>
  <c r="N58" i="3"/>
  <c r="K58" i="3"/>
  <c r="H58" i="3"/>
  <c r="J58" i="3"/>
  <c r="G71" i="1"/>
  <c r="I71" i="1"/>
  <c r="C32" i="4"/>
  <c r="M71" i="1"/>
  <c r="M68" i="1"/>
  <c r="C31" i="4"/>
  <c r="C30" i="4"/>
  <c r="G30" i="4"/>
  <c r="G4" i="4"/>
  <c r="G5" i="4"/>
  <c r="G6" i="4"/>
  <c r="G7" i="4"/>
  <c r="G8" i="4"/>
  <c r="G9" i="4"/>
  <c r="G10" i="4"/>
  <c r="G11" i="4"/>
  <c r="G12" i="4"/>
  <c r="G13" i="4"/>
  <c r="G14" i="4"/>
  <c r="G15" i="4"/>
  <c r="G16" i="4"/>
  <c r="G17" i="4"/>
  <c r="G18" i="4"/>
  <c r="G19" i="4"/>
  <c r="G20" i="4"/>
  <c r="G21" i="4"/>
  <c r="G22" i="4"/>
  <c r="G23" i="4"/>
  <c r="G24" i="4"/>
  <c r="G25" i="4"/>
  <c r="G26" i="4"/>
  <c r="G27" i="4"/>
  <c r="G28" i="4"/>
  <c r="G29" i="4"/>
  <c r="G3" i="4"/>
  <c r="F4" i="4"/>
  <c r="F5" i="4"/>
  <c r="F6" i="4"/>
  <c r="F7" i="4"/>
  <c r="F8" i="4"/>
  <c r="F9" i="4"/>
  <c r="F10" i="4"/>
  <c r="F11" i="4"/>
  <c r="F12" i="4"/>
  <c r="F13" i="4"/>
  <c r="F14" i="4"/>
  <c r="F15" i="4"/>
  <c r="F16" i="4"/>
  <c r="F17" i="4"/>
  <c r="F18" i="4"/>
  <c r="F19" i="4"/>
  <c r="F20" i="4"/>
  <c r="F21" i="4"/>
  <c r="F22" i="4"/>
  <c r="F23" i="4"/>
  <c r="F24" i="4"/>
  <c r="F25" i="4"/>
  <c r="F26" i="4"/>
  <c r="F27" i="4"/>
  <c r="F28" i="4"/>
  <c r="F29" i="4"/>
  <c r="F3" i="4"/>
  <c r="E4" i="4"/>
  <c r="E5" i="4"/>
  <c r="E6" i="4"/>
  <c r="E7" i="4"/>
  <c r="E8" i="4"/>
  <c r="E9" i="4"/>
  <c r="E10" i="4"/>
  <c r="E11" i="4"/>
  <c r="E12" i="4"/>
  <c r="E13" i="4"/>
  <c r="E14" i="4"/>
  <c r="E15" i="4"/>
  <c r="E16" i="4"/>
  <c r="E17" i="4"/>
  <c r="E18" i="4"/>
  <c r="E19" i="4"/>
  <c r="E20" i="4"/>
  <c r="E21" i="4"/>
  <c r="E22" i="4"/>
  <c r="E23" i="4"/>
  <c r="E24" i="4"/>
  <c r="E25" i="4"/>
  <c r="E26" i="4"/>
  <c r="E27" i="4"/>
  <c r="E28" i="4"/>
  <c r="E29" i="4"/>
  <c r="E3" i="4"/>
  <c r="D4" i="4"/>
  <c r="D5" i="4"/>
  <c r="D6" i="4"/>
  <c r="D7" i="4"/>
  <c r="D8" i="4"/>
  <c r="D9" i="4"/>
  <c r="D10" i="4"/>
  <c r="D11" i="4"/>
  <c r="D12" i="4"/>
  <c r="D13" i="4"/>
  <c r="D14" i="4"/>
  <c r="D15" i="4"/>
  <c r="D16" i="4"/>
  <c r="D17" i="4"/>
  <c r="D18" i="4"/>
  <c r="D19" i="4"/>
  <c r="D20" i="4"/>
  <c r="D21" i="4"/>
  <c r="D22" i="4"/>
  <c r="D23" i="4"/>
  <c r="D24" i="4"/>
  <c r="D25" i="4"/>
  <c r="D26" i="4"/>
  <c r="D27" i="4"/>
  <c r="D28" i="4"/>
  <c r="D29" i="4"/>
  <c r="D3" i="4"/>
  <c r="J71" i="1"/>
  <c r="A30" i="4"/>
  <c r="B30" i="4"/>
  <c r="N57" i="3"/>
  <c r="K57" i="3"/>
  <c r="M57" i="3"/>
  <c r="H57" i="3"/>
  <c r="J57" i="3"/>
  <c r="N56" i="3"/>
  <c r="K56" i="3"/>
  <c r="M56" i="3"/>
  <c r="J56" i="3"/>
  <c r="N55" i="3"/>
  <c r="K55" i="3"/>
  <c r="L55" i="3"/>
  <c r="M55" i="3"/>
  <c r="H55" i="3"/>
  <c r="J55" i="3"/>
  <c r="N54" i="3"/>
  <c r="K54" i="3"/>
  <c r="M54" i="3"/>
  <c r="L54" i="3"/>
  <c r="H54" i="3"/>
  <c r="I54" i="3"/>
  <c r="J54" i="3"/>
  <c r="N53" i="3"/>
  <c r="K53" i="3"/>
  <c r="M53" i="3"/>
  <c r="L53" i="3"/>
  <c r="H53" i="3"/>
  <c r="I53" i="3"/>
  <c r="J53" i="3"/>
  <c r="N52" i="3"/>
  <c r="M52" i="3"/>
  <c r="J52" i="3"/>
  <c r="K51" i="3"/>
  <c r="M51" i="3"/>
  <c r="H51" i="3"/>
  <c r="J51" i="3"/>
  <c r="K50" i="3"/>
  <c r="M50" i="3"/>
  <c r="H50" i="3"/>
  <c r="J50" i="3"/>
  <c r="N49" i="3"/>
  <c r="M49" i="3"/>
  <c r="L49" i="3"/>
  <c r="K49" i="3"/>
  <c r="H49" i="3"/>
  <c r="J49" i="3"/>
  <c r="N48" i="3"/>
  <c r="K48" i="3"/>
  <c r="M48" i="3"/>
  <c r="L48" i="3"/>
  <c r="H48" i="3"/>
  <c r="J48" i="3"/>
  <c r="G69" i="1"/>
  <c r="I69" i="1"/>
  <c r="M67" i="1"/>
  <c r="J67" i="1"/>
  <c r="K67" i="1"/>
  <c r="L67" i="1"/>
  <c r="J63" i="1"/>
  <c r="L63" i="1"/>
  <c r="J62" i="1"/>
  <c r="L62" i="1"/>
  <c r="J60" i="1"/>
  <c r="M64" i="1"/>
  <c r="L64" i="1"/>
  <c r="M60" i="1"/>
  <c r="L60" i="1"/>
  <c r="K60" i="1"/>
  <c r="M69" i="1"/>
  <c r="J69" i="1"/>
  <c r="L69" i="1"/>
  <c r="J68" i="1"/>
  <c r="L68" i="1"/>
  <c r="I68" i="1"/>
  <c r="G67" i="1"/>
  <c r="I67" i="1"/>
  <c r="G66" i="1"/>
  <c r="H66" i="1"/>
  <c r="M66" i="1"/>
  <c r="J66" i="1"/>
  <c r="L66" i="1"/>
  <c r="K66" i="1"/>
  <c r="I66" i="1"/>
  <c r="M65" i="1"/>
  <c r="J65" i="1"/>
  <c r="L65" i="1"/>
  <c r="K65" i="1"/>
  <c r="G65" i="1"/>
  <c r="H65" i="1"/>
  <c r="I65" i="1"/>
  <c r="M61" i="1"/>
  <c r="L61" i="1"/>
  <c r="I64" i="1"/>
  <c r="G63" i="1"/>
  <c r="I63" i="1"/>
  <c r="N44" i="3"/>
  <c r="K44" i="3"/>
  <c r="M44" i="3"/>
  <c r="L44" i="3"/>
  <c r="H44" i="3"/>
  <c r="J44" i="3"/>
  <c r="N43" i="3"/>
  <c r="K43" i="3"/>
  <c r="M43" i="3"/>
  <c r="I43" i="3"/>
  <c r="J43" i="3"/>
  <c r="N42" i="3"/>
  <c r="K42" i="3"/>
  <c r="I42" i="3"/>
  <c r="M42" i="3"/>
  <c r="L42" i="3"/>
  <c r="H42" i="3"/>
  <c r="J42" i="3"/>
  <c r="N41" i="3"/>
  <c r="K41" i="3"/>
  <c r="M41" i="3"/>
  <c r="H41" i="3"/>
  <c r="J41" i="3"/>
  <c r="N40" i="3"/>
  <c r="K40" i="3"/>
  <c r="M40" i="3"/>
  <c r="L40" i="3"/>
  <c r="H40" i="3"/>
  <c r="J40" i="3"/>
  <c r="N39" i="3"/>
  <c r="M39" i="3"/>
  <c r="K39" i="3"/>
  <c r="H39" i="3"/>
  <c r="I39" i="3"/>
  <c r="J39" i="3"/>
  <c r="N37" i="3"/>
  <c r="N38" i="3"/>
  <c r="K38" i="3"/>
  <c r="M38" i="3"/>
  <c r="H38" i="3"/>
  <c r="I38" i="3"/>
  <c r="J38" i="3"/>
  <c r="K37" i="3"/>
  <c r="M37" i="3"/>
  <c r="H37" i="3"/>
  <c r="I37" i="3"/>
  <c r="J37" i="3"/>
  <c r="N36" i="3"/>
  <c r="K36" i="3"/>
  <c r="M36" i="3"/>
  <c r="H36" i="3"/>
  <c r="I36" i="3"/>
  <c r="J36" i="3"/>
  <c r="N35" i="3"/>
  <c r="K35" i="3"/>
  <c r="M35" i="3"/>
  <c r="H35" i="3"/>
  <c r="I35" i="3"/>
  <c r="J35" i="3"/>
  <c r="N47" i="3"/>
  <c r="K47" i="3"/>
  <c r="M47" i="3"/>
  <c r="H47" i="3"/>
  <c r="I47" i="3"/>
  <c r="J47" i="3"/>
  <c r="N46" i="3"/>
  <c r="K46" i="3"/>
  <c r="M46" i="3"/>
  <c r="L46" i="3"/>
  <c r="H46" i="3"/>
  <c r="J46" i="3"/>
  <c r="N45" i="3"/>
  <c r="K45" i="3"/>
  <c r="M45" i="3"/>
  <c r="H45" i="3"/>
  <c r="J45" i="3"/>
  <c r="G62" i="1"/>
  <c r="I62" i="1"/>
  <c r="G61" i="1"/>
  <c r="I61" i="1"/>
  <c r="G60" i="1"/>
  <c r="I60" i="1"/>
  <c r="G58" i="1"/>
  <c r="I58" i="1"/>
  <c r="G57" i="1"/>
  <c r="I57" i="1"/>
  <c r="G55" i="1"/>
  <c r="I55" i="1"/>
  <c r="H54" i="1"/>
  <c r="I54" i="1"/>
  <c r="G53" i="1"/>
  <c r="M53" i="1"/>
  <c r="H53" i="1"/>
  <c r="I53" i="1"/>
  <c r="G52" i="1"/>
  <c r="I52" i="1"/>
  <c r="G51" i="1"/>
  <c r="I51" i="1"/>
  <c r="K61" i="1"/>
  <c r="J61" i="1"/>
  <c r="M59" i="1"/>
  <c r="J59" i="1"/>
  <c r="L59" i="1"/>
  <c r="G59" i="1"/>
  <c r="H59" i="1"/>
  <c r="I59" i="1"/>
  <c r="N34" i="3"/>
  <c r="K34" i="3"/>
  <c r="M34" i="3"/>
  <c r="H34" i="3"/>
  <c r="J34" i="3"/>
  <c r="N33" i="3"/>
  <c r="K33" i="3"/>
  <c r="M33" i="3"/>
  <c r="H33" i="3"/>
  <c r="J33" i="3"/>
  <c r="N32" i="3"/>
  <c r="K32" i="3"/>
  <c r="M32" i="3"/>
  <c r="L32" i="3"/>
  <c r="H32" i="3"/>
  <c r="I32" i="3"/>
  <c r="J32" i="3"/>
  <c r="N31" i="3"/>
  <c r="K31" i="3"/>
  <c r="M31" i="3"/>
  <c r="L31" i="3"/>
  <c r="H31" i="3"/>
  <c r="I31" i="3"/>
  <c r="J31" i="3"/>
  <c r="N30" i="3"/>
  <c r="K30" i="3"/>
  <c r="M30" i="3"/>
  <c r="L30" i="3"/>
  <c r="H30" i="3"/>
  <c r="I30" i="3"/>
  <c r="J30" i="3"/>
  <c r="N29" i="3"/>
  <c r="L29" i="3"/>
  <c r="K29" i="3"/>
  <c r="M29" i="3"/>
  <c r="H29" i="3"/>
  <c r="J29" i="3"/>
  <c r="N28" i="3"/>
  <c r="K28" i="3"/>
  <c r="M28" i="3"/>
  <c r="L28" i="3"/>
  <c r="H28" i="3"/>
  <c r="J28" i="3"/>
  <c r="N27" i="3"/>
  <c r="K27" i="3"/>
  <c r="M27" i="3"/>
  <c r="I27" i="3"/>
  <c r="J27" i="3"/>
  <c r="N26" i="3"/>
  <c r="K26" i="3"/>
  <c r="M26" i="3"/>
  <c r="L26" i="3"/>
  <c r="H26" i="3"/>
  <c r="J26" i="3"/>
  <c r="N25" i="3"/>
  <c r="K25" i="3"/>
  <c r="M25" i="3"/>
  <c r="L25" i="3"/>
  <c r="J25" i="3"/>
  <c r="I25" i="3"/>
  <c r="H25" i="3"/>
  <c r="N24" i="3"/>
  <c r="K24" i="3"/>
  <c r="M24" i="3"/>
  <c r="J24" i="3"/>
  <c r="I24" i="3"/>
  <c r="H24" i="3"/>
  <c r="N23" i="3"/>
  <c r="K23" i="3"/>
  <c r="M23" i="3"/>
  <c r="J23" i="3"/>
  <c r="H23" i="3"/>
  <c r="I23" i="3"/>
  <c r="N22" i="3"/>
  <c r="M22" i="3"/>
  <c r="K22" i="3"/>
  <c r="H22" i="3"/>
  <c r="J22" i="3"/>
  <c r="N21" i="3"/>
  <c r="K21" i="3"/>
  <c r="M21" i="3"/>
  <c r="H21" i="3"/>
  <c r="I21" i="3"/>
  <c r="J21" i="3"/>
  <c r="M20" i="3"/>
  <c r="K20" i="3"/>
  <c r="H20" i="3"/>
  <c r="I20" i="3"/>
  <c r="J20" i="3"/>
  <c r="K19" i="3"/>
  <c r="M19" i="3"/>
  <c r="H19" i="3"/>
  <c r="J19" i="3"/>
  <c r="M18" i="3"/>
  <c r="K18" i="3"/>
  <c r="H18" i="3"/>
  <c r="J18" i="3"/>
  <c r="M17" i="3"/>
  <c r="K17" i="3"/>
  <c r="H17" i="3"/>
  <c r="I17" i="3"/>
  <c r="J17" i="3"/>
  <c r="N16" i="3"/>
  <c r="M16" i="3"/>
  <c r="K16" i="3"/>
  <c r="H16" i="3"/>
  <c r="J16" i="3"/>
  <c r="N15" i="3"/>
  <c r="M15" i="3"/>
  <c r="L15" i="3"/>
  <c r="K15" i="3"/>
  <c r="J15" i="3"/>
  <c r="N14" i="3"/>
  <c r="K14" i="3"/>
  <c r="H14" i="3"/>
  <c r="J14" i="3"/>
  <c r="N13" i="3"/>
  <c r="M13" i="3"/>
  <c r="H13" i="3"/>
  <c r="J13" i="3"/>
  <c r="N12" i="3"/>
  <c r="M12" i="3"/>
  <c r="K12" i="3"/>
  <c r="H12" i="3"/>
  <c r="J12" i="3"/>
  <c r="N11" i="3"/>
  <c r="M11" i="3"/>
  <c r="K11" i="3"/>
  <c r="H11" i="3"/>
  <c r="J11" i="3"/>
  <c r="N10" i="3"/>
  <c r="M10" i="3"/>
  <c r="K10" i="3"/>
  <c r="H10" i="3"/>
  <c r="J10" i="3"/>
  <c r="K9" i="3"/>
  <c r="H9" i="3"/>
  <c r="J9" i="3"/>
  <c r="N8" i="3"/>
  <c r="M8" i="3"/>
  <c r="L8" i="3"/>
  <c r="K8" i="3"/>
  <c r="H8" i="3"/>
  <c r="J8" i="3"/>
  <c r="N7" i="3"/>
  <c r="K7" i="3"/>
  <c r="M7" i="3"/>
  <c r="L7" i="3"/>
  <c r="H7" i="3"/>
  <c r="I7" i="3"/>
  <c r="J7" i="3"/>
  <c r="N6" i="3"/>
  <c r="L6" i="3"/>
  <c r="K6" i="3"/>
  <c r="M6" i="3"/>
  <c r="H5" i="3"/>
  <c r="H6" i="3"/>
  <c r="I6" i="3"/>
  <c r="J6" i="3"/>
  <c r="N5" i="3"/>
  <c r="L5" i="3"/>
  <c r="K5" i="3"/>
  <c r="M5" i="3"/>
  <c r="I5" i="3"/>
  <c r="J5" i="3"/>
  <c r="N4" i="3"/>
  <c r="L4" i="3"/>
  <c r="K4" i="3"/>
  <c r="M4" i="3"/>
  <c r="H4" i="3"/>
  <c r="I4" i="3"/>
  <c r="J4" i="3"/>
  <c r="N3" i="3"/>
  <c r="L3" i="3"/>
  <c r="K3" i="3"/>
  <c r="M3" i="3"/>
  <c r="H3" i="3"/>
  <c r="I3" i="3"/>
  <c r="J3" i="3"/>
  <c r="M58" i="1"/>
  <c r="J58" i="1"/>
  <c r="L58" i="1"/>
  <c r="K58" i="1"/>
  <c r="J57" i="1"/>
  <c r="L57" i="1"/>
  <c r="M57" i="1"/>
  <c r="M54" i="1"/>
  <c r="J54" i="1"/>
  <c r="L54" i="1"/>
  <c r="K55" i="1"/>
  <c r="M55" i="1"/>
  <c r="J55" i="1"/>
  <c r="L55" i="1"/>
  <c r="J53" i="1"/>
  <c r="L53" i="1"/>
  <c r="K53" i="1"/>
  <c r="J52" i="1"/>
  <c r="L52" i="1"/>
  <c r="M52" i="1"/>
  <c r="M51" i="1"/>
  <c r="J51" i="1"/>
  <c r="L51" i="1"/>
  <c r="K51" i="1"/>
  <c r="M50" i="1"/>
  <c r="L50" i="1"/>
  <c r="J50" i="1"/>
  <c r="G50" i="1"/>
  <c r="H50" i="1"/>
  <c r="I50" i="1"/>
  <c r="M48" i="1"/>
  <c r="M49" i="1"/>
  <c r="J49" i="1"/>
  <c r="L49" i="1"/>
  <c r="J48" i="1"/>
  <c r="L48" i="1"/>
  <c r="G49" i="1"/>
  <c r="H49" i="1"/>
  <c r="I49" i="1"/>
  <c r="G48" i="1"/>
  <c r="H48" i="1"/>
  <c r="I48" i="1"/>
  <c r="M47" i="1"/>
  <c r="J47" i="1"/>
  <c r="L47" i="1"/>
  <c r="G47" i="1"/>
  <c r="H47" i="1"/>
  <c r="I47" i="1"/>
  <c r="M46" i="1"/>
  <c r="H46" i="1"/>
  <c r="J46" i="1"/>
  <c r="L46" i="1"/>
  <c r="G46" i="1"/>
  <c r="I46" i="1"/>
  <c r="J41" i="1"/>
  <c r="M41" i="1"/>
  <c r="L41" i="1"/>
  <c r="G41" i="1"/>
  <c r="I41" i="1"/>
  <c r="M40" i="1"/>
  <c r="J40" i="1"/>
  <c r="L40" i="1"/>
  <c r="G40" i="1"/>
  <c r="I40" i="1"/>
  <c r="K39" i="1"/>
  <c r="M39" i="1"/>
  <c r="J39" i="1"/>
  <c r="L39" i="1"/>
  <c r="G39" i="1"/>
  <c r="H39" i="1"/>
  <c r="I39" i="1"/>
  <c r="G38" i="1"/>
  <c r="M38" i="1"/>
  <c r="J38" i="1"/>
  <c r="L38" i="1"/>
  <c r="K38" i="1"/>
  <c r="H38" i="1"/>
  <c r="I38" i="1"/>
  <c r="J37" i="1"/>
  <c r="L37" i="1"/>
  <c r="M37" i="1"/>
  <c r="K37" i="1"/>
  <c r="H37" i="1"/>
  <c r="G37" i="1"/>
  <c r="I37" i="1"/>
  <c r="M35" i="1"/>
  <c r="M36" i="1"/>
  <c r="J36" i="1"/>
  <c r="K36" i="1"/>
  <c r="L36" i="1"/>
  <c r="J35" i="1"/>
  <c r="L35" i="1"/>
  <c r="G36" i="1"/>
  <c r="I36" i="1"/>
  <c r="G35" i="1"/>
  <c r="K35" i="1"/>
  <c r="I35" i="1"/>
  <c r="G33" i="1"/>
  <c r="M34" i="1"/>
  <c r="J34" i="1"/>
  <c r="L34" i="1"/>
  <c r="H34" i="1"/>
  <c r="I34" i="1"/>
  <c r="M33" i="1"/>
  <c r="J33" i="1"/>
  <c r="L33" i="1"/>
  <c r="K33" i="1"/>
  <c r="I29" i="1"/>
  <c r="I30" i="1"/>
  <c r="I33" i="1"/>
  <c r="M32" i="1"/>
  <c r="J32" i="1"/>
  <c r="L32" i="1"/>
  <c r="K32" i="1"/>
  <c r="I32" i="1"/>
  <c r="H32" i="1"/>
  <c r="G32" i="1"/>
  <c r="M30" i="1"/>
  <c r="J30" i="1"/>
  <c r="L30" i="1"/>
  <c r="G30" i="1"/>
  <c r="H30" i="1"/>
  <c r="M29" i="1"/>
  <c r="J29" i="1"/>
  <c r="L29" i="1"/>
  <c r="G29" i="1"/>
  <c r="M28" i="1"/>
  <c r="L28" i="1"/>
  <c r="J28" i="1"/>
  <c r="G28" i="1"/>
  <c r="I28" i="1"/>
  <c r="M27" i="1"/>
  <c r="J27" i="1"/>
  <c r="L27" i="1"/>
  <c r="G27" i="1"/>
  <c r="H27" i="1"/>
  <c r="I27" i="1"/>
  <c r="L25" i="1"/>
  <c r="J25" i="1"/>
  <c r="G25" i="1"/>
  <c r="H25" i="1"/>
  <c r="I25" i="1"/>
  <c r="J24" i="1"/>
  <c r="L24" i="1"/>
  <c r="G24" i="1"/>
  <c r="I24" i="1"/>
  <c r="L23" i="1"/>
  <c r="J23" i="1"/>
  <c r="G23" i="1"/>
  <c r="I23" i="1"/>
  <c r="L22" i="1"/>
  <c r="J22" i="1"/>
  <c r="G22" i="1"/>
  <c r="H22" i="1"/>
  <c r="I22" i="1"/>
  <c r="G16" i="1"/>
  <c r="I16" i="1"/>
  <c r="I17" i="1"/>
  <c r="G18" i="1"/>
  <c r="I18" i="1"/>
  <c r="M18" i="1"/>
  <c r="L18" i="1"/>
  <c r="J18" i="1"/>
  <c r="M17" i="1"/>
  <c r="L17" i="1"/>
  <c r="K17" i="1"/>
  <c r="J17" i="1"/>
  <c r="J16" i="1"/>
  <c r="M16" i="1"/>
  <c r="M15" i="1"/>
  <c r="L15" i="1"/>
  <c r="G15" i="1"/>
  <c r="I15" i="1"/>
  <c r="M13" i="1"/>
  <c r="L13" i="1"/>
  <c r="J13" i="1"/>
  <c r="G13" i="1"/>
  <c r="I13" i="1"/>
  <c r="L12" i="1"/>
  <c r="M12" i="1"/>
  <c r="J12" i="1"/>
  <c r="G12" i="1"/>
  <c r="I12" i="1"/>
  <c r="M11" i="1"/>
  <c r="L11" i="1"/>
  <c r="G11" i="1"/>
  <c r="I11" i="1"/>
  <c r="J11" i="1"/>
  <c r="J10" i="1"/>
  <c r="G10" i="1"/>
  <c r="I10" i="1"/>
  <c r="M9" i="1"/>
  <c r="L9" i="1"/>
  <c r="J9" i="1"/>
  <c r="K9" i="1"/>
  <c r="G9" i="1"/>
  <c r="I9" i="1"/>
  <c r="M7" i="1"/>
  <c r="J7" i="1"/>
  <c r="L7" i="1"/>
  <c r="K7" i="1"/>
  <c r="H7" i="1"/>
  <c r="G7" i="1"/>
  <c r="I7" i="1"/>
  <c r="M6" i="1"/>
  <c r="J6" i="1"/>
  <c r="K6" i="1"/>
  <c r="L6" i="1"/>
  <c r="H6" i="1"/>
  <c r="G5" i="1"/>
  <c r="G6" i="1"/>
  <c r="I6" i="1"/>
  <c r="M5" i="1"/>
  <c r="K5" i="1"/>
  <c r="J5" i="1"/>
  <c r="L5" i="1"/>
  <c r="H5" i="1"/>
  <c r="I5" i="1"/>
  <c r="G4" i="1"/>
  <c r="M4" i="1"/>
  <c r="K4" i="1"/>
  <c r="J4" i="1"/>
  <c r="L4" i="1"/>
  <c r="H4" i="1"/>
  <c r="I4" i="1"/>
  <c r="K3" i="1"/>
  <c r="J3" i="1"/>
  <c r="L3" i="1"/>
  <c r="G3" i="1"/>
  <c r="H3" i="1"/>
  <c r="I3" i="1"/>
  <c r="M3" i="1"/>
  <c r="H29" i="1"/>
</calcChain>
</file>

<file path=xl/comments1.xml><?xml version="1.0" encoding="utf-8"?>
<comments xmlns="http://schemas.openxmlformats.org/spreadsheetml/2006/main">
  <authors>
    <author/>
    <author>Lyndon Estes</author>
  </authors>
  <commentList>
    <comment ref="I2" authorId="0">
      <text>
        <r>
          <rPr>
            <sz val="10"/>
            <rFont val="Arial"/>
          </rPr>
          <t xml:space="preserve">Lyndon Estes:
Calculate as (plot resolution * N sites) / 10000
</t>
        </r>
      </text>
    </comment>
    <comment ref="R2" authorId="0">
      <text>
        <r>
          <rPr>
            <sz val="10"/>
            <rFont val="Arial"/>
          </rPr>
          <t>Lyndon Estes:
separate with semi-colon if more than one</t>
        </r>
      </text>
    </comment>
    <comment ref="H3" authorId="1">
      <text>
        <r>
          <rPr>
            <b/>
            <sz val="9"/>
            <color indexed="81"/>
            <rFont val="Arial"/>
          </rPr>
          <t>Lyndon Estes:</t>
        </r>
        <r>
          <rPr>
            <sz val="9"/>
            <color indexed="81"/>
            <rFont val="Arial"/>
          </rPr>
          <t xml:space="preserve">
6 sample plots on 4 bogs, 4 on the intact one</t>
        </r>
      </text>
    </comment>
    <comment ref="L3" authorId="1">
      <text>
        <r>
          <rPr>
            <b/>
            <sz val="9"/>
            <color indexed="81"/>
            <rFont val="Arial"/>
          </rPr>
          <t>Lyndon Estes:</t>
        </r>
        <r>
          <rPr>
            <sz val="9"/>
            <color indexed="81"/>
            <rFont val="Arial"/>
          </rPr>
          <t xml:space="preserve">
assume average of 17.5 days between sample, and sampling season was 152 days, gives number of vists per season, times samp_duration, times n season</t>
        </r>
      </text>
    </comment>
    <comment ref="G4" authorId="1">
      <text>
        <r>
          <rPr>
            <b/>
            <sz val="9"/>
            <color indexed="81"/>
            <rFont val="Arial"/>
          </rPr>
          <t>Lyndon Estes:</t>
        </r>
        <r>
          <rPr>
            <sz val="9"/>
            <color indexed="81"/>
            <rFont val="Arial"/>
          </rPr>
          <t xml:space="preserve">
assume 10 cm radius well</t>
        </r>
      </text>
    </comment>
    <comment ref="H4" authorId="1">
      <text>
        <r>
          <rPr>
            <b/>
            <sz val="9"/>
            <color indexed="81"/>
            <rFont val="Arial"/>
          </rPr>
          <t>Lyndon Estes:</t>
        </r>
        <r>
          <rPr>
            <sz val="9"/>
            <color indexed="81"/>
            <rFont val="Arial"/>
          </rPr>
          <t xml:space="preserve">
6 sample plots on 4 bogs, 4 on the intact one</t>
        </r>
      </text>
    </comment>
    <comment ref="L4" authorId="1">
      <text>
        <r>
          <rPr>
            <b/>
            <sz val="9"/>
            <color indexed="81"/>
            <rFont val="Arial"/>
          </rPr>
          <t>Lyndon Estes:</t>
        </r>
        <r>
          <rPr>
            <sz val="9"/>
            <color indexed="81"/>
            <rFont val="Arial"/>
          </rPr>
          <t xml:space="preserve">
assume average of 17.5 days between sample, and sampling season was 152 days, gives number of vists per season, times samp_duration, times n season</t>
        </r>
      </text>
    </comment>
    <comment ref="G5" authorId="1">
      <text>
        <r>
          <rPr>
            <b/>
            <sz val="9"/>
            <color indexed="81"/>
            <rFont val="Arial"/>
          </rPr>
          <t>Lyndon Estes:</t>
        </r>
        <r>
          <rPr>
            <sz val="9"/>
            <color indexed="81"/>
            <rFont val="Arial"/>
          </rPr>
          <t xml:space="preserve">
assume 1 cm radius temp measurements</t>
        </r>
      </text>
    </comment>
    <comment ref="H5" authorId="1">
      <text>
        <r>
          <rPr>
            <b/>
            <sz val="9"/>
            <color indexed="81"/>
            <rFont val="Arial"/>
          </rPr>
          <t>Lyndon Estes:</t>
        </r>
        <r>
          <rPr>
            <sz val="9"/>
            <color indexed="81"/>
            <rFont val="Arial"/>
          </rPr>
          <t xml:space="preserve">
6 sample plots on 4 bogs, 4 on the intact one</t>
        </r>
      </text>
    </comment>
    <comment ref="L5" authorId="1">
      <text>
        <r>
          <rPr>
            <b/>
            <sz val="9"/>
            <color indexed="81"/>
            <rFont val="Arial"/>
          </rPr>
          <t>Lyndon Estes:</t>
        </r>
        <r>
          <rPr>
            <sz val="9"/>
            <color indexed="81"/>
            <rFont val="Arial"/>
          </rPr>
          <t xml:space="preserve">
assume average of 17.5 days between sample, and sampling season was 152 days, gives number of vists per season, times samp_duration, times n season</t>
        </r>
      </text>
    </comment>
    <comment ref="G6" authorId="1">
      <text>
        <r>
          <rPr>
            <b/>
            <sz val="9"/>
            <color indexed="81"/>
            <rFont val="Arial"/>
          </rPr>
          <t>Lyndon Estes:</t>
        </r>
        <r>
          <rPr>
            <sz val="9"/>
            <color indexed="81"/>
            <rFont val="Arial"/>
          </rPr>
          <t xml:space="preserve">
assume weather station is a point sample</t>
        </r>
      </text>
    </comment>
    <comment ref="K6" authorId="1">
      <text>
        <r>
          <rPr>
            <b/>
            <sz val="9"/>
            <color indexed="81"/>
            <rFont val="Arial"/>
          </rPr>
          <t>Lyndon Estes:</t>
        </r>
        <r>
          <rPr>
            <sz val="9"/>
            <color indexed="81"/>
            <rFont val="Arial"/>
          </rPr>
          <t xml:space="preserve">
assume 1/2 hour between readings</t>
        </r>
      </text>
    </comment>
    <comment ref="L6" authorId="1">
      <text>
        <r>
          <rPr>
            <b/>
            <sz val="9"/>
            <color indexed="81"/>
            <rFont val="Arial"/>
          </rPr>
          <t>Lyndon Estes:</t>
        </r>
        <r>
          <rPr>
            <sz val="9"/>
            <color indexed="81"/>
            <rFont val="Arial"/>
          </rPr>
          <t xml:space="preserve">
assume average of 17.5 days between sample, and sampling season was 152 days, gives number of vists per season, times samp_duration, times n season</t>
        </r>
      </text>
    </comment>
    <comment ref="G7" authorId="1">
      <text>
        <r>
          <rPr>
            <b/>
            <sz val="9"/>
            <color indexed="81"/>
            <rFont val="Arial"/>
          </rPr>
          <t>Lyndon Estes:</t>
        </r>
        <r>
          <rPr>
            <sz val="9"/>
            <color indexed="81"/>
            <rFont val="Arial"/>
          </rPr>
          <t xml:space="preserve">
assume 10 cm diameter core</t>
        </r>
      </text>
    </comment>
    <comment ref="J7" authorId="1">
      <text>
        <r>
          <rPr>
            <b/>
            <sz val="9"/>
            <color indexed="81"/>
            <rFont val="Arial"/>
          </rPr>
          <t>Lyndon Estes:</t>
        </r>
        <r>
          <rPr>
            <sz val="9"/>
            <color indexed="81"/>
            <rFont val="Arial"/>
          </rPr>
          <t xml:space="preserve">
4 weeks assigned because they let them sit for that long</t>
        </r>
      </text>
    </comment>
    <comment ref="G8" authorId="1">
      <text>
        <r>
          <rPr>
            <b/>
            <sz val="9"/>
            <color indexed="81"/>
            <rFont val="Arial"/>
          </rPr>
          <t>Lyndon Estes:</t>
        </r>
        <r>
          <rPr>
            <sz val="9"/>
            <color indexed="81"/>
            <rFont val="Arial"/>
          </rPr>
          <t xml:space="preserve">
assume 10 cm radius core</t>
        </r>
      </text>
    </comment>
    <comment ref="G9" authorId="1">
      <text>
        <r>
          <rPr>
            <b/>
            <sz val="9"/>
            <color indexed="81"/>
            <rFont val="Arial"/>
          </rPr>
          <t>Lyndon Estes:</t>
        </r>
        <r>
          <rPr>
            <sz val="9"/>
            <color indexed="81"/>
            <rFont val="Arial"/>
          </rPr>
          <t xml:space="preserve">
assume bird is sample resolution, with 6 cm diameter</t>
        </r>
      </text>
    </comment>
    <comment ref="H9" authorId="1">
      <text>
        <r>
          <rPr>
            <b/>
            <sz val="9"/>
            <color indexed="81"/>
            <rFont val="Arial"/>
          </rPr>
          <t>Lyndon Estes:</t>
        </r>
        <r>
          <rPr>
            <sz val="9"/>
            <color indexed="81"/>
            <rFont val="Arial"/>
          </rPr>
          <t xml:space="preserve">
I count 39 birds in results contributing to data</t>
        </r>
      </text>
    </comment>
    <comment ref="J9" authorId="1">
      <text>
        <r>
          <rPr>
            <b/>
            <sz val="9"/>
            <color indexed="81"/>
            <rFont val="Arial"/>
          </rPr>
          <t>Lyndon Estes:</t>
        </r>
        <r>
          <rPr>
            <sz val="9"/>
            <color indexed="81"/>
            <rFont val="Arial"/>
          </rPr>
          <t xml:space="preserve">
assume 5 seconds to scan channels</t>
        </r>
      </text>
    </comment>
    <comment ref="K9" authorId="1">
      <text>
        <r>
          <rPr>
            <b/>
            <sz val="9"/>
            <color indexed="81"/>
            <rFont val="Arial"/>
          </rPr>
          <t>Lyndon Estes:</t>
        </r>
        <r>
          <rPr>
            <sz val="9"/>
            <color indexed="81"/>
            <rFont val="Arial"/>
          </rPr>
          <t xml:space="preserve">
assume 1 minunte between samples</t>
        </r>
      </text>
    </comment>
    <comment ref="G10" authorId="1">
      <text>
        <r>
          <rPr>
            <b/>
            <sz val="9"/>
            <color indexed="81"/>
            <rFont val="Arial"/>
          </rPr>
          <t>Lyndon Estes:</t>
        </r>
        <r>
          <rPr>
            <sz val="9"/>
            <color indexed="81"/>
            <rFont val="Arial"/>
          </rPr>
          <t xml:space="preserve">
assume bird is sample resolution, with 6 cm diameter</t>
        </r>
      </text>
    </comment>
    <comment ref="J10" authorId="1">
      <text>
        <r>
          <rPr>
            <b/>
            <sz val="9"/>
            <color indexed="81"/>
            <rFont val="Arial"/>
          </rPr>
          <t>Lyndon Estes:</t>
        </r>
        <r>
          <rPr>
            <sz val="9"/>
            <color indexed="81"/>
            <rFont val="Arial"/>
          </rPr>
          <t xml:space="preserve">
assume 1 minute to draw blood</t>
        </r>
      </text>
    </comment>
    <comment ref="K10" authorId="1">
      <text>
        <r>
          <rPr>
            <b/>
            <sz val="9"/>
            <color indexed="81"/>
            <rFont val="Arial"/>
          </rPr>
          <t>Lyndon Estes:</t>
        </r>
        <r>
          <rPr>
            <sz val="9"/>
            <color indexed="81"/>
            <rFont val="Arial"/>
          </rPr>
          <t xml:space="preserve">
assume 1 minunte between samples</t>
        </r>
      </text>
    </comment>
    <comment ref="G11" authorId="1">
      <text>
        <r>
          <rPr>
            <b/>
            <sz val="9"/>
            <color indexed="81"/>
            <rFont val="Arial"/>
          </rPr>
          <t>Lyndon Estes:</t>
        </r>
        <r>
          <rPr>
            <sz val="9"/>
            <color indexed="81"/>
            <rFont val="Arial"/>
          </rPr>
          <t xml:space="preserve">
assume 1.5 m long snake on average of 20 cm width
</t>
        </r>
      </text>
    </comment>
    <comment ref="J11" authorId="1">
      <text>
        <r>
          <rPr>
            <b/>
            <sz val="9"/>
            <color indexed="81"/>
            <rFont val="Arial"/>
          </rPr>
          <t>Lyndon Estes:</t>
        </r>
        <r>
          <rPr>
            <sz val="9"/>
            <color indexed="81"/>
            <rFont val="Arial"/>
          </rPr>
          <t xml:space="preserve">
caught at night, released next morning</t>
        </r>
      </text>
    </comment>
    <comment ref="L11" authorId="1">
      <text>
        <r>
          <rPr>
            <b/>
            <sz val="9"/>
            <color indexed="81"/>
            <rFont val="Arial"/>
          </rPr>
          <t>Lyndon Estes:</t>
        </r>
        <r>
          <rPr>
            <sz val="9"/>
            <color indexed="81"/>
            <rFont val="Arial"/>
          </rPr>
          <t xml:space="preserve">
Study duration only as long as time to sample one python</t>
        </r>
      </text>
    </comment>
    <comment ref="M11" authorId="1">
      <text>
        <r>
          <rPr>
            <b/>
            <sz val="9"/>
            <color indexed="81"/>
            <rFont val="Arial"/>
          </rPr>
          <t>Lyndon Estes:</t>
        </r>
        <r>
          <rPr>
            <sz val="9"/>
            <color indexed="81"/>
            <rFont val="Arial"/>
          </rPr>
          <t xml:space="preserve">
2001-2003</t>
        </r>
      </text>
    </comment>
    <comment ref="G12" authorId="1">
      <text>
        <r>
          <rPr>
            <b/>
            <sz val="9"/>
            <color indexed="81"/>
            <rFont val="Arial"/>
          </rPr>
          <t>Lyndon Estes:</t>
        </r>
        <r>
          <rPr>
            <sz val="9"/>
            <color indexed="81"/>
            <rFont val="Arial"/>
          </rPr>
          <t xml:space="preserve">
assume 1.5 m long snake on average of 20 cm width
</t>
        </r>
      </text>
    </comment>
    <comment ref="J12" authorId="1">
      <text>
        <r>
          <rPr>
            <b/>
            <sz val="9"/>
            <color indexed="81"/>
            <rFont val="Arial"/>
          </rPr>
          <t>Lyndon Estes:</t>
        </r>
        <r>
          <rPr>
            <sz val="9"/>
            <color indexed="81"/>
            <rFont val="Arial"/>
          </rPr>
          <t xml:space="preserve">
caught at night, released next morning</t>
        </r>
      </text>
    </comment>
    <comment ref="L12" authorId="1">
      <text>
        <r>
          <rPr>
            <b/>
            <sz val="9"/>
            <color indexed="81"/>
            <rFont val="Arial"/>
          </rPr>
          <t>Lyndon Estes:</t>
        </r>
        <r>
          <rPr>
            <sz val="9"/>
            <color indexed="81"/>
            <rFont val="Arial"/>
          </rPr>
          <t xml:space="preserve">
Study duration only as long as time to sample one python, and these were sampled twice</t>
        </r>
      </text>
    </comment>
    <comment ref="M12" authorId="1">
      <text>
        <r>
          <rPr>
            <b/>
            <sz val="9"/>
            <color indexed="81"/>
            <rFont val="Arial"/>
          </rPr>
          <t>Lyndon Estes:</t>
        </r>
        <r>
          <rPr>
            <sz val="9"/>
            <color indexed="81"/>
            <rFont val="Arial"/>
          </rPr>
          <t xml:space="preserve">
2001-2003</t>
        </r>
      </text>
    </comment>
    <comment ref="G13" authorId="1">
      <text>
        <r>
          <rPr>
            <b/>
            <sz val="9"/>
            <color indexed="81"/>
            <rFont val="Arial"/>
          </rPr>
          <t>Lyndon Estes:</t>
        </r>
        <r>
          <rPr>
            <sz val="9"/>
            <color indexed="81"/>
            <rFont val="Arial"/>
          </rPr>
          <t xml:space="preserve">
assume 1.5 m long snake on average of 20 cm width
</t>
        </r>
      </text>
    </comment>
    <comment ref="J13" authorId="1">
      <text>
        <r>
          <rPr>
            <b/>
            <sz val="9"/>
            <color indexed="81"/>
            <rFont val="Arial"/>
          </rPr>
          <t>Lyndon Estes:</t>
        </r>
        <r>
          <rPr>
            <sz val="9"/>
            <color indexed="81"/>
            <rFont val="Arial"/>
          </rPr>
          <t xml:space="preserve">
caught at night, released next morning</t>
        </r>
      </text>
    </comment>
    <comment ref="K13" authorId="1">
      <text>
        <r>
          <rPr>
            <b/>
            <sz val="9"/>
            <color indexed="81"/>
            <rFont val="Arial"/>
          </rPr>
          <t>Lyndon Estes:</t>
        </r>
        <r>
          <rPr>
            <sz val="9"/>
            <color indexed="81"/>
            <rFont val="Arial"/>
          </rPr>
          <t xml:space="preserve">
sampled twice within a month. Assume 15 days between sample
</t>
        </r>
      </text>
    </comment>
    <comment ref="L13" authorId="1">
      <text>
        <r>
          <rPr>
            <b/>
            <sz val="9"/>
            <color indexed="81"/>
            <rFont val="Arial"/>
          </rPr>
          <t>Lyndon Estes:</t>
        </r>
        <r>
          <rPr>
            <sz val="9"/>
            <color indexed="81"/>
            <rFont val="Arial"/>
          </rPr>
          <t xml:space="preserve">
Study duration only as long as time to sample one python, and these were sampled twice</t>
        </r>
      </text>
    </comment>
    <comment ref="M13" authorId="1">
      <text>
        <r>
          <rPr>
            <b/>
            <sz val="9"/>
            <color indexed="81"/>
            <rFont val="Arial"/>
          </rPr>
          <t>Lyndon Estes:</t>
        </r>
        <r>
          <rPr>
            <sz val="9"/>
            <color indexed="81"/>
            <rFont val="Arial"/>
          </rPr>
          <t xml:space="preserve">
2001-2003</t>
        </r>
      </text>
    </comment>
    <comment ref="G15" authorId="1">
      <text>
        <r>
          <rPr>
            <b/>
            <sz val="9"/>
            <color indexed="81"/>
            <rFont val="Arial"/>
          </rPr>
          <t>Lyndon Estes:</t>
        </r>
        <r>
          <rPr>
            <sz val="9"/>
            <color indexed="81"/>
            <rFont val="Arial"/>
          </rPr>
          <t xml:space="preserve">
assume mean prey size of 0.5 m long and 0.2 m wide
</t>
        </r>
      </text>
    </comment>
    <comment ref="J15" authorId="1">
      <text>
        <r>
          <rPr>
            <b/>
            <sz val="9"/>
            <color indexed="81"/>
            <rFont val="Arial"/>
          </rPr>
          <t>Lyndon Estes:</t>
        </r>
        <r>
          <rPr>
            <sz val="9"/>
            <color indexed="81"/>
            <rFont val="Arial"/>
          </rPr>
          <t xml:space="preserve">
Assume average of 1 day to capture animal</t>
        </r>
      </text>
    </comment>
    <comment ref="K15" authorId="1">
      <text>
        <r>
          <rPr>
            <b/>
            <sz val="9"/>
            <color indexed="81"/>
            <rFont val="Arial"/>
          </rPr>
          <t>Lyndon Estes:</t>
        </r>
        <r>
          <rPr>
            <sz val="9"/>
            <color indexed="81"/>
            <rFont val="Arial"/>
          </rPr>
          <t xml:space="preserve">
Treating each hunted animal as discrete sample</t>
        </r>
      </text>
    </comment>
    <comment ref="G16" authorId="1">
      <text>
        <r>
          <rPr>
            <b/>
            <sz val="9"/>
            <color indexed="81"/>
            <rFont val="Arial"/>
          </rPr>
          <t>Lyndon Estes:</t>
        </r>
        <r>
          <rPr>
            <sz val="9"/>
            <color indexed="81"/>
            <rFont val="Arial"/>
          </rPr>
          <t xml:space="preserve">
assume weather station and range rain gauge have 0.5 m diameter</t>
        </r>
      </text>
    </comment>
    <comment ref="G17" authorId="1">
      <text>
        <r>
          <rPr>
            <b/>
            <sz val="9"/>
            <color indexed="81"/>
            <rFont val="Arial"/>
          </rPr>
          <t>Lyndon Estes:</t>
        </r>
        <r>
          <rPr>
            <sz val="9"/>
            <color indexed="81"/>
            <rFont val="Arial"/>
          </rPr>
          <t xml:space="preserve">
Assume that runoff is from whole catchment, thus gauge gives resolution</t>
        </r>
      </text>
    </comment>
    <comment ref="L17" authorId="1">
      <text>
        <r>
          <rPr>
            <b/>
            <sz val="9"/>
            <color indexed="81"/>
            <rFont val="Arial"/>
          </rPr>
          <t>Lyndon Estes:</t>
        </r>
        <r>
          <rPr>
            <sz val="9"/>
            <color indexed="81"/>
            <rFont val="Arial"/>
          </rPr>
          <t xml:space="preserve">
assume each discharge reading is 1 second, happens every 15 minutes per day over 11 years</t>
        </r>
      </text>
    </comment>
    <comment ref="G18" authorId="1">
      <text>
        <r>
          <rPr>
            <b/>
            <sz val="9"/>
            <color indexed="81"/>
            <rFont val="Arial"/>
          </rPr>
          <t>Lyndon Estes:</t>
        </r>
        <r>
          <rPr>
            <sz val="9"/>
            <color indexed="81"/>
            <rFont val="Arial"/>
          </rPr>
          <t xml:space="preserve">
assume sampler for sediments is 5 cm diameter</t>
        </r>
      </text>
    </comment>
    <comment ref="L18" authorId="1">
      <text>
        <r>
          <rPr>
            <b/>
            <sz val="9"/>
            <color indexed="81"/>
            <rFont val="Arial"/>
          </rPr>
          <t>Lyndon Estes:</t>
        </r>
        <r>
          <rPr>
            <sz val="9"/>
            <color indexed="81"/>
            <rFont val="Arial"/>
          </rPr>
          <t xml:space="preserve">
assume each discharge reading is 1 second, happens every 15 minutes per day over 11 years</t>
        </r>
      </text>
    </comment>
    <comment ref="G22" authorId="1">
      <text>
        <r>
          <rPr>
            <b/>
            <sz val="9"/>
            <color indexed="81"/>
            <rFont val="Arial"/>
          </rPr>
          <t>Lyndon Estes:</t>
        </r>
        <r>
          <rPr>
            <sz val="9"/>
            <color indexed="81"/>
            <rFont val="Arial"/>
          </rPr>
          <t xml:space="preserve">
Assume grasses occupy 20X20 cm area</t>
        </r>
      </text>
    </comment>
    <comment ref="H22" authorId="1">
      <text>
        <r>
          <rPr>
            <b/>
            <sz val="9"/>
            <color indexed="81"/>
            <rFont val="Arial"/>
          </rPr>
          <t>Lyndon Estes:</t>
        </r>
        <r>
          <rPr>
            <sz val="9"/>
            <color indexed="81"/>
            <rFont val="Arial"/>
          </rPr>
          <t xml:space="preserve">
assume n_sites reflect number of plant of each species sampled (18 for one species, 10 for the other)</t>
        </r>
      </text>
    </comment>
    <comment ref="J22" authorId="1">
      <text>
        <r>
          <rPr>
            <b/>
            <sz val="9"/>
            <color indexed="81"/>
            <rFont val="Arial"/>
          </rPr>
          <t>Lyndon Estes:</t>
        </r>
        <r>
          <rPr>
            <sz val="9"/>
            <color indexed="81"/>
            <rFont val="Arial"/>
          </rPr>
          <t xml:space="preserve">
Assume 1 minute to collect each plant</t>
        </r>
      </text>
    </comment>
    <comment ref="L22" authorId="1">
      <text>
        <r>
          <rPr>
            <b/>
            <sz val="9"/>
            <color indexed="81"/>
            <rFont val="Arial"/>
          </rPr>
          <t>Lyndon Estes:</t>
        </r>
        <r>
          <rPr>
            <sz val="9"/>
            <color indexed="81"/>
            <rFont val="Arial"/>
          </rPr>
          <t xml:space="preserve">
Assume 1 minute to collect each plant, so this is study duration</t>
        </r>
      </text>
    </comment>
    <comment ref="M22" authorId="1">
      <text>
        <r>
          <rPr>
            <b/>
            <sz val="9"/>
            <color indexed="81"/>
            <rFont val="Arial"/>
          </rPr>
          <t>Lyndon Estes:</t>
        </r>
        <r>
          <rPr>
            <sz val="9"/>
            <color indexed="81"/>
            <rFont val="Arial"/>
          </rPr>
          <t xml:space="preserve">
fieldwork done in May, 2006, thus assume 31 days</t>
        </r>
      </text>
    </comment>
    <comment ref="J23" authorId="1">
      <text>
        <r>
          <rPr>
            <b/>
            <sz val="9"/>
            <color indexed="81"/>
            <rFont val="Arial"/>
          </rPr>
          <t>Lyndon Estes:</t>
        </r>
        <r>
          <rPr>
            <sz val="9"/>
            <color indexed="81"/>
            <rFont val="Arial"/>
          </rPr>
          <t xml:space="preserve">
assume it takes  two hours to do one biomass sample</t>
        </r>
      </text>
    </comment>
    <comment ref="M23" authorId="1">
      <text>
        <r>
          <rPr>
            <b/>
            <sz val="9"/>
            <color indexed="81"/>
            <rFont val="Arial"/>
          </rPr>
          <t>Lyndon Estes:</t>
        </r>
        <r>
          <rPr>
            <sz val="9"/>
            <color indexed="81"/>
            <rFont val="Arial"/>
          </rPr>
          <t xml:space="preserve">
fieldwork done in May, 2006, thus assume 31 days</t>
        </r>
      </text>
    </comment>
    <comment ref="J24" authorId="1">
      <text>
        <r>
          <rPr>
            <b/>
            <sz val="9"/>
            <color indexed="81"/>
            <rFont val="Arial"/>
          </rPr>
          <t>Lyndon Estes:</t>
        </r>
        <r>
          <rPr>
            <sz val="9"/>
            <color indexed="81"/>
            <rFont val="Arial"/>
          </rPr>
          <t xml:space="preserve">
assume it takes 5 minutes to estimate areal cover</t>
        </r>
      </text>
    </comment>
    <comment ref="G25" authorId="1">
      <text>
        <r>
          <rPr>
            <b/>
            <sz val="9"/>
            <color indexed="81"/>
            <rFont val="Arial"/>
          </rPr>
          <t>Lyndon Estes:</t>
        </r>
        <r>
          <rPr>
            <sz val="9"/>
            <color indexed="81"/>
            <rFont val="Arial"/>
          </rPr>
          <t xml:space="preserve">
assume 10 cm diameter core</t>
        </r>
      </text>
    </comment>
    <comment ref="J25" authorId="1">
      <text>
        <r>
          <rPr>
            <b/>
            <sz val="9"/>
            <color indexed="81"/>
            <rFont val="Arial"/>
          </rPr>
          <t>Lyndon Estes:</t>
        </r>
        <r>
          <rPr>
            <sz val="9"/>
            <color indexed="81"/>
            <rFont val="Arial"/>
          </rPr>
          <t xml:space="preserve">
assume it takes  10 minutes to collect soil core</t>
        </r>
      </text>
    </comment>
    <comment ref="L25" authorId="1">
      <text>
        <r>
          <rPr>
            <b/>
            <sz val="9"/>
            <color indexed="81"/>
            <rFont val="Arial"/>
          </rPr>
          <t>Lyndon Estes:</t>
        </r>
        <r>
          <rPr>
            <sz val="9"/>
            <color indexed="81"/>
            <rFont val="Arial"/>
          </rPr>
          <t xml:space="preserve">
assume it takes  10 minutes to collect soil core</t>
        </r>
      </text>
    </comment>
    <comment ref="G27" authorId="1">
      <text>
        <r>
          <rPr>
            <b/>
            <sz val="9"/>
            <color indexed="81"/>
            <rFont val="Arial"/>
          </rPr>
          <t>Lyndon Estes:</t>
        </r>
        <r>
          <rPr>
            <sz val="9"/>
            <color indexed="81"/>
            <rFont val="Arial"/>
          </rPr>
          <t xml:space="preserve">
assume 10 cm diameter core, and 5 samples per field in bed and in furrow, thus 10
</t>
        </r>
      </text>
    </comment>
    <comment ref="H27" authorId="1">
      <text>
        <r>
          <rPr>
            <b/>
            <sz val="9"/>
            <color indexed="81"/>
            <rFont val="Arial"/>
          </rPr>
          <t>Lyndon Estes:</t>
        </r>
        <r>
          <rPr>
            <sz val="9"/>
            <color indexed="81"/>
            <rFont val="Arial"/>
          </rPr>
          <t xml:space="preserve">
5 major soil types and 3 farmers' fields per type</t>
        </r>
      </text>
    </comment>
    <comment ref="J27" authorId="1">
      <text>
        <r>
          <rPr>
            <b/>
            <sz val="9"/>
            <color indexed="81"/>
            <rFont val="Arial"/>
          </rPr>
          <t>Lyndon Estes:</t>
        </r>
        <r>
          <rPr>
            <sz val="9"/>
            <color indexed="81"/>
            <rFont val="Arial"/>
          </rPr>
          <t xml:space="preserve">
assume it takes  10 minutes to collect soil core, and 10 cores per sample</t>
        </r>
      </text>
    </comment>
    <comment ref="M27" authorId="1">
      <text>
        <r>
          <rPr>
            <b/>
            <sz val="9"/>
            <color indexed="81"/>
            <rFont val="Arial"/>
          </rPr>
          <t>Lyndon Estes:</t>
        </r>
        <r>
          <rPr>
            <sz val="9"/>
            <color indexed="81"/>
            <rFont val="Arial"/>
          </rPr>
          <t xml:space="preserve">
Seems like simulation was for a single growing season</t>
        </r>
      </text>
    </comment>
    <comment ref="G28" authorId="1">
      <text>
        <r>
          <rPr>
            <b/>
            <sz val="9"/>
            <color indexed="81"/>
            <rFont val="Arial"/>
          </rPr>
          <t>Lyndon Estes:</t>
        </r>
        <r>
          <rPr>
            <sz val="9"/>
            <color indexed="81"/>
            <rFont val="Arial"/>
          </rPr>
          <t xml:space="preserve">
assume weather station and range rain gauge have 0.5 m diameter</t>
        </r>
      </text>
    </comment>
    <comment ref="J28" authorId="1">
      <text>
        <r>
          <rPr>
            <b/>
            <sz val="9"/>
            <color indexed="81"/>
            <rFont val="Arial"/>
          </rPr>
          <t>Lyndon Estes:</t>
        </r>
        <r>
          <rPr>
            <sz val="9"/>
            <color indexed="81"/>
            <rFont val="Arial"/>
          </rPr>
          <t xml:space="preserve">
Assume weather stations make continuous measurements, and record was for 180 days of simulation period</t>
        </r>
      </text>
    </comment>
    <comment ref="L28" authorId="1">
      <text>
        <r>
          <rPr>
            <b/>
            <sz val="9"/>
            <color indexed="81"/>
            <rFont val="Arial"/>
          </rPr>
          <t>Lyndon Estes:</t>
        </r>
        <r>
          <rPr>
            <sz val="9"/>
            <color indexed="81"/>
            <rFont val="Arial"/>
          </rPr>
          <t xml:space="preserve">
Assume weather stations make continuous measurements, and record was for 180 days of simulation period</t>
        </r>
      </text>
    </comment>
    <comment ref="M28" authorId="1">
      <text>
        <r>
          <rPr>
            <b/>
            <sz val="9"/>
            <color indexed="81"/>
            <rFont val="Arial"/>
          </rPr>
          <t>Lyndon Estes:</t>
        </r>
        <r>
          <rPr>
            <sz val="9"/>
            <color indexed="81"/>
            <rFont val="Arial"/>
          </rPr>
          <t xml:space="preserve">
Assume weather stations make continuous measurements, and record was for 180 days of simulation period</t>
        </r>
      </text>
    </comment>
    <comment ref="G29" authorId="1">
      <text>
        <r>
          <rPr>
            <b/>
            <sz val="9"/>
            <color indexed="81"/>
            <rFont val="Arial"/>
          </rPr>
          <t>Lyndon Estes:</t>
        </r>
        <r>
          <rPr>
            <sz val="9"/>
            <color indexed="81"/>
            <rFont val="Arial"/>
          </rPr>
          <t xml:space="preserve">
Assume transect is mean of 30-100 m range they give</t>
        </r>
      </text>
    </comment>
    <comment ref="H29" authorId="1">
      <text>
        <r>
          <rPr>
            <b/>
            <sz val="9"/>
            <color indexed="81"/>
            <rFont val="Arial"/>
          </rPr>
          <t>Lyndon Estes:</t>
        </r>
        <r>
          <rPr>
            <sz val="9"/>
            <color indexed="81"/>
            <rFont val="Arial"/>
          </rPr>
          <t xml:space="preserve">
I assumed a mean sample quadrat by averaging 0.2^2 and 1 m^2, and then divided by the value of the twoal sampled area they provided to get N samples</t>
        </r>
      </text>
    </comment>
    <comment ref="J29" authorId="1">
      <text>
        <r>
          <rPr>
            <b/>
            <sz val="9"/>
            <color indexed="81"/>
            <rFont val="Arial"/>
          </rPr>
          <t>Lyndon Estes:</t>
        </r>
        <r>
          <rPr>
            <sz val="9"/>
            <color indexed="81"/>
            <rFont val="Arial"/>
          </rPr>
          <t xml:space="preserve">
Assume one quadrat takes 10 minutes
</t>
        </r>
      </text>
    </comment>
    <comment ref="L29" authorId="1">
      <text>
        <r>
          <rPr>
            <b/>
            <sz val="9"/>
            <color indexed="81"/>
            <rFont val="Arial"/>
          </rPr>
          <t>Lyndon Estes:</t>
        </r>
        <r>
          <rPr>
            <sz val="9"/>
            <color indexed="81"/>
            <rFont val="Arial"/>
          </rPr>
          <t xml:space="preserve">
Assume 5 minute to collect quadrat, so this is study duration</t>
        </r>
      </text>
    </comment>
    <comment ref="G30" authorId="1">
      <text>
        <r>
          <rPr>
            <b/>
            <sz val="9"/>
            <color indexed="81"/>
            <rFont val="Arial"/>
          </rPr>
          <t>Lyndon Estes:</t>
        </r>
        <r>
          <rPr>
            <sz val="9"/>
            <color indexed="81"/>
            <rFont val="Arial"/>
          </rPr>
          <t xml:space="preserve">
Fig.2 in source shows ~120 colonies/m2, so taking reported max of 4 colonies per photo, back out the average picture resolution of 20 cm</t>
        </r>
      </text>
    </comment>
    <comment ref="H30" authorId="1">
      <text>
        <r>
          <rPr>
            <b/>
            <sz val="9"/>
            <color indexed="81"/>
            <rFont val="Arial"/>
          </rPr>
          <t>Lyndon Estes:</t>
        </r>
        <r>
          <rPr>
            <sz val="9"/>
            <color indexed="81"/>
            <rFont val="Arial"/>
          </rPr>
          <t xml:space="preserve">
total sampled colonies, divided by 2, which is average number of colonies per picture</t>
        </r>
      </text>
    </comment>
    <comment ref="J30" authorId="1">
      <text>
        <r>
          <rPr>
            <b/>
            <sz val="9"/>
            <color indexed="81"/>
            <rFont val="Arial"/>
          </rPr>
          <t>Lyndon Estes:</t>
        </r>
        <r>
          <rPr>
            <sz val="9"/>
            <color indexed="81"/>
            <rFont val="Arial"/>
          </rPr>
          <t xml:space="preserve">
Assume one photo takes 5 seconds
</t>
        </r>
      </text>
    </comment>
    <comment ref="L30" authorId="1">
      <text>
        <r>
          <rPr>
            <b/>
            <sz val="9"/>
            <color indexed="81"/>
            <rFont val="Arial"/>
          </rPr>
          <t>Lyndon Estes:</t>
        </r>
        <r>
          <rPr>
            <sz val="9"/>
            <color indexed="81"/>
            <rFont val="Arial"/>
          </rPr>
          <t xml:space="preserve">
Assume 5 minute to collect quadrat, so this is study duration</t>
        </r>
      </text>
    </comment>
    <comment ref="J32" authorId="1">
      <text>
        <r>
          <rPr>
            <b/>
            <sz val="9"/>
            <color indexed="81"/>
            <rFont val="Arial"/>
          </rPr>
          <t>Lyndon Estes:</t>
        </r>
        <r>
          <rPr>
            <sz val="9"/>
            <color indexed="81"/>
            <rFont val="Arial"/>
          </rPr>
          <t xml:space="preserve">
assume 5 minutes per sample plot</t>
        </r>
      </text>
    </comment>
    <comment ref="L32" authorId="1">
      <text>
        <r>
          <rPr>
            <b/>
            <sz val="9"/>
            <color indexed="81"/>
            <rFont val="Arial"/>
          </rPr>
          <t>Lyndon Estes:</t>
        </r>
        <r>
          <rPr>
            <sz val="9"/>
            <color indexed="81"/>
            <rFont val="Arial"/>
          </rPr>
          <t xml:space="preserve">
sampled twice, assumed 5 minutes per plot</t>
        </r>
      </text>
    </comment>
    <comment ref="G33" authorId="1">
      <text>
        <r>
          <rPr>
            <b/>
            <sz val="9"/>
            <color indexed="81"/>
            <rFont val="Arial"/>
          </rPr>
          <t>Lyndon Estes:</t>
        </r>
        <r>
          <rPr>
            <sz val="9"/>
            <color indexed="81"/>
            <rFont val="Arial"/>
          </rPr>
          <t xml:space="preserve">
20 cm diameter dust deposition sampler
</t>
        </r>
      </text>
    </comment>
    <comment ref="J33" authorId="1">
      <text>
        <r>
          <rPr>
            <b/>
            <sz val="9"/>
            <color indexed="81"/>
            <rFont val="Arial"/>
          </rPr>
          <t>Lyndon Estes:</t>
        </r>
        <r>
          <rPr>
            <sz val="9"/>
            <color indexed="81"/>
            <rFont val="Arial"/>
          </rPr>
          <t xml:space="preserve">
Sampling interval based on mean duration for two seasons sampling</t>
        </r>
      </text>
    </comment>
    <comment ref="K33" authorId="1">
      <text>
        <r>
          <rPr>
            <b/>
            <sz val="9"/>
            <color indexed="81"/>
            <rFont val="Arial"/>
          </rPr>
          <t>Lyndon Estes:</t>
        </r>
        <r>
          <rPr>
            <sz val="9"/>
            <color indexed="81"/>
            <rFont val="Arial"/>
          </rPr>
          <t xml:space="preserve">
Assume it took a minute to collect dust between samples</t>
        </r>
      </text>
    </comment>
    <comment ref="L33" authorId="1">
      <text>
        <r>
          <rPr>
            <b/>
            <sz val="9"/>
            <color indexed="81"/>
            <rFont val="Arial"/>
          </rPr>
          <t>Lyndon Estes:</t>
        </r>
        <r>
          <rPr>
            <sz val="9"/>
            <color indexed="81"/>
            <rFont val="Arial"/>
          </rPr>
          <t xml:space="preserve">
Total time spent dust sampling in both seasons</t>
        </r>
      </text>
    </comment>
    <comment ref="J34" authorId="1">
      <text>
        <r>
          <rPr>
            <b/>
            <sz val="9"/>
            <color indexed="81"/>
            <rFont val="Arial"/>
          </rPr>
          <t>Lyndon Estes:</t>
        </r>
        <r>
          <rPr>
            <sz val="9"/>
            <color indexed="81"/>
            <rFont val="Arial"/>
          </rPr>
          <t xml:space="preserve">
assume 5 minutes per sample plot</t>
        </r>
      </text>
    </comment>
    <comment ref="M34" authorId="1">
      <text>
        <r>
          <rPr>
            <b/>
            <sz val="9"/>
            <color indexed="81"/>
            <rFont val="Arial"/>
          </rPr>
          <t>Lyndon Estes:</t>
        </r>
        <r>
          <rPr>
            <sz val="9"/>
            <color indexed="81"/>
            <rFont val="Arial"/>
          </rPr>
          <t xml:space="preserve">
Assume sampling took a month total</t>
        </r>
      </text>
    </comment>
    <comment ref="G35" authorId="1">
      <text>
        <r>
          <rPr>
            <b/>
            <sz val="9"/>
            <color indexed="81"/>
            <rFont val="Arial"/>
          </rPr>
          <t>Lyndon Estes:</t>
        </r>
        <r>
          <rPr>
            <sz val="9"/>
            <color indexed="81"/>
            <rFont val="Arial"/>
          </rPr>
          <t xml:space="preserve">
0.7X0.7 and 0.5X0.5 m chambers</t>
        </r>
      </text>
    </comment>
    <comment ref="H35" authorId="1">
      <text>
        <r>
          <rPr>
            <b/>
            <sz val="9"/>
            <color indexed="81"/>
            <rFont val="Arial"/>
          </rPr>
          <t>Lyndon Estes:</t>
        </r>
        <r>
          <rPr>
            <sz val="9"/>
            <color indexed="81"/>
            <rFont val="Arial"/>
          </rPr>
          <t xml:space="preserve">
2 sites, 3 chambers per site</t>
        </r>
      </text>
    </comment>
    <comment ref="J35" authorId="1">
      <text>
        <r>
          <rPr>
            <b/>
            <sz val="9"/>
            <color indexed="81"/>
            <rFont val="Arial"/>
          </rPr>
          <t>Lyndon Estes:</t>
        </r>
        <r>
          <rPr>
            <sz val="9"/>
            <color indexed="81"/>
            <rFont val="Arial"/>
          </rPr>
          <t xml:space="preserve">
1 flux measurement is 5 injections each with sampling time of 3 minutes each, I think</t>
        </r>
      </text>
    </comment>
    <comment ref="L35" authorId="1">
      <text>
        <r>
          <rPr>
            <b/>
            <sz val="9"/>
            <color indexed="81"/>
            <rFont val="Arial"/>
          </rPr>
          <t>Lyndon Estes:</t>
        </r>
        <r>
          <rPr>
            <sz val="9"/>
            <color indexed="81"/>
            <rFont val="Arial"/>
          </rPr>
          <t xml:space="preserve">
sampling seasons estimated from figure 2 and 3, 8 measurements per day, X sample duratin</t>
        </r>
      </text>
    </comment>
    <comment ref="M35" authorId="1">
      <text>
        <r>
          <rPr>
            <b/>
            <sz val="9"/>
            <color indexed="81"/>
            <rFont val="Arial"/>
          </rPr>
          <t>Lyndon Estes:</t>
        </r>
        <r>
          <rPr>
            <sz val="9"/>
            <color indexed="81"/>
            <rFont val="Arial"/>
          </rPr>
          <t xml:space="preserve">
estimated duration from figure 2 and 3</t>
        </r>
      </text>
    </comment>
    <comment ref="G36" authorId="1">
      <text>
        <r>
          <rPr>
            <b/>
            <sz val="9"/>
            <color indexed="81"/>
            <rFont val="Arial"/>
          </rPr>
          <t>Lyndon Estes:</t>
        </r>
        <r>
          <rPr>
            <sz val="9"/>
            <color indexed="81"/>
            <rFont val="Arial"/>
          </rPr>
          <t xml:space="preserve">
0.7X0.7 and 0.5X0.5 m chambers</t>
        </r>
      </text>
    </comment>
    <comment ref="H36" authorId="1">
      <text>
        <r>
          <rPr>
            <b/>
            <sz val="9"/>
            <color indexed="81"/>
            <rFont val="Arial"/>
          </rPr>
          <t>Lyndon Estes:</t>
        </r>
        <r>
          <rPr>
            <sz val="9"/>
            <color indexed="81"/>
            <rFont val="Arial"/>
          </rPr>
          <t xml:space="preserve">
2 sites, 3 chambers per site</t>
        </r>
      </text>
    </comment>
    <comment ref="J36" authorId="1">
      <text>
        <r>
          <rPr>
            <b/>
            <sz val="9"/>
            <color indexed="81"/>
            <rFont val="Arial"/>
          </rPr>
          <t>Lyndon Estes:</t>
        </r>
        <r>
          <rPr>
            <sz val="9"/>
            <color indexed="81"/>
            <rFont val="Arial"/>
          </rPr>
          <t xml:space="preserve">
1 flux measurement is 5 injections each with sampling time of 3 minutes each, I think</t>
        </r>
      </text>
    </comment>
    <comment ref="L36" authorId="1">
      <text>
        <r>
          <rPr>
            <b/>
            <sz val="9"/>
            <color indexed="81"/>
            <rFont val="Arial"/>
          </rPr>
          <t>Lyndon Estes:</t>
        </r>
        <r>
          <rPr>
            <sz val="9"/>
            <color indexed="81"/>
            <rFont val="Arial"/>
          </rPr>
          <t xml:space="preserve">
sampling season estimated from figure 5, 1/0.05 measurements per day, X sample duration</t>
        </r>
      </text>
    </comment>
    <comment ref="M36" authorId="1">
      <text>
        <r>
          <rPr>
            <b/>
            <sz val="9"/>
            <color indexed="81"/>
            <rFont val="Arial"/>
          </rPr>
          <t>Lyndon Estes:
estimated duration from figure 5</t>
        </r>
      </text>
    </comment>
    <comment ref="G37" authorId="1">
      <text>
        <r>
          <rPr>
            <b/>
            <sz val="9"/>
            <color indexed="81"/>
            <rFont val="Arial"/>
          </rPr>
          <t>Lyndon Estes:</t>
        </r>
        <r>
          <rPr>
            <sz val="9"/>
            <color indexed="81"/>
            <rFont val="Arial"/>
          </rPr>
          <t xml:space="preserve">
This study provides no detail on the biomass sampling resolution, so assume it is same as in Gao et al (2008)</t>
        </r>
      </text>
    </comment>
    <comment ref="H37" authorId="1">
      <text>
        <r>
          <rPr>
            <b/>
            <sz val="9"/>
            <color indexed="81"/>
            <rFont val="Arial"/>
          </rPr>
          <t>Lyndon Estes:</t>
        </r>
        <r>
          <rPr>
            <sz val="9"/>
            <color indexed="81"/>
            <rFont val="Arial"/>
          </rPr>
          <t xml:space="preserve">
Also, this is hard to say, but based on Gao et al (2008), each replicate is from different 1 m^2 plot, so treat as different plots</t>
        </r>
      </text>
    </comment>
    <comment ref="J37" authorId="1">
      <text>
        <r>
          <rPr>
            <b/>
            <sz val="9"/>
            <color indexed="81"/>
            <rFont val="Arial"/>
          </rPr>
          <t>Lyndon Estes:</t>
        </r>
        <r>
          <rPr>
            <sz val="9"/>
            <color indexed="81"/>
            <rFont val="Arial"/>
          </rPr>
          <t xml:space="preserve">
assume 10 minutes per biomass sample plot</t>
        </r>
      </text>
    </comment>
    <comment ref="K37" authorId="1">
      <text>
        <r>
          <rPr>
            <b/>
            <sz val="9"/>
            <color indexed="81"/>
            <rFont val="Arial"/>
          </rPr>
          <t>Lyndon Estes:</t>
        </r>
        <r>
          <rPr>
            <sz val="9"/>
            <color indexed="81"/>
            <rFont val="Arial"/>
          </rPr>
          <t xml:space="preserve">
The plots taken in each year are not true repeat samples, so I am going to assume that the replicate is on the total season dynamics between years, so time between samples is the average between the start and end dates in each of the three seasons. Estimates of these are from Gao et al (2008)</t>
        </r>
      </text>
    </comment>
    <comment ref="G38" authorId="1">
      <text>
        <r>
          <rPr>
            <b/>
            <sz val="9"/>
            <color indexed="81"/>
            <rFont val="Arial"/>
          </rPr>
          <t>Lyndon Estes:</t>
        </r>
        <r>
          <rPr>
            <sz val="9"/>
            <color indexed="81"/>
            <rFont val="Arial"/>
          </rPr>
          <t xml:space="preserve">
8.5 cm diameter soil augur</t>
        </r>
      </text>
    </comment>
    <comment ref="J38" authorId="1">
      <text>
        <r>
          <rPr>
            <b/>
            <sz val="9"/>
            <color indexed="81"/>
            <rFont val="Arial"/>
          </rPr>
          <t>Lyndon Estes:</t>
        </r>
        <r>
          <rPr>
            <sz val="9"/>
            <color indexed="81"/>
            <rFont val="Arial"/>
          </rPr>
          <t xml:space="preserve">
assume 10 minutes per soil augur</t>
        </r>
      </text>
    </comment>
    <comment ref="K38" authorId="1">
      <text>
        <r>
          <rPr>
            <b/>
            <sz val="9"/>
            <color indexed="81"/>
            <rFont val="Arial"/>
          </rPr>
          <t>Lyndon Estes:</t>
        </r>
        <r>
          <rPr>
            <sz val="9"/>
            <color indexed="81"/>
            <rFont val="Arial"/>
          </rPr>
          <t xml:space="preserve">
The plots taken in each year are not true repeat samples, so I am going to assume that the replicate is on the total season dynamics between years, so time between samples is the average between the start and end dates in each of the three seasons. Estimates of these are from Gao et al (2008)</t>
        </r>
      </text>
    </comment>
    <comment ref="H39" authorId="1">
      <text>
        <r>
          <rPr>
            <b/>
            <sz val="9"/>
            <color indexed="81"/>
            <rFont val="Arial"/>
          </rPr>
          <t>Lyndon Estes:</t>
        </r>
        <r>
          <rPr>
            <sz val="9"/>
            <color indexed="81"/>
            <rFont val="Arial"/>
          </rPr>
          <t xml:space="preserve">
Unsure about the number of sites: assume these are true repeats, but never stated how many plots there were total</t>
        </r>
      </text>
    </comment>
    <comment ref="J39" authorId="1">
      <text>
        <r>
          <rPr>
            <b/>
            <sz val="9"/>
            <color indexed="81"/>
            <rFont val="Arial"/>
          </rPr>
          <t>Lyndon Estes:</t>
        </r>
        <r>
          <rPr>
            <sz val="9"/>
            <color indexed="81"/>
            <rFont val="Arial"/>
          </rPr>
          <t xml:space="preserve">
Assume 1 hour per sample</t>
        </r>
      </text>
    </comment>
    <comment ref="K39" authorId="1">
      <text>
        <r>
          <rPr>
            <b/>
            <sz val="9"/>
            <color indexed="81"/>
            <rFont val="Arial"/>
          </rPr>
          <t>Lyndon Estes:</t>
        </r>
        <r>
          <rPr>
            <sz val="9"/>
            <color indexed="81"/>
            <rFont val="Arial"/>
          </rPr>
          <t xml:space="preserve">
Average of sampling dates given in Gao et al (2008) on page 43, including when they first inserted cores pre-season</t>
        </r>
      </text>
    </comment>
    <comment ref="G40" authorId="1">
      <text>
        <r>
          <rPr>
            <b/>
            <sz val="9"/>
            <color indexed="81"/>
            <rFont val="Arial"/>
          </rPr>
          <t>Lyndon Estes:</t>
        </r>
        <r>
          <rPr>
            <sz val="9"/>
            <color indexed="81"/>
            <rFont val="Arial"/>
          </rPr>
          <t xml:space="preserve">
8.5 cm diameter soil augur</t>
        </r>
      </text>
    </comment>
    <comment ref="J40" authorId="1">
      <text>
        <r>
          <rPr>
            <b/>
            <sz val="9"/>
            <color indexed="81"/>
            <rFont val="Arial"/>
          </rPr>
          <t>Lyndon Estes:</t>
        </r>
        <r>
          <rPr>
            <sz val="9"/>
            <color indexed="81"/>
            <rFont val="Arial"/>
          </rPr>
          <t xml:space="preserve">
assume 10 minutes per soil augur</t>
        </r>
      </text>
    </comment>
    <comment ref="M40" authorId="1">
      <text>
        <r>
          <rPr>
            <b/>
            <sz val="9"/>
            <color indexed="81"/>
            <rFont val="Arial"/>
          </rPr>
          <t>Lyndon Estes:</t>
        </r>
        <r>
          <rPr>
            <sz val="9"/>
            <color indexed="81"/>
            <rFont val="Arial"/>
          </rPr>
          <t xml:space="preserve">
Assume did this over one season only</t>
        </r>
      </text>
    </comment>
    <comment ref="G41" authorId="1">
      <text>
        <r>
          <rPr>
            <b/>
            <sz val="9"/>
            <color indexed="81"/>
            <rFont val="Arial"/>
          </rPr>
          <t>Lyndon Estes:</t>
        </r>
        <r>
          <rPr>
            <sz val="9"/>
            <color indexed="81"/>
            <rFont val="Arial"/>
          </rPr>
          <t xml:space="preserve">
Assume 1 X 1 m soil pit</t>
        </r>
      </text>
    </comment>
    <comment ref="J41" authorId="1">
      <text>
        <r>
          <rPr>
            <b/>
            <sz val="9"/>
            <color indexed="81"/>
            <rFont val="Arial"/>
          </rPr>
          <t>Lyndon Estes:</t>
        </r>
        <r>
          <rPr>
            <sz val="9"/>
            <color indexed="81"/>
            <rFont val="Arial"/>
          </rPr>
          <t xml:space="preserve">
Assume 2 days to dig pits and then: "A combined aggregate size,
density, and particle size fractionation procedure was
applied to soil samples from three horizons of each pit to
separate functional SOM fractions and pools. The
horizons were sampled based on diagnostic features,
e.g., color, texture, structure, and aggregation. All
physical fractions were analyzed for C and N concentrations
while the SOM quality of selected fractions was
analyzed for neutral sugar and radio carbon content
using solid-state 13C NMR spectroscopy (Steffens et al.
2008, 2009, 2011)."</t>
        </r>
      </text>
    </comment>
    <comment ref="M41" authorId="1">
      <text>
        <r>
          <rPr>
            <b/>
            <sz val="9"/>
            <color indexed="81"/>
            <rFont val="Arial"/>
          </rPr>
          <t>Lyndon Estes:</t>
        </r>
        <r>
          <rPr>
            <sz val="9"/>
            <color indexed="81"/>
            <rFont val="Arial"/>
          </rPr>
          <t xml:space="preserve">
Assume did this over one season only</t>
        </r>
      </text>
    </comment>
    <comment ref="J46" authorId="1">
      <text>
        <r>
          <rPr>
            <b/>
            <sz val="9"/>
            <color indexed="81"/>
            <rFont val="Arial"/>
          </rPr>
          <t>Lyndon Estes:</t>
        </r>
        <r>
          <rPr>
            <sz val="9"/>
            <color indexed="81"/>
            <rFont val="Arial"/>
          </rPr>
          <t xml:space="preserve">
Assume 30 minutes per quadrat</t>
        </r>
      </text>
    </comment>
    <comment ref="M46" authorId="1">
      <text>
        <r>
          <rPr>
            <b/>
            <sz val="9"/>
            <color indexed="81"/>
            <rFont val="Arial"/>
          </rPr>
          <t>Lyndon Estes:</t>
        </r>
        <r>
          <rPr>
            <sz val="9"/>
            <color indexed="81"/>
            <rFont val="Arial"/>
          </rPr>
          <t xml:space="preserve">
Assume three months for the whole study
</t>
        </r>
      </text>
    </comment>
    <comment ref="G47" authorId="1">
      <text>
        <r>
          <rPr>
            <b/>
            <sz val="9"/>
            <color indexed="81"/>
            <rFont val="Arial"/>
          </rPr>
          <t>Lyndon Estes:</t>
        </r>
        <r>
          <rPr>
            <sz val="9"/>
            <color indexed="81"/>
            <rFont val="Arial"/>
          </rPr>
          <t xml:space="preserve">
8.5 cm diameter soil augur</t>
        </r>
      </text>
    </comment>
    <comment ref="H47" authorId="1">
      <text>
        <r>
          <rPr>
            <b/>
            <sz val="9"/>
            <color indexed="81"/>
            <rFont val="Arial"/>
          </rPr>
          <t>Lyndon Estes:</t>
        </r>
        <r>
          <rPr>
            <sz val="9"/>
            <color indexed="81"/>
            <rFont val="Arial"/>
          </rPr>
          <t xml:space="preserve">
3 soil sample per quadrat</t>
        </r>
      </text>
    </comment>
    <comment ref="J47" authorId="1">
      <text>
        <r>
          <rPr>
            <b/>
            <sz val="9"/>
            <color indexed="81"/>
            <rFont val="Arial"/>
          </rPr>
          <t>Lyndon Estes:</t>
        </r>
        <r>
          <rPr>
            <sz val="9"/>
            <color indexed="81"/>
            <rFont val="Arial"/>
          </rPr>
          <t xml:space="preserve">
Assume 20 minutes to collect 3 soil samples per quadrat</t>
        </r>
      </text>
    </comment>
    <comment ref="M47" authorId="1">
      <text>
        <r>
          <rPr>
            <b/>
            <sz val="9"/>
            <color indexed="81"/>
            <rFont val="Arial"/>
          </rPr>
          <t>Lyndon Estes:</t>
        </r>
        <r>
          <rPr>
            <sz val="9"/>
            <color indexed="81"/>
            <rFont val="Arial"/>
          </rPr>
          <t xml:space="preserve">
Assume three months for the whole study
</t>
        </r>
      </text>
    </comment>
    <comment ref="J48" authorId="1">
      <text>
        <r>
          <rPr>
            <b/>
            <sz val="9"/>
            <color indexed="81"/>
            <rFont val="Arial"/>
          </rPr>
          <t>Lyndon Estes:</t>
        </r>
        <r>
          <rPr>
            <sz val="9"/>
            <color indexed="81"/>
            <rFont val="Arial"/>
          </rPr>
          <t xml:space="preserve">
Authors say at least 25 minutes done to scan for arthropods, so that's a minimum</t>
        </r>
      </text>
    </comment>
    <comment ref="L48" authorId="1">
      <text>
        <r>
          <rPr>
            <b/>
            <sz val="9"/>
            <color indexed="81"/>
            <rFont val="Arial"/>
          </rPr>
          <t>Lyndon Estes:</t>
        </r>
        <r>
          <rPr>
            <sz val="9"/>
            <color indexed="81"/>
            <rFont val="Arial"/>
          </rPr>
          <t xml:space="preserve">
Authors say at least 25 minutes done to scan for arthropods, so that's a minimum</t>
        </r>
      </text>
    </comment>
    <comment ref="M48" authorId="1">
      <text>
        <r>
          <rPr>
            <b/>
            <sz val="9"/>
            <color indexed="81"/>
            <rFont val="Arial"/>
          </rPr>
          <t>Lyndon Estes:</t>
        </r>
        <r>
          <rPr>
            <sz val="9"/>
            <color indexed="81"/>
            <rFont val="Arial"/>
          </rPr>
          <t xml:space="preserve">
February, 2001</t>
        </r>
      </text>
    </comment>
    <comment ref="G49" authorId="1">
      <text>
        <r>
          <rPr>
            <b/>
            <sz val="9"/>
            <color indexed="81"/>
            <rFont val="Arial"/>
          </rPr>
          <t>Lyndon Estes:</t>
        </r>
        <r>
          <rPr>
            <sz val="9"/>
            <color indexed="81"/>
            <rFont val="Arial"/>
          </rPr>
          <t xml:space="preserve">
assume instruments has 1 cm diameter for t/soil moisture, etc.</t>
        </r>
      </text>
    </comment>
    <comment ref="H49" authorId="1">
      <text>
        <r>
          <rPr>
            <b/>
            <sz val="9"/>
            <color indexed="81"/>
            <rFont val="Arial"/>
          </rPr>
          <t>Lyndon Estes:</t>
        </r>
        <r>
          <rPr>
            <sz val="9"/>
            <color indexed="81"/>
            <rFont val="Arial"/>
          </rPr>
          <t xml:space="preserve">
Measurements were made beyond the first 20 meters into the cave, but results not provided beyond that
</t>
        </r>
      </text>
    </comment>
    <comment ref="J49" authorId="1">
      <text>
        <r>
          <rPr>
            <b/>
            <sz val="9"/>
            <color indexed="81"/>
            <rFont val="Arial"/>
          </rPr>
          <t>Lyndon Estes:</t>
        </r>
        <r>
          <rPr>
            <sz val="9"/>
            <color indexed="81"/>
            <rFont val="Arial"/>
          </rPr>
          <t xml:space="preserve">
assume readings were taken at end of 25 minute athropod sample, to equilibrate</t>
        </r>
      </text>
    </comment>
    <comment ref="G50" authorId="1">
      <text>
        <r>
          <rPr>
            <b/>
            <sz val="9"/>
            <color indexed="81"/>
            <rFont val="Arial"/>
          </rPr>
          <t>Lyndon Estes:</t>
        </r>
        <r>
          <rPr>
            <sz val="9"/>
            <color indexed="81"/>
            <rFont val="Arial"/>
          </rPr>
          <t xml:space="preserve">
assume 1X1 m raccoon trap</t>
        </r>
      </text>
    </comment>
    <comment ref="H50" authorId="1">
      <text>
        <r>
          <rPr>
            <b/>
            <sz val="9"/>
            <color indexed="81"/>
            <rFont val="Arial"/>
          </rPr>
          <t>Lyndon Estes:</t>
        </r>
        <r>
          <rPr>
            <sz val="9"/>
            <color indexed="81"/>
            <rFont val="Arial"/>
          </rPr>
          <t xml:space="preserve">
Hard to tell, but maximum N of traps reported per woodlot was 30.  I assume 20here</t>
        </r>
      </text>
    </comment>
    <comment ref="L50" authorId="1">
      <text>
        <r>
          <rPr>
            <b/>
            <sz val="9"/>
            <color indexed="81"/>
            <rFont val="Arial"/>
          </rPr>
          <t>Lyndon Estes:</t>
        </r>
        <r>
          <rPr>
            <sz val="9"/>
            <color indexed="81"/>
            <rFont val="Arial"/>
          </rPr>
          <t xml:space="preserve">
Assuming trapping was constant. 4 years of trapping. Start and end dates assumed, inferred from ref study</t>
        </r>
      </text>
    </comment>
    <comment ref="M50" authorId="1">
      <text>
        <r>
          <rPr>
            <b/>
            <sz val="9"/>
            <color indexed="81"/>
            <rFont val="Arial"/>
          </rPr>
          <t>Lyndon Estes:</t>
        </r>
        <r>
          <rPr>
            <sz val="9"/>
            <color indexed="81"/>
            <rFont val="Arial"/>
          </rPr>
          <t xml:space="preserve">
Start and end dates not quite known</t>
        </r>
      </text>
    </comment>
    <comment ref="G51" authorId="1">
      <text>
        <r>
          <rPr>
            <b/>
            <sz val="9"/>
            <color indexed="81"/>
            <rFont val="Arial"/>
          </rPr>
          <t>Lyndon Estes:</t>
        </r>
        <r>
          <rPr>
            <sz val="9"/>
            <color indexed="81"/>
            <rFont val="Arial"/>
          </rPr>
          <t xml:space="preserve">
30 cm diameter sampling sieve, repeated 7 time for one sample</t>
        </r>
      </text>
    </comment>
    <comment ref="J51" authorId="1">
      <text>
        <r>
          <rPr>
            <b/>
            <sz val="9"/>
            <color indexed="81"/>
            <rFont val="Arial"/>
          </rPr>
          <t>Lyndon Estes:</t>
        </r>
        <r>
          <rPr>
            <sz val="9"/>
            <color indexed="81"/>
            <rFont val="Arial"/>
          </rPr>
          <t xml:space="preserve">
Assume the 7 samples took 1 hour to do</t>
        </r>
      </text>
    </comment>
    <comment ref="K51" authorId="1">
      <text>
        <r>
          <rPr>
            <b/>
            <sz val="9"/>
            <color indexed="81"/>
            <rFont val="Arial"/>
          </rPr>
          <t>Lyndon Estes:</t>
        </r>
        <r>
          <rPr>
            <sz val="9"/>
            <color indexed="81"/>
            <rFont val="Arial"/>
          </rPr>
          <t xml:space="preserve">
Sampling from about January, 2009 to May, 2012.  Counted data points, and looks like 35-36)</t>
        </r>
      </text>
    </comment>
    <comment ref="M51" authorId="1">
      <text>
        <r>
          <rPr>
            <b/>
            <sz val="9"/>
            <color indexed="81"/>
            <rFont val="Arial"/>
          </rPr>
          <t>Lyndon Estes:</t>
        </r>
        <r>
          <rPr>
            <sz val="9"/>
            <color indexed="81"/>
            <rFont val="Arial"/>
          </rPr>
          <t xml:space="preserve">
Assume January 1, 2009 until 31 May, 2012</t>
        </r>
      </text>
    </comment>
    <comment ref="G52" authorId="1">
      <text>
        <r>
          <rPr>
            <b/>
            <sz val="9"/>
            <color indexed="81"/>
            <rFont val="Arial"/>
          </rPr>
          <t>Lyndon Estes:</t>
        </r>
        <r>
          <rPr>
            <sz val="9"/>
            <color indexed="81"/>
            <rFont val="Arial"/>
          </rPr>
          <t xml:space="preserve">
Seabird sensor looks about 1 m diameter, and lowered to collect full profile</t>
        </r>
      </text>
    </comment>
    <comment ref="H52" authorId="1">
      <text>
        <r>
          <rPr>
            <b/>
            <sz val="9"/>
            <color indexed="81"/>
            <rFont val="Arial"/>
          </rPr>
          <t>Lyndon Estes:</t>
        </r>
        <r>
          <rPr>
            <sz val="9"/>
            <color indexed="81"/>
            <rFont val="Arial"/>
          </rPr>
          <t xml:space="preserve">
based on counting n samples in depth profiles fig. 6b</t>
        </r>
      </text>
    </comment>
    <comment ref="J52" authorId="1">
      <text>
        <r>
          <rPr>
            <b/>
            <sz val="9"/>
            <color indexed="81"/>
            <rFont val="Arial"/>
          </rPr>
          <t>Lyndon Estes:</t>
        </r>
        <r>
          <rPr>
            <sz val="9"/>
            <color indexed="81"/>
            <rFont val="Arial"/>
          </rPr>
          <t xml:space="preserve">
Assume took 2 hours to do depth profile</t>
        </r>
      </text>
    </comment>
    <comment ref="G53" authorId="1">
      <text>
        <r>
          <rPr>
            <sz val="9"/>
            <color indexed="81"/>
            <rFont val="Arial"/>
          </rPr>
          <t>shipborne PAR detector, assume 10 cm diameter</t>
        </r>
      </text>
    </comment>
    <comment ref="H53" authorId="1">
      <text>
        <r>
          <rPr>
            <b/>
            <sz val="9"/>
            <color indexed="81"/>
            <rFont val="Arial"/>
          </rPr>
          <t>Lyndon Estes:</t>
        </r>
        <r>
          <rPr>
            <sz val="9"/>
            <color indexed="81"/>
            <rFont val="Arial"/>
          </rPr>
          <t xml:space="preserve">
they took PAR readings every 10 minutes over the 28 days
</t>
        </r>
      </text>
    </comment>
    <comment ref="J53" authorId="1">
      <text>
        <r>
          <rPr>
            <b/>
            <sz val="9"/>
            <color indexed="81"/>
            <rFont val="Arial"/>
          </rPr>
          <t>Lyndon Estes:</t>
        </r>
        <r>
          <rPr>
            <sz val="9"/>
            <color indexed="81"/>
            <rFont val="Arial"/>
          </rPr>
          <t xml:space="preserve">
instantaneous</t>
        </r>
      </text>
    </comment>
    <comment ref="G54" authorId="1">
      <text>
        <r>
          <rPr>
            <b/>
            <sz val="9"/>
            <color indexed="81"/>
            <rFont val="Arial"/>
          </rPr>
          <t>Lyndon Estes:</t>
        </r>
        <r>
          <rPr>
            <sz val="9"/>
            <color indexed="81"/>
            <rFont val="Arial"/>
          </rPr>
          <t xml:space="preserve">
assume they used 1 km modis products, which is 0.00833 degrees. Estimate area from area in R after defining bounding extents with this resolution</t>
        </r>
      </text>
    </comment>
    <comment ref="J54" authorId="1">
      <text>
        <r>
          <rPr>
            <b/>
            <sz val="9"/>
            <color indexed="81"/>
            <rFont val="Arial"/>
          </rPr>
          <t>Lyndon Estes:</t>
        </r>
        <r>
          <rPr>
            <sz val="9"/>
            <color indexed="81"/>
            <rFont val="Arial"/>
          </rPr>
          <t xml:space="preserve">
instantaneous</t>
        </r>
      </text>
    </comment>
    <comment ref="L54" authorId="1">
      <text>
        <r>
          <rPr>
            <b/>
            <sz val="9"/>
            <color indexed="81"/>
            <rFont val="Arial"/>
          </rPr>
          <t>Lyndon Estes:</t>
        </r>
        <r>
          <rPr>
            <sz val="9"/>
            <color indexed="81"/>
            <rFont val="Arial"/>
          </rPr>
          <t xml:space="preserve">
assume daily modis data from 1/9/11 to 29/2/12</t>
        </r>
      </text>
    </comment>
    <comment ref="M54" authorId="1">
      <text>
        <r>
          <rPr>
            <b/>
            <sz val="9"/>
            <color indexed="81"/>
            <rFont val="Arial"/>
          </rPr>
          <t>Lyndon Estes:</t>
        </r>
        <r>
          <rPr>
            <sz val="9"/>
            <color indexed="81"/>
            <rFont val="Arial"/>
          </rPr>
          <t xml:space="preserve">
assume daily modis data from 1/9/11 to 29/2/12</t>
        </r>
      </text>
    </comment>
    <comment ref="G55" authorId="1">
      <text>
        <r>
          <rPr>
            <sz val="9"/>
            <color indexed="81"/>
            <rFont val="Arial"/>
          </rPr>
          <t xml:space="preserve">assume 10 cm diameter for towed fish intake
</t>
        </r>
      </text>
    </comment>
    <comment ref="H55" authorId="1">
      <text>
        <r>
          <rPr>
            <b/>
            <sz val="9"/>
            <color indexed="81"/>
            <rFont val="Arial"/>
          </rPr>
          <t>Lyndon Estes:</t>
        </r>
        <r>
          <rPr>
            <sz val="9"/>
            <color indexed="81"/>
            <rFont val="Arial"/>
          </rPr>
          <t xml:space="preserve">
based on counting fig. 2 observations (d)</t>
        </r>
      </text>
    </comment>
    <comment ref="J55" authorId="1">
      <text>
        <r>
          <rPr>
            <b/>
            <sz val="9"/>
            <color indexed="81"/>
            <rFont val="Arial"/>
          </rPr>
          <t>Lyndon Estes:</t>
        </r>
        <r>
          <rPr>
            <sz val="9"/>
            <color indexed="81"/>
            <rFont val="Arial"/>
          </rPr>
          <t xml:space="preserve">
instantaneous</t>
        </r>
      </text>
    </comment>
    <comment ref="K55" authorId="1">
      <text>
        <r>
          <rPr>
            <b/>
            <sz val="9"/>
            <color indexed="81"/>
            <rFont val="Arial"/>
          </rPr>
          <t>Lyndon Estes:</t>
        </r>
        <r>
          <rPr>
            <sz val="9"/>
            <color indexed="81"/>
            <rFont val="Arial"/>
          </rPr>
          <t xml:space="preserve">
Sampling from about January, 2009 to May, 2012.  Fish used 13 times)</t>
        </r>
      </text>
    </comment>
    <comment ref="G57" authorId="1">
      <text>
        <r>
          <rPr>
            <b/>
            <sz val="9"/>
            <color indexed="81"/>
            <rFont val="Arial"/>
          </rPr>
          <t>Lyndon Estes:</t>
        </r>
        <r>
          <rPr>
            <sz val="9"/>
            <color indexed="81"/>
            <rFont val="Arial"/>
          </rPr>
          <t xml:space="preserve">
assume swallow nest is unit in this sample, 15 cm diameter</t>
        </r>
      </text>
    </comment>
    <comment ref="J57" authorId="1">
      <text>
        <r>
          <rPr>
            <b/>
            <sz val="9"/>
            <color indexed="81"/>
            <rFont val="Arial"/>
          </rPr>
          <t>Lyndon Estes:</t>
        </r>
        <r>
          <rPr>
            <sz val="9"/>
            <color indexed="81"/>
            <rFont val="Arial"/>
          </rPr>
          <t xml:space="preserve">
assume 5 minutes to sample nest</t>
        </r>
      </text>
    </comment>
    <comment ref="L57" authorId="1">
      <text>
        <r>
          <rPr>
            <b/>
            <sz val="9"/>
            <color indexed="81"/>
            <rFont val="Arial"/>
          </rPr>
          <t>Lyndon Estes:</t>
        </r>
        <r>
          <rPr>
            <sz val="9"/>
            <color indexed="81"/>
            <rFont val="Arial"/>
          </rPr>
          <t xml:space="preserve">
assume 1 month represents "spring" in each year of study, 2001-2002</t>
        </r>
      </text>
    </comment>
    <comment ref="M57" authorId="1">
      <text>
        <r>
          <rPr>
            <b/>
            <sz val="9"/>
            <color indexed="81"/>
            <rFont val="Arial"/>
          </rPr>
          <t>Lyndon Estes:</t>
        </r>
        <r>
          <rPr>
            <sz val="9"/>
            <color indexed="81"/>
            <rFont val="Arial"/>
          </rPr>
          <t xml:space="preserve">
Assume spring range from 1/4 to 15/5</t>
        </r>
      </text>
    </comment>
    <comment ref="G58" authorId="1">
      <text>
        <r>
          <rPr>
            <b/>
            <sz val="9"/>
            <color indexed="81"/>
            <rFont val="Arial"/>
          </rPr>
          <t>Lyndon Estes:</t>
        </r>
        <r>
          <rPr>
            <sz val="9"/>
            <color indexed="81"/>
            <rFont val="Arial"/>
          </rPr>
          <t xml:space="preserve">
assume baby swallow is 5 cm "diameter"</t>
        </r>
      </text>
    </comment>
    <comment ref="J58" authorId="1">
      <text>
        <r>
          <rPr>
            <b/>
            <sz val="9"/>
            <color indexed="81"/>
            <rFont val="Arial"/>
          </rPr>
          <t>Lyndon Estes:</t>
        </r>
        <r>
          <rPr>
            <sz val="9"/>
            <color indexed="81"/>
            <rFont val="Arial"/>
          </rPr>
          <t xml:space="preserve">
assume 10 minutes to measure bird bodies</t>
        </r>
      </text>
    </comment>
    <comment ref="K58" authorId="1">
      <text>
        <r>
          <rPr>
            <b/>
            <sz val="9"/>
            <color indexed="81"/>
            <rFont val="Arial"/>
          </rPr>
          <t>Lyndon Estes:</t>
        </r>
        <r>
          <rPr>
            <sz val="9"/>
            <color indexed="81"/>
            <rFont val="Arial"/>
          </rPr>
          <t xml:space="preserve">
birds measured on days 4, 7, 12 post hatching</t>
        </r>
      </text>
    </comment>
    <comment ref="L58" authorId="1">
      <text>
        <r>
          <rPr>
            <b/>
            <sz val="9"/>
            <color indexed="81"/>
            <rFont val="Arial"/>
          </rPr>
          <t>Lyndon Estes:</t>
        </r>
        <r>
          <rPr>
            <sz val="9"/>
            <color indexed="81"/>
            <rFont val="Arial"/>
          </rPr>
          <t xml:space="preserve">
assume this was done 3 times total per bird, because different birds in the two seasons</t>
        </r>
      </text>
    </comment>
    <comment ref="M58" authorId="1">
      <text>
        <r>
          <rPr>
            <b/>
            <sz val="9"/>
            <color indexed="81"/>
            <rFont val="Arial"/>
          </rPr>
          <t>Lyndon Estes:</t>
        </r>
        <r>
          <rPr>
            <sz val="9"/>
            <color indexed="81"/>
            <rFont val="Arial"/>
          </rPr>
          <t xml:space="preserve">
Assume spring range from 1/4 to 15/5</t>
        </r>
      </text>
    </comment>
    <comment ref="G59" authorId="1">
      <text>
        <r>
          <rPr>
            <b/>
            <sz val="9"/>
            <color indexed="81"/>
            <rFont val="Arial"/>
          </rPr>
          <t>Lyndon Estes:</t>
        </r>
        <r>
          <rPr>
            <sz val="9"/>
            <color indexed="81"/>
            <rFont val="Arial"/>
          </rPr>
          <t xml:space="preserve">
assume pinus taeda catkin is 0.5 cm radius
</t>
        </r>
      </text>
    </comment>
    <comment ref="H59" authorId="1">
      <text>
        <r>
          <rPr>
            <b/>
            <sz val="9"/>
            <color indexed="81"/>
            <rFont val="Arial"/>
          </rPr>
          <t>Lyndon Estes:</t>
        </r>
        <r>
          <rPr>
            <sz val="9"/>
            <color indexed="81"/>
            <rFont val="Arial"/>
          </rPr>
          <t xml:space="preserve">
No information given on how many catkins collected. Assume 3 per genotype, and there were a total of10 genotypes</t>
        </r>
      </text>
    </comment>
    <comment ref="J59" authorId="1">
      <text>
        <r>
          <rPr>
            <b/>
            <sz val="9"/>
            <color indexed="81"/>
            <rFont val="Arial"/>
          </rPr>
          <t>Lyndon Estes:</t>
        </r>
        <r>
          <rPr>
            <sz val="9"/>
            <color indexed="81"/>
            <rFont val="Arial"/>
          </rPr>
          <t xml:space="preserve">
assume 1 minute per catkin</t>
        </r>
      </text>
    </comment>
    <comment ref="J60" authorId="1">
      <text>
        <r>
          <rPr>
            <b/>
            <sz val="9"/>
            <color indexed="81"/>
            <rFont val="Arial"/>
          </rPr>
          <t>Lyndon Estes:</t>
        </r>
        <r>
          <rPr>
            <sz val="9"/>
            <color indexed="81"/>
            <rFont val="Arial"/>
          </rPr>
          <t xml:space="preserve">
assume took 60 minutes to sample each plot</t>
        </r>
      </text>
    </comment>
    <comment ref="L60" authorId="1">
      <text>
        <r>
          <rPr>
            <b/>
            <sz val="9"/>
            <color indexed="81"/>
            <rFont val="Arial"/>
          </rPr>
          <t>Lyndon Estes:</t>
        </r>
        <r>
          <rPr>
            <sz val="9"/>
            <color indexed="81"/>
            <rFont val="Arial"/>
          </rPr>
          <t xml:space="preserve">
collected once in each of 3 years</t>
        </r>
      </text>
    </comment>
    <comment ref="M60" authorId="1">
      <text>
        <r>
          <rPr>
            <b/>
            <sz val="9"/>
            <color indexed="81"/>
            <rFont val="Arial"/>
          </rPr>
          <t>Lyndon Estes:</t>
        </r>
        <r>
          <rPr>
            <sz val="9"/>
            <color indexed="81"/>
            <rFont val="Arial"/>
          </rPr>
          <t xml:space="preserve">
start and end date of study unclear</t>
        </r>
      </text>
    </comment>
    <comment ref="G61" authorId="1">
      <text>
        <r>
          <rPr>
            <b/>
            <sz val="9"/>
            <color indexed="81"/>
            <rFont val="Arial"/>
          </rPr>
          <t>Lyndon Estes:</t>
        </r>
        <r>
          <rPr>
            <sz val="9"/>
            <color indexed="81"/>
            <rFont val="Arial"/>
          </rPr>
          <t xml:space="preserve">
assume 1 cm radius temp measurements, for all variables in flux tower</t>
        </r>
      </text>
    </comment>
    <comment ref="K61" authorId="1">
      <text>
        <r>
          <rPr>
            <b/>
            <sz val="9"/>
            <color indexed="81"/>
            <rFont val="Arial"/>
          </rPr>
          <t>Lyndon Estes:</t>
        </r>
        <r>
          <rPr>
            <sz val="9"/>
            <color indexed="81"/>
            <rFont val="Arial"/>
          </rPr>
          <t xml:space="preserve">
10 seconds between samples</t>
        </r>
      </text>
    </comment>
    <comment ref="J62" authorId="1">
      <text>
        <r>
          <rPr>
            <b/>
            <sz val="9"/>
            <color indexed="81"/>
            <rFont val="Arial"/>
          </rPr>
          <t>Lyndon Estes:</t>
        </r>
        <r>
          <rPr>
            <sz val="9"/>
            <color indexed="81"/>
            <rFont val="Arial"/>
          </rPr>
          <t xml:space="preserve">
assume took 60 minutes to sample each plot</t>
        </r>
      </text>
    </comment>
    <comment ref="M62" authorId="1">
      <text>
        <r>
          <rPr>
            <b/>
            <sz val="9"/>
            <color indexed="81"/>
            <rFont val="Arial"/>
          </rPr>
          <t>Lyndon Estes:</t>
        </r>
        <r>
          <rPr>
            <sz val="9"/>
            <color indexed="81"/>
            <rFont val="Arial"/>
          </rPr>
          <t xml:space="preserve">
assume this part of study was a single day</t>
        </r>
      </text>
    </comment>
    <comment ref="G63" authorId="1">
      <text>
        <r>
          <rPr>
            <b/>
            <sz val="9"/>
            <color indexed="81"/>
            <rFont val="Arial"/>
          </rPr>
          <t>Lyndon Estes:</t>
        </r>
        <r>
          <rPr>
            <sz val="9"/>
            <color indexed="81"/>
            <rFont val="Arial"/>
          </rPr>
          <t xml:space="preserve">
Assume 1 cm wide core and 5 cm long core on average
</t>
        </r>
      </text>
    </comment>
    <comment ref="J63" authorId="1">
      <text>
        <r>
          <rPr>
            <b/>
            <sz val="9"/>
            <color indexed="81"/>
            <rFont val="Arial"/>
          </rPr>
          <t>Lyndon Estes:</t>
        </r>
        <r>
          <rPr>
            <sz val="9"/>
            <color indexed="81"/>
            <rFont val="Arial"/>
          </rPr>
          <t xml:space="preserve">
assume 15
 minutes to take a core</t>
        </r>
      </text>
    </comment>
    <comment ref="M63" authorId="1">
      <text>
        <r>
          <rPr>
            <b/>
            <sz val="9"/>
            <color indexed="81"/>
            <rFont val="Arial"/>
          </rPr>
          <t>Lyndon Estes:</t>
        </r>
        <r>
          <rPr>
            <sz val="9"/>
            <color indexed="81"/>
            <rFont val="Arial"/>
          </rPr>
          <t xml:space="preserve">
assume this part of study was a single day</t>
        </r>
      </text>
    </comment>
    <comment ref="L64" authorId="1">
      <text>
        <r>
          <rPr>
            <b/>
            <sz val="9"/>
            <color indexed="81"/>
            <rFont val="Arial"/>
          </rPr>
          <t>Lyndon Estes:</t>
        </r>
        <r>
          <rPr>
            <sz val="9"/>
            <color indexed="81"/>
            <rFont val="Arial"/>
          </rPr>
          <t xml:space="preserve">
assume 15 months of sampling, May-Sept each year to get litterfall rates</t>
        </r>
      </text>
    </comment>
    <comment ref="M64" authorId="1">
      <text>
        <r>
          <rPr>
            <b/>
            <sz val="9"/>
            <color indexed="81"/>
            <rFont val="Arial"/>
          </rPr>
          <t>Lyndon Estes:</t>
        </r>
        <r>
          <rPr>
            <sz val="9"/>
            <color indexed="81"/>
            <rFont val="Arial"/>
          </rPr>
          <t xml:space="preserve">
start and end date of study unclear, assume began spring and ended in early October`</t>
        </r>
      </text>
    </comment>
    <comment ref="G65" authorId="1">
      <text>
        <r>
          <rPr>
            <b/>
            <sz val="9"/>
            <color indexed="81"/>
            <rFont val="Arial"/>
          </rPr>
          <t>Lyndon Estes:</t>
        </r>
        <r>
          <rPr>
            <sz val="9"/>
            <color indexed="81"/>
            <rFont val="Arial"/>
          </rPr>
          <t xml:space="preserve">
assume diameter of mature trees is 20 c, and that sample unit is whole tree stem</t>
        </r>
      </text>
    </comment>
    <comment ref="L65" authorId="1">
      <text>
        <r>
          <rPr>
            <b/>
            <sz val="9"/>
            <color indexed="81"/>
            <rFont val="Arial"/>
          </rPr>
          <t>Lyndon Estes:</t>
        </r>
        <r>
          <rPr>
            <sz val="9"/>
            <color indexed="81"/>
            <rFont val="Arial"/>
          </rPr>
          <t xml:space="preserve">
assume 48 of these measurements made in a day, which are effectively 30 minute readings because they are averaged</t>
        </r>
      </text>
    </comment>
    <comment ref="G66" authorId="1">
      <text>
        <r>
          <rPr>
            <b/>
            <sz val="9"/>
            <color indexed="81"/>
            <rFont val="Arial"/>
          </rPr>
          <t>Lyndon Estes:</t>
        </r>
        <r>
          <rPr>
            <sz val="9"/>
            <color indexed="81"/>
            <rFont val="Arial"/>
          </rPr>
          <t xml:space="preserve">
assume oak leaf is 10X10 cm of each oak species (over and understorey), huckleberry is 2 X 1 cm, pine 0.5 X 4 cm. Weighted average</t>
        </r>
      </text>
    </comment>
    <comment ref="J66" authorId="1">
      <text>
        <r>
          <rPr>
            <b/>
            <sz val="9"/>
            <color indexed="81"/>
            <rFont val="Arial"/>
          </rPr>
          <t>Lyndon Estes:</t>
        </r>
        <r>
          <rPr>
            <sz val="9"/>
            <color indexed="81"/>
            <rFont val="Arial"/>
          </rPr>
          <t xml:space="preserve">
assume 5 minutes per reading, per Adam's answer on this</t>
        </r>
      </text>
    </comment>
    <comment ref="L66" authorId="1">
      <text>
        <r>
          <rPr>
            <b/>
            <sz val="9"/>
            <color indexed="81"/>
            <rFont val="Arial"/>
          </rPr>
          <t>Lyndon Estes:</t>
        </r>
        <r>
          <rPr>
            <sz val="9"/>
            <color indexed="81"/>
            <rFont val="Arial"/>
          </rPr>
          <t xml:space="preserve">
5 measurements made per leaf</t>
        </r>
      </text>
    </comment>
    <comment ref="J67" authorId="1">
      <text>
        <r>
          <rPr>
            <b/>
            <sz val="9"/>
            <color indexed="81"/>
            <rFont val="Arial"/>
          </rPr>
          <t>Lyndon Estes:</t>
        </r>
        <r>
          <rPr>
            <sz val="9"/>
            <color indexed="81"/>
            <rFont val="Arial"/>
          </rPr>
          <t xml:space="preserve">
30 minute averages for C)2 concentrations</t>
        </r>
      </text>
    </comment>
    <comment ref="M67" authorId="1">
      <text>
        <r>
          <rPr>
            <b/>
            <sz val="9"/>
            <color indexed="81"/>
            <rFont val="Arial"/>
          </rPr>
          <t>Lyndon Estes:</t>
        </r>
        <r>
          <rPr>
            <sz val="9"/>
            <color indexed="81"/>
            <rFont val="Arial"/>
          </rPr>
          <t xml:space="preserve">
assume this is from Clark et al, started in Nov 2004, assume end was December 31, 2007</t>
        </r>
      </text>
    </comment>
    <comment ref="H68" authorId="1">
      <text>
        <r>
          <rPr>
            <b/>
            <sz val="9"/>
            <color indexed="81"/>
            <rFont val="Arial"/>
          </rPr>
          <t>Lyndon Estes:</t>
        </r>
        <r>
          <rPr>
            <sz val="9"/>
            <color indexed="81"/>
            <rFont val="Arial"/>
          </rPr>
          <t xml:space="preserve">
10-20 given as range of clip plots. Mean selected here</t>
        </r>
      </text>
    </comment>
    <comment ref="J68" authorId="1">
      <text>
        <r>
          <rPr>
            <b/>
            <sz val="9"/>
            <color indexed="81"/>
            <rFont val="Arial"/>
          </rPr>
          <t>Lyndon Estes:</t>
        </r>
        <r>
          <rPr>
            <sz val="9"/>
            <color indexed="81"/>
            <rFont val="Arial"/>
          </rPr>
          <t xml:space="preserve">
assume 10 minute per clip plot</t>
        </r>
      </text>
    </comment>
    <comment ref="G69" authorId="1">
      <text>
        <r>
          <rPr>
            <b/>
            <sz val="9"/>
            <color indexed="81"/>
            <rFont val="Arial"/>
          </rPr>
          <t>Lyndon Estes:</t>
        </r>
        <r>
          <rPr>
            <sz val="9"/>
            <color indexed="81"/>
            <rFont val="Arial"/>
          </rPr>
          <t xml:space="preserve">
have no idea plot res, but asusme it was tied to the forest plots around the study site. Same with n sites
</t>
        </r>
      </text>
    </comment>
    <comment ref="J69" authorId="1">
      <text>
        <r>
          <rPr>
            <b/>
            <sz val="9"/>
            <color indexed="81"/>
            <rFont val="Arial"/>
          </rPr>
          <t>Lyndon Estes:</t>
        </r>
        <r>
          <rPr>
            <sz val="9"/>
            <color indexed="81"/>
            <rFont val="Arial"/>
          </rPr>
          <t xml:space="preserve">
assume 1 hour to do upward looking lidar. 0 detail given, however</t>
        </r>
      </text>
    </comment>
    <comment ref="K69" authorId="1">
      <text>
        <r>
          <rPr>
            <b/>
            <sz val="9"/>
            <color indexed="81"/>
            <rFont val="Arial"/>
          </rPr>
          <t>Lyndon Estes:</t>
        </r>
        <r>
          <rPr>
            <sz val="9"/>
            <color indexed="81"/>
            <rFont val="Arial"/>
          </rPr>
          <t xml:space="preserve">
assume 30 days average between leaf-up, disturbance, and re-shooting</t>
        </r>
      </text>
    </comment>
    <comment ref="I71" authorId="1">
      <text>
        <r>
          <rPr>
            <b/>
            <sz val="9"/>
            <color indexed="81"/>
            <rFont val="Arial"/>
          </rPr>
          <t>Lyndon Estes:</t>
        </r>
        <r>
          <rPr>
            <sz val="9"/>
            <color indexed="81"/>
            <rFont val="Arial"/>
          </rPr>
          <t xml:space="preserve">
n gps point data from table s1 in supporting data. Assume sample is total flight length birds, multipled by bird 2-d area to get area</t>
        </r>
      </text>
    </comment>
    <comment ref="J71" authorId="1">
      <text>
        <r>
          <rPr>
            <b/>
            <sz val="9"/>
            <color indexed="81"/>
            <rFont val="Arial"/>
          </rPr>
          <t>Lyndon Estes:</t>
        </r>
        <r>
          <rPr>
            <sz val="9"/>
            <color indexed="81"/>
            <rFont val="Arial"/>
          </rPr>
          <t xml:space="preserve">
assume instantaneous GPS measurement
</t>
        </r>
      </text>
    </comment>
    <comment ref="K71" authorId="1">
      <text>
        <r>
          <rPr>
            <b/>
            <sz val="9"/>
            <color indexed="81"/>
            <rFont val="Arial"/>
          </rPr>
          <t>Lyndon Estes:</t>
        </r>
        <r>
          <rPr>
            <sz val="9"/>
            <color indexed="81"/>
            <rFont val="Arial"/>
          </rPr>
          <t xml:space="preserve">
calculated from supplementary table S1 in supporting paper 10.1073/pnas.1121201109</t>
        </r>
      </text>
    </comment>
    <comment ref="L71" authorId="1">
      <text>
        <r>
          <rPr>
            <b/>
            <sz val="9"/>
            <color indexed="81"/>
            <rFont val="Arial"/>
          </rPr>
          <t>Lyndon Estes:</t>
        </r>
        <r>
          <rPr>
            <sz val="9"/>
            <color indexed="81"/>
            <rFont val="Arial"/>
          </rPr>
          <t xml:space="preserve">
from calc sheet for albatrosses</t>
        </r>
      </text>
    </comment>
    <comment ref="M71" authorId="1">
      <text>
        <r>
          <rPr>
            <b/>
            <sz val="9"/>
            <color indexed="81"/>
            <rFont val="Arial"/>
          </rPr>
          <t>Lyndon Estes:</t>
        </r>
        <r>
          <rPr>
            <sz val="9"/>
            <color indexed="81"/>
            <rFont val="Arial"/>
          </rPr>
          <t xml:space="preserve">
they say 2002-2010, but not sure of start and end months in supporting study</t>
        </r>
      </text>
    </comment>
    <comment ref="G72" authorId="1">
      <text>
        <r>
          <rPr>
            <b/>
            <sz val="9"/>
            <color indexed="81"/>
            <rFont val="Arial"/>
          </rPr>
          <t>Lyndon Estes:</t>
        </r>
        <r>
          <rPr>
            <sz val="9"/>
            <color indexed="81"/>
            <rFont val="Arial"/>
          </rPr>
          <t xml:space="preserve">
sample unit is individual plant, assume 20 cm diameter average based on max size of 40X30 given</t>
        </r>
      </text>
    </comment>
    <comment ref="H72" authorId="1">
      <text>
        <r>
          <rPr>
            <b/>
            <sz val="9"/>
            <color indexed="81"/>
            <rFont val="Arial"/>
          </rPr>
          <t>Lyndon Estes:</t>
        </r>
        <r>
          <rPr>
            <sz val="9"/>
            <color indexed="81"/>
            <rFont val="Arial"/>
          </rPr>
          <t xml:space="preserve">
Using the number they sampled representing mortality, which includes all growing plus ones they infereed to be dead, so presumably max number they did repeat samples on</t>
        </r>
      </text>
    </comment>
    <comment ref="J72" authorId="1">
      <text>
        <r>
          <rPr>
            <b/>
            <sz val="9"/>
            <color indexed="81"/>
            <rFont val="Arial"/>
          </rPr>
          <t>Lyndon Estes:</t>
        </r>
        <r>
          <rPr>
            <sz val="9"/>
            <color indexed="81"/>
            <rFont val="Arial"/>
          </rPr>
          <t xml:space="preserve">
assume it took 10 minutes to sample size, etc on each plant</t>
        </r>
      </text>
    </comment>
    <comment ref="K72" authorId="1">
      <text>
        <r>
          <rPr>
            <b/>
            <sz val="9"/>
            <color indexed="81"/>
            <rFont val="Arial"/>
          </rPr>
          <t>Lyndon Estes:</t>
        </r>
        <r>
          <rPr>
            <sz val="9"/>
            <color indexed="81"/>
            <rFont val="Arial"/>
          </rPr>
          <t xml:space="preserve">
assume resampling done in Jan 1998 and Jan 2003</t>
        </r>
      </text>
    </comment>
    <comment ref="M72" authorId="1">
      <text>
        <r>
          <rPr>
            <b/>
            <sz val="9"/>
            <color indexed="81"/>
            <rFont val="Arial"/>
          </rPr>
          <t>Lyndon Estes:</t>
        </r>
        <r>
          <rPr>
            <sz val="9"/>
            <color indexed="81"/>
            <rFont val="Arial"/>
          </rPr>
          <t xml:space="preserve">
only years given for study span, 1998-2003, but measurement started around flowering time (Jan-Feb) given. Assume end date was after fruiting period given (May)</t>
        </r>
      </text>
    </comment>
    <comment ref="G73" authorId="1">
      <text>
        <r>
          <rPr>
            <b/>
            <sz val="9"/>
            <color indexed="81"/>
            <rFont val="Arial"/>
          </rPr>
          <t>Lyndon Estes:</t>
        </r>
        <r>
          <rPr>
            <sz val="9"/>
            <color indexed="81"/>
            <rFont val="Arial"/>
          </rPr>
          <t xml:space="preserve">
sample unit is individual plant, assume 20 cm diameter average based on max size of 40X30 given</t>
        </r>
      </text>
    </comment>
    <comment ref="J73" authorId="1">
      <text>
        <r>
          <rPr>
            <b/>
            <sz val="9"/>
            <color indexed="81"/>
            <rFont val="Arial"/>
          </rPr>
          <t>Lyndon Estes:</t>
        </r>
        <r>
          <rPr>
            <sz val="9"/>
            <color indexed="81"/>
            <rFont val="Arial"/>
          </rPr>
          <t xml:space="preserve">
assume it took 10 minutes to sample size, etc on each plant</t>
        </r>
      </text>
    </comment>
    <comment ref="G75" authorId="1">
      <text>
        <r>
          <rPr>
            <b/>
            <sz val="9"/>
            <color indexed="81"/>
            <rFont val="Arial"/>
          </rPr>
          <t>Lyndon Estes:</t>
        </r>
        <r>
          <rPr>
            <sz val="9"/>
            <color indexed="81"/>
            <rFont val="Arial"/>
          </rPr>
          <t xml:space="preserve">
average area of plots, 0.012-0.05 ha</t>
        </r>
      </text>
    </comment>
    <comment ref="J75" authorId="1">
      <text>
        <r>
          <rPr>
            <b/>
            <sz val="9"/>
            <color indexed="81"/>
            <rFont val="Arial"/>
          </rPr>
          <t>Lyndon Estes:</t>
        </r>
        <r>
          <rPr>
            <sz val="9"/>
            <color indexed="81"/>
            <rFont val="Arial"/>
          </rPr>
          <t xml:space="preserve">
assume 30 minutes per plot</t>
        </r>
      </text>
    </comment>
    <comment ref="K75" authorId="1">
      <text>
        <r>
          <rPr>
            <b/>
            <sz val="9"/>
            <color indexed="81"/>
            <rFont val="Arial"/>
          </rPr>
          <t>Lyndon Estes:</t>
        </r>
        <r>
          <rPr>
            <sz val="9"/>
            <color indexed="81"/>
            <rFont val="Arial"/>
          </rPr>
          <t xml:space="preserve">
assume only one sample for each of three seasons
</t>
        </r>
      </text>
    </comment>
    <comment ref="L75" authorId="1">
      <text>
        <r>
          <rPr>
            <b/>
            <sz val="9"/>
            <color indexed="81"/>
            <rFont val="Arial"/>
          </rPr>
          <t>Lyndon Estes:</t>
        </r>
        <r>
          <rPr>
            <sz val="9"/>
            <color indexed="81"/>
            <rFont val="Arial"/>
          </rPr>
          <t xml:space="preserve">
60 sites X 30 minutes each X 3 seasons</t>
        </r>
      </text>
    </comment>
    <comment ref="H76" authorId="1">
      <text>
        <r>
          <rPr>
            <b/>
            <sz val="9"/>
            <color indexed="81"/>
            <rFont val="Arial"/>
          </rPr>
          <t>Lyndon Estes:</t>
        </r>
        <r>
          <rPr>
            <sz val="9"/>
            <color indexed="81"/>
            <rFont val="Arial"/>
          </rPr>
          <t xml:space="preserve">
n pixels in landsat scene</t>
        </r>
      </text>
    </comment>
    <comment ref="H77" authorId="1">
      <text>
        <r>
          <rPr>
            <b/>
            <sz val="9"/>
            <color indexed="81"/>
            <rFont val="Arial"/>
          </rPr>
          <t>Lyndon Estes:</t>
        </r>
        <r>
          <rPr>
            <sz val="9"/>
            <color indexed="81"/>
            <rFont val="Arial"/>
          </rPr>
          <t xml:space="preserve">
n pixels in landsat scene</t>
        </r>
      </text>
    </comment>
    <comment ref="J78" authorId="1">
      <text>
        <r>
          <rPr>
            <b/>
            <sz val="9"/>
            <color indexed="81"/>
            <rFont val="Arial"/>
          </rPr>
          <t>Lyndon Estes:</t>
        </r>
        <r>
          <rPr>
            <sz val="9"/>
            <color indexed="81"/>
            <rFont val="Arial"/>
          </rPr>
          <t xml:space="preserve">
Samples collected 2-3 times during a 24 hour period--setup in morning, sampling at sunset and next morning. Assume samples were mixed to make one</t>
        </r>
      </text>
    </comment>
    <comment ref="K78" authorId="1">
      <text>
        <r>
          <rPr>
            <b/>
            <sz val="9"/>
            <color indexed="81"/>
            <rFont val="Arial"/>
          </rPr>
          <t>Lyndon Estes:</t>
        </r>
        <r>
          <rPr>
            <sz val="9"/>
            <color indexed="81"/>
            <rFont val="Arial"/>
          </rPr>
          <t xml:space="preserve">
monthly samples</t>
        </r>
      </text>
    </comment>
    <comment ref="L78" authorId="1">
      <text>
        <r>
          <rPr>
            <b/>
            <sz val="9"/>
            <color indexed="81"/>
            <rFont val="Arial"/>
          </rPr>
          <t>Lyndon Estes:</t>
        </r>
        <r>
          <rPr>
            <sz val="9"/>
            <color indexed="81"/>
            <rFont val="Arial"/>
          </rPr>
          <t xml:space="preserve">
20 months worth of samples, but 19 data points</t>
        </r>
      </text>
    </comment>
    <comment ref="M78" authorId="1">
      <text>
        <r>
          <rPr>
            <b/>
            <sz val="9"/>
            <color indexed="81"/>
            <rFont val="Arial"/>
          </rPr>
          <t>Lyndon Estes:</t>
        </r>
        <r>
          <rPr>
            <sz val="9"/>
            <color indexed="81"/>
            <rFont val="Arial"/>
          </rPr>
          <t xml:space="preserve">
start and end date of months listed assumed 1 and 30</t>
        </r>
      </text>
    </comment>
    <comment ref="G79" authorId="1">
      <text>
        <r>
          <rPr>
            <b/>
            <sz val="9"/>
            <color indexed="81"/>
            <rFont val="Arial"/>
          </rPr>
          <t>Lyndon Estes:</t>
        </r>
        <r>
          <rPr>
            <sz val="9"/>
            <color indexed="81"/>
            <rFont val="Arial"/>
          </rPr>
          <t xml:space="preserve">
assume ctd is 75 cm diameter</t>
        </r>
      </text>
    </comment>
    <comment ref="J79" authorId="1">
      <text>
        <r>
          <rPr>
            <b/>
            <sz val="9"/>
            <color indexed="81"/>
            <rFont val="Arial"/>
          </rPr>
          <t>Lyndon Estes:</t>
        </r>
        <r>
          <rPr>
            <sz val="9"/>
            <color indexed="81"/>
            <rFont val="Arial"/>
          </rPr>
          <t xml:space="preserve">
Read that sondes are lowered at 0.5 m/s, this one went to 18 m</t>
        </r>
      </text>
    </comment>
    <comment ref="G80" authorId="1">
      <text>
        <r>
          <rPr>
            <b/>
            <sz val="9"/>
            <color indexed="81"/>
            <rFont val="Arial"/>
          </rPr>
          <t>Lyndon Estes:</t>
        </r>
        <r>
          <rPr>
            <sz val="9"/>
            <color indexed="81"/>
            <rFont val="Arial"/>
          </rPr>
          <t xml:space="preserve">
assume ctd is 75 cm diameter</t>
        </r>
      </text>
    </comment>
    <comment ref="J80" authorId="1">
      <text>
        <r>
          <rPr>
            <b/>
            <sz val="9"/>
            <color indexed="81"/>
            <rFont val="Arial"/>
          </rPr>
          <t>Lyndon Estes:</t>
        </r>
        <r>
          <rPr>
            <sz val="9"/>
            <color indexed="81"/>
            <rFont val="Arial"/>
          </rPr>
          <t xml:space="preserve">
Read that sondes are lowered at 0.5 m/s, this one went to 18 m</t>
        </r>
      </text>
    </comment>
    <comment ref="G81" authorId="1">
      <text>
        <r>
          <rPr>
            <b/>
            <sz val="9"/>
            <color indexed="81"/>
            <rFont val="Arial"/>
          </rPr>
          <t>Lyndon Estes:</t>
        </r>
        <r>
          <rPr>
            <sz val="9"/>
            <color indexed="81"/>
            <rFont val="Arial"/>
          </rPr>
          <t xml:space="preserve">
Teledyne Ryan doppler profiler radius</t>
        </r>
      </text>
    </comment>
    <comment ref="J81" authorId="1">
      <text>
        <r>
          <rPr>
            <b/>
            <sz val="9"/>
            <color indexed="81"/>
            <rFont val="Arial"/>
          </rPr>
          <t>Lyndon Estes:</t>
        </r>
        <r>
          <rPr>
            <sz val="9"/>
            <color indexed="81"/>
            <rFont val="Arial"/>
          </rPr>
          <t xml:space="preserve">
Averaged depths from table 1 to get typical depth, 4 m intervals on current measurements, so 6 per profile, X 2 m2 minutes per porifile</t>
        </r>
      </text>
    </comment>
    <comment ref="M81" authorId="1">
      <text>
        <r>
          <rPr>
            <b/>
            <sz val="9"/>
            <color indexed="81"/>
            <rFont val="Arial"/>
          </rPr>
          <t>Lyndon Estes:</t>
        </r>
        <r>
          <rPr>
            <sz val="9"/>
            <color indexed="81"/>
            <rFont val="Arial"/>
          </rPr>
          <t xml:space="preserve">
start and end date of months listed assumed 1 and 30</t>
        </r>
      </text>
    </comment>
    <comment ref="G82" authorId="1">
      <text>
        <r>
          <rPr>
            <b/>
            <sz val="9"/>
            <color indexed="81"/>
            <rFont val="Arial"/>
          </rPr>
          <t>Lyndon Estes:</t>
        </r>
        <r>
          <rPr>
            <sz val="9"/>
            <color indexed="81"/>
            <rFont val="Arial"/>
          </rPr>
          <t xml:space="preserve">
Teledyne Ryan doppler profiler radius</t>
        </r>
      </text>
    </comment>
    <comment ref="K82" authorId="1">
      <text>
        <r>
          <rPr>
            <b/>
            <sz val="9"/>
            <color indexed="81"/>
            <rFont val="Arial"/>
          </rPr>
          <t>Lyndon Estes:</t>
        </r>
        <r>
          <rPr>
            <sz val="9"/>
            <color indexed="81"/>
            <rFont val="Arial"/>
          </rPr>
          <t xml:space="preserve">
average of time between cruises
</t>
        </r>
      </text>
    </comment>
    <comment ref="G83" authorId="1">
      <text>
        <r>
          <rPr>
            <b/>
            <sz val="9"/>
            <color indexed="81"/>
            <rFont val="Arial"/>
          </rPr>
          <t>Lyndon Estes:</t>
        </r>
        <r>
          <rPr>
            <sz val="9"/>
            <color indexed="81"/>
            <rFont val="Arial"/>
          </rPr>
          <t xml:space="preserve">
assume ctd is 75 cm diameter</t>
        </r>
      </text>
    </comment>
    <comment ref="J83" authorId="1">
      <text>
        <r>
          <rPr>
            <b/>
            <sz val="9"/>
            <color indexed="81"/>
            <rFont val="Arial"/>
          </rPr>
          <t>Lyndon Estes:</t>
        </r>
        <r>
          <rPr>
            <sz val="9"/>
            <color indexed="81"/>
            <rFont val="Arial"/>
          </rPr>
          <t xml:space="preserve">
Read that sondes are lowered at 0.5 m/s, this one went to 18 m</t>
        </r>
      </text>
    </comment>
    <comment ref="K83" authorId="1">
      <text>
        <r>
          <rPr>
            <b/>
            <sz val="9"/>
            <color indexed="81"/>
            <rFont val="Arial"/>
          </rPr>
          <t>Lyndon Estes:</t>
        </r>
        <r>
          <rPr>
            <sz val="9"/>
            <color indexed="81"/>
            <rFont val="Arial"/>
          </rPr>
          <t xml:space="preserve">
2 CTD scans for fluor made twice on each cruise, so assume minimum time between cruises</t>
        </r>
      </text>
    </comment>
    <comment ref="G84" authorId="1">
      <text>
        <r>
          <rPr>
            <b/>
            <sz val="9"/>
            <color indexed="81"/>
            <rFont val="Arial"/>
          </rPr>
          <t>Lyndon Estes:</t>
        </r>
        <r>
          <rPr>
            <sz val="9"/>
            <color indexed="81"/>
            <rFont val="Arial"/>
          </rPr>
          <t xml:space="preserve">
Li-Cor diameter</t>
        </r>
      </text>
    </comment>
    <comment ref="J84" authorId="1">
      <text>
        <r>
          <rPr>
            <b/>
            <sz val="9"/>
            <color indexed="81"/>
            <rFont val="Arial"/>
          </rPr>
          <t>Lyndon Estes:</t>
        </r>
        <r>
          <rPr>
            <sz val="9"/>
            <color indexed="81"/>
            <rFont val="Arial"/>
          </rPr>
          <t xml:space="preserve">
Assume 30 seconds to take light penetration reading</t>
        </r>
      </text>
    </comment>
    <comment ref="K84" authorId="1">
      <text>
        <r>
          <rPr>
            <b/>
            <sz val="9"/>
            <color indexed="81"/>
            <rFont val="Arial"/>
          </rPr>
          <t>Lyndon Estes:</t>
        </r>
        <r>
          <rPr>
            <sz val="9"/>
            <color indexed="81"/>
            <rFont val="Arial"/>
          </rPr>
          <t xml:space="preserve">
average of time between cruises
</t>
        </r>
      </text>
    </comment>
    <comment ref="G85" authorId="1">
      <text>
        <r>
          <rPr>
            <b/>
            <sz val="9"/>
            <color indexed="81"/>
            <rFont val="Arial"/>
          </rPr>
          <t>Lyndon Estes:</t>
        </r>
        <r>
          <rPr>
            <sz val="9"/>
            <color indexed="81"/>
            <rFont val="Arial"/>
          </rPr>
          <t xml:space="preserve">
Li-Cor diameter</t>
        </r>
      </text>
    </comment>
    <comment ref="H85" authorId="1">
      <text>
        <r>
          <rPr>
            <b/>
            <sz val="9"/>
            <color indexed="81"/>
            <rFont val="Arial"/>
          </rPr>
          <t>Lyndon Estes:</t>
        </r>
        <r>
          <rPr>
            <sz val="9"/>
            <color indexed="81"/>
            <rFont val="Arial"/>
          </rPr>
          <t xml:space="preserve">
Really had to guess on this.  Looking at map, I fgure: 
=SQRT(((2.7-2.55) * 110)^2 + ((39.5-39.37) * 110)^2)*(AVERAGE(4, 4, 4, 3))
gives the distance they cruised each cruise per day.  I took approximate coordinates from map to calculate the diagonal distance for each of four cruise lengths.  Then, assume they took 12 hours per cruise, and readings every 15 minutes, that means it was a different radiation observation each 15 miuntes for 12 hours</t>
        </r>
      </text>
    </comment>
    <comment ref="J85" authorId="1">
      <text>
        <r>
          <rPr>
            <b/>
            <sz val="9"/>
            <color indexed="81"/>
            <rFont val="Arial"/>
          </rPr>
          <t>Lyndon Estes:</t>
        </r>
        <r>
          <rPr>
            <sz val="9"/>
            <color indexed="81"/>
            <rFont val="Arial"/>
          </rPr>
          <t xml:space="preserve">
assume instantaneous (1 second</t>
        </r>
      </text>
    </comment>
    <comment ref="K85" authorId="1">
      <text>
        <r>
          <rPr>
            <b/>
            <sz val="9"/>
            <color indexed="81"/>
            <rFont val="Arial"/>
          </rPr>
          <t>Lyndon Estes:</t>
        </r>
        <r>
          <rPr>
            <sz val="9"/>
            <color indexed="81"/>
            <rFont val="Arial"/>
          </rPr>
          <t xml:space="preserve">
Since each solar radiation observation is separate, and cruises were repeated, we have an average of 2 days betweens cruise and the between cruise interval also</t>
        </r>
      </text>
    </comment>
    <comment ref="L85" authorId="1">
      <text>
        <r>
          <rPr>
            <b/>
            <sz val="9"/>
            <color indexed="81"/>
            <rFont val="Arial"/>
          </rPr>
          <t>Lyndon Estes:</t>
        </r>
        <r>
          <rPr>
            <sz val="9"/>
            <color indexed="81"/>
            <rFont val="Arial"/>
          </rPr>
          <t xml:space="preserve">
Actual solar radiation measurements--assumed instantaneous observations, but could be thought of legitimately as representing continuous observations</t>
        </r>
      </text>
    </comment>
    <comment ref="M85" authorId="1">
      <text>
        <r>
          <rPr>
            <b/>
            <sz val="9"/>
            <color indexed="81"/>
            <rFont val="Arial"/>
          </rPr>
          <t>Lyndon Estes:</t>
        </r>
        <r>
          <rPr>
            <sz val="9"/>
            <color indexed="81"/>
            <rFont val="Arial"/>
          </rPr>
          <t xml:space="preserve">
start and end date of months listed assumed 1 and 30</t>
        </r>
      </text>
    </comment>
    <comment ref="G86" authorId="1">
      <text>
        <r>
          <rPr>
            <b/>
            <sz val="9"/>
            <color indexed="81"/>
            <rFont val="Arial"/>
          </rPr>
          <t>Lyndon Estes:</t>
        </r>
        <r>
          <rPr>
            <sz val="9"/>
            <color indexed="81"/>
            <rFont val="Arial"/>
          </rPr>
          <t xml:space="preserve">
pump inlet in ship</t>
        </r>
      </text>
    </comment>
    <comment ref="H86" authorId="1">
      <text>
        <r>
          <rPr>
            <b/>
            <sz val="9"/>
            <color indexed="81"/>
            <rFont val="Arial"/>
          </rPr>
          <t>Lyndon Estes:</t>
        </r>
        <r>
          <rPr>
            <sz val="9"/>
            <color indexed="81"/>
            <rFont val="Arial"/>
          </rPr>
          <t xml:space="preserve">
sampling of underwater variables (T, etc.) taken every minute during cruise. Assume this was done over 24 hours, and that they were stationary for about 4 of those 24 hours. </t>
        </r>
      </text>
    </comment>
    <comment ref="J86" authorId="1">
      <text>
        <r>
          <rPr>
            <b/>
            <sz val="9"/>
            <color indexed="81"/>
            <rFont val="Arial"/>
          </rPr>
          <t>Lyndon Estes:</t>
        </r>
        <r>
          <rPr>
            <sz val="9"/>
            <color indexed="81"/>
            <rFont val="Arial"/>
          </rPr>
          <t xml:space="preserve">
assume instantaneous (1 second</t>
        </r>
      </text>
    </comment>
    <comment ref="K86" authorId="1">
      <text>
        <r>
          <rPr>
            <b/>
            <sz val="9"/>
            <color indexed="81"/>
            <rFont val="Arial"/>
          </rPr>
          <t>Lyndon Estes:</t>
        </r>
        <r>
          <rPr>
            <sz val="9"/>
            <color indexed="81"/>
            <rFont val="Arial"/>
          </rPr>
          <t xml:space="preserve">
Since each solar radiation observation is separate, and cruises were repeated, we have an average of 2 days betweens cruise and the between cruise interval also</t>
        </r>
      </text>
    </comment>
    <comment ref="M86" authorId="1">
      <text>
        <r>
          <rPr>
            <b/>
            <sz val="9"/>
            <color indexed="81"/>
            <rFont val="Arial"/>
          </rPr>
          <t>Lyndon Estes:</t>
        </r>
        <r>
          <rPr>
            <sz val="9"/>
            <color indexed="81"/>
            <rFont val="Arial"/>
          </rPr>
          <t xml:space="preserve">
start and end date of months listed assumed 1 and 30</t>
        </r>
      </text>
    </comment>
    <comment ref="G87" authorId="1">
      <text>
        <r>
          <rPr>
            <b/>
            <sz val="9"/>
            <color indexed="81"/>
            <rFont val="Arial"/>
          </rPr>
          <t>Lyndon Estes:
anenometer diameter of 15 cm</t>
        </r>
      </text>
    </comment>
    <comment ref="H87" authorId="1">
      <text>
        <r>
          <rPr>
            <b/>
            <sz val="9"/>
            <color indexed="81"/>
            <rFont val="Arial"/>
          </rPr>
          <t>Lyndon Estes:</t>
        </r>
        <r>
          <rPr>
            <sz val="9"/>
            <color indexed="81"/>
            <rFont val="Arial"/>
          </rPr>
          <t xml:space="preserve">
windspeed recordings every 5 seconds on moving ship. Assume this was done over 24 hours, and that they were stationary for about 4 of those 24 hours. </t>
        </r>
      </text>
    </comment>
    <comment ref="J87" authorId="1">
      <text>
        <r>
          <rPr>
            <b/>
            <sz val="9"/>
            <color indexed="81"/>
            <rFont val="Arial"/>
          </rPr>
          <t>Lyndon Estes:</t>
        </r>
        <r>
          <rPr>
            <sz val="9"/>
            <color indexed="81"/>
            <rFont val="Arial"/>
          </rPr>
          <t xml:space="preserve">
assume instantaneous (1 second</t>
        </r>
      </text>
    </comment>
    <comment ref="K87" authorId="1">
      <text>
        <r>
          <rPr>
            <b/>
            <sz val="9"/>
            <color indexed="81"/>
            <rFont val="Arial"/>
          </rPr>
          <t>Lyndon Estes:</t>
        </r>
        <r>
          <rPr>
            <sz val="9"/>
            <color indexed="81"/>
            <rFont val="Arial"/>
          </rPr>
          <t xml:space="preserve">
Since each solar radiation observation is separate, and cruises were repeated, we have an average of 2 days betweens cruise and the between cruise interval also</t>
        </r>
      </text>
    </comment>
    <comment ref="M87" authorId="1">
      <text>
        <r>
          <rPr>
            <b/>
            <sz val="9"/>
            <color indexed="81"/>
            <rFont val="Arial"/>
          </rPr>
          <t>Lyndon Estes:</t>
        </r>
        <r>
          <rPr>
            <sz val="9"/>
            <color indexed="81"/>
            <rFont val="Arial"/>
          </rPr>
          <t xml:space="preserve">
start and end date of EUBAL1</t>
        </r>
      </text>
    </comment>
    <comment ref="G88" authorId="1">
      <text>
        <r>
          <rPr>
            <b/>
            <sz val="9"/>
            <color indexed="81"/>
            <rFont val="Arial"/>
          </rPr>
          <t>Lyndon Estes:
anenometer diameter of 15 cm</t>
        </r>
      </text>
    </comment>
    <comment ref="H88" authorId="1">
      <text>
        <r>
          <rPr>
            <b/>
            <sz val="9"/>
            <color indexed="81"/>
            <rFont val="Arial"/>
          </rPr>
          <t>Lyndon Estes:</t>
        </r>
        <r>
          <rPr>
            <sz val="9"/>
            <color indexed="81"/>
            <rFont val="Arial"/>
          </rPr>
          <t xml:space="preserve">
windspeed recordings every 5 seconds on moving ship. Assume this was done over 24 hours, and that they were stationary for about 4 of those 24 hours. </t>
        </r>
      </text>
    </comment>
    <comment ref="J88" authorId="1">
      <text>
        <r>
          <rPr>
            <b/>
            <sz val="9"/>
            <color indexed="81"/>
            <rFont val="Arial"/>
          </rPr>
          <t>Lyndon Estes:</t>
        </r>
        <r>
          <rPr>
            <sz val="9"/>
            <color indexed="81"/>
            <rFont val="Arial"/>
          </rPr>
          <t xml:space="preserve">
assume instantaneous (1 second</t>
        </r>
      </text>
    </comment>
    <comment ref="K88" authorId="1">
      <text>
        <r>
          <rPr>
            <b/>
            <sz val="9"/>
            <color indexed="81"/>
            <rFont val="Arial"/>
          </rPr>
          <t>Lyndon Estes:</t>
        </r>
        <r>
          <rPr>
            <sz val="9"/>
            <color indexed="81"/>
            <rFont val="Arial"/>
          </rPr>
          <t xml:space="preserve">
Since each solar radiation observation is separate, and cruises were repeated, we have an average of 2 days betweens cruise and the between cruise interval also</t>
        </r>
      </text>
    </comment>
    <comment ref="M88" authorId="1">
      <text>
        <r>
          <rPr>
            <b/>
            <sz val="9"/>
            <color indexed="81"/>
            <rFont val="Arial"/>
          </rPr>
          <t>Lyndon Estes:</t>
        </r>
        <r>
          <rPr>
            <sz val="9"/>
            <color indexed="81"/>
            <rFont val="Arial"/>
          </rPr>
          <t xml:space="preserve">
start and end date of EUBAL1</t>
        </r>
      </text>
    </comment>
  </commentList>
</comments>
</file>

<file path=xl/comments2.xml><?xml version="1.0" encoding="utf-8"?>
<comments xmlns="http://schemas.openxmlformats.org/spreadsheetml/2006/main">
  <authors>
    <author/>
    <author>Lyndon Estes</author>
  </authors>
  <commentList>
    <comment ref="J2" authorId="0">
      <text>
        <r>
          <rPr>
            <sz val="10"/>
            <rFont val="Arial"/>
          </rPr>
          <t xml:space="preserve">Lyndon Estes:
Calculate as (plot resolution * N sites) / 10000
</t>
        </r>
      </text>
    </comment>
    <comment ref="S2" authorId="0">
      <text>
        <r>
          <rPr>
            <sz val="10"/>
            <rFont val="Arial"/>
          </rPr>
          <t>Lyndon Estes:
separate with semi-colon if more than one</t>
        </r>
      </text>
    </comment>
    <comment ref="I3" authorId="1">
      <text>
        <r>
          <rPr>
            <b/>
            <sz val="9"/>
            <color indexed="81"/>
            <rFont val="Arial"/>
          </rPr>
          <t>Lyndon Estes:</t>
        </r>
        <r>
          <rPr>
            <sz val="9"/>
            <color indexed="81"/>
            <rFont val="Arial"/>
          </rPr>
          <t xml:space="preserve">
6 sample plots on 4 bogs, 4 on the intact one</t>
        </r>
      </text>
    </comment>
    <comment ref="M3" authorId="1">
      <text>
        <r>
          <rPr>
            <b/>
            <sz val="9"/>
            <color indexed="81"/>
            <rFont val="Arial"/>
          </rPr>
          <t>Lyndon Estes:</t>
        </r>
        <r>
          <rPr>
            <sz val="9"/>
            <color indexed="81"/>
            <rFont val="Arial"/>
          </rPr>
          <t xml:space="preserve">
assume average of 17.5 days between sample, and sampling season was 152 days, gives number of vists per season, times samp_duration, times n season</t>
        </r>
      </text>
    </comment>
    <comment ref="H4" authorId="1">
      <text>
        <r>
          <rPr>
            <b/>
            <sz val="9"/>
            <color indexed="81"/>
            <rFont val="Arial"/>
          </rPr>
          <t>Lyndon Estes:</t>
        </r>
        <r>
          <rPr>
            <sz val="9"/>
            <color indexed="81"/>
            <rFont val="Arial"/>
          </rPr>
          <t xml:space="preserve">
assume 10 cm radius well</t>
        </r>
      </text>
    </comment>
    <comment ref="I4" authorId="1">
      <text>
        <r>
          <rPr>
            <b/>
            <sz val="9"/>
            <color indexed="81"/>
            <rFont val="Arial"/>
          </rPr>
          <t>Lyndon Estes:</t>
        </r>
        <r>
          <rPr>
            <sz val="9"/>
            <color indexed="81"/>
            <rFont val="Arial"/>
          </rPr>
          <t xml:space="preserve">
6 sample plots on 4 bogs, 4 on the intact one</t>
        </r>
      </text>
    </comment>
    <comment ref="M4" authorId="1">
      <text>
        <r>
          <rPr>
            <b/>
            <sz val="9"/>
            <color indexed="81"/>
            <rFont val="Arial"/>
          </rPr>
          <t>Lyndon Estes:</t>
        </r>
        <r>
          <rPr>
            <sz val="9"/>
            <color indexed="81"/>
            <rFont val="Arial"/>
          </rPr>
          <t xml:space="preserve">
assume average of 17.5 days between sample, and sampling season was 152 days, gives number of vists per season, times samp_duration, times n season</t>
        </r>
      </text>
    </comment>
    <comment ref="H5" authorId="1">
      <text>
        <r>
          <rPr>
            <b/>
            <sz val="9"/>
            <color indexed="81"/>
            <rFont val="Arial"/>
          </rPr>
          <t>Lyndon Estes:</t>
        </r>
        <r>
          <rPr>
            <sz val="9"/>
            <color indexed="81"/>
            <rFont val="Arial"/>
          </rPr>
          <t xml:space="preserve">
assume 1 cm radius temp measurements</t>
        </r>
      </text>
    </comment>
    <comment ref="I5" authorId="1">
      <text>
        <r>
          <rPr>
            <b/>
            <sz val="9"/>
            <color indexed="81"/>
            <rFont val="Arial"/>
          </rPr>
          <t>Lyndon Estes:</t>
        </r>
        <r>
          <rPr>
            <sz val="9"/>
            <color indexed="81"/>
            <rFont val="Arial"/>
          </rPr>
          <t xml:space="preserve">
6 sample plots on 4 bogs, 4 on the intact one</t>
        </r>
      </text>
    </comment>
    <comment ref="M5" authorId="1">
      <text>
        <r>
          <rPr>
            <b/>
            <sz val="9"/>
            <color indexed="81"/>
            <rFont val="Arial"/>
          </rPr>
          <t>Lyndon Estes:</t>
        </r>
        <r>
          <rPr>
            <sz val="9"/>
            <color indexed="81"/>
            <rFont val="Arial"/>
          </rPr>
          <t xml:space="preserve">
assume average of 17.5 days between sample, and sampling season was 152 days, gives number of vists per season, times samp_duration, times n season</t>
        </r>
      </text>
    </comment>
    <comment ref="H6" authorId="1">
      <text>
        <r>
          <rPr>
            <b/>
            <sz val="9"/>
            <color indexed="81"/>
            <rFont val="Arial"/>
          </rPr>
          <t>Lyndon Estes:</t>
        </r>
        <r>
          <rPr>
            <sz val="9"/>
            <color indexed="81"/>
            <rFont val="Arial"/>
          </rPr>
          <t xml:space="preserve">
assume weather station is a point sample</t>
        </r>
      </text>
    </comment>
    <comment ref="L6" authorId="1">
      <text>
        <r>
          <rPr>
            <b/>
            <sz val="9"/>
            <color indexed="81"/>
            <rFont val="Arial"/>
          </rPr>
          <t>Lyndon Estes:</t>
        </r>
        <r>
          <rPr>
            <sz val="9"/>
            <color indexed="81"/>
            <rFont val="Arial"/>
          </rPr>
          <t xml:space="preserve">
assume 1/2 hour between readings</t>
        </r>
      </text>
    </comment>
    <comment ref="M6" authorId="1">
      <text>
        <r>
          <rPr>
            <b/>
            <sz val="9"/>
            <color indexed="81"/>
            <rFont val="Arial"/>
          </rPr>
          <t>Lyndon Estes:</t>
        </r>
        <r>
          <rPr>
            <sz val="9"/>
            <color indexed="81"/>
            <rFont val="Arial"/>
          </rPr>
          <t xml:space="preserve">
assume average of 17.5 days between sample, and sampling season was 152 days, gives number of vists per season, times samp_duration, times n season</t>
        </r>
      </text>
    </comment>
    <comment ref="H7" authorId="1">
      <text>
        <r>
          <rPr>
            <b/>
            <sz val="9"/>
            <color indexed="81"/>
            <rFont val="Arial"/>
          </rPr>
          <t>Lyndon Estes:</t>
        </r>
        <r>
          <rPr>
            <sz val="9"/>
            <color indexed="81"/>
            <rFont val="Arial"/>
          </rPr>
          <t xml:space="preserve">
assume 10 cm diameter core</t>
        </r>
      </text>
    </comment>
    <comment ref="K7" authorId="1">
      <text>
        <r>
          <rPr>
            <b/>
            <sz val="9"/>
            <color indexed="81"/>
            <rFont val="Arial"/>
          </rPr>
          <t>Lyndon Estes:</t>
        </r>
        <r>
          <rPr>
            <sz val="9"/>
            <color indexed="81"/>
            <rFont val="Arial"/>
          </rPr>
          <t xml:space="preserve">
4 weeks assigned because they let them sit for that long</t>
        </r>
      </text>
    </comment>
    <comment ref="H8" authorId="1">
      <text>
        <r>
          <rPr>
            <b/>
            <sz val="9"/>
            <color indexed="81"/>
            <rFont val="Arial"/>
          </rPr>
          <t>Lyndon Estes:</t>
        </r>
        <r>
          <rPr>
            <sz val="9"/>
            <color indexed="81"/>
            <rFont val="Arial"/>
          </rPr>
          <t xml:space="preserve">
assume bird is sample resolution, with 6 cm diameter</t>
        </r>
      </text>
    </comment>
    <comment ref="I8" authorId="1">
      <text>
        <r>
          <rPr>
            <b/>
            <sz val="9"/>
            <color indexed="81"/>
            <rFont val="Arial"/>
          </rPr>
          <t>Lyndon Estes:</t>
        </r>
        <r>
          <rPr>
            <sz val="9"/>
            <color indexed="81"/>
            <rFont val="Arial"/>
          </rPr>
          <t xml:space="preserve">
I count 39 birds in results contributing to data</t>
        </r>
      </text>
    </comment>
    <comment ref="K8" authorId="1">
      <text>
        <r>
          <rPr>
            <b/>
            <sz val="9"/>
            <color indexed="81"/>
            <rFont val="Arial"/>
          </rPr>
          <t>Lyndon Estes:</t>
        </r>
        <r>
          <rPr>
            <sz val="9"/>
            <color indexed="81"/>
            <rFont val="Arial"/>
          </rPr>
          <t xml:space="preserve">
assume 5 seconds to scan channels</t>
        </r>
      </text>
    </comment>
    <comment ref="L8" authorId="1">
      <text>
        <r>
          <rPr>
            <b/>
            <sz val="9"/>
            <color indexed="81"/>
            <rFont val="Arial"/>
          </rPr>
          <t>Lyndon Estes:</t>
        </r>
        <r>
          <rPr>
            <sz val="9"/>
            <color indexed="81"/>
            <rFont val="Arial"/>
          </rPr>
          <t xml:space="preserve">
assume 1 minunte between samples</t>
        </r>
      </text>
    </comment>
    <comment ref="H9" authorId="1">
      <text>
        <r>
          <rPr>
            <b/>
            <sz val="9"/>
            <color indexed="81"/>
            <rFont val="Arial"/>
          </rPr>
          <t>Lyndon Estes:</t>
        </r>
        <r>
          <rPr>
            <sz val="9"/>
            <color indexed="81"/>
            <rFont val="Arial"/>
          </rPr>
          <t xml:space="preserve">
assume bird is sample resolution, with 6 cm diameter</t>
        </r>
      </text>
    </comment>
    <comment ref="K9" authorId="1">
      <text>
        <r>
          <rPr>
            <b/>
            <sz val="9"/>
            <color indexed="81"/>
            <rFont val="Arial"/>
          </rPr>
          <t>Lyndon Estes:</t>
        </r>
        <r>
          <rPr>
            <sz val="9"/>
            <color indexed="81"/>
            <rFont val="Arial"/>
          </rPr>
          <t xml:space="preserve">
assume 1 minute to draw blood</t>
        </r>
      </text>
    </comment>
    <comment ref="L9" authorId="1">
      <text>
        <r>
          <rPr>
            <b/>
            <sz val="9"/>
            <color indexed="81"/>
            <rFont val="Arial"/>
          </rPr>
          <t>Lyndon Estes:</t>
        </r>
        <r>
          <rPr>
            <sz val="9"/>
            <color indexed="81"/>
            <rFont val="Arial"/>
          </rPr>
          <t xml:space="preserve">
assume 1 minunte between samples</t>
        </r>
      </text>
    </comment>
    <comment ref="H10" authorId="1">
      <text>
        <r>
          <rPr>
            <b/>
            <sz val="9"/>
            <color indexed="81"/>
            <rFont val="Arial"/>
          </rPr>
          <t>Lyndon Estes:</t>
        </r>
        <r>
          <rPr>
            <sz val="9"/>
            <color indexed="81"/>
            <rFont val="Arial"/>
          </rPr>
          <t xml:space="preserve">
assume 1.5 m long snake on average of 20 cm width
</t>
        </r>
      </text>
    </comment>
    <comment ref="K10" authorId="1">
      <text>
        <r>
          <rPr>
            <b/>
            <sz val="9"/>
            <color indexed="81"/>
            <rFont val="Arial"/>
          </rPr>
          <t>Lyndon Estes:</t>
        </r>
        <r>
          <rPr>
            <sz val="9"/>
            <color indexed="81"/>
            <rFont val="Arial"/>
          </rPr>
          <t xml:space="preserve">
caught at night, released next morning</t>
        </r>
      </text>
    </comment>
    <comment ref="M10" authorId="1">
      <text>
        <r>
          <rPr>
            <b/>
            <sz val="9"/>
            <color indexed="81"/>
            <rFont val="Arial"/>
          </rPr>
          <t>Lyndon Estes:</t>
        </r>
        <r>
          <rPr>
            <sz val="9"/>
            <color indexed="81"/>
            <rFont val="Arial"/>
          </rPr>
          <t xml:space="preserve">
Study duration only as long as time to sample one python</t>
        </r>
      </text>
    </comment>
    <comment ref="N10" authorId="1">
      <text>
        <r>
          <rPr>
            <b/>
            <sz val="9"/>
            <color indexed="81"/>
            <rFont val="Arial"/>
          </rPr>
          <t>Lyndon Estes:</t>
        </r>
        <r>
          <rPr>
            <sz val="9"/>
            <color indexed="81"/>
            <rFont val="Arial"/>
          </rPr>
          <t xml:space="preserve">
2001-2003</t>
        </r>
      </text>
    </comment>
    <comment ref="H11" authorId="1">
      <text>
        <r>
          <rPr>
            <b/>
            <sz val="9"/>
            <color indexed="81"/>
            <rFont val="Arial"/>
          </rPr>
          <t>Lyndon Estes:</t>
        </r>
        <r>
          <rPr>
            <sz val="9"/>
            <color indexed="81"/>
            <rFont val="Arial"/>
          </rPr>
          <t xml:space="preserve">
assume 1.5 m long snake on average of 20 cm width
</t>
        </r>
      </text>
    </comment>
    <comment ref="K11" authorId="1">
      <text>
        <r>
          <rPr>
            <b/>
            <sz val="9"/>
            <color indexed="81"/>
            <rFont val="Arial"/>
          </rPr>
          <t>Lyndon Estes:</t>
        </r>
        <r>
          <rPr>
            <sz val="9"/>
            <color indexed="81"/>
            <rFont val="Arial"/>
          </rPr>
          <t xml:space="preserve">
caught at night, released next morning</t>
        </r>
      </text>
    </comment>
    <comment ref="M11" authorId="1">
      <text>
        <r>
          <rPr>
            <b/>
            <sz val="9"/>
            <color indexed="81"/>
            <rFont val="Arial"/>
          </rPr>
          <t>Lyndon Estes:</t>
        </r>
        <r>
          <rPr>
            <sz val="9"/>
            <color indexed="81"/>
            <rFont val="Arial"/>
          </rPr>
          <t xml:space="preserve">
Study duration only as long as time to sample one python, and these were sampled twice</t>
        </r>
      </text>
    </comment>
    <comment ref="N11" authorId="1">
      <text>
        <r>
          <rPr>
            <b/>
            <sz val="9"/>
            <color indexed="81"/>
            <rFont val="Arial"/>
          </rPr>
          <t>Lyndon Estes:</t>
        </r>
        <r>
          <rPr>
            <sz val="9"/>
            <color indexed="81"/>
            <rFont val="Arial"/>
          </rPr>
          <t xml:space="preserve">
2001-2003</t>
        </r>
      </text>
    </comment>
    <comment ref="H12" authorId="1">
      <text>
        <r>
          <rPr>
            <b/>
            <sz val="9"/>
            <color indexed="81"/>
            <rFont val="Arial"/>
          </rPr>
          <t>Lyndon Estes:</t>
        </r>
        <r>
          <rPr>
            <sz val="9"/>
            <color indexed="81"/>
            <rFont val="Arial"/>
          </rPr>
          <t xml:space="preserve">
assume 1.5 m long snake on average of 20 cm width
</t>
        </r>
      </text>
    </comment>
    <comment ref="K12" authorId="1">
      <text>
        <r>
          <rPr>
            <b/>
            <sz val="9"/>
            <color indexed="81"/>
            <rFont val="Arial"/>
          </rPr>
          <t>Lyndon Estes:</t>
        </r>
        <r>
          <rPr>
            <sz val="9"/>
            <color indexed="81"/>
            <rFont val="Arial"/>
          </rPr>
          <t xml:space="preserve">
caught at night, released next morning</t>
        </r>
      </text>
    </comment>
    <comment ref="L12" authorId="1">
      <text>
        <r>
          <rPr>
            <b/>
            <sz val="9"/>
            <color indexed="81"/>
            <rFont val="Arial"/>
          </rPr>
          <t>Lyndon Estes:</t>
        </r>
        <r>
          <rPr>
            <sz val="9"/>
            <color indexed="81"/>
            <rFont val="Arial"/>
          </rPr>
          <t xml:space="preserve">
sampled twice within a month. Assume 15 days between sample
</t>
        </r>
      </text>
    </comment>
    <comment ref="M12" authorId="1">
      <text>
        <r>
          <rPr>
            <b/>
            <sz val="9"/>
            <color indexed="81"/>
            <rFont val="Arial"/>
          </rPr>
          <t>Lyndon Estes:</t>
        </r>
        <r>
          <rPr>
            <sz val="9"/>
            <color indexed="81"/>
            <rFont val="Arial"/>
          </rPr>
          <t xml:space="preserve">
Study duration only as long as time to sample one python, and these were sampled twice</t>
        </r>
      </text>
    </comment>
    <comment ref="N12" authorId="1">
      <text>
        <r>
          <rPr>
            <b/>
            <sz val="9"/>
            <color indexed="81"/>
            <rFont val="Arial"/>
          </rPr>
          <t>Lyndon Estes:</t>
        </r>
        <r>
          <rPr>
            <sz val="9"/>
            <color indexed="81"/>
            <rFont val="Arial"/>
          </rPr>
          <t xml:space="preserve">
2001-2003</t>
        </r>
      </text>
    </comment>
    <comment ref="H13" authorId="1">
      <text>
        <r>
          <rPr>
            <b/>
            <sz val="9"/>
            <color indexed="81"/>
            <rFont val="Arial"/>
          </rPr>
          <t>Lyndon Estes:</t>
        </r>
        <r>
          <rPr>
            <sz val="9"/>
            <color indexed="81"/>
            <rFont val="Arial"/>
          </rPr>
          <t xml:space="preserve">
assume mean prey size of 0.5 m long and 0.2 m wide
</t>
        </r>
      </text>
    </comment>
    <comment ref="K13" authorId="1">
      <text>
        <r>
          <rPr>
            <b/>
            <sz val="9"/>
            <color indexed="81"/>
            <rFont val="Arial"/>
          </rPr>
          <t>Lyndon Estes:</t>
        </r>
        <r>
          <rPr>
            <sz val="9"/>
            <color indexed="81"/>
            <rFont val="Arial"/>
          </rPr>
          <t xml:space="preserve">
Assume average of 1 day to capture animal</t>
        </r>
      </text>
    </comment>
    <comment ref="L13" authorId="1">
      <text>
        <r>
          <rPr>
            <b/>
            <sz val="9"/>
            <color indexed="81"/>
            <rFont val="Arial"/>
          </rPr>
          <t>Lyndon Estes:</t>
        </r>
        <r>
          <rPr>
            <sz val="9"/>
            <color indexed="81"/>
            <rFont val="Arial"/>
          </rPr>
          <t xml:space="preserve">
Treating each hunted animal as discrete sample</t>
        </r>
      </text>
    </comment>
    <comment ref="H14" authorId="1">
      <text>
        <r>
          <rPr>
            <b/>
            <sz val="9"/>
            <color indexed="81"/>
            <rFont val="Arial"/>
          </rPr>
          <t>Lyndon Estes:</t>
        </r>
        <r>
          <rPr>
            <sz val="9"/>
            <color indexed="81"/>
            <rFont val="Arial"/>
          </rPr>
          <t xml:space="preserve">
assume weather station and range rain gauge have 0.5 m diameter</t>
        </r>
      </text>
    </comment>
    <comment ref="H15" authorId="1">
      <text>
        <r>
          <rPr>
            <b/>
            <sz val="9"/>
            <color indexed="81"/>
            <rFont val="Arial"/>
          </rPr>
          <t>Lyndon Estes:</t>
        </r>
        <r>
          <rPr>
            <sz val="9"/>
            <color indexed="81"/>
            <rFont val="Arial"/>
          </rPr>
          <t xml:space="preserve">
Assume that runoff is from whole catchment, thus gauge gives resolution</t>
        </r>
      </text>
    </comment>
    <comment ref="M15" authorId="1">
      <text>
        <r>
          <rPr>
            <b/>
            <sz val="9"/>
            <color indexed="81"/>
            <rFont val="Arial"/>
          </rPr>
          <t>Lyndon Estes:</t>
        </r>
        <r>
          <rPr>
            <sz val="9"/>
            <color indexed="81"/>
            <rFont val="Arial"/>
          </rPr>
          <t xml:space="preserve">
assume each discharge reading is 1 second, happens every 15 minutes per day over 11 years</t>
        </r>
      </text>
    </comment>
    <comment ref="H16" authorId="1">
      <text>
        <r>
          <rPr>
            <b/>
            <sz val="9"/>
            <color indexed="81"/>
            <rFont val="Arial"/>
          </rPr>
          <t>Lyndon Estes:</t>
        </r>
        <r>
          <rPr>
            <sz val="9"/>
            <color indexed="81"/>
            <rFont val="Arial"/>
          </rPr>
          <t xml:space="preserve">
assume sampler for sediments is 5 cm diameter</t>
        </r>
      </text>
    </comment>
    <comment ref="M16" authorId="1">
      <text>
        <r>
          <rPr>
            <b/>
            <sz val="9"/>
            <color indexed="81"/>
            <rFont val="Arial"/>
          </rPr>
          <t>Lyndon Estes:</t>
        </r>
        <r>
          <rPr>
            <sz val="9"/>
            <color indexed="81"/>
            <rFont val="Arial"/>
          </rPr>
          <t xml:space="preserve">
assume each discharge reading is 1 second, happens every 15 minutes per day over 11 years</t>
        </r>
      </text>
    </comment>
    <comment ref="H17" authorId="1">
      <text>
        <r>
          <rPr>
            <b/>
            <sz val="9"/>
            <color indexed="81"/>
            <rFont val="Arial"/>
          </rPr>
          <t>Lyndon Estes:</t>
        </r>
        <r>
          <rPr>
            <sz val="9"/>
            <color indexed="81"/>
            <rFont val="Arial"/>
          </rPr>
          <t xml:space="preserve">
Assume grasses occupy 20X20 cm area</t>
        </r>
      </text>
    </comment>
    <comment ref="I17" authorId="1">
      <text>
        <r>
          <rPr>
            <b/>
            <sz val="9"/>
            <color indexed="81"/>
            <rFont val="Arial"/>
          </rPr>
          <t>Lyndon Estes:</t>
        </r>
        <r>
          <rPr>
            <sz val="9"/>
            <color indexed="81"/>
            <rFont val="Arial"/>
          </rPr>
          <t xml:space="preserve">
assume n_sites reflect number of plant of each species sampled (18 for one species, 10 for the other)</t>
        </r>
      </text>
    </comment>
    <comment ref="K17" authorId="1">
      <text>
        <r>
          <rPr>
            <b/>
            <sz val="9"/>
            <color indexed="81"/>
            <rFont val="Arial"/>
          </rPr>
          <t>Lyndon Estes:</t>
        </r>
        <r>
          <rPr>
            <sz val="9"/>
            <color indexed="81"/>
            <rFont val="Arial"/>
          </rPr>
          <t xml:space="preserve">
Assume 1 minute to collect each plant</t>
        </r>
      </text>
    </comment>
    <comment ref="M17" authorId="1">
      <text>
        <r>
          <rPr>
            <b/>
            <sz val="9"/>
            <color indexed="81"/>
            <rFont val="Arial"/>
          </rPr>
          <t>Lyndon Estes:</t>
        </r>
        <r>
          <rPr>
            <sz val="9"/>
            <color indexed="81"/>
            <rFont val="Arial"/>
          </rPr>
          <t xml:space="preserve">
Assume 1 minute to collect each plant, so this is study duration</t>
        </r>
      </text>
    </comment>
    <comment ref="N17" authorId="1">
      <text>
        <r>
          <rPr>
            <b/>
            <sz val="9"/>
            <color indexed="81"/>
            <rFont val="Arial"/>
          </rPr>
          <t>Lyndon Estes:</t>
        </r>
        <r>
          <rPr>
            <sz val="9"/>
            <color indexed="81"/>
            <rFont val="Arial"/>
          </rPr>
          <t xml:space="preserve">
fieldwork done in May, 2006, thus assume 31 days</t>
        </r>
      </text>
    </comment>
    <comment ref="K18" authorId="1">
      <text>
        <r>
          <rPr>
            <b/>
            <sz val="9"/>
            <color indexed="81"/>
            <rFont val="Arial"/>
          </rPr>
          <t>Lyndon Estes:</t>
        </r>
        <r>
          <rPr>
            <sz val="9"/>
            <color indexed="81"/>
            <rFont val="Arial"/>
          </rPr>
          <t xml:space="preserve">
assume it takes  two hours to do one biomass sample</t>
        </r>
      </text>
    </comment>
    <comment ref="N18" authorId="1">
      <text>
        <r>
          <rPr>
            <b/>
            <sz val="9"/>
            <color indexed="81"/>
            <rFont val="Arial"/>
          </rPr>
          <t>Lyndon Estes:</t>
        </r>
        <r>
          <rPr>
            <sz val="9"/>
            <color indexed="81"/>
            <rFont val="Arial"/>
          </rPr>
          <t xml:space="preserve">
fieldwork done in May, 2006, thus assume 31 days</t>
        </r>
      </text>
    </comment>
    <comment ref="K19" authorId="1">
      <text>
        <r>
          <rPr>
            <b/>
            <sz val="9"/>
            <color indexed="81"/>
            <rFont val="Arial"/>
          </rPr>
          <t>Lyndon Estes:</t>
        </r>
        <r>
          <rPr>
            <sz val="9"/>
            <color indexed="81"/>
            <rFont val="Arial"/>
          </rPr>
          <t xml:space="preserve">
assume it takes 5 minutes to estimate areal cover</t>
        </r>
      </text>
    </comment>
    <comment ref="H20" authorId="1">
      <text>
        <r>
          <rPr>
            <b/>
            <sz val="9"/>
            <color indexed="81"/>
            <rFont val="Arial"/>
          </rPr>
          <t>Lyndon Estes:</t>
        </r>
        <r>
          <rPr>
            <sz val="9"/>
            <color indexed="81"/>
            <rFont val="Arial"/>
          </rPr>
          <t xml:space="preserve">
assume 10 cm diameter core</t>
        </r>
      </text>
    </comment>
    <comment ref="K20" authorId="1">
      <text>
        <r>
          <rPr>
            <b/>
            <sz val="9"/>
            <color indexed="81"/>
            <rFont val="Arial"/>
          </rPr>
          <t>Lyndon Estes:</t>
        </r>
        <r>
          <rPr>
            <sz val="9"/>
            <color indexed="81"/>
            <rFont val="Arial"/>
          </rPr>
          <t xml:space="preserve">
assume it takes  10 minutes to collect soil core</t>
        </r>
      </text>
    </comment>
    <comment ref="M20" authorId="1">
      <text>
        <r>
          <rPr>
            <b/>
            <sz val="9"/>
            <color indexed="81"/>
            <rFont val="Arial"/>
          </rPr>
          <t>Lyndon Estes:</t>
        </r>
        <r>
          <rPr>
            <sz val="9"/>
            <color indexed="81"/>
            <rFont val="Arial"/>
          </rPr>
          <t xml:space="preserve">
assume it takes  10 minutes to collect soil core</t>
        </r>
      </text>
    </comment>
    <comment ref="H21" authorId="1">
      <text>
        <r>
          <rPr>
            <b/>
            <sz val="9"/>
            <color indexed="81"/>
            <rFont val="Arial"/>
          </rPr>
          <t>Lyndon Estes:</t>
        </r>
        <r>
          <rPr>
            <sz val="9"/>
            <color indexed="81"/>
            <rFont val="Arial"/>
          </rPr>
          <t xml:space="preserve">
assume 10 cm diameter core, and 5 samples per field in bed and in furrow, thus 10
</t>
        </r>
      </text>
    </comment>
    <comment ref="I21" authorId="1">
      <text>
        <r>
          <rPr>
            <b/>
            <sz val="9"/>
            <color indexed="81"/>
            <rFont val="Arial"/>
          </rPr>
          <t>Lyndon Estes:</t>
        </r>
        <r>
          <rPr>
            <sz val="9"/>
            <color indexed="81"/>
            <rFont val="Arial"/>
          </rPr>
          <t xml:space="preserve">
5 major soil types and 3 farmers' fields per type</t>
        </r>
      </text>
    </comment>
    <comment ref="K21" authorId="1">
      <text>
        <r>
          <rPr>
            <b/>
            <sz val="9"/>
            <color indexed="81"/>
            <rFont val="Arial"/>
          </rPr>
          <t>Lyndon Estes:</t>
        </r>
        <r>
          <rPr>
            <sz val="9"/>
            <color indexed="81"/>
            <rFont val="Arial"/>
          </rPr>
          <t xml:space="preserve">
assume it takes  10 minutes to collect soil core, and 10 cores per sample</t>
        </r>
      </text>
    </comment>
    <comment ref="N21" authorId="1">
      <text>
        <r>
          <rPr>
            <b/>
            <sz val="9"/>
            <color indexed="81"/>
            <rFont val="Arial"/>
          </rPr>
          <t>Lyndon Estes:</t>
        </r>
        <r>
          <rPr>
            <sz val="9"/>
            <color indexed="81"/>
            <rFont val="Arial"/>
          </rPr>
          <t xml:space="preserve">
Seems like simulation was for a single growing season</t>
        </r>
      </text>
    </comment>
    <comment ref="H22" authorId="1">
      <text>
        <r>
          <rPr>
            <b/>
            <sz val="9"/>
            <color indexed="81"/>
            <rFont val="Arial"/>
          </rPr>
          <t>Lyndon Estes:</t>
        </r>
        <r>
          <rPr>
            <sz val="9"/>
            <color indexed="81"/>
            <rFont val="Arial"/>
          </rPr>
          <t xml:space="preserve">
assume weather station and range rain gauge have 0.5 m diameter</t>
        </r>
      </text>
    </comment>
    <comment ref="K22" authorId="1">
      <text>
        <r>
          <rPr>
            <b/>
            <sz val="9"/>
            <color indexed="81"/>
            <rFont val="Arial"/>
          </rPr>
          <t>Lyndon Estes:</t>
        </r>
        <r>
          <rPr>
            <sz val="9"/>
            <color indexed="81"/>
            <rFont val="Arial"/>
          </rPr>
          <t xml:space="preserve">
Assume weather stations make continuous measurements, and record was for 180 days of simulation period</t>
        </r>
      </text>
    </comment>
    <comment ref="M22" authorId="1">
      <text>
        <r>
          <rPr>
            <b/>
            <sz val="9"/>
            <color indexed="81"/>
            <rFont val="Arial"/>
          </rPr>
          <t>Lyndon Estes:</t>
        </r>
        <r>
          <rPr>
            <sz val="9"/>
            <color indexed="81"/>
            <rFont val="Arial"/>
          </rPr>
          <t xml:space="preserve">
Assume weather stations make continuous measurements, and record was for 180 days of simulation period</t>
        </r>
      </text>
    </comment>
    <comment ref="N22" authorId="1">
      <text>
        <r>
          <rPr>
            <b/>
            <sz val="9"/>
            <color indexed="81"/>
            <rFont val="Arial"/>
          </rPr>
          <t>Lyndon Estes:</t>
        </r>
        <r>
          <rPr>
            <sz val="9"/>
            <color indexed="81"/>
            <rFont val="Arial"/>
          </rPr>
          <t xml:space="preserve">
Assume weather stations make continuous measurements, and record was for 180 days of simulation period</t>
        </r>
      </text>
    </comment>
    <comment ref="H23" authorId="1">
      <text>
        <r>
          <rPr>
            <b/>
            <sz val="9"/>
            <color indexed="81"/>
            <rFont val="Arial"/>
          </rPr>
          <t>Lyndon Estes:</t>
        </r>
        <r>
          <rPr>
            <sz val="9"/>
            <color indexed="81"/>
            <rFont val="Arial"/>
          </rPr>
          <t xml:space="preserve">
Assume transect is mean of 30-100 m range they give</t>
        </r>
      </text>
    </comment>
    <comment ref="I23" authorId="1">
      <text>
        <r>
          <rPr>
            <b/>
            <sz val="9"/>
            <color indexed="81"/>
            <rFont val="Arial"/>
          </rPr>
          <t>Lyndon Estes:</t>
        </r>
        <r>
          <rPr>
            <sz val="9"/>
            <color indexed="81"/>
            <rFont val="Arial"/>
          </rPr>
          <t xml:space="preserve">
I assumed a mean sample quadrat by averaging 0.2^2 and 1 m^2, and then divided by the value of the twoal sampled area they provided to get N samples</t>
        </r>
      </text>
    </comment>
    <comment ref="K23" authorId="1">
      <text>
        <r>
          <rPr>
            <b/>
            <sz val="9"/>
            <color indexed="81"/>
            <rFont val="Arial"/>
          </rPr>
          <t>Lyndon Estes:</t>
        </r>
        <r>
          <rPr>
            <sz val="9"/>
            <color indexed="81"/>
            <rFont val="Arial"/>
          </rPr>
          <t xml:space="preserve">
Assume one quadrat takes 10 minutes
</t>
        </r>
      </text>
    </comment>
    <comment ref="M23" authorId="1">
      <text>
        <r>
          <rPr>
            <b/>
            <sz val="9"/>
            <color indexed="81"/>
            <rFont val="Arial"/>
          </rPr>
          <t>Lyndon Estes:</t>
        </r>
        <r>
          <rPr>
            <sz val="9"/>
            <color indexed="81"/>
            <rFont val="Arial"/>
          </rPr>
          <t xml:space="preserve">
Assume 5 minute to collect quadrat, so this is study duration</t>
        </r>
      </text>
    </comment>
    <comment ref="H24" authorId="1">
      <text>
        <r>
          <rPr>
            <b/>
            <sz val="9"/>
            <color indexed="81"/>
            <rFont val="Arial"/>
          </rPr>
          <t>Lyndon Estes:</t>
        </r>
        <r>
          <rPr>
            <sz val="9"/>
            <color indexed="81"/>
            <rFont val="Arial"/>
          </rPr>
          <t xml:space="preserve">
Fig.2 in source shows ~120 colonies/m2, so taking reported max of 4 colonies per photo, back out the average picture resolution of 20 cm</t>
        </r>
      </text>
    </comment>
    <comment ref="I24" authorId="1">
      <text>
        <r>
          <rPr>
            <b/>
            <sz val="9"/>
            <color indexed="81"/>
            <rFont val="Arial"/>
          </rPr>
          <t>Lyndon Estes:</t>
        </r>
        <r>
          <rPr>
            <sz val="9"/>
            <color indexed="81"/>
            <rFont val="Arial"/>
          </rPr>
          <t xml:space="preserve">
total sampled colonies, divided by 2, which is average number of colonies per picture</t>
        </r>
      </text>
    </comment>
    <comment ref="K24" authorId="1">
      <text>
        <r>
          <rPr>
            <b/>
            <sz val="9"/>
            <color indexed="81"/>
            <rFont val="Arial"/>
          </rPr>
          <t>Lyndon Estes:</t>
        </r>
        <r>
          <rPr>
            <sz val="9"/>
            <color indexed="81"/>
            <rFont val="Arial"/>
          </rPr>
          <t xml:space="preserve">
Assume one photo takes 5 seconds
</t>
        </r>
      </text>
    </comment>
    <comment ref="M24" authorId="1">
      <text>
        <r>
          <rPr>
            <b/>
            <sz val="9"/>
            <color indexed="81"/>
            <rFont val="Arial"/>
          </rPr>
          <t>Lyndon Estes:</t>
        </r>
        <r>
          <rPr>
            <sz val="9"/>
            <color indexed="81"/>
            <rFont val="Arial"/>
          </rPr>
          <t xml:space="preserve">
Assume 5 minute to collect quadrat, so this is study duration</t>
        </r>
      </text>
    </comment>
    <comment ref="K25" authorId="1">
      <text>
        <r>
          <rPr>
            <b/>
            <sz val="9"/>
            <color indexed="81"/>
            <rFont val="Arial"/>
          </rPr>
          <t>Lyndon Estes:</t>
        </r>
        <r>
          <rPr>
            <sz val="9"/>
            <color indexed="81"/>
            <rFont val="Arial"/>
          </rPr>
          <t xml:space="preserve">
assume 5 minutes per sample plot</t>
        </r>
      </text>
    </comment>
    <comment ref="M25" authorId="1">
      <text>
        <r>
          <rPr>
            <b/>
            <sz val="9"/>
            <color indexed="81"/>
            <rFont val="Arial"/>
          </rPr>
          <t>Lyndon Estes:</t>
        </r>
        <r>
          <rPr>
            <sz val="9"/>
            <color indexed="81"/>
            <rFont val="Arial"/>
          </rPr>
          <t xml:space="preserve">
sampled twice, assumed 5 minutes per plot</t>
        </r>
      </text>
    </comment>
    <comment ref="H26" authorId="1">
      <text>
        <r>
          <rPr>
            <b/>
            <sz val="9"/>
            <color indexed="81"/>
            <rFont val="Arial"/>
          </rPr>
          <t>Lyndon Estes:</t>
        </r>
        <r>
          <rPr>
            <sz val="9"/>
            <color indexed="81"/>
            <rFont val="Arial"/>
          </rPr>
          <t xml:space="preserve">
20 cm diameter dust deposition sampler
</t>
        </r>
      </text>
    </comment>
    <comment ref="K26" authorId="1">
      <text>
        <r>
          <rPr>
            <b/>
            <sz val="9"/>
            <color indexed="81"/>
            <rFont val="Arial"/>
          </rPr>
          <t>Lyndon Estes:</t>
        </r>
        <r>
          <rPr>
            <sz val="9"/>
            <color indexed="81"/>
            <rFont val="Arial"/>
          </rPr>
          <t xml:space="preserve">
Sampling interval based on mean duration for two seasons sampling</t>
        </r>
      </text>
    </comment>
    <comment ref="L26" authorId="1">
      <text>
        <r>
          <rPr>
            <b/>
            <sz val="9"/>
            <color indexed="81"/>
            <rFont val="Arial"/>
          </rPr>
          <t>Lyndon Estes:</t>
        </r>
        <r>
          <rPr>
            <sz val="9"/>
            <color indexed="81"/>
            <rFont val="Arial"/>
          </rPr>
          <t xml:space="preserve">
Assume it took a minute to collect dust between samples</t>
        </r>
      </text>
    </comment>
    <comment ref="M26" authorId="1">
      <text>
        <r>
          <rPr>
            <b/>
            <sz val="9"/>
            <color indexed="81"/>
            <rFont val="Arial"/>
          </rPr>
          <t>Lyndon Estes:</t>
        </r>
        <r>
          <rPr>
            <sz val="9"/>
            <color indexed="81"/>
            <rFont val="Arial"/>
          </rPr>
          <t xml:space="preserve">
Total time spent dust sampling in both seasons</t>
        </r>
      </text>
    </comment>
    <comment ref="K27" authorId="1">
      <text>
        <r>
          <rPr>
            <b/>
            <sz val="9"/>
            <color indexed="81"/>
            <rFont val="Arial"/>
          </rPr>
          <t>Lyndon Estes:</t>
        </r>
        <r>
          <rPr>
            <sz val="9"/>
            <color indexed="81"/>
            <rFont val="Arial"/>
          </rPr>
          <t xml:space="preserve">
assume 5 minutes per sample plot</t>
        </r>
      </text>
    </comment>
    <comment ref="N27" authorId="1">
      <text>
        <r>
          <rPr>
            <b/>
            <sz val="9"/>
            <color indexed="81"/>
            <rFont val="Arial"/>
          </rPr>
          <t>Lyndon Estes:</t>
        </r>
        <r>
          <rPr>
            <sz val="9"/>
            <color indexed="81"/>
            <rFont val="Arial"/>
          </rPr>
          <t xml:space="preserve">
Assume sampling took a month total</t>
        </r>
      </text>
    </comment>
    <comment ref="H28" authorId="1">
      <text>
        <r>
          <rPr>
            <b/>
            <sz val="9"/>
            <color indexed="81"/>
            <rFont val="Arial"/>
          </rPr>
          <t>Lyndon Estes:</t>
        </r>
        <r>
          <rPr>
            <sz val="9"/>
            <color indexed="81"/>
            <rFont val="Arial"/>
          </rPr>
          <t xml:space="preserve">
0.7X0.7 and 0.5X0.5 m chambers</t>
        </r>
      </text>
    </comment>
    <comment ref="I28" authorId="1">
      <text>
        <r>
          <rPr>
            <b/>
            <sz val="9"/>
            <color indexed="81"/>
            <rFont val="Arial"/>
          </rPr>
          <t>Lyndon Estes:</t>
        </r>
        <r>
          <rPr>
            <sz val="9"/>
            <color indexed="81"/>
            <rFont val="Arial"/>
          </rPr>
          <t xml:space="preserve">
2 sites, 3 chambers per site</t>
        </r>
      </text>
    </comment>
    <comment ref="K28" authorId="1">
      <text>
        <r>
          <rPr>
            <b/>
            <sz val="9"/>
            <color indexed="81"/>
            <rFont val="Arial"/>
          </rPr>
          <t>Lyndon Estes:</t>
        </r>
        <r>
          <rPr>
            <sz val="9"/>
            <color indexed="81"/>
            <rFont val="Arial"/>
          </rPr>
          <t xml:space="preserve">
1 flux measurement is 5 injections each with sampling time of 3 minutes each, I think</t>
        </r>
      </text>
    </comment>
    <comment ref="M28" authorId="1">
      <text>
        <r>
          <rPr>
            <b/>
            <sz val="9"/>
            <color indexed="81"/>
            <rFont val="Arial"/>
          </rPr>
          <t>Lyndon Estes:</t>
        </r>
        <r>
          <rPr>
            <sz val="9"/>
            <color indexed="81"/>
            <rFont val="Arial"/>
          </rPr>
          <t xml:space="preserve">
sampling seasons estimated from figure 2 and 3, 8 measurements per day, X sample duratin</t>
        </r>
      </text>
    </comment>
    <comment ref="N28" authorId="1">
      <text>
        <r>
          <rPr>
            <b/>
            <sz val="9"/>
            <color indexed="81"/>
            <rFont val="Arial"/>
          </rPr>
          <t>Lyndon Estes:</t>
        </r>
        <r>
          <rPr>
            <sz val="9"/>
            <color indexed="81"/>
            <rFont val="Arial"/>
          </rPr>
          <t xml:space="preserve">
estimated duration from figure 2 and 3</t>
        </r>
      </text>
    </comment>
    <comment ref="H29" authorId="1">
      <text>
        <r>
          <rPr>
            <b/>
            <sz val="9"/>
            <color indexed="81"/>
            <rFont val="Arial"/>
          </rPr>
          <t>Lyndon Estes:</t>
        </r>
        <r>
          <rPr>
            <sz val="9"/>
            <color indexed="81"/>
            <rFont val="Arial"/>
          </rPr>
          <t xml:space="preserve">
0.7X0.7 and 0.5X0.5 m chambers</t>
        </r>
      </text>
    </comment>
    <comment ref="I29" authorId="1">
      <text>
        <r>
          <rPr>
            <b/>
            <sz val="9"/>
            <color indexed="81"/>
            <rFont val="Arial"/>
          </rPr>
          <t>Lyndon Estes:</t>
        </r>
        <r>
          <rPr>
            <sz val="9"/>
            <color indexed="81"/>
            <rFont val="Arial"/>
          </rPr>
          <t xml:space="preserve">
2 sites, 3 chambers per site</t>
        </r>
      </text>
    </comment>
    <comment ref="K29" authorId="1">
      <text>
        <r>
          <rPr>
            <b/>
            <sz val="9"/>
            <color indexed="81"/>
            <rFont val="Arial"/>
          </rPr>
          <t>Lyndon Estes:</t>
        </r>
        <r>
          <rPr>
            <sz val="9"/>
            <color indexed="81"/>
            <rFont val="Arial"/>
          </rPr>
          <t xml:space="preserve">
1 flux measurement is 5 injections each with sampling time of 3 minutes each, I think</t>
        </r>
      </text>
    </comment>
    <comment ref="M29" authorId="1">
      <text>
        <r>
          <rPr>
            <b/>
            <sz val="9"/>
            <color indexed="81"/>
            <rFont val="Arial"/>
          </rPr>
          <t>Lyndon Estes:</t>
        </r>
        <r>
          <rPr>
            <sz val="9"/>
            <color indexed="81"/>
            <rFont val="Arial"/>
          </rPr>
          <t xml:space="preserve">
sampling season estimated from figure 5, 1/0.05 measurements per day, X sample duration</t>
        </r>
      </text>
    </comment>
    <comment ref="N29" authorId="1">
      <text>
        <r>
          <rPr>
            <b/>
            <sz val="9"/>
            <color indexed="81"/>
            <rFont val="Arial"/>
          </rPr>
          <t>Lyndon Estes:
estimated duration from figure 5</t>
        </r>
      </text>
    </comment>
    <comment ref="H30" authorId="1">
      <text>
        <r>
          <rPr>
            <b/>
            <sz val="9"/>
            <color indexed="81"/>
            <rFont val="Arial"/>
          </rPr>
          <t>Lyndon Estes:</t>
        </r>
        <r>
          <rPr>
            <sz val="9"/>
            <color indexed="81"/>
            <rFont val="Arial"/>
          </rPr>
          <t xml:space="preserve">
This study provides no detail on the biomass sampling resolution, so assume it is same as in Gao et al (2008)</t>
        </r>
      </text>
    </comment>
    <comment ref="I30" authorId="1">
      <text>
        <r>
          <rPr>
            <b/>
            <sz val="9"/>
            <color indexed="81"/>
            <rFont val="Arial"/>
          </rPr>
          <t>Lyndon Estes:</t>
        </r>
        <r>
          <rPr>
            <sz val="9"/>
            <color indexed="81"/>
            <rFont val="Arial"/>
          </rPr>
          <t xml:space="preserve">
Also, this is hard to say, but based on Gao et al (2008), each replicate is from different 1 m^2 plot, so treat as different plots</t>
        </r>
      </text>
    </comment>
    <comment ref="K30" authorId="1">
      <text>
        <r>
          <rPr>
            <b/>
            <sz val="9"/>
            <color indexed="81"/>
            <rFont val="Arial"/>
          </rPr>
          <t>Lyndon Estes:</t>
        </r>
        <r>
          <rPr>
            <sz val="9"/>
            <color indexed="81"/>
            <rFont val="Arial"/>
          </rPr>
          <t xml:space="preserve">
assume 10 minutes per biomass sample plot</t>
        </r>
      </text>
    </comment>
    <comment ref="L30" authorId="1">
      <text>
        <r>
          <rPr>
            <b/>
            <sz val="9"/>
            <color indexed="81"/>
            <rFont val="Arial"/>
          </rPr>
          <t>Lyndon Estes:</t>
        </r>
        <r>
          <rPr>
            <sz val="9"/>
            <color indexed="81"/>
            <rFont val="Arial"/>
          </rPr>
          <t xml:space="preserve">
The plots taken in each year are not true repeat samples, so I am going to assume that the replicate is on the total season dynamics between years, so time between samples is the average between the start and end dates in each of the three seasons. Estimates of these are from Gao et al (2008)</t>
        </r>
      </text>
    </comment>
    <comment ref="H31" authorId="1">
      <text>
        <r>
          <rPr>
            <b/>
            <sz val="9"/>
            <color indexed="81"/>
            <rFont val="Arial"/>
          </rPr>
          <t>Lyndon Estes:</t>
        </r>
        <r>
          <rPr>
            <sz val="9"/>
            <color indexed="81"/>
            <rFont val="Arial"/>
          </rPr>
          <t xml:space="preserve">
8.5 cm diameter soil augur</t>
        </r>
      </text>
    </comment>
    <comment ref="K31" authorId="1">
      <text>
        <r>
          <rPr>
            <b/>
            <sz val="9"/>
            <color indexed="81"/>
            <rFont val="Arial"/>
          </rPr>
          <t>Lyndon Estes:</t>
        </r>
        <r>
          <rPr>
            <sz val="9"/>
            <color indexed="81"/>
            <rFont val="Arial"/>
          </rPr>
          <t xml:space="preserve">
assume 10 minutes per soil augur</t>
        </r>
      </text>
    </comment>
    <comment ref="L31" authorId="1">
      <text>
        <r>
          <rPr>
            <b/>
            <sz val="9"/>
            <color indexed="81"/>
            <rFont val="Arial"/>
          </rPr>
          <t>Lyndon Estes:</t>
        </r>
        <r>
          <rPr>
            <sz val="9"/>
            <color indexed="81"/>
            <rFont val="Arial"/>
          </rPr>
          <t xml:space="preserve">
The plots taken in each year are not true repeat samples, so I am going to assume that the replicate is on the total season dynamics between years, so time between samples is the average between the start and end dates in each of the three seasons. Estimates of these are from Gao et al (2008)</t>
        </r>
      </text>
    </comment>
    <comment ref="I32" authorId="1">
      <text>
        <r>
          <rPr>
            <b/>
            <sz val="9"/>
            <color indexed="81"/>
            <rFont val="Arial"/>
          </rPr>
          <t>Lyndon Estes:</t>
        </r>
        <r>
          <rPr>
            <sz val="9"/>
            <color indexed="81"/>
            <rFont val="Arial"/>
          </rPr>
          <t xml:space="preserve">
Unsure about the number of sites: assume these are true repeats, but never stated how many plots there were total</t>
        </r>
      </text>
    </comment>
    <comment ref="K32" authorId="1">
      <text>
        <r>
          <rPr>
            <b/>
            <sz val="9"/>
            <color indexed="81"/>
            <rFont val="Arial"/>
          </rPr>
          <t>Lyndon Estes:</t>
        </r>
        <r>
          <rPr>
            <sz val="9"/>
            <color indexed="81"/>
            <rFont val="Arial"/>
          </rPr>
          <t xml:space="preserve">
Assume 1 hour per sample</t>
        </r>
      </text>
    </comment>
    <comment ref="L32" authorId="1">
      <text>
        <r>
          <rPr>
            <b/>
            <sz val="9"/>
            <color indexed="81"/>
            <rFont val="Arial"/>
          </rPr>
          <t>Lyndon Estes:</t>
        </r>
        <r>
          <rPr>
            <sz val="9"/>
            <color indexed="81"/>
            <rFont val="Arial"/>
          </rPr>
          <t xml:space="preserve">
Average of sampling dates given in Gao et al (2008) on page 43, including when they first inserted cores pre-season</t>
        </r>
      </text>
    </comment>
    <comment ref="H33" authorId="1">
      <text>
        <r>
          <rPr>
            <b/>
            <sz val="9"/>
            <color indexed="81"/>
            <rFont val="Arial"/>
          </rPr>
          <t>Lyndon Estes:</t>
        </r>
        <r>
          <rPr>
            <sz val="9"/>
            <color indexed="81"/>
            <rFont val="Arial"/>
          </rPr>
          <t xml:space="preserve">
8.5 cm diameter soil augur</t>
        </r>
      </text>
    </comment>
    <comment ref="K33" authorId="1">
      <text>
        <r>
          <rPr>
            <b/>
            <sz val="9"/>
            <color indexed="81"/>
            <rFont val="Arial"/>
          </rPr>
          <t>Lyndon Estes:</t>
        </r>
        <r>
          <rPr>
            <sz val="9"/>
            <color indexed="81"/>
            <rFont val="Arial"/>
          </rPr>
          <t xml:space="preserve">
assume 10 minutes per soil augur</t>
        </r>
      </text>
    </comment>
    <comment ref="N33" authorId="1">
      <text>
        <r>
          <rPr>
            <b/>
            <sz val="9"/>
            <color indexed="81"/>
            <rFont val="Arial"/>
          </rPr>
          <t>Lyndon Estes:</t>
        </r>
        <r>
          <rPr>
            <sz val="9"/>
            <color indexed="81"/>
            <rFont val="Arial"/>
          </rPr>
          <t xml:space="preserve">
Assume did this over one season only</t>
        </r>
      </text>
    </comment>
    <comment ref="H34" authorId="1">
      <text>
        <r>
          <rPr>
            <b/>
            <sz val="9"/>
            <color indexed="81"/>
            <rFont val="Arial"/>
          </rPr>
          <t>Lyndon Estes:</t>
        </r>
        <r>
          <rPr>
            <sz val="9"/>
            <color indexed="81"/>
            <rFont val="Arial"/>
          </rPr>
          <t xml:space="preserve">
Assume 1 X 1 m soil pit</t>
        </r>
      </text>
    </comment>
    <comment ref="K34" authorId="1">
      <text>
        <r>
          <rPr>
            <b/>
            <sz val="9"/>
            <color indexed="81"/>
            <rFont val="Arial"/>
          </rPr>
          <t>Lyndon Estes:</t>
        </r>
        <r>
          <rPr>
            <sz val="9"/>
            <color indexed="81"/>
            <rFont val="Arial"/>
          </rPr>
          <t xml:space="preserve">
Assume 2 days to dig pits and then: "A combined aggregate size,
density, and particle size fractionation procedure was
applied to soil samples from three horizons of each pit to
separate functional SOM fractions and pools. The
horizons were sampled based on diagnostic features,
e.g., color, texture, structure, and aggregation. All
physical fractions were analyzed for C and N concentrations
while the SOM quality of selected fractions was
analyzed for neutral sugar and radio carbon content
using solid-state 13C NMR spectroscopy (Steffens et al.
2008, 2009, 2011)."</t>
        </r>
      </text>
    </comment>
    <comment ref="N34" authorId="1">
      <text>
        <r>
          <rPr>
            <b/>
            <sz val="9"/>
            <color indexed="81"/>
            <rFont val="Arial"/>
          </rPr>
          <t>Lyndon Estes:</t>
        </r>
        <r>
          <rPr>
            <sz val="9"/>
            <color indexed="81"/>
            <rFont val="Arial"/>
          </rPr>
          <t xml:space="preserve">
Assume did this over one season only</t>
        </r>
      </text>
    </comment>
    <comment ref="K35" authorId="1">
      <text>
        <r>
          <rPr>
            <b/>
            <sz val="9"/>
            <color indexed="81"/>
            <rFont val="Arial"/>
          </rPr>
          <t>Lyndon Estes:</t>
        </r>
        <r>
          <rPr>
            <sz val="9"/>
            <color indexed="81"/>
            <rFont val="Arial"/>
          </rPr>
          <t xml:space="preserve">
Assume 30 minutes per quadrat</t>
        </r>
      </text>
    </comment>
    <comment ref="N35" authorId="1">
      <text>
        <r>
          <rPr>
            <b/>
            <sz val="9"/>
            <color indexed="81"/>
            <rFont val="Arial"/>
          </rPr>
          <t>Lyndon Estes:</t>
        </r>
        <r>
          <rPr>
            <sz val="9"/>
            <color indexed="81"/>
            <rFont val="Arial"/>
          </rPr>
          <t xml:space="preserve">
Assume three months for the whole study
</t>
        </r>
      </text>
    </comment>
    <comment ref="H36" authorId="1">
      <text>
        <r>
          <rPr>
            <b/>
            <sz val="9"/>
            <color indexed="81"/>
            <rFont val="Arial"/>
          </rPr>
          <t>Lyndon Estes:</t>
        </r>
        <r>
          <rPr>
            <sz val="9"/>
            <color indexed="81"/>
            <rFont val="Arial"/>
          </rPr>
          <t xml:space="preserve">
8.5 cm diameter soil augur</t>
        </r>
      </text>
    </comment>
    <comment ref="I36" authorId="1">
      <text>
        <r>
          <rPr>
            <b/>
            <sz val="9"/>
            <color indexed="81"/>
            <rFont val="Arial"/>
          </rPr>
          <t>Lyndon Estes:</t>
        </r>
        <r>
          <rPr>
            <sz val="9"/>
            <color indexed="81"/>
            <rFont val="Arial"/>
          </rPr>
          <t xml:space="preserve">
3 soil sample per quadrat</t>
        </r>
      </text>
    </comment>
    <comment ref="K36" authorId="1">
      <text>
        <r>
          <rPr>
            <b/>
            <sz val="9"/>
            <color indexed="81"/>
            <rFont val="Arial"/>
          </rPr>
          <t>Lyndon Estes:</t>
        </r>
        <r>
          <rPr>
            <sz val="9"/>
            <color indexed="81"/>
            <rFont val="Arial"/>
          </rPr>
          <t xml:space="preserve">
Assume 20 minutes to collect 3 soil samples per quadrat</t>
        </r>
      </text>
    </comment>
    <comment ref="N36" authorId="1">
      <text>
        <r>
          <rPr>
            <b/>
            <sz val="9"/>
            <color indexed="81"/>
            <rFont val="Arial"/>
          </rPr>
          <t>Lyndon Estes:</t>
        </r>
        <r>
          <rPr>
            <sz val="9"/>
            <color indexed="81"/>
            <rFont val="Arial"/>
          </rPr>
          <t xml:space="preserve">
Assume three months for the whole study
</t>
        </r>
      </text>
    </comment>
    <comment ref="K37" authorId="1">
      <text>
        <r>
          <rPr>
            <b/>
            <sz val="9"/>
            <color indexed="81"/>
            <rFont val="Arial"/>
          </rPr>
          <t>Lyndon Estes:</t>
        </r>
        <r>
          <rPr>
            <sz val="9"/>
            <color indexed="81"/>
            <rFont val="Arial"/>
          </rPr>
          <t xml:space="preserve">
Authors say at least 25 minutes done to scan for arthropods, so that's a minimum</t>
        </r>
      </text>
    </comment>
    <comment ref="M37" authorId="1">
      <text>
        <r>
          <rPr>
            <b/>
            <sz val="9"/>
            <color indexed="81"/>
            <rFont val="Arial"/>
          </rPr>
          <t>Lyndon Estes:</t>
        </r>
        <r>
          <rPr>
            <sz val="9"/>
            <color indexed="81"/>
            <rFont val="Arial"/>
          </rPr>
          <t xml:space="preserve">
Authors say at least 25 minutes done to scan for arthropods, so that's a minimum</t>
        </r>
      </text>
    </comment>
    <comment ref="N37" authorId="1">
      <text>
        <r>
          <rPr>
            <b/>
            <sz val="9"/>
            <color indexed="81"/>
            <rFont val="Arial"/>
          </rPr>
          <t>Lyndon Estes:</t>
        </r>
        <r>
          <rPr>
            <sz val="9"/>
            <color indexed="81"/>
            <rFont val="Arial"/>
          </rPr>
          <t xml:space="preserve">
February, 2001</t>
        </r>
      </text>
    </comment>
    <comment ref="H38" authorId="1">
      <text>
        <r>
          <rPr>
            <b/>
            <sz val="9"/>
            <color indexed="81"/>
            <rFont val="Arial"/>
          </rPr>
          <t>Lyndon Estes:</t>
        </r>
        <r>
          <rPr>
            <sz val="9"/>
            <color indexed="81"/>
            <rFont val="Arial"/>
          </rPr>
          <t xml:space="preserve">
assume instruments has 1 cm diameter for t/soil moisture, etc.</t>
        </r>
      </text>
    </comment>
    <comment ref="I38" authorId="1">
      <text>
        <r>
          <rPr>
            <b/>
            <sz val="9"/>
            <color indexed="81"/>
            <rFont val="Arial"/>
          </rPr>
          <t>Lyndon Estes:</t>
        </r>
        <r>
          <rPr>
            <sz val="9"/>
            <color indexed="81"/>
            <rFont val="Arial"/>
          </rPr>
          <t xml:space="preserve">
Measurements were made beyond the first 20 meters into the cave, but results not provided beyond that
</t>
        </r>
      </text>
    </comment>
    <comment ref="K38" authorId="1">
      <text>
        <r>
          <rPr>
            <b/>
            <sz val="9"/>
            <color indexed="81"/>
            <rFont val="Arial"/>
          </rPr>
          <t>Lyndon Estes:</t>
        </r>
        <r>
          <rPr>
            <sz val="9"/>
            <color indexed="81"/>
            <rFont val="Arial"/>
          </rPr>
          <t xml:space="preserve">
assume readings were taken at end of 25 minute athropod sample, to equilibrate</t>
        </r>
      </text>
    </comment>
    <comment ref="H39" authorId="1">
      <text>
        <r>
          <rPr>
            <b/>
            <sz val="9"/>
            <color indexed="81"/>
            <rFont val="Arial"/>
          </rPr>
          <t>Lyndon Estes:</t>
        </r>
        <r>
          <rPr>
            <sz val="9"/>
            <color indexed="81"/>
            <rFont val="Arial"/>
          </rPr>
          <t xml:space="preserve">
assume 1X1 m raccoon trap</t>
        </r>
      </text>
    </comment>
    <comment ref="I39" authorId="1">
      <text>
        <r>
          <rPr>
            <b/>
            <sz val="9"/>
            <color indexed="81"/>
            <rFont val="Arial"/>
          </rPr>
          <t>Lyndon Estes:</t>
        </r>
        <r>
          <rPr>
            <sz val="9"/>
            <color indexed="81"/>
            <rFont val="Arial"/>
          </rPr>
          <t xml:space="preserve">
Hard to tell, but maximum N of traps reported per woodlot was 30.  I assume 20here</t>
        </r>
      </text>
    </comment>
    <comment ref="M39" authorId="1">
      <text>
        <r>
          <rPr>
            <b/>
            <sz val="9"/>
            <color indexed="81"/>
            <rFont val="Arial"/>
          </rPr>
          <t>Lyndon Estes:</t>
        </r>
        <r>
          <rPr>
            <sz val="9"/>
            <color indexed="81"/>
            <rFont val="Arial"/>
          </rPr>
          <t xml:space="preserve">
Assuming trapping was constant. 4 years of trapping. Start and end dates assumed, inferred from ref study</t>
        </r>
      </text>
    </comment>
    <comment ref="N39" authorId="1">
      <text>
        <r>
          <rPr>
            <b/>
            <sz val="9"/>
            <color indexed="81"/>
            <rFont val="Arial"/>
          </rPr>
          <t>Lyndon Estes:</t>
        </r>
        <r>
          <rPr>
            <sz val="9"/>
            <color indexed="81"/>
            <rFont val="Arial"/>
          </rPr>
          <t xml:space="preserve">
Start and end dates not quite known</t>
        </r>
      </text>
    </comment>
    <comment ref="H40" authorId="1">
      <text>
        <r>
          <rPr>
            <b/>
            <sz val="9"/>
            <color indexed="81"/>
            <rFont val="Arial"/>
          </rPr>
          <t>Lyndon Estes:</t>
        </r>
        <r>
          <rPr>
            <sz val="9"/>
            <color indexed="81"/>
            <rFont val="Arial"/>
          </rPr>
          <t xml:space="preserve">
30 cm diameter sampling sieve, repeated 7 time for one sample</t>
        </r>
      </text>
    </comment>
    <comment ref="K40" authorId="1">
      <text>
        <r>
          <rPr>
            <b/>
            <sz val="9"/>
            <color indexed="81"/>
            <rFont val="Arial"/>
          </rPr>
          <t>Lyndon Estes:</t>
        </r>
        <r>
          <rPr>
            <sz val="9"/>
            <color indexed="81"/>
            <rFont val="Arial"/>
          </rPr>
          <t xml:space="preserve">
Assume the 7 samples took 1 hour to do</t>
        </r>
      </text>
    </comment>
    <comment ref="L40" authorId="1">
      <text>
        <r>
          <rPr>
            <b/>
            <sz val="9"/>
            <color indexed="81"/>
            <rFont val="Arial"/>
          </rPr>
          <t>Lyndon Estes:</t>
        </r>
        <r>
          <rPr>
            <sz val="9"/>
            <color indexed="81"/>
            <rFont val="Arial"/>
          </rPr>
          <t xml:space="preserve">
Sampling from about January, 2009 to May, 2012.  Counted data points, and looks like 35-36)</t>
        </r>
      </text>
    </comment>
    <comment ref="N40" authorId="1">
      <text>
        <r>
          <rPr>
            <b/>
            <sz val="9"/>
            <color indexed="81"/>
            <rFont val="Arial"/>
          </rPr>
          <t>Lyndon Estes:</t>
        </r>
        <r>
          <rPr>
            <sz val="9"/>
            <color indexed="81"/>
            <rFont val="Arial"/>
          </rPr>
          <t xml:space="preserve">
Assume January 1, 2009 until 31 May, 2012</t>
        </r>
      </text>
    </comment>
    <comment ref="H41" authorId="1">
      <text>
        <r>
          <rPr>
            <b/>
            <sz val="9"/>
            <color indexed="81"/>
            <rFont val="Arial"/>
          </rPr>
          <t>Lyndon Estes:</t>
        </r>
        <r>
          <rPr>
            <sz val="9"/>
            <color indexed="81"/>
            <rFont val="Arial"/>
          </rPr>
          <t xml:space="preserve">
Seabird sensor looks about 1 m diameter, and lowered to collect full profile</t>
        </r>
      </text>
    </comment>
    <comment ref="I41" authorId="1">
      <text>
        <r>
          <rPr>
            <b/>
            <sz val="9"/>
            <color indexed="81"/>
            <rFont val="Arial"/>
          </rPr>
          <t>Lyndon Estes:</t>
        </r>
        <r>
          <rPr>
            <sz val="9"/>
            <color indexed="81"/>
            <rFont val="Arial"/>
          </rPr>
          <t xml:space="preserve">
based on counting n samples in depth profiles fig. 6b</t>
        </r>
      </text>
    </comment>
    <comment ref="K41" authorId="1">
      <text>
        <r>
          <rPr>
            <b/>
            <sz val="9"/>
            <color indexed="81"/>
            <rFont val="Arial"/>
          </rPr>
          <t>Lyndon Estes:</t>
        </r>
        <r>
          <rPr>
            <sz val="9"/>
            <color indexed="81"/>
            <rFont val="Arial"/>
          </rPr>
          <t xml:space="preserve">
Assume took 2 hours to do depth profile</t>
        </r>
      </text>
    </comment>
    <comment ref="H42" authorId="1">
      <text>
        <r>
          <rPr>
            <sz val="9"/>
            <color indexed="81"/>
            <rFont val="Arial"/>
          </rPr>
          <t>shipborne PAR detector, assume 10 cm diameter</t>
        </r>
      </text>
    </comment>
    <comment ref="I42" authorId="1">
      <text>
        <r>
          <rPr>
            <b/>
            <sz val="9"/>
            <color indexed="81"/>
            <rFont val="Arial"/>
          </rPr>
          <t>Lyndon Estes:</t>
        </r>
        <r>
          <rPr>
            <sz val="9"/>
            <color indexed="81"/>
            <rFont val="Arial"/>
          </rPr>
          <t xml:space="preserve">
they took PAR readings every 10 minutes over the 28 days
</t>
        </r>
      </text>
    </comment>
    <comment ref="K42" authorId="1">
      <text>
        <r>
          <rPr>
            <b/>
            <sz val="9"/>
            <color indexed="81"/>
            <rFont val="Arial"/>
          </rPr>
          <t>Lyndon Estes:</t>
        </r>
        <r>
          <rPr>
            <sz val="9"/>
            <color indexed="81"/>
            <rFont val="Arial"/>
          </rPr>
          <t xml:space="preserve">
instantaneous</t>
        </r>
      </text>
    </comment>
    <comment ref="H43" authorId="1">
      <text>
        <r>
          <rPr>
            <b/>
            <sz val="9"/>
            <color indexed="81"/>
            <rFont val="Arial"/>
          </rPr>
          <t>Lyndon Estes:</t>
        </r>
        <r>
          <rPr>
            <sz val="9"/>
            <color indexed="81"/>
            <rFont val="Arial"/>
          </rPr>
          <t xml:space="preserve">
assume they used 1 km modis products, which is 0.00833 degrees. Estimate area from area in R after defining bounding extents with this resolution</t>
        </r>
      </text>
    </comment>
    <comment ref="K43" authorId="1">
      <text>
        <r>
          <rPr>
            <b/>
            <sz val="9"/>
            <color indexed="81"/>
            <rFont val="Arial"/>
          </rPr>
          <t>Lyndon Estes:</t>
        </r>
        <r>
          <rPr>
            <sz val="9"/>
            <color indexed="81"/>
            <rFont val="Arial"/>
          </rPr>
          <t xml:space="preserve">
instantaneous</t>
        </r>
      </text>
    </comment>
    <comment ref="M43" authorId="1">
      <text>
        <r>
          <rPr>
            <b/>
            <sz val="9"/>
            <color indexed="81"/>
            <rFont val="Arial"/>
          </rPr>
          <t>Lyndon Estes:</t>
        </r>
        <r>
          <rPr>
            <sz val="9"/>
            <color indexed="81"/>
            <rFont val="Arial"/>
          </rPr>
          <t xml:space="preserve">
assume daily modis data from 1/9/11 to 29/2/12</t>
        </r>
      </text>
    </comment>
    <comment ref="N43" authorId="1">
      <text>
        <r>
          <rPr>
            <b/>
            <sz val="9"/>
            <color indexed="81"/>
            <rFont val="Arial"/>
          </rPr>
          <t>Lyndon Estes:</t>
        </r>
        <r>
          <rPr>
            <sz val="9"/>
            <color indexed="81"/>
            <rFont val="Arial"/>
          </rPr>
          <t xml:space="preserve">
assume daily modis data from 1/9/11 to 29/2/12</t>
        </r>
      </text>
    </comment>
    <comment ref="H44" authorId="1">
      <text>
        <r>
          <rPr>
            <sz val="9"/>
            <color indexed="81"/>
            <rFont val="Arial"/>
          </rPr>
          <t xml:space="preserve">assume 10 cm diameter for towed fish intake
</t>
        </r>
      </text>
    </comment>
    <comment ref="I44" authorId="1">
      <text>
        <r>
          <rPr>
            <b/>
            <sz val="9"/>
            <color indexed="81"/>
            <rFont val="Arial"/>
          </rPr>
          <t>Lyndon Estes:</t>
        </r>
        <r>
          <rPr>
            <sz val="9"/>
            <color indexed="81"/>
            <rFont val="Arial"/>
          </rPr>
          <t xml:space="preserve">
based on counting fig. 2 observations (d)</t>
        </r>
      </text>
    </comment>
    <comment ref="K44" authorId="1">
      <text>
        <r>
          <rPr>
            <b/>
            <sz val="9"/>
            <color indexed="81"/>
            <rFont val="Arial"/>
          </rPr>
          <t>Lyndon Estes:</t>
        </r>
        <r>
          <rPr>
            <sz val="9"/>
            <color indexed="81"/>
            <rFont val="Arial"/>
          </rPr>
          <t xml:space="preserve">
instantaneous</t>
        </r>
      </text>
    </comment>
    <comment ref="L44" authorId="1">
      <text>
        <r>
          <rPr>
            <b/>
            <sz val="9"/>
            <color indexed="81"/>
            <rFont val="Arial"/>
          </rPr>
          <t>Lyndon Estes:</t>
        </r>
        <r>
          <rPr>
            <sz val="9"/>
            <color indexed="81"/>
            <rFont val="Arial"/>
          </rPr>
          <t xml:space="preserve">
Sampling from about January, 2009 to May, 2012.  Fish used 13 times)</t>
        </r>
      </text>
    </comment>
    <comment ref="H45" authorId="1">
      <text>
        <r>
          <rPr>
            <b/>
            <sz val="9"/>
            <color indexed="81"/>
            <rFont val="Arial"/>
          </rPr>
          <t>Lyndon Estes:</t>
        </r>
        <r>
          <rPr>
            <sz val="9"/>
            <color indexed="81"/>
            <rFont val="Arial"/>
          </rPr>
          <t xml:space="preserve">
assume swallow nest is unit in this sample, 15 cm diameter</t>
        </r>
      </text>
    </comment>
    <comment ref="K45" authorId="1">
      <text>
        <r>
          <rPr>
            <b/>
            <sz val="9"/>
            <color indexed="81"/>
            <rFont val="Arial"/>
          </rPr>
          <t>Lyndon Estes:</t>
        </r>
        <r>
          <rPr>
            <sz val="9"/>
            <color indexed="81"/>
            <rFont val="Arial"/>
          </rPr>
          <t xml:space="preserve">
assume 5 minutes to sample nest</t>
        </r>
      </text>
    </comment>
    <comment ref="M45" authorId="1">
      <text>
        <r>
          <rPr>
            <b/>
            <sz val="9"/>
            <color indexed="81"/>
            <rFont val="Arial"/>
          </rPr>
          <t>Lyndon Estes:</t>
        </r>
        <r>
          <rPr>
            <sz val="9"/>
            <color indexed="81"/>
            <rFont val="Arial"/>
          </rPr>
          <t xml:space="preserve">
assume 1 month represents "spring" in each year of study, 2001-2002</t>
        </r>
      </text>
    </comment>
    <comment ref="N45" authorId="1">
      <text>
        <r>
          <rPr>
            <b/>
            <sz val="9"/>
            <color indexed="81"/>
            <rFont val="Arial"/>
          </rPr>
          <t>Lyndon Estes:</t>
        </r>
        <r>
          <rPr>
            <sz val="9"/>
            <color indexed="81"/>
            <rFont val="Arial"/>
          </rPr>
          <t xml:space="preserve">
Assume spring range from 1/4 to 15/5</t>
        </r>
      </text>
    </comment>
    <comment ref="H46" authorId="1">
      <text>
        <r>
          <rPr>
            <b/>
            <sz val="9"/>
            <color indexed="81"/>
            <rFont val="Arial"/>
          </rPr>
          <t>Lyndon Estes:</t>
        </r>
        <r>
          <rPr>
            <sz val="9"/>
            <color indexed="81"/>
            <rFont val="Arial"/>
          </rPr>
          <t xml:space="preserve">
assume baby swallow is 5 cm "diameter"</t>
        </r>
      </text>
    </comment>
    <comment ref="K46" authorId="1">
      <text>
        <r>
          <rPr>
            <b/>
            <sz val="9"/>
            <color indexed="81"/>
            <rFont val="Arial"/>
          </rPr>
          <t>Lyndon Estes:</t>
        </r>
        <r>
          <rPr>
            <sz val="9"/>
            <color indexed="81"/>
            <rFont val="Arial"/>
          </rPr>
          <t xml:space="preserve">
assume 10 minutes to measure bird bodies</t>
        </r>
      </text>
    </comment>
    <comment ref="L46" authorId="1">
      <text>
        <r>
          <rPr>
            <b/>
            <sz val="9"/>
            <color indexed="81"/>
            <rFont val="Arial"/>
          </rPr>
          <t>Lyndon Estes:</t>
        </r>
        <r>
          <rPr>
            <sz val="9"/>
            <color indexed="81"/>
            <rFont val="Arial"/>
          </rPr>
          <t xml:space="preserve">
birds measured on days 4, 7, 12 post hatching</t>
        </r>
      </text>
    </comment>
    <comment ref="M46" authorId="1">
      <text>
        <r>
          <rPr>
            <b/>
            <sz val="9"/>
            <color indexed="81"/>
            <rFont val="Arial"/>
          </rPr>
          <t>Lyndon Estes:</t>
        </r>
        <r>
          <rPr>
            <sz val="9"/>
            <color indexed="81"/>
            <rFont val="Arial"/>
          </rPr>
          <t xml:space="preserve">
assume this was done 3 times total per bird, because different birds in the two seasons</t>
        </r>
      </text>
    </comment>
    <comment ref="N46" authorId="1">
      <text>
        <r>
          <rPr>
            <b/>
            <sz val="9"/>
            <color indexed="81"/>
            <rFont val="Arial"/>
          </rPr>
          <t>Lyndon Estes:</t>
        </r>
        <r>
          <rPr>
            <sz val="9"/>
            <color indexed="81"/>
            <rFont val="Arial"/>
          </rPr>
          <t xml:space="preserve">
Assume spring range from 1/4 to 15/5</t>
        </r>
      </text>
    </comment>
    <comment ref="H47" authorId="1">
      <text>
        <r>
          <rPr>
            <b/>
            <sz val="9"/>
            <color indexed="81"/>
            <rFont val="Arial"/>
          </rPr>
          <t>Lyndon Estes:</t>
        </r>
        <r>
          <rPr>
            <sz val="9"/>
            <color indexed="81"/>
            <rFont val="Arial"/>
          </rPr>
          <t xml:space="preserve">
assume pinus taeda catkin is 0.5 cm radius
</t>
        </r>
      </text>
    </comment>
    <comment ref="I47" authorId="1">
      <text>
        <r>
          <rPr>
            <b/>
            <sz val="9"/>
            <color indexed="81"/>
            <rFont val="Arial"/>
          </rPr>
          <t>Lyndon Estes:</t>
        </r>
        <r>
          <rPr>
            <sz val="9"/>
            <color indexed="81"/>
            <rFont val="Arial"/>
          </rPr>
          <t xml:space="preserve">
No information given on how many catkins collected. Assume 3 per genotype, and there were a total of10 genotypes</t>
        </r>
      </text>
    </comment>
    <comment ref="K47" authorId="1">
      <text>
        <r>
          <rPr>
            <b/>
            <sz val="9"/>
            <color indexed="81"/>
            <rFont val="Arial"/>
          </rPr>
          <t>Lyndon Estes:</t>
        </r>
        <r>
          <rPr>
            <sz val="9"/>
            <color indexed="81"/>
            <rFont val="Arial"/>
          </rPr>
          <t xml:space="preserve">
assume 1 minute per catkin</t>
        </r>
      </text>
    </comment>
    <comment ref="K48" authorId="1">
      <text>
        <r>
          <rPr>
            <b/>
            <sz val="9"/>
            <color indexed="81"/>
            <rFont val="Arial"/>
          </rPr>
          <t>Lyndon Estes:</t>
        </r>
        <r>
          <rPr>
            <sz val="9"/>
            <color indexed="81"/>
            <rFont val="Arial"/>
          </rPr>
          <t xml:space="preserve">
assume took 60 minutes to sample each plot</t>
        </r>
      </text>
    </comment>
    <comment ref="M48" authorId="1">
      <text>
        <r>
          <rPr>
            <b/>
            <sz val="9"/>
            <color indexed="81"/>
            <rFont val="Arial"/>
          </rPr>
          <t>Lyndon Estes:</t>
        </r>
        <r>
          <rPr>
            <sz val="9"/>
            <color indexed="81"/>
            <rFont val="Arial"/>
          </rPr>
          <t xml:space="preserve">
collected once in each of 3 years</t>
        </r>
      </text>
    </comment>
    <comment ref="N48" authorId="1">
      <text>
        <r>
          <rPr>
            <b/>
            <sz val="9"/>
            <color indexed="81"/>
            <rFont val="Arial"/>
          </rPr>
          <t>Lyndon Estes:</t>
        </r>
        <r>
          <rPr>
            <sz val="9"/>
            <color indexed="81"/>
            <rFont val="Arial"/>
          </rPr>
          <t xml:space="preserve">
start and end date of study unclear</t>
        </r>
      </text>
    </comment>
    <comment ref="H49" authorId="1">
      <text>
        <r>
          <rPr>
            <b/>
            <sz val="9"/>
            <color indexed="81"/>
            <rFont val="Arial"/>
          </rPr>
          <t>Lyndon Estes:</t>
        </r>
        <r>
          <rPr>
            <sz val="9"/>
            <color indexed="81"/>
            <rFont val="Arial"/>
          </rPr>
          <t xml:space="preserve">
assume 1 cm radius temp measurements, for all variables in flux tower</t>
        </r>
      </text>
    </comment>
    <comment ref="L49" authorId="1">
      <text>
        <r>
          <rPr>
            <b/>
            <sz val="9"/>
            <color indexed="81"/>
            <rFont val="Arial"/>
          </rPr>
          <t>Lyndon Estes:</t>
        </r>
        <r>
          <rPr>
            <sz val="9"/>
            <color indexed="81"/>
            <rFont val="Arial"/>
          </rPr>
          <t xml:space="preserve">
10 seconds between samples</t>
        </r>
      </text>
    </comment>
    <comment ref="K50" authorId="1">
      <text>
        <r>
          <rPr>
            <b/>
            <sz val="9"/>
            <color indexed="81"/>
            <rFont val="Arial"/>
          </rPr>
          <t>Lyndon Estes:</t>
        </r>
        <r>
          <rPr>
            <sz val="9"/>
            <color indexed="81"/>
            <rFont val="Arial"/>
          </rPr>
          <t xml:space="preserve">
assume took 60 minutes to sample each plot</t>
        </r>
      </text>
    </comment>
    <comment ref="N50" authorId="1">
      <text>
        <r>
          <rPr>
            <b/>
            <sz val="9"/>
            <color indexed="81"/>
            <rFont val="Arial"/>
          </rPr>
          <t>Lyndon Estes:</t>
        </r>
        <r>
          <rPr>
            <sz val="9"/>
            <color indexed="81"/>
            <rFont val="Arial"/>
          </rPr>
          <t xml:space="preserve">
assume this part of study was a single day</t>
        </r>
      </text>
    </comment>
    <comment ref="H51" authorId="1">
      <text>
        <r>
          <rPr>
            <b/>
            <sz val="9"/>
            <color indexed="81"/>
            <rFont val="Arial"/>
          </rPr>
          <t>Lyndon Estes:</t>
        </r>
        <r>
          <rPr>
            <sz val="9"/>
            <color indexed="81"/>
            <rFont val="Arial"/>
          </rPr>
          <t xml:space="preserve">
Assume 1 cm wide core and 5 cm long core on average
</t>
        </r>
      </text>
    </comment>
    <comment ref="K51" authorId="1">
      <text>
        <r>
          <rPr>
            <b/>
            <sz val="9"/>
            <color indexed="81"/>
            <rFont val="Arial"/>
          </rPr>
          <t>Lyndon Estes:</t>
        </r>
        <r>
          <rPr>
            <sz val="9"/>
            <color indexed="81"/>
            <rFont val="Arial"/>
          </rPr>
          <t xml:space="preserve">
assume 15
 minutes to take a core</t>
        </r>
      </text>
    </comment>
    <comment ref="N51" authorId="1">
      <text>
        <r>
          <rPr>
            <b/>
            <sz val="9"/>
            <color indexed="81"/>
            <rFont val="Arial"/>
          </rPr>
          <t>Lyndon Estes:</t>
        </r>
        <r>
          <rPr>
            <sz val="9"/>
            <color indexed="81"/>
            <rFont val="Arial"/>
          </rPr>
          <t xml:space="preserve">
assume this part of study was a single day</t>
        </r>
      </text>
    </comment>
    <comment ref="M52" authorId="1">
      <text>
        <r>
          <rPr>
            <b/>
            <sz val="9"/>
            <color indexed="81"/>
            <rFont val="Arial"/>
          </rPr>
          <t>Lyndon Estes:</t>
        </r>
        <r>
          <rPr>
            <sz val="9"/>
            <color indexed="81"/>
            <rFont val="Arial"/>
          </rPr>
          <t xml:space="preserve">
assume 15 months of sampling, May-Sept each year to get litterfall rates</t>
        </r>
      </text>
    </comment>
    <comment ref="N52" authorId="1">
      <text>
        <r>
          <rPr>
            <b/>
            <sz val="9"/>
            <color indexed="81"/>
            <rFont val="Arial"/>
          </rPr>
          <t>Lyndon Estes:</t>
        </r>
        <r>
          <rPr>
            <sz val="9"/>
            <color indexed="81"/>
            <rFont val="Arial"/>
          </rPr>
          <t xml:space="preserve">
start and end date of study unclear, assume began spring and ended in early October`</t>
        </r>
      </text>
    </comment>
    <comment ref="H53" authorId="1">
      <text>
        <r>
          <rPr>
            <b/>
            <sz val="9"/>
            <color indexed="81"/>
            <rFont val="Arial"/>
          </rPr>
          <t>Lyndon Estes:</t>
        </r>
        <r>
          <rPr>
            <sz val="9"/>
            <color indexed="81"/>
            <rFont val="Arial"/>
          </rPr>
          <t xml:space="preserve">
assume diameter of mature trees is 20 c, and that sample unit is whole tree stem</t>
        </r>
      </text>
    </comment>
    <comment ref="M53" authorId="1">
      <text>
        <r>
          <rPr>
            <b/>
            <sz val="9"/>
            <color indexed="81"/>
            <rFont val="Arial"/>
          </rPr>
          <t>Lyndon Estes:</t>
        </r>
        <r>
          <rPr>
            <sz val="9"/>
            <color indexed="81"/>
            <rFont val="Arial"/>
          </rPr>
          <t xml:space="preserve">
assume 48 of these measurements made in a day, which are effectively 30 minute readings because they are averaged</t>
        </r>
      </text>
    </comment>
    <comment ref="H54" authorId="1">
      <text>
        <r>
          <rPr>
            <b/>
            <sz val="9"/>
            <color indexed="81"/>
            <rFont val="Arial"/>
          </rPr>
          <t>Lyndon Estes:</t>
        </r>
        <r>
          <rPr>
            <sz val="9"/>
            <color indexed="81"/>
            <rFont val="Arial"/>
          </rPr>
          <t xml:space="preserve">
assume oak leaf is 10X10 cm of each oak species (over and understorey), huckleberry is 2 X 1 cm, pine 0.5 X 4 cm. Weighted average</t>
        </r>
      </text>
    </comment>
    <comment ref="K54" authorId="1">
      <text>
        <r>
          <rPr>
            <b/>
            <sz val="9"/>
            <color indexed="81"/>
            <rFont val="Arial"/>
          </rPr>
          <t>Lyndon Estes:</t>
        </r>
        <r>
          <rPr>
            <sz val="9"/>
            <color indexed="81"/>
            <rFont val="Arial"/>
          </rPr>
          <t xml:space="preserve">
assume 5 minutes per reading, per Adam's answer on this</t>
        </r>
      </text>
    </comment>
    <comment ref="M54" authorId="1">
      <text>
        <r>
          <rPr>
            <b/>
            <sz val="9"/>
            <color indexed="81"/>
            <rFont val="Arial"/>
          </rPr>
          <t>Lyndon Estes:</t>
        </r>
        <r>
          <rPr>
            <sz val="9"/>
            <color indexed="81"/>
            <rFont val="Arial"/>
          </rPr>
          <t xml:space="preserve">
5 measurements made per leaf</t>
        </r>
      </text>
    </comment>
    <comment ref="K55" authorId="1">
      <text>
        <r>
          <rPr>
            <b/>
            <sz val="9"/>
            <color indexed="81"/>
            <rFont val="Arial"/>
          </rPr>
          <t>Lyndon Estes:</t>
        </r>
        <r>
          <rPr>
            <sz val="9"/>
            <color indexed="81"/>
            <rFont val="Arial"/>
          </rPr>
          <t xml:space="preserve">
30 minute averages for C)2 concentrations</t>
        </r>
      </text>
    </comment>
    <comment ref="N55" authorId="1">
      <text>
        <r>
          <rPr>
            <b/>
            <sz val="9"/>
            <color indexed="81"/>
            <rFont val="Arial"/>
          </rPr>
          <t>Lyndon Estes:</t>
        </r>
        <r>
          <rPr>
            <sz val="9"/>
            <color indexed="81"/>
            <rFont val="Arial"/>
          </rPr>
          <t xml:space="preserve">
assume this is from Clark et al, started in Nov 2004, assume end was December 31, 2007</t>
        </r>
      </text>
    </comment>
    <comment ref="I56" authorId="1">
      <text>
        <r>
          <rPr>
            <b/>
            <sz val="9"/>
            <color indexed="81"/>
            <rFont val="Arial"/>
          </rPr>
          <t>Lyndon Estes:</t>
        </r>
        <r>
          <rPr>
            <sz val="9"/>
            <color indexed="81"/>
            <rFont val="Arial"/>
          </rPr>
          <t xml:space="preserve">
10-20 given as range of clip plots. Mean selected here</t>
        </r>
      </text>
    </comment>
    <comment ref="K56" authorId="1">
      <text>
        <r>
          <rPr>
            <b/>
            <sz val="9"/>
            <color indexed="81"/>
            <rFont val="Arial"/>
          </rPr>
          <t>Lyndon Estes:</t>
        </r>
        <r>
          <rPr>
            <sz val="9"/>
            <color indexed="81"/>
            <rFont val="Arial"/>
          </rPr>
          <t xml:space="preserve">
assume 10 minute per clip plot</t>
        </r>
      </text>
    </comment>
    <comment ref="H57" authorId="1">
      <text>
        <r>
          <rPr>
            <b/>
            <sz val="9"/>
            <color indexed="81"/>
            <rFont val="Arial"/>
          </rPr>
          <t>Lyndon Estes:</t>
        </r>
        <r>
          <rPr>
            <sz val="9"/>
            <color indexed="81"/>
            <rFont val="Arial"/>
          </rPr>
          <t xml:space="preserve">
have no idea plot res, but asusme it was tied to the forest plots around the study site. Same with n sites
</t>
        </r>
      </text>
    </comment>
    <comment ref="K57" authorId="1">
      <text>
        <r>
          <rPr>
            <b/>
            <sz val="9"/>
            <color indexed="81"/>
            <rFont val="Arial"/>
          </rPr>
          <t>Lyndon Estes:</t>
        </r>
        <r>
          <rPr>
            <sz val="9"/>
            <color indexed="81"/>
            <rFont val="Arial"/>
          </rPr>
          <t xml:space="preserve">
assume 1 hour to do upward looking lidar. 0 detail given, however</t>
        </r>
      </text>
    </comment>
    <comment ref="L57" authorId="1">
      <text>
        <r>
          <rPr>
            <b/>
            <sz val="9"/>
            <color indexed="81"/>
            <rFont val="Arial"/>
          </rPr>
          <t>Lyndon Estes:</t>
        </r>
        <r>
          <rPr>
            <sz val="9"/>
            <color indexed="81"/>
            <rFont val="Arial"/>
          </rPr>
          <t xml:space="preserve">
assume 30 days average between leaf-up, disturbance, and re-shooting</t>
        </r>
      </text>
    </comment>
    <comment ref="J58" authorId="1">
      <text>
        <r>
          <rPr>
            <b/>
            <sz val="9"/>
            <color indexed="81"/>
            <rFont val="Arial"/>
          </rPr>
          <t>Lyndon Estes:</t>
        </r>
        <r>
          <rPr>
            <sz val="9"/>
            <color indexed="81"/>
            <rFont val="Arial"/>
          </rPr>
          <t xml:space="preserve">
n gps point data from table s1 in supporting data. Assume sample is total flight length birds, multipled by bird 2-d area to get area</t>
        </r>
      </text>
    </comment>
    <comment ref="K58" authorId="1">
      <text>
        <r>
          <rPr>
            <b/>
            <sz val="9"/>
            <color indexed="81"/>
            <rFont val="Arial"/>
          </rPr>
          <t>Lyndon Estes:</t>
        </r>
        <r>
          <rPr>
            <sz val="9"/>
            <color indexed="81"/>
            <rFont val="Arial"/>
          </rPr>
          <t xml:space="preserve">
assume instantaneous GPS measurement
</t>
        </r>
      </text>
    </comment>
    <comment ref="L58" authorId="1">
      <text>
        <r>
          <rPr>
            <b/>
            <sz val="9"/>
            <color indexed="81"/>
            <rFont val="Arial"/>
          </rPr>
          <t>Lyndon Estes:</t>
        </r>
        <r>
          <rPr>
            <sz val="9"/>
            <color indexed="81"/>
            <rFont val="Arial"/>
          </rPr>
          <t xml:space="preserve">
calculated from supplementary table S1 in supporting paper 10.1073/pnas.1121201109</t>
        </r>
      </text>
    </comment>
    <comment ref="M58" authorId="1">
      <text>
        <r>
          <rPr>
            <b/>
            <sz val="9"/>
            <color indexed="81"/>
            <rFont val="Arial"/>
          </rPr>
          <t>Lyndon Estes:</t>
        </r>
        <r>
          <rPr>
            <sz val="9"/>
            <color indexed="81"/>
            <rFont val="Arial"/>
          </rPr>
          <t xml:space="preserve">
from calc sheet for albatrosses</t>
        </r>
      </text>
    </comment>
    <comment ref="N58" authorId="1">
      <text>
        <r>
          <rPr>
            <b/>
            <sz val="9"/>
            <color indexed="81"/>
            <rFont val="Arial"/>
          </rPr>
          <t>Lyndon Estes:</t>
        </r>
        <r>
          <rPr>
            <sz val="9"/>
            <color indexed="81"/>
            <rFont val="Arial"/>
          </rPr>
          <t xml:space="preserve">
they say 2002-2010, but not sure of start and end months in supporting study</t>
        </r>
      </text>
    </comment>
    <comment ref="H59" authorId="1">
      <text>
        <r>
          <rPr>
            <b/>
            <sz val="9"/>
            <color indexed="81"/>
            <rFont val="Arial"/>
          </rPr>
          <t>Lyndon Estes:</t>
        </r>
        <r>
          <rPr>
            <sz val="9"/>
            <color indexed="81"/>
            <rFont val="Arial"/>
          </rPr>
          <t xml:space="preserve">
sample unit is individual plant, assume 20 cm diameter average based on max size of 40X30 given</t>
        </r>
      </text>
    </comment>
    <comment ref="I59" authorId="1">
      <text>
        <r>
          <rPr>
            <b/>
            <sz val="9"/>
            <color indexed="81"/>
            <rFont val="Arial"/>
          </rPr>
          <t>Lyndon Estes:</t>
        </r>
        <r>
          <rPr>
            <sz val="9"/>
            <color indexed="81"/>
            <rFont val="Arial"/>
          </rPr>
          <t xml:space="preserve">
Using the number they sampled representing mortality, which includes all growing plus ones they infereed to be dead, so presumably max number they did repeat samples on</t>
        </r>
      </text>
    </comment>
    <comment ref="K59" authorId="1">
      <text>
        <r>
          <rPr>
            <b/>
            <sz val="9"/>
            <color indexed="81"/>
            <rFont val="Arial"/>
          </rPr>
          <t>Lyndon Estes:</t>
        </r>
        <r>
          <rPr>
            <sz val="9"/>
            <color indexed="81"/>
            <rFont val="Arial"/>
          </rPr>
          <t xml:space="preserve">
assume it took 10 minutes to sample size, etc on each plant</t>
        </r>
      </text>
    </comment>
    <comment ref="L59" authorId="1">
      <text>
        <r>
          <rPr>
            <b/>
            <sz val="9"/>
            <color indexed="81"/>
            <rFont val="Arial"/>
          </rPr>
          <t>Lyndon Estes:</t>
        </r>
        <r>
          <rPr>
            <sz val="9"/>
            <color indexed="81"/>
            <rFont val="Arial"/>
          </rPr>
          <t xml:space="preserve">
assume resampling done in Jan 1998 and Jan 2003</t>
        </r>
      </text>
    </comment>
    <comment ref="N59" authorId="1">
      <text>
        <r>
          <rPr>
            <b/>
            <sz val="9"/>
            <color indexed="81"/>
            <rFont val="Arial"/>
          </rPr>
          <t>Lyndon Estes:</t>
        </r>
        <r>
          <rPr>
            <sz val="9"/>
            <color indexed="81"/>
            <rFont val="Arial"/>
          </rPr>
          <t xml:space="preserve">
only years given for study span, 1998-2003, but measurement started around flowering time (Jan-Feb) given. Assume end date was after fruiting period given (May)</t>
        </r>
      </text>
    </comment>
    <comment ref="H60" authorId="1">
      <text>
        <r>
          <rPr>
            <b/>
            <sz val="9"/>
            <color indexed="81"/>
            <rFont val="Arial"/>
          </rPr>
          <t>Lyndon Estes:</t>
        </r>
        <r>
          <rPr>
            <sz val="9"/>
            <color indexed="81"/>
            <rFont val="Arial"/>
          </rPr>
          <t xml:space="preserve">
sample unit is individual plant, assume 20 cm diameter average based on max size of 40X30 given</t>
        </r>
      </text>
    </comment>
    <comment ref="K60" authorId="1">
      <text>
        <r>
          <rPr>
            <b/>
            <sz val="9"/>
            <color indexed="81"/>
            <rFont val="Arial"/>
          </rPr>
          <t>Lyndon Estes:</t>
        </r>
        <r>
          <rPr>
            <sz val="9"/>
            <color indexed="81"/>
            <rFont val="Arial"/>
          </rPr>
          <t xml:space="preserve">
assume it took 10 minutes to sample size, etc on each plant</t>
        </r>
      </text>
    </comment>
    <comment ref="H61" authorId="1">
      <text>
        <r>
          <rPr>
            <b/>
            <sz val="9"/>
            <color indexed="81"/>
            <rFont val="Arial"/>
          </rPr>
          <t>Lyndon Estes:</t>
        </r>
        <r>
          <rPr>
            <sz val="9"/>
            <color indexed="81"/>
            <rFont val="Arial"/>
          </rPr>
          <t xml:space="preserve">
average area of plots, 0.012-0.05 ha</t>
        </r>
      </text>
    </comment>
    <comment ref="K61" authorId="1">
      <text>
        <r>
          <rPr>
            <b/>
            <sz val="9"/>
            <color indexed="81"/>
            <rFont val="Arial"/>
          </rPr>
          <t>Lyndon Estes:</t>
        </r>
        <r>
          <rPr>
            <sz val="9"/>
            <color indexed="81"/>
            <rFont val="Arial"/>
          </rPr>
          <t xml:space="preserve">
assume 30 minutes per plot</t>
        </r>
      </text>
    </comment>
    <comment ref="L61" authorId="1">
      <text>
        <r>
          <rPr>
            <b/>
            <sz val="9"/>
            <color indexed="81"/>
            <rFont val="Arial"/>
          </rPr>
          <t>Lyndon Estes:</t>
        </r>
        <r>
          <rPr>
            <sz val="9"/>
            <color indexed="81"/>
            <rFont val="Arial"/>
          </rPr>
          <t xml:space="preserve">
assume only one sample for each of three seasons
</t>
        </r>
      </text>
    </comment>
    <comment ref="M61" authorId="1">
      <text>
        <r>
          <rPr>
            <b/>
            <sz val="9"/>
            <color indexed="81"/>
            <rFont val="Arial"/>
          </rPr>
          <t>Lyndon Estes:</t>
        </r>
        <r>
          <rPr>
            <sz val="9"/>
            <color indexed="81"/>
            <rFont val="Arial"/>
          </rPr>
          <t xml:space="preserve">
60 sites X 30 minutes each X 3 seasons</t>
        </r>
      </text>
    </comment>
    <comment ref="I62" authorId="1">
      <text>
        <r>
          <rPr>
            <b/>
            <sz val="9"/>
            <color indexed="81"/>
            <rFont val="Arial"/>
          </rPr>
          <t>Lyndon Estes:</t>
        </r>
        <r>
          <rPr>
            <sz val="9"/>
            <color indexed="81"/>
            <rFont val="Arial"/>
          </rPr>
          <t xml:space="preserve">
n pixels in landsat scene</t>
        </r>
      </text>
    </comment>
    <comment ref="K63" authorId="1">
      <text>
        <r>
          <rPr>
            <b/>
            <sz val="9"/>
            <color indexed="81"/>
            <rFont val="Arial"/>
          </rPr>
          <t>Lyndon Estes:</t>
        </r>
        <r>
          <rPr>
            <sz val="9"/>
            <color indexed="81"/>
            <rFont val="Arial"/>
          </rPr>
          <t xml:space="preserve">
Samples collected 2-3 times during a 24 hour period--setup in morning, sampling at sunset and next morning. Assume samples were mixed to make one</t>
        </r>
      </text>
    </comment>
    <comment ref="L63" authorId="1">
      <text>
        <r>
          <rPr>
            <b/>
            <sz val="9"/>
            <color indexed="81"/>
            <rFont val="Arial"/>
          </rPr>
          <t>Lyndon Estes:</t>
        </r>
        <r>
          <rPr>
            <sz val="9"/>
            <color indexed="81"/>
            <rFont val="Arial"/>
          </rPr>
          <t xml:space="preserve">
monthly samples</t>
        </r>
      </text>
    </comment>
    <comment ref="M63" authorId="1">
      <text>
        <r>
          <rPr>
            <b/>
            <sz val="9"/>
            <color indexed="81"/>
            <rFont val="Arial"/>
          </rPr>
          <t>Lyndon Estes:</t>
        </r>
        <r>
          <rPr>
            <sz val="9"/>
            <color indexed="81"/>
            <rFont val="Arial"/>
          </rPr>
          <t xml:space="preserve">
20 months worth of samples, but 19 data points</t>
        </r>
      </text>
    </comment>
    <comment ref="N63" authorId="1">
      <text>
        <r>
          <rPr>
            <b/>
            <sz val="9"/>
            <color indexed="81"/>
            <rFont val="Arial"/>
          </rPr>
          <t>Lyndon Estes:</t>
        </r>
        <r>
          <rPr>
            <sz val="9"/>
            <color indexed="81"/>
            <rFont val="Arial"/>
          </rPr>
          <t xml:space="preserve">
start and end date of months listed assumed 1 and 30</t>
        </r>
      </text>
    </comment>
    <comment ref="H64" authorId="1">
      <text>
        <r>
          <rPr>
            <b/>
            <sz val="9"/>
            <color indexed="81"/>
            <rFont val="Arial"/>
          </rPr>
          <t>Lyndon Estes:</t>
        </r>
        <r>
          <rPr>
            <sz val="9"/>
            <color indexed="81"/>
            <rFont val="Arial"/>
          </rPr>
          <t xml:space="preserve">
assume ctd is 75 cm diameter</t>
        </r>
      </text>
    </comment>
    <comment ref="K64" authorId="1">
      <text>
        <r>
          <rPr>
            <b/>
            <sz val="9"/>
            <color indexed="81"/>
            <rFont val="Arial"/>
          </rPr>
          <t>Lyndon Estes:</t>
        </r>
        <r>
          <rPr>
            <sz val="9"/>
            <color indexed="81"/>
            <rFont val="Arial"/>
          </rPr>
          <t xml:space="preserve">
Read that sondes are lowered at 0.5 m/s, this one went to 18 m</t>
        </r>
      </text>
    </comment>
    <comment ref="H65" authorId="1">
      <text>
        <r>
          <rPr>
            <b/>
            <sz val="9"/>
            <color indexed="81"/>
            <rFont val="Arial"/>
          </rPr>
          <t>Lyndon Estes:</t>
        </r>
        <r>
          <rPr>
            <sz val="9"/>
            <color indexed="81"/>
            <rFont val="Arial"/>
          </rPr>
          <t xml:space="preserve">
assume ctd is 75 cm diameter</t>
        </r>
      </text>
    </comment>
    <comment ref="K65" authorId="1">
      <text>
        <r>
          <rPr>
            <b/>
            <sz val="9"/>
            <color indexed="81"/>
            <rFont val="Arial"/>
          </rPr>
          <t>Lyndon Estes:</t>
        </r>
        <r>
          <rPr>
            <sz val="9"/>
            <color indexed="81"/>
            <rFont val="Arial"/>
          </rPr>
          <t xml:space="preserve">
Read that sondes are lowered at 0.5 m/s, this one went to 18 m</t>
        </r>
      </text>
    </comment>
    <comment ref="H66" authorId="1">
      <text>
        <r>
          <rPr>
            <b/>
            <sz val="9"/>
            <color indexed="81"/>
            <rFont val="Arial"/>
          </rPr>
          <t>Lyndon Estes:</t>
        </r>
        <r>
          <rPr>
            <sz val="9"/>
            <color indexed="81"/>
            <rFont val="Arial"/>
          </rPr>
          <t xml:space="preserve">
Teledyne Ryan doppler profiler radius</t>
        </r>
      </text>
    </comment>
    <comment ref="K66" authorId="1">
      <text>
        <r>
          <rPr>
            <b/>
            <sz val="9"/>
            <color indexed="81"/>
            <rFont val="Arial"/>
          </rPr>
          <t>Lyndon Estes:</t>
        </r>
        <r>
          <rPr>
            <sz val="9"/>
            <color indexed="81"/>
            <rFont val="Arial"/>
          </rPr>
          <t xml:space="preserve">
Averaged depths from table 1 to get typical depth, 4 m intervals on current measurements, so 6 per profile, X 2 m2 minutes per porifile</t>
        </r>
      </text>
    </comment>
    <comment ref="N66" authorId="1">
      <text>
        <r>
          <rPr>
            <b/>
            <sz val="9"/>
            <color indexed="81"/>
            <rFont val="Arial"/>
          </rPr>
          <t>Lyndon Estes:</t>
        </r>
        <r>
          <rPr>
            <sz val="9"/>
            <color indexed="81"/>
            <rFont val="Arial"/>
          </rPr>
          <t xml:space="preserve">
start and end date of months listed assumed 1 and 30</t>
        </r>
      </text>
    </comment>
    <comment ref="H67" authorId="1">
      <text>
        <r>
          <rPr>
            <b/>
            <sz val="9"/>
            <color indexed="81"/>
            <rFont val="Arial"/>
          </rPr>
          <t>Lyndon Estes:</t>
        </r>
        <r>
          <rPr>
            <sz val="9"/>
            <color indexed="81"/>
            <rFont val="Arial"/>
          </rPr>
          <t xml:space="preserve">
Teledyne Ryan doppler profiler radius</t>
        </r>
      </text>
    </comment>
    <comment ref="L67" authorId="1">
      <text>
        <r>
          <rPr>
            <b/>
            <sz val="9"/>
            <color indexed="81"/>
            <rFont val="Arial"/>
          </rPr>
          <t>Lyndon Estes:</t>
        </r>
        <r>
          <rPr>
            <sz val="9"/>
            <color indexed="81"/>
            <rFont val="Arial"/>
          </rPr>
          <t xml:space="preserve">
average of time between cruises
</t>
        </r>
      </text>
    </comment>
    <comment ref="H68" authorId="1">
      <text>
        <r>
          <rPr>
            <b/>
            <sz val="9"/>
            <color indexed="81"/>
            <rFont val="Arial"/>
          </rPr>
          <t>Lyndon Estes:</t>
        </r>
        <r>
          <rPr>
            <sz val="9"/>
            <color indexed="81"/>
            <rFont val="Arial"/>
          </rPr>
          <t xml:space="preserve">
assume ctd is 75 cm diameter</t>
        </r>
      </text>
    </comment>
    <comment ref="K68" authorId="1">
      <text>
        <r>
          <rPr>
            <b/>
            <sz val="9"/>
            <color indexed="81"/>
            <rFont val="Arial"/>
          </rPr>
          <t>Lyndon Estes:</t>
        </r>
        <r>
          <rPr>
            <sz val="9"/>
            <color indexed="81"/>
            <rFont val="Arial"/>
          </rPr>
          <t xml:space="preserve">
Read that sondes are lowered at 0.5 m/s, this one went to 18 m</t>
        </r>
      </text>
    </comment>
    <comment ref="L68" authorId="1">
      <text>
        <r>
          <rPr>
            <b/>
            <sz val="9"/>
            <color indexed="81"/>
            <rFont val="Arial"/>
          </rPr>
          <t>Lyndon Estes:</t>
        </r>
        <r>
          <rPr>
            <sz val="9"/>
            <color indexed="81"/>
            <rFont val="Arial"/>
          </rPr>
          <t xml:space="preserve">
2 CTD scans for fluor made twice on each cruise, so assume minimum time between cruises</t>
        </r>
      </text>
    </comment>
    <comment ref="H69" authorId="1">
      <text>
        <r>
          <rPr>
            <b/>
            <sz val="9"/>
            <color indexed="81"/>
            <rFont val="Arial"/>
          </rPr>
          <t>Lyndon Estes:</t>
        </r>
        <r>
          <rPr>
            <sz val="9"/>
            <color indexed="81"/>
            <rFont val="Arial"/>
          </rPr>
          <t xml:space="preserve">
Li-Cor diameter</t>
        </r>
      </text>
    </comment>
    <comment ref="K69" authorId="1">
      <text>
        <r>
          <rPr>
            <b/>
            <sz val="9"/>
            <color indexed="81"/>
            <rFont val="Arial"/>
          </rPr>
          <t>Lyndon Estes:</t>
        </r>
        <r>
          <rPr>
            <sz val="9"/>
            <color indexed="81"/>
            <rFont val="Arial"/>
          </rPr>
          <t xml:space="preserve">
Assume 30 seconds to take light penetration reading</t>
        </r>
      </text>
    </comment>
    <comment ref="L69" authorId="1">
      <text>
        <r>
          <rPr>
            <b/>
            <sz val="9"/>
            <color indexed="81"/>
            <rFont val="Arial"/>
          </rPr>
          <t>Lyndon Estes:</t>
        </r>
        <r>
          <rPr>
            <sz val="9"/>
            <color indexed="81"/>
            <rFont val="Arial"/>
          </rPr>
          <t xml:space="preserve">
average of time between cruises
</t>
        </r>
      </text>
    </comment>
    <comment ref="H70" authorId="1">
      <text>
        <r>
          <rPr>
            <b/>
            <sz val="9"/>
            <color indexed="81"/>
            <rFont val="Arial"/>
          </rPr>
          <t>Lyndon Estes:</t>
        </r>
        <r>
          <rPr>
            <sz val="9"/>
            <color indexed="81"/>
            <rFont val="Arial"/>
          </rPr>
          <t xml:space="preserve">
Li-Cor diameter</t>
        </r>
      </text>
    </comment>
    <comment ref="I70" authorId="1">
      <text>
        <r>
          <rPr>
            <b/>
            <sz val="9"/>
            <color indexed="81"/>
            <rFont val="Arial"/>
          </rPr>
          <t>Lyndon Estes:</t>
        </r>
        <r>
          <rPr>
            <sz val="9"/>
            <color indexed="81"/>
            <rFont val="Arial"/>
          </rPr>
          <t xml:space="preserve">
Really had to guess on this.  Looking at map, I fgure: 
=SQRT(((2.7-2.55) * 110)^2 + ((39.5-39.37) * 110)^2)*(AVERAGE(4, 4, 4, 3))
gives the distance they cruised each cruise per day.  I took approximate coordinates from map to calculate the diagonal distance for each of four cruise lengths.  Then, assume they took 12 hours per cruise, and readings every 15 minutes, that means it was a different radiation observation each 15 miuntes for 12 hours</t>
        </r>
      </text>
    </comment>
    <comment ref="K70" authorId="1">
      <text>
        <r>
          <rPr>
            <b/>
            <sz val="9"/>
            <color indexed="81"/>
            <rFont val="Arial"/>
          </rPr>
          <t>Lyndon Estes:</t>
        </r>
        <r>
          <rPr>
            <sz val="9"/>
            <color indexed="81"/>
            <rFont val="Arial"/>
          </rPr>
          <t xml:space="preserve">
assume instantaneous (1 second</t>
        </r>
      </text>
    </comment>
    <comment ref="L70" authorId="1">
      <text>
        <r>
          <rPr>
            <b/>
            <sz val="9"/>
            <color indexed="81"/>
            <rFont val="Arial"/>
          </rPr>
          <t>Lyndon Estes:</t>
        </r>
        <r>
          <rPr>
            <sz val="9"/>
            <color indexed="81"/>
            <rFont val="Arial"/>
          </rPr>
          <t xml:space="preserve">
Since each solar radiation observation is separate, and cruises were repeated, we have an average of 2 days betweens cruise and the between cruise interval also</t>
        </r>
      </text>
    </comment>
    <comment ref="M70" authorId="1">
      <text>
        <r>
          <rPr>
            <b/>
            <sz val="9"/>
            <color indexed="81"/>
            <rFont val="Arial"/>
          </rPr>
          <t>Lyndon Estes:</t>
        </r>
        <r>
          <rPr>
            <sz val="9"/>
            <color indexed="81"/>
            <rFont val="Arial"/>
          </rPr>
          <t xml:space="preserve">
Actual solar radiation measurements--assumed instantaneous observations, but could be thought of legitimately as representing continuous observations</t>
        </r>
      </text>
    </comment>
    <comment ref="N70" authorId="1">
      <text>
        <r>
          <rPr>
            <b/>
            <sz val="9"/>
            <color indexed="81"/>
            <rFont val="Arial"/>
          </rPr>
          <t>Lyndon Estes:</t>
        </r>
        <r>
          <rPr>
            <sz val="9"/>
            <color indexed="81"/>
            <rFont val="Arial"/>
          </rPr>
          <t xml:space="preserve">
start and end date of months listed assumed 1 and 30</t>
        </r>
      </text>
    </comment>
    <comment ref="H71" authorId="1">
      <text>
        <r>
          <rPr>
            <b/>
            <sz val="9"/>
            <color indexed="81"/>
            <rFont val="Arial"/>
          </rPr>
          <t>Lyndon Estes:</t>
        </r>
        <r>
          <rPr>
            <sz val="9"/>
            <color indexed="81"/>
            <rFont val="Arial"/>
          </rPr>
          <t xml:space="preserve">
pump inlet in ship</t>
        </r>
      </text>
    </comment>
    <comment ref="I71" authorId="1">
      <text>
        <r>
          <rPr>
            <b/>
            <sz val="9"/>
            <color indexed="81"/>
            <rFont val="Arial"/>
          </rPr>
          <t>Lyndon Estes:</t>
        </r>
        <r>
          <rPr>
            <sz val="9"/>
            <color indexed="81"/>
            <rFont val="Arial"/>
          </rPr>
          <t xml:space="preserve">
sampling of underwater variables (T, etc.) taken every minute during cruise. Assume this was done over 24 hours, and that they were stationary for about 4 of those 24 hours. </t>
        </r>
      </text>
    </comment>
    <comment ref="K71" authorId="1">
      <text>
        <r>
          <rPr>
            <b/>
            <sz val="9"/>
            <color indexed="81"/>
            <rFont val="Arial"/>
          </rPr>
          <t>Lyndon Estes:</t>
        </r>
        <r>
          <rPr>
            <sz val="9"/>
            <color indexed="81"/>
            <rFont val="Arial"/>
          </rPr>
          <t xml:space="preserve">
assume instantaneous (1 second</t>
        </r>
      </text>
    </comment>
    <comment ref="L71" authorId="1">
      <text>
        <r>
          <rPr>
            <b/>
            <sz val="9"/>
            <color indexed="81"/>
            <rFont val="Arial"/>
          </rPr>
          <t>Lyndon Estes:</t>
        </r>
        <r>
          <rPr>
            <sz val="9"/>
            <color indexed="81"/>
            <rFont val="Arial"/>
          </rPr>
          <t xml:space="preserve">
Since each solar radiation observation is separate, and cruises were repeated, we have an average of 2 days betweens cruise and the between cruise interval also</t>
        </r>
      </text>
    </comment>
    <comment ref="N71" authorId="1">
      <text>
        <r>
          <rPr>
            <b/>
            <sz val="9"/>
            <color indexed="81"/>
            <rFont val="Arial"/>
          </rPr>
          <t>Lyndon Estes:</t>
        </r>
        <r>
          <rPr>
            <sz val="9"/>
            <color indexed="81"/>
            <rFont val="Arial"/>
          </rPr>
          <t xml:space="preserve">
start and end date of months listed assumed 1 and 30</t>
        </r>
      </text>
    </comment>
    <comment ref="H72" authorId="1">
      <text>
        <r>
          <rPr>
            <b/>
            <sz val="9"/>
            <color indexed="81"/>
            <rFont val="Arial"/>
          </rPr>
          <t>Lyndon Estes:
anenometer diameter of 15 cm</t>
        </r>
      </text>
    </comment>
    <comment ref="I72" authorId="1">
      <text>
        <r>
          <rPr>
            <b/>
            <sz val="9"/>
            <color indexed="81"/>
            <rFont val="Arial"/>
          </rPr>
          <t>Lyndon Estes:</t>
        </r>
        <r>
          <rPr>
            <sz val="9"/>
            <color indexed="81"/>
            <rFont val="Arial"/>
          </rPr>
          <t xml:space="preserve">
windspeed recordings every 5 seconds on moving ship. Assume this was done over 24 hours, and that they were stationary for about 4 of those 24 hours. </t>
        </r>
      </text>
    </comment>
    <comment ref="K72" authorId="1">
      <text>
        <r>
          <rPr>
            <b/>
            <sz val="9"/>
            <color indexed="81"/>
            <rFont val="Arial"/>
          </rPr>
          <t>Lyndon Estes:</t>
        </r>
        <r>
          <rPr>
            <sz val="9"/>
            <color indexed="81"/>
            <rFont val="Arial"/>
          </rPr>
          <t xml:space="preserve">
assume instantaneous (1 second</t>
        </r>
      </text>
    </comment>
    <comment ref="L72" authorId="1">
      <text>
        <r>
          <rPr>
            <b/>
            <sz val="9"/>
            <color indexed="81"/>
            <rFont val="Arial"/>
          </rPr>
          <t>Lyndon Estes:</t>
        </r>
        <r>
          <rPr>
            <sz val="9"/>
            <color indexed="81"/>
            <rFont val="Arial"/>
          </rPr>
          <t xml:space="preserve">
Since each solar radiation observation is separate, and cruises were repeated, we have an average of 2 days betweens cruise and the between cruise interval also</t>
        </r>
      </text>
    </comment>
    <comment ref="N72" authorId="1">
      <text>
        <r>
          <rPr>
            <b/>
            <sz val="9"/>
            <color indexed="81"/>
            <rFont val="Arial"/>
          </rPr>
          <t>Lyndon Estes:</t>
        </r>
        <r>
          <rPr>
            <sz val="9"/>
            <color indexed="81"/>
            <rFont val="Arial"/>
          </rPr>
          <t xml:space="preserve">
start and end date of EUBAL1</t>
        </r>
      </text>
    </comment>
    <comment ref="H73" authorId="1">
      <text>
        <r>
          <rPr>
            <b/>
            <sz val="9"/>
            <color indexed="81"/>
            <rFont val="Arial"/>
          </rPr>
          <t>Lyndon Estes:
anenometer diameter of 15 cm</t>
        </r>
      </text>
    </comment>
    <comment ref="I73" authorId="1">
      <text>
        <r>
          <rPr>
            <b/>
            <sz val="9"/>
            <color indexed="81"/>
            <rFont val="Arial"/>
          </rPr>
          <t>Lyndon Estes:</t>
        </r>
        <r>
          <rPr>
            <sz val="9"/>
            <color indexed="81"/>
            <rFont val="Arial"/>
          </rPr>
          <t xml:space="preserve">
windspeed recordings every 5 seconds on moving ship. Assume this was done over 24 hours, and that they were stationary for about 4 of those 24 hours. </t>
        </r>
      </text>
    </comment>
    <comment ref="K73" authorId="1">
      <text>
        <r>
          <rPr>
            <b/>
            <sz val="9"/>
            <color indexed="81"/>
            <rFont val="Arial"/>
          </rPr>
          <t>Lyndon Estes:</t>
        </r>
        <r>
          <rPr>
            <sz val="9"/>
            <color indexed="81"/>
            <rFont val="Arial"/>
          </rPr>
          <t xml:space="preserve">
assume instantaneous (1 second</t>
        </r>
      </text>
    </comment>
    <comment ref="L73" authorId="1">
      <text>
        <r>
          <rPr>
            <b/>
            <sz val="9"/>
            <color indexed="81"/>
            <rFont val="Arial"/>
          </rPr>
          <t>Lyndon Estes:</t>
        </r>
        <r>
          <rPr>
            <sz val="9"/>
            <color indexed="81"/>
            <rFont val="Arial"/>
          </rPr>
          <t xml:space="preserve">
Since each solar radiation observation is separate, and cruises were repeated, we have an average of 2 days betweens cruise and the between cruise interval also</t>
        </r>
      </text>
    </comment>
    <comment ref="N73" authorId="1">
      <text>
        <r>
          <rPr>
            <b/>
            <sz val="9"/>
            <color indexed="81"/>
            <rFont val="Arial"/>
          </rPr>
          <t>Lyndon Estes:</t>
        </r>
        <r>
          <rPr>
            <sz val="9"/>
            <color indexed="81"/>
            <rFont val="Arial"/>
          </rPr>
          <t xml:space="preserve">
start and end date of EUBAL1</t>
        </r>
      </text>
    </comment>
  </commentList>
</comments>
</file>

<file path=xl/comments3.xml><?xml version="1.0" encoding="utf-8"?>
<comments xmlns="http://schemas.openxmlformats.org/spreadsheetml/2006/main">
  <authors>
    <author/>
    <author>Lyndon Estes</author>
  </authors>
  <commentList>
    <comment ref="I2" authorId="0">
      <text>
        <r>
          <rPr>
            <sz val="10"/>
            <rFont val="Arial"/>
          </rPr>
          <t xml:space="preserve">Lyndon Estes:
Calculate as (plot resolution * N sites) / 10000
</t>
        </r>
      </text>
    </comment>
    <comment ref="R2" authorId="0">
      <text>
        <r>
          <rPr>
            <sz val="10"/>
            <rFont val="Arial"/>
          </rPr>
          <t>Lyndon Estes:
separate with semi-colon if more than one</t>
        </r>
      </text>
    </comment>
    <comment ref="G3" authorId="1">
      <text>
        <r>
          <rPr>
            <b/>
            <sz val="9"/>
            <color indexed="81"/>
            <rFont val="Arial"/>
          </rPr>
          <t>Lyndon Estes:</t>
        </r>
        <r>
          <rPr>
            <sz val="9"/>
            <color indexed="81"/>
            <rFont val="Arial"/>
          </rPr>
          <t xml:space="preserve">
assume 10 cm radius core</t>
        </r>
      </text>
    </comment>
  </commentList>
</comments>
</file>

<file path=xl/sharedStrings.xml><?xml version="1.0" encoding="utf-8"?>
<sst xmlns="http://schemas.openxmlformats.org/spreadsheetml/2006/main" count="1274" uniqueCount="281">
  <si>
    <t>m^2</t>
  </si>
  <si>
    <t>n</t>
  </si>
  <si>
    <t>ha</t>
  </si>
  <si>
    <t>days</t>
  </si>
  <si>
    <t>days</t>
  </si>
  <si>
    <t>days</t>
  </si>
  <si>
    <t>days</t>
  </si>
  <si>
    <t>journal</t>
  </si>
  <si>
    <t>study_year</t>
  </si>
  <si>
    <t>study_type</t>
  </si>
  <si>
    <t>country_region</t>
  </si>
  <si>
    <t>subject_matter</t>
  </si>
  <si>
    <t>plot_res</t>
  </si>
  <si>
    <t>n_sites</t>
  </si>
  <si>
    <t>sampled_area</t>
  </si>
  <si>
    <t>samp_duration</t>
  </si>
  <si>
    <t>t_btwn_samp</t>
  </si>
  <si>
    <t>study_duration</t>
  </si>
  <si>
    <t>study_span</t>
  </si>
  <si>
    <t>composition</t>
  </si>
  <si>
    <t>structure</t>
  </si>
  <si>
    <t>function</t>
  </si>
  <si>
    <t>tax_breadth</t>
  </si>
  <si>
    <t>DOI_data_source</t>
  </si>
  <si>
    <t>sensitivity</t>
  </si>
  <si>
    <t>notes</t>
  </si>
  <si>
    <t>Ecosystems</t>
  </si>
  <si>
    <t>DOI: 10.1007/s10021-013-9637-4</t>
  </si>
  <si>
    <t>field_direct observation</t>
  </si>
  <si>
    <t>Czech Republic</t>
  </si>
  <si>
    <t>methane emissions from bogs</t>
  </si>
  <si>
    <t>water samples</t>
  </si>
  <si>
    <t>temp samples</t>
  </si>
  <si>
    <t>methane samples and greenness</t>
  </si>
  <si>
    <t>air and soil temp measurements</t>
  </si>
  <si>
    <t>soil samples for CH4 production, as well as DNA samples of archaea</t>
  </si>
  <si>
    <t>DOI: 10.1111/cobi.12134</t>
  </si>
  <si>
    <t>Conservation Biology</t>
  </si>
  <si>
    <t>discarded</t>
  </si>
  <si>
    <t>exclusion reason</t>
  </si>
  <si>
    <t>methods note based primarily on calculation</t>
  </si>
  <si>
    <t>Proc Royal B</t>
  </si>
  <si>
    <t>http://dx.doi.org/10.1098/rspb.2013.1016</t>
  </si>
  <si>
    <t>other geographic data</t>
  </si>
  <si>
    <t>US (Alaska)</t>
  </si>
  <si>
    <t>bird circadian rythyms</t>
  </si>
  <si>
    <t>samp_duration, t_btwn_samples, n_sites</t>
  </si>
  <si>
    <t>circadian rythym observations. N_sites uncertain because probably about half of birds were tagged in each season (probably no repeats)</t>
  </si>
  <si>
    <t>blood sample, assume 1 minute</t>
  </si>
  <si>
    <t>Oecologia</t>
  </si>
  <si>
    <t>DOI:10.1007/s00442-004-1742-9</t>
  </si>
  <si>
    <t>Australia (Northern Territory)</t>
  </si>
  <si>
    <t>python parasite loading</t>
  </si>
  <si>
    <t>Full sample of pythons, where measurements were for single date</t>
  </si>
  <si>
    <t>plot_res; t_btwn_samp; study_duration</t>
  </si>
  <si>
    <t>Recaptured sample between 2001 and 2002</t>
  </si>
  <si>
    <t>Recaptured sample within a month</t>
  </si>
  <si>
    <t>Ecological Economics</t>
  </si>
  <si>
    <t>http://dx.doi.org/10.1016/j.ecolecon.2013.01.003</t>
  </si>
  <si>
    <t>global</t>
  </si>
  <si>
    <t>tourist preferences</t>
  </si>
  <si>
    <t>statistical analysis based on host of general datasets, nearly a meta-analysis</t>
  </si>
  <si>
    <t>doi:10.1016/j.biocon.2007.12.021</t>
  </si>
  <si>
    <t>Biol Cons</t>
  </si>
  <si>
    <t>Panama</t>
  </si>
  <si>
    <t>spatial patterns of hunting</t>
  </si>
  <si>
    <t>plot_res; n_sites; sampled_area; samp_duration; t_btwn_samp</t>
  </si>
  <si>
    <t>I made the hunted animals the sample units, rather than the hunting households themselves. I could also have recorded hunting area extent, which was 131 km2</t>
  </si>
  <si>
    <t>Advances in Ecological Research</t>
  </si>
  <si>
    <t>DOI: 10.1016/S0065-2504(07)00009-8</t>
  </si>
  <si>
    <t>Greenland</t>
  </si>
  <si>
    <t>hydrology and sediment transport</t>
  </si>
  <si>
    <t>DOI: 10.1016/S0065-2504(07)00006-2</t>
  </si>
  <si>
    <t>rain gauge information, and presumably inputs to models, soil moisture, etc,</t>
  </si>
  <si>
    <t>discharge measurements</t>
  </si>
  <si>
    <t>samp_duration; study_duration</t>
  </si>
  <si>
    <t>res; study_duration</t>
  </si>
  <si>
    <t>sediment measurements, assume also attachs to water chemistry</t>
  </si>
  <si>
    <t>doi:10.1098/rspb.2007.0311</t>
  </si>
  <si>
    <t>Sweden</t>
  </si>
  <si>
    <t>butterfly mating</t>
  </si>
  <si>
    <t>experiment</t>
  </si>
  <si>
    <t>doi:10.1098/rspb.2010.1746</t>
  </si>
  <si>
    <t>paleo_reconstruction</t>
  </si>
  <si>
    <t>Poland</t>
  </si>
  <si>
    <t>dinosaur tracks and evolution</t>
  </si>
  <si>
    <t>study</t>
  </si>
  <si>
    <t>evolutionary study</t>
  </si>
  <si>
    <t>thrown out because evolutionary; possibly include</t>
  </si>
  <si>
    <t>AmNat</t>
  </si>
  <si>
    <t>reserve size</t>
  </si>
  <si>
    <t>theoretical model only</t>
  </si>
  <si>
    <t>none</t>
  </si>
  <si>
    <t>other</t>
  </si>
  <si>
    <t>Jecology</t>
  </si>
  <si>
    <t>doi: 10.1111/j.1365-2745.2009.01550.x2009</t>
  </si>
  <si>
    <t>US (CA ; OR)</t>
  </si>
  <si>
    <t>pathogen prevalence and host fecundity in grasses</t>
  </si>
  <si>
    <t>plot_res; n_sites</t>
  </si>
  <si>
    <t>Fecundity and pathogen loading samples</t>
  </si>
  <si>
    <t>Biomass clippings - it is something to consider whether we should assume these measures reflect time to sample, or should they instead represent the time signficance to each thing being sampled (for a clipped piece of grass, it represents biomass at that instant, not over two hours of growth)</t>
  </si>
  <si>
    <t>Areal cover of grass</t>
  </si>
  <si>
    <t>soil cores of texture and nutrient status</t>
  </si>
  <si>
    <t>EcolLetters</t>
  </si>
  <si>
    <t>doi: 10.1111/j.1461-0248.2005.00830.x</t>
  </si>
  <si>
    <t>lab experiment</t>
  </si>
  <si>
    <t>EcolAppl</t>
  </si>
  <si>
    <t>Mexico (Yaqui Valley)</t>
  </si>
  <si>
    <t>N use efficiency in crops</t>
  </si>
  <si>
    <t>Narrowing the agronomic yield gap with improved nitrogen use efficiency: a modeling approach</t>
  </si>
  <si>
    <t>DOI/title</t>
  </si>
  <si>
    <t>plo_res; samp_duration; study_span</t>
  </si>
  <si>
    <t>Soil samples at farmers' fields</t>
  </si>
  <si>
    <t>plot_res; sampled_area; samp_duration; t_btwn_samp; study_duration: study_span</t>
  </si>
  <si>
    <t>Weather station observations. Not sure of frequency in these</t>
  </si>
  <si>
    <t>DOI 10.1007/s00227-006-0302-8</t>
  </si>
  <si>
    <t>DOI: 10.1007/s10021-007-9072-5</t>
  </si>
  <si>
    <t xml:space="preserve">Spain </t>
  </si>
  <si>
    <t>coral population structure and harvesting impacts</t>
  </si>
  <si>
    <t>plot_res; n_sites; samp_duration</t>
  </si>
  <si>
    <t>Colony abundance; poor record in referenced paper of N quadrats of each size</t>
  </si>
  <si>
    <t>Bad reporting</t>
  </si>
  <si>
    <t>(1st time noting this)</t>
  </si>
  <si>
    <t>plot_res; n_sites; sampled_area</t>
  </si>
  <si>
    <t>Basal diameter and colony height. Had to work out camera frame size</t>
  </si>
  <si>
    <t>remote sensing</t>
  </si>
  <si>
    <t>ROV sample; in journal proceedings that are not available; request if eventually necessary</t>
  </si>
  <si>
    <t>proceedings of the XIV Simposio Ibe´rico de Estudios de Biologia Marina, pp 44-45</t>
  </si>
  <si>
    <t>unobtainable supporting study</t>
  </si>
  <si>
    <t>Ecol Mon</t>
  </si>
  <si>
    <t>N balance and cycling of Inner Mongolia typical steppe: a comprehensive case study of grazing effects</t>
  </si>
  <si>
    <t>Inner Mongolia, China</t>
  </si>
  <si>
    <t>grazing impacts on N</t>
  </si>
  <si>
    <t>grassland composition plots</t>
  </si>
  <si>
    <t>10.1016/j.catena.2008.06.003; 10.1016/j.jaridenv.2007.09.004</t>
  </si>
  <si>
    <t>dust deposition and N deposition</t>
  </si>
  <si>
    <t>10.1007/s00374-009-0378-7</t>
  </si>
  <si>
    <t>samp_duration; study_span</t>
  </si>
  <si>
    <t>N fixation by cyanobacteria</t>
  </si>
  <si>
    <t>10.1007/s10021-007-9043-x</t>
  </si>
  <si>
    <t>N20 fluxes</t>
  </si>
  <si>
    <t>plot_res; n_sites; samp_duration; t_btwn_samp</t>
  </si>
  <si>
    <t>Above ground biomass, ANPP: had to parse and guess methods from a different cited study (Gao et al 2008)</t>
  </si>
  <si>
    <t>10.1007/s11104-008-9579-3</t>
  </si>
  <si>
    <t>n_sites; samp_duration; t_btwn_samp</t>
  </si>
  <si>
    <t>n_sites; samp_duration</t>
  </si>
  <si>
    <t>Augurs for Root biomass; BNPP; live:dead ratio</t>
  </si>
  <si>
    <t>In growth cores for biomass, BNPP; root biomass N concentrations</t>
  </si>
  <si>
    <t>plot_res; samp_duration; study_span</t>
  </si>
  <si>
    <t>soil cores: bulk density, N, OC</t>
  </si>
  <si>
    <t>soil pits: amount, composition, turnover of SOM</t>
  </si>
  <si>
    <t>10.1007/s00442-012-2450-5</t>
  </si>
  <si>
    <t>Maine, USA</t>
  </si>
  <si>
    <t>behavioral and morphological responses to predation in shellfish</t>
  </si>
  <si>
    <t>http://dx.doi.org/10.1016/j.biocon.2012.07.023</t>
  </si>
  <si>
    <t>Europe</t>
  </si>
  <si>
    <t>genetics standards for forest management</t>
  </si>
  <si>
    <t>review paper</t>
  </si>
  <si>
    <t>10.1016/j.ecolecon.2012.12.010</t>
  </si>
  <si>
    <t>Colorado River Basin, USA; Columbia River Basin, USA; Murray-Darling Basin, Australia</t>
  </si>
  <si>
    <t>water markets and allocation policy</t>
  </si>
  <si>
    <t>review paper; no ecological data</t>
  </si>
  <si>
    <t>Oikos</t>
  </si>
  <si>
    <t>10.1111/j.1600-0706.2009.17781.x</t>
  </si>
  <si>
    <t>fitness value of information</t>
  </si>
  <si>
    <t>Div Dist</t>
  </si>
  <si>
    <t>10.1111/j.1366-9516.2005.00187.x</t>
  </si>
  <si>
    <t>Victoria, Australia</t>
  </si>
  <si>
    <t>Ecological boundary detection</t>
  </si>
  <si>
    <t>Percent cover of all plants in quadrat</t>
  </si>
  <si>
    <t>Five soil variables</t>
  </si>
  <si>
    <t>10.1111/j.1442-9993.2004.01373.x</t>
  </si>
  <si>
    <t>Minas Gerais, Brazil</t>
  </si>
  <si>
    <t>Arthropod sampling</t>
  </si>
  <si>
    <t>air temp, luminosity, air moisture</t>
  </si>
  <si>
    <t>10.1111/j.1600-0706.2011.19771.x</t>
  </si>
  <si>
    <t>Indiana, USA</t>
  </si>
  <si>
    <t>scavenger community response</t>
  </si>
  <si>
    <t>http://digitalcommons.unl.edu/hwi/40</t>
  </si>
  <si>
    <t>Racoon abundance in control plots</t>
  </si>
  <si>
    <t>10.5194/bg-10-5325-2013</t>
  </si>
  <si>
    <t>Biogeosciences</t>
  </si>
  <si>
    <t>Germany</t>
  </si>
  <si>
    <t>Sea surface nanolayer seasonality</t>
  </si>
  <si>
    <t>samp_duration; t_btwn_samp; study_duration; study_span</t>
  </si>
  <si>
    <t>Unclear how many 7 dip samples were made each month. N repeats based on counting points on graph. Exact start and end dates not reported</t>
  </si>
  <si>
    <t>10.5194/bg-11-463-2014</t>
  </si>
  <si>
    <t>South Atlantic</t>
  </si>
  <si>
    <t>CTD meaures with Seabird 911 sampler: this was a depth profiler, so probably down to 120 m</t>
  </si>
  <si>
    <t>nutrient controls on phytoplankton</t>
  </si>
  <si>
    <t>Shipborne PAR readings</t>
  </si>
  <si>
    <t>plot_res; n_sites; sampled_area; samp_duration; t_btwn_samp; study_duration</t>
  </si>
  <si>
    <t>Trace metal samples. When samples were taken is unclear</t>
  </si>
  <si>
    <t>plot_res; n_sites; sampled_area; samp_duration</t>
  </si>
  <si>
    <t>plot_res; n_sites; sample_area; samp_duration; t_btwn_samp_study_span</t>
  </si>
  <si>
    <t>MODIS SST and chl-A.  Many of these values were estimated with R, probably pretty closely to actual values in paper. Main uncertainty is what MODIS dates they used</t>
  </si>
  <si>
    <t>10.1098/rsbl.2004.0273</t>
  </si>
  <si>
    <t>10.1093/beheco/arj023</t>
  </si>
  <si>
    <t>Behav Ecol</t>
  </si>
  <si>
    <t>Italy</t>
  </si>
  <si>
    <t>effects of androgen on different bird sexes</t>
  </si>
  <si>
    <t>Monitoring eggs in broods/nest.  Very little detail given on dates or number of nests, in particular</t>
  </si>
  <si>
    <t>plot_res; sampled_area; samp_duration; study_duration; study_span</t>
  </si>
  <si>
    <t>10.1890/07-2088.1</t>
  </si>
  <si>
    <t>US (MS; NC)</t>
  </si>
  <si>
    <t>Pine pollen viability response</t>
  </si>
  <si>
    <t>Main uncertainty here was n_sites.</t>
  </si>
  <si>
    <t>plot_res; n_sites; sampled_area; samp_duration; study_duration</t>
  </si>
  <si>
    <t>10.1111/j.1365-2486.2009.02037.x</t>
  </si>
  <si>
    <t>GCB</t>
  </si>
  <si>
    <t>NJ, USA</t>
  </si>
  <si>
    <t>C flux due to insect outbreak</t>
  </si>
  <si>
    <t>10.1111/j.1365-2486.2009.01983.x</t>
  </si>
  <si>
    <t>plot_res; sampled_area; study_duration; study_span</t>
  </si>
  <si>
    <t>sub-plot</t>
  </si>
  <si>
    <t>increment cores</t>
  </si>
  <si>
    <t>litter accumulation</t>
  </si>
  <si>
    <t>plot_res; sampled_area</t>
  </si>
  <si>
    <t>sap flux</t>
  </si>
  <si>
    <t>plot_res; sampled_area; samp_duration; study_duration</t>
  </si>
  <si>
    <t>Leaf gas exchange, leaf nutrient, C content also</t>
  </si>
  <si>
    <t>gas analyzer as part of Eddy flux measurement</t>
  </si>
  <si>
    <t>n_sites; sampled_area; samp_duration; study_duration</t>
  </si>
  <si>
    <t>biomass and LAI</t>
  </si>
  <si>
    <t>Leaf area profile from upward looking lidar</t>
  </si>
  <si>
    <t>samp_duration; study_duration; study_span</t>
  </si>
  <si>
    <t>Main forest plots (Silas Little)</t>
  </si>
  <si>
    <t>study_duration; study_span</t>
  </si>
  <si>
    <t>Met data, including windspeed for eddy flux</t>
  </si>
  <si>
    <t>plot_res; sampled area; study_duration; study_span</t>
  </si>
  <si>
    <t>plot_res; n_sites; sampled_area; samp_duration; t_btwn_samp; study_duration; study_span</t>
  </si>
  <si>
    <t>MethodsEcolEvo</t>
  </si>
  <si>
    <t>10.1111/2041-210X.12096</t>
  </si>
  <si>
    <t>Above here correct</t>
  </si>
  <si>
    <t>passive/automated data</t>
  </si>
  <si>
    <t>Southern Indian Ocean</t>
  </si>
  <si>
    <t>Turning angle estimation methods</t>
  </si>
  <si>
    <t>wandering albatross</t>
  </si>
  <si>
    <t>elapsed</t>
  </si>
  <si>
    <t>distance</t>
  </si>
  <si>
    <t>pts/hour</t>
  </si>
  <si>
    <t>pts/minute</t>
  </si>
  <si>
    <t>interval</t>
  </si>
  <si>
    <t>interval(day)</t>
  </si>
  <si>
    <t>10.1073/pnas.1121201109</t>
  </si>
  <si>
    <t>study duration</t>
  </si>
  <si>
    <t>samp_interval</t>
  </si>
  <si>
    <t>Wandering albatross flight GPS data. Calculations made in calcs sheet</t>
  </si>
  <si>
    <t>plot_res; samples_area; samp_duration; study_duration</t>
  </si>
  <si>
    <t>10.1111/j.1365-2745.2004.00961.x</t>
  </si>
  <si>
    <t>New Zealand</t>
  </si>
  <si>
    <t>Edge effects on different mistletoe recruitment stages</t>
  </si>
  <si>
    <t>seedling growth</t>
  </si>
  <si>
    <t>Adult and juvenile growth rate samples</t>
  </si>
  <si>
    <t>10.1093/beheco/arm039</t>
  </si>
  <si>
    <t>10.1111/j.1365-2486.2011.02592.x</t>
  </si>
  <si>
    <t>Colorado, USA</t>
  </si>
  <si>
    <t>Drought-induced biomass declines</t>
  </si>
  <si>
    <t>plot_res; samp_duration; t_btwn_samp; study_duration</t>
  </si>
  <si>
    <t>Aspen biomass plots</t>
  </si>
  <si>
    <t>Landsat estimate of NPV.  Note, a DEM was also mentioned, but no details given.  Assumed same characteristics as landsat (SRTM), just added one further structural depth (height)</t>
  </si>
  <si>
    <t>10.1890/12-0114.1</t>
  </si>
  <si>
    <t>doi:10.1016/j.biocon.2012.11.026</t>
  </si>
  <si>
    <t>generated data</t>
  </si>
  <si>
    <t>10.5194/bg-2-43-2005</t>
  </si>
  <si>
    <t>Mediterranean</t>
  </si>
  <si>
    <t>Seagrass meadow system respiration</t>
  </si>
  <si>
    <t>Incubations</t>
  </si>
  <si>
    <t>samp_duration; t_btwn_samp; study_duration</t>
  </si>
  <si>
    <t>http://link.springer.com/article/10.1007/BF02784990</t>
  </si>
  <si>
    <t>EUBAL-1 first cruise densest readings on this</t>
  </si>
  <si>
    <t>EUBAL-1 and 2, less dense sampling</t>
  </si>
  <si>
    <t>Direct current measurements with doppler</t>
  </si>
  <si>
    <t>Plankton GPP and CR and chlA</t>
  </si>
  <si>
    <t>Fluorescence using CTD scanning</t>
  </si>
  <si>
    <t>Light penetration readings</t>
  </si>
  <si>
    <t>Solar radiation measurements during cruise</t>
  </si>
  <si>
    <t>n_sites; sampled_area; samp_duration; t_btwn_samp; study_duration</t>
  </si>
  <si>
    <t xml:space="preserve">Underwater temp, salinity measurements. </t>
  </si>
  <si>
    <t>Windspeed on EUBAL1</t>
  </si>
  <si>
    <t>Windspeed on EUBAL2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</si>
</sst>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00000"/>
    <numFmt numFmtId="166" formatCode="0.0"/>
    <numFmt numFmtId="167" formatCode="0.000"/>
    <numFmt numFmtId="168" formatCode="0.00000"/>
    <numFmt numFmtId="169" formatCode="0.0000000"/>
  </numFmts>
  <fonts count="14" x14ac:knownFonts="1">
    <font>
      <sz val="10"/>
      <name val="Arial"/>
    </font>
    <font>
      <sz val="10"/>
      <name val="Arial"/>
    </font>
    <font>
      <sz val="10"/>
      <name val="Arial"/>
    </font>
    <font>
      <b/>
      <sz val="10"/>
      <name val="Arial"/>
    </font>
    <font>
      <b/>
      <sz val="10"/>
      <name val="Arial"/>
    </font>
    <font>
      <sz val="10"/>
      <name val="Arial"/>
    </font>
    <font>
      <sz val="10"/>
      <name val="Arial"/>
    </font>
    <font>
      <sz val="10"/>
      <name val="Arial"/>
    </font>
    <font>
      <sz val="10"/>
      <name val="Arial"/>
    </font>
    <font>
      <u/>
      <sz val="10"/>
      <color theme="10"/>
      <name val="Arial"/>
    </font>
    <font>
      <u/>
      <sz val="10"/>
      <color theme="11"/>
      <name val="Arial"/>
    </font>
    <font>
      <sz val="9"/>
      <color indexed="81"/>
      <name val="Arial"/>
    </font>
    <font>
      <b/>
      <sz val="9"/>
      <color indexed="81"/>
      <name val="Arial"/>
    </font>
    <font>
      <sz val="10"/>
      <name val="Calibri"/>
    </font>
  </fonts>
  <fills count="6">
    <fill>
      <patternFill patternType="none"/>
    </fill>
    <fill>
      <patternFill patternType="gray125"/>
    </fill>
    <fill>
      <patternFill patternType="none"/>
    </fill>
    <fill>
      <patternFill patternType="solid">
        <fgColor theme="0" tint="-0.499984740745262"/>
        <bgColor indexed="64"/>
      </patternFill>
    </fill>
    <fill>
      <patternFill patternType="solid">
        <fgColor theme="5" tint="0.59999389629810485"/>
        <bgColor indexed="64"/>
      </patternFill>
    </fill>
    <fill>
      <patternFill patternType="solid">
        <fgColor rgb="FFFF0000"/>
        <bgColor indexed="64"/>
      </patternFill>
    </fill>
  </fills>
  <borders count="2">
    <border>
      <left/>
      <right/>
      <top/>
      <bottom/>
      <diagonal/>
    </border>
    <border>
      <left/>
      <right/>
      <top/>
      <bottom/>
      <diagonal/>
    </border>
  </borders>
  <cellStyleXfs count="383">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53">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3" fillId="2" borderId="1" xfId="0" applyFont="1" applyFill="1" applyBorder="1" applyAlignment="1">
      <alignment horizontal="center" wrapText="1"/>
    </xf>
    <xf numFmtId="0" fontId="4" fillId="2" borderId="1" xfId="0" applyFont="1" applyFill="1" applyBorder="1" applyAlignment="1">
      <alignment horizontal="center" wrapText="1"/>
    </xf>
    <xf numFmtId="0" fontId="5" fillId="2" borderId="1" xfId="0" applyFont="1" applyFill="1" applyBorder="1"/>
    <xf numFmtId="164" fontId="6" fillId="2" borderId="1" xfId="0" applyNumberFormat="1" applyFont="1" applyFill="1" applyBorder="1"/>
    <xf numFmtId="0" fontId="7" fillId="2" borderId="1" xfId="0" applyFont="1" applyFill="1" applyBorder="1"/>
    <xf numFmtId="0" fontId="0" fillId="2" borderId="1" xfId="0" applyFont="1" applyFill="1" applyBorder="1"/>
    <xf numFmtId="2" fontId="5" fillId="2" borderId="1" xfId="0" applyNumberFormat="1" applyFont="1" applyFill="1" applyBorder="1"/>
    <xf numFmtId="0" fontId="0" fillId="2" borderId="1" xfId="0" applyFont="1" applyFill="1" applyBorder="1" applyAlignment="1">
      <alignment horizontal="center"/>
    </xf>
    <xf numFmtId="0" fontId="0" fillId="3" borderId="1" xfId="0" applyFont="1" applyFill="1" applyBorder="1"/>
    <xf numFmtId="0" fontId="5" fillId="3" borderId="1" xfId="0" applyFont="1" applyFill="1" applyBorder="1"/>
    <xf numFmtId="164" fontId="6" fillId="3" borderId="1" xfId="0" applyNumberFormat="1" applyFont="1" applyFill="1" applyBorder="1"/>
    <xf numFmtId="0" fontId="7" fillId="3" borderId="1" xfId="0" applyFont="1" applyFill="1" applyBorder="1"/>
    <xf numFmtId="0" fontId="0" fillId="3" borderId="0" xfId="0" applyFill="1"/>
    <xf numFmtId="0" fontId="9" fillId="3" borderId="1" xfId="53" applyFill="1" applyBorder="1"/>
    <xf numFmtId="0" fontId="0" fillId="0" borderId="1" xfId="0" applyFill="1" applyBorder="1"/>
    <xf numFmtId="11" fontId="5" fillId="2" borderId="1" xfId="0" applyNumberFormat="1" applyFont="1" applyFill="1" applyBorder="1"/>
    <xf numFmtId="0" fontId="0" fillId="4" borderId="1" xfId="0" applyFont="1" applyFill="1" applyBorder="1"/>
    <xf numFmtId="0" fontId="5" fillId="4" borderId="1" xfId="0" applyFont="1" applyFill="1" applyBorder="1"/>
    <xf numFmtId="0" fontId="7" fillId="4" borderId="1" xfId="0" applyFont="1" applyFill="1" applyBorder="1"/>
    <xf numFmtId="0" fontId="0" fillId="4" borderId="0" xfId="0" applyFill="1"/>
    <xf numFmtId="0" fontId="0" fillId="3" borderId="1" xfId="0" applyFont="1" applyFill="1" applyBorder="1" applyAlignment="1">
      <alignment wrapText="1"/>
    </xf>
    <xf numFmtId="0" fontId="8" fillId="3" borderId="1" xfId="0" applyFont="1" applyFill="1" applyBorder="1" applyAlignment="1">
      <alignment wrapText="1"/>
    </xf>
    <xf numFmtId="165" fontId="6" fillId="2" borderId="1" xfId="0" applyNumberFormat="1" applyFont="1" applyFill="1" applyBorder="1"/>
    <xf numFmtId="1" fontId="0" fillId="0" borderId="0" xfId="0" applyNumberFormat="1"/>
    <xf numFmtId="0" fontId="0" fillId="0" borderId="0" xfId="0" applyAlignment="1">
      <alignment horizontal="right"/>
    </xf>
    <xf numFmtId="166" fontId="0" fillId="0" borderId="0" xfId="0" applyNumberFormat="1"/>
    <xf numFmtId="167" fontId="0" fillId="0" borderId="0" xfId="0" applyNumberFormat="1" applyFill="1"/>
    <xf numFmtId="2" fontId="0" fillId="0" borderId="0" xfId="0" applyNumberFormat="1"/>
    <xf numFmtId="167" fontId="0" fillId="0" borderId="0" xfId="0" applyNumberFormat="1"/>
    <xf numFmtId="0" fontId="0" fillId="5" borderId="0" xfId="0" applyFill="1"/>
    <xf numFmtId="165" fontId="0" fillId="2" borderId="1" xfId="0" applyNumberFormat="1" applyFont="1" applyFill="1" applyBorder="1"/>
    <xf numFmtId="0" fontId="0" fillId="0" borderId="0" xfId="0" applyFill="1"/>
    <xf numFmtId="0" fontId="0" fillId="2" borderId="0" xfId="0" applyFill="1"/>
    <xf numFmtId="0" fontId="0" fillId="0" borderId="0" xfId="0" applyFont="1" applyFill="1"/>
    <xf numFmtId="0" fontId="0" fillId="2" borderId="0" xfId="0" applyFont="1" applyFill="1"/>
    <xf numFmtId="0" fontId="0" fillId="3" borderId="0" xfId="0" applyFont="1" applyFill="1"/>
    <xf numFmtId="168" fontId="0" fillId="2" borderId="1" xfId="0" applyNumberFormat="1" applyFont="1" applyFill="1" applyBorder="1"/>
    <xf numFmtId="168" fontId="0" fillId="0" borderId="1" xfId="0" applyNumberFormat="1" applyFont="1" applyFill="1" applyBorder="1"/>
    <xf numFmtId="2" fontId="6" fillId="2" borderId="1" xfId="0" applyNumberFormat="1" applyFont="1" applyFill="1" applyBorder="1"/>
    <xf numFmtId="2" fontId="6" fillId="3" borderId="1" xfId="0" applyNumberFormat="1" applyFont="1" applyFill="1" applyBorder="1"/>
    <xf numFmtId="2" fontId="5" fillId="3" borderId="1" xfId="0" applyNumberFormat="1" applyFont="1" applyFill="1" applyBorder="1"/>
    <xf numFmtId="2" fontId="5" fillId="4" borderId="1" xfId="0" applyNumberFormat="1" applyFont="1" applyFill="1" applyBorder="1"/>
    <xf numFmtId="2" fontId="8" fillId="3" borderId="1" xfId="0" applyNumberFormat="1" applyFont="1" applyFill="1" applyBorder="1" applyAlignment="1">
      <alignment wrapText="1"/>
    </xf>
    <xf numFmtId="2" fontId="0" fillId="3" borderId="0" xfId="0" applyNumberFormat="1" applyFill="1"/>
    <xf numFmtId="2" fontId="0" fillId="4" borderId="0" xfId="0" applyNumberFormat="1" applyFill="1"/>
    <xf numFmtId="2" fontId="0" fillId="2" borderId="1" xfId="0" applyNumberFormat="1" applyFont="1" applyFill="1" applyBorder="1"/>
    <xf numFmtId="2" fontId="0" fillId="0" borderId="1" xfId="0" applyNumberFormat="1" applyFont="1" applyFill="1" applyBorder="1"/>
    <xf numFmtId="0" fontId="13" fillId="0" borderId="0" xfId="0" applyFont="1"/>
    <xf numFmtId="169" fontId="0" fillId="0" borderId="0" xfId="0" applyNumberFormat="1"/>
    <xf numFmtId="169" fontId="0" fillId="2" borderId="1" xfId="0" applyNumberFormat="1" applyFont="1" applyFill="1" applyBorder="1"/>
  </cellXfs>
  <cellStyles count="3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571500</xdr:colOff>
      <xdr:row>68</xdr:row>
      <xdr:rowOff>152400</xdr:rowOff>
    </xdr:to>
    <xdr:sp macro="" textlink="">
      <xdr:nvSpPr>
        <xdr:cNvPr id="1026"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13</xdr:col>
      <xdr:colOff>571500</xdr:colOff>
      <xdr:row>68</xdr:row>
      <xdr:rowOff>152400</xdr:rowOff>
    </xdr:to>
    <xdr:sp macro="" textlink="">
      <xdr:nvSpPr>
        <xdr:cNvPr id="2"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13</xdr:col>
      <xdr:colOff>571500</xdr:colOff>
      <xdr:row>68</xdr:row>
      <xdr:rowOff>152400</xdr:rowOff>
    </xdr:to>
    <xdr:sp macro="" textlink="">
      <xdr:nvSpPr>
        <xdr:cNvPr id="3"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13</xdr:col>
      <xdr:colOff>571500</xdr:colOff>
      <xdr:row>68</xdr:row>
      <xdr:rowOff>152400</xdr:rowOff>
    </xdr:to>
    <xdr:sp macro="" textlink="">
      <xdr:nvSpPr>
        <xdr:cNvPr id="4"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13</xdr:col>
      <xdr:colOff>571500</xdr:colOff>
      <xdr:row>68</xdr:row>
      <xdr:rowOff>152400</xdr:rowOff>
    </xdr:to>
    <xdr:sp macro="" textlink="">
      <xdr:nvSpPr>
        <xdr:cNvPr id="5"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13</xdr:col>
      <xdr:colOff>571500</xdr:colOff>
      <xdr:row>68</xdr:row>
      <xdr:rowOff>152400</xdr:rowOff>
    </xdr:to>
    <xdr:sp macro="" textlink="">
      <xdr:nvSpPr>
        <xdr:cNvPr id="6"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13</xdr:col>
      <xdr:colOff>571500</xdr:colOff>
      <xdr:row>68</xdr:row>
      <xdr:rowOff>152400</xdr:rowOff>
    </xdr:to>
    <xdr:sp macro="" textlink="">
      <xdr:nvSpPr>
        <xdr:cNvPr id="7"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13</xdr:col>
      <xdr:colOff>571500</xdr:colOff>
      <xdr:row>68</xdr:row>
      <xdr:rowOff>152400</xdr:rowOff>
    </xdr:to>
    <xdr:sp macro="" textlink="">
      <xdr:nvSpPr>
        <xdr:cNvPr id="8"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dx.doi.org/10.1016/j.ecolecon.2013.01.00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dx.doi.org/10.1016/j.ecolecon.2013.01.003" TargetMode="Externa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88"/>
  <sheetViews>
    <sheetView tabSelected="1" workbookViewId="0">
      <pane ySplit="2" topLeftCell="A44" activePane="bottomLeft" state="frozen"/>
      <selection pane="bottomLeft" activeCell="H54" sqref="H54"/>
    </sheetView>
  </sheetViews>
  <sheetFormatPr baseColWidth="10" defaultColWidth="17.33203125" defaultRowHeight="15.75" customHeight="1" x14ac:dyDescent="0"/>
  <cols>
    <col min="1" max="1" width="9.6640625" customWidth="1"/>
    <col min="2" max="2" width="9.5" customWidth="1"/>
    <col min="3" max="3" width="10.5" customWidth="1"/>
    <col min="4" max="4" width="11" customWidth="1"/>
    <col min="5" max="5" width="14.5" customWidth="1"/>
    <col min="6" max="6" width="14.6640625" customWidth="1"/>
    <col min="7" max="7" width="9.83203125" customWidth="1"/>
    <col min="8" max="8" width="8" customWidth="1"/>
    <col min="9" max="9" width="14.83203125" customWidth="1"/>
    <col min="10" max="10" width="16.5" customWidth="1"/>
    <col min="11" max="11" width="15.1640625" customWidth="1"/>
    <col min="12" max="12" width="14.5" customWidth="1"/>
    <col min="13" max="14" width="11.83203125" customWidth="1"/>
    <col min="15" max="15" width="8.6640625" customWidth="1"/>
    <col min="16" max="16" width="7.83203125" customWidth="1"/>
    <col min="17" max="19" width="10.6640625" customWidth="1"/>
    <col min="20" max="20" width="41.5" customWidth="1"/>
    <col min="21" max="30" width="14.5" customWidth="1"/>
  </cols>
  <sheetData>
    <row r="1" spans="1:30" ht="15.75" customHeight="1">
      <c r="A1" s="1"/>
      <c r="B1" s="1"/>
      <c r="C1" s="1"/>
      <c r="D1" s="1"/>
      <c r="E1" s="1"/>
      <c r="F1" s="1"/>
      <c r="G1" s="1" t="s">
        <v>0</v>
      </c>
      <c r="H1" s="1" t="s">
        <v>1</v>
      </c>
      <c r="I1" s="1" t="s">
        <v>2</v>
      </c>
      <c r="J1" s="1" t="s">
        <v>3</v>
      </c>
      <c r="K1" s="1" t="s">
        <v>4</v>
      </c>
      <c r="L1" s="1" t="s">
        <v>5</v>
      </c>
      <c r="M1" s="2" t="s">
        <v>6</v>
      </c>
      <c r="N1" s="1"/>
      <c r="O1" s="1"/>
      <c r="P1" s="1"/>
      <c r="Q1" s="1"/>
      <c r="R1" s="1"/>
      <c r="S1" s="1"/>
      <c r="T1" s="1"/>
      <c r="U1" s="1"/>
      <c r="V1" s="1"/>
      <c r="W1" s="1"/>
      <c r="X1" s="1"/>
      <c r="Y1" s="1"/>
      <c r="Z1" s="1"/>
      <c r="AA1" s="1"/>
      <c r="AB1" s="1"/>
      <c r="AC1" s="1"/>
      <c r="AD1" s="1"/>
    </row>
    <row r="2" spans="1:30" ht="25.5" customHeight="1">
      <c r="A2" s="3" t="s">
        <v>7</v>
      </c>
      <c r="B2" s="3" t="s">
        <v>110</v>
      </c>
      <c r="C2" s="3" t="s">
        <v>8</v>
      </c>
      <c r="D2" s="3" t="s">
        <v>9</v>
      </c>
      <c r="E2" s="3" t="s">
        <v>10</v>
      </c>
      <c r="F2" s="3" t="s">
        <v>11</v>
      </c>
      <c r="G2" s="3" t="s">
        <v>12</v>
      </c>
      <c r="H2" s="3" t="s">
        <v>13</v>
      </c>
      <c r="I2" s="3" t="s">
        <v>14</v>
      </c>
      <c r="J2" s="3" t="s">
        <v>15</v>
      </c>
      <c r="K2" s="3" t="s">
        <v>16</v>
      </c>
      <c r="L2" s="3" t="s">
        <v>17</v>
      </c>
      <c r="M2" s="4" t="s">
        <v>18</v>
      </c>
      <c r="N2" s="3" t="s">
        <v>19</v>
      </c>
      <c r="O2" s="3" t="s">
        <v>20</v>
      </c>
      <c r="P2" s="3" t="s">
        <v>21</v>
      </c>
      <c r="Q2" s="3" t="s">
        <v>22</v>
      </c>
      <c r="R2" s="3" t="s">
        <v>23</v>
      </c>
      <c r="S2" s="3" t="s">
        <v>24</v>
      </c>
      <c r="T2" s="3" t="s">
        <v>25</v>
      </c>
      <c r="U2" s="10" t="s">
        <v>39</v>
      </c>
      <c r="V2" s="1"/>
      <c r="W2" s="1"/>
      <c r="X2" s="1"/>
      <c r="Y2" s="1"/>
      <c r="Z2" s="1"/>
      <c r="AA2" s="1"/>
      <c r="AB2" s="1"/>
      <c r="AC2" s="1"/>
      <c r="AD2" s="1"/>
    </row>
    <row r="3" spans="1:30" ht="12" customHeight="1">
      <c r="A3" s="8" t="s">
        <v>26</v>
      </c>
      <c r="B3" s="5" t="s">
        <v>27</v>
      </c>
      <c r="C3" s="5">
        <v>2013</v>
      </c>
      <c r="D3" s="8" t="s">
        <v>28</v>
      </c>
      <c r="E3" s="8" t="s">
        <v>29</v>
      </c>
      <c r="F3" s="8" t="s">
        <v>30</v>
      </c>
      <c r="G3" s="5">
        <f>0.6^2</f>
        <v>0.36</v>
      </c>
      <c r="H3" s="5">
        <f>4*6+4</f>
        <v>28</v>
      </c>
      <c r="I3" s="41">
        <f>(G3*H3)/10000</f>
        <v>1.008E-3</v>
      </c>
      <c r="J3" s="5">
        <f>20/(60*24)</f>
        <v>1.3888888888888888E-2</v>
      </c>
      <c r="K3" s="5">
        <f>(14+21)/2</f>
        <v>17.5</v>
      </c>
      <c r="L3">
        <f>(152/K3)*J3*3</f>
        <v>0.36190476190476184</v>
      </c>
      <c r="M3" s="5">
        <f>365*3</f>
        <v>1095</v>
      </c>
      <c r="N3" s="8">
        <v>0</v>
      </c>
      <c r="O3" s="5">
        <v>0</v>
      </c>
      <c r="P3" s="5">
        <v>2</v>
      </c>
      <c r="Q3" s="5">
        <v>0</v>
      </c>
      <c r="R3" s="5"/>
      <c r="S3" s="5"/>
      <c r="T3" s="8" t="s">
        <v>33</v>
      </c>
      <c r="U3" s="7"/>
      <c r="V3" s="7"/>
      <c r="W3" s="7"/>
      <c r="X3" s="7"/>
      <c r="Y3" s="7"/>
      <c r="Z3" s="7"/>
      <c r="AA3" s="7"/>
      <c r="AB3" s="7"/>
      <c r="AC3" s="7"/>
      <c r="AD3" s="7"/>
    </row>
    <row r="4" spans="1:30" ht="12" customHeight="1">
      <c r="A4" s="8" t="s">
        <v>26</v>
      </c>
      <c r="B4" s="5" t="s">
        <v>27</v>
      </c>
      <c r="C4" s="5">
        <v>2013</v>
      </c>
      <c r="D4" s="8" t="s">
        <v>28</v>
      </c>
      <c r="E4" s="8" t="s">
        <v>29</v>
      </c>
      <c r="F4" s="8" t="s">
        <v>30</v>
      </c>
      <c r="G4" s="5">
        <f>PI()*0.05^2</f>
        <v>7.8539816339744835E-3</v>
      </c>
      <c r="H4" s="5">
        <f>4*6+4</f>
        <v>28</v>
      </c>
      <c r="I4" s="41">
        <f>(G4*H4)/10000</f>
        <v>2.1991148575128556E-5</v>
      </c>
      <c r="J4" s="5">
        <f>20/(60*24)</f>
        <v>1.3888888888888888E-2</v>
      </c>
      <c r="K4" s="5">
        <f>(14+21)/2</f>
        <v>17.5</v>
      </c>
      <c r="L4">
        <f>(152/K4)*J4*3</f>
        <v>0.36190476190476184</v>
      </c>
      <c r="M4" s="5">
        <f>365*3</f>
        <v>1095</v>
      </c>
      <c r="N4" s="8">
        <v>0</v>
      </c>
      <c r="O4" s="5">
        <v>0</v>
      </c>
      <c r="P4" s="5">
        <v>1</v>
      </c>
      <c r="Q4" s="5">
        <v>0</v>
      </c>
      <c r="R4" s="5"/>
      <c r="S4" s="8" t="s">
        <v>12</v>
      </c>
      <c r="T4" s="8" t="s">
        <v>31</v>
      </c>
      <c r="U4" s="7"/>
      <c r="V4" s="7"/>
      <c r="W4" s="7"/>
      <c r="X4" s="7"/>
      <c r="Y4" s="7"/>
      <c r="Z4" s="7"/>
      <c r="AA4" s="7"/>
      <c r="AB4" s="7"/>
      <c r="AC4" s="7"/>
      <c r="AD4" s="7"/>
    </row>
    <row r="5" spans="1:30" ht="12" customHeight="1">
      <c r="A5" s="8" t="s">
        <v>26</v>
      </c>
      <c r="B5" s="5" t="s">
        <v>27</v>
      </c>
      <c r="C5" s="5">
        <v>2013</v>
      </c>
      <c r="D5" s="8" t="s">
        <v>28</v>
      </c>
      <c r="E5" s="8" t="s">
        <v>29</v>
      </c>
      <c r="F5" s="8" t="s">
        <v>30</v>
      </c>
      <c r="G5" s="5">
        <f>PI()*0.005^2</f>
        <v>7.8539816339744827E-5</v>
      </c>
      <c r="H5" s="5">
        <f>4*6+4</f>
        <v>28</v>
      </c>
      <c r="I5" s="41">
        <f>(G5*H5)/10000</f>
        <v>2.1991148575128554E-7</v>
      </c>
      <c r="J5" s="5">
        <f>20/(60*24)</f>
        <v>1.3888888888888888E-2</v>
      </c>
      <c r="K5" s="5">
        <f>(14+21)/2</f>
        <v>17.5</v>
      </c>
      <c r="L5">
        <f>(152/K5)*J5*3</f>
        <v>0.36190476190476184</v>
      </c>
      <c r="M5" s="5">
        <f>365*3</f>
        <v>1095</v>
      </c>
      <c r="N5" s="8">
        <v>0</v>
      </c>
      <c r="O5" s="5">
        <v>0</v>
      </c>
      <c r="P5" s="5">
        <v>1</v>
      </c>
      <c r="Q5" s="5">
        <v>0</v>
      </c>
      <c r="R5" s="5"/>
      <c r="S5" s="8" t="s">
        <v>12</v>
      </c>
      <c r="T5" s="8" t="s">
        <v>32</v>
      </c>
      <c r="U5" s="7"/>
      <c r="V5" s="7"/>
      <c r="W5" s="7"/>
      <c r="X5" s="7"/>
      <c r="Y5" s="7"/>
      <c r="Z5" s="7"/>
      <c r="AA5" s="7"/>
      <c r="AB5" s="7"/>
      <c r="AC5" s="7"/>
      <c r="AD5" s="7"/>
    </row>
    <row r="6" spans="1:30" ht="12" customHeight="1">
      <c r="A6" s="8" t="s">
        <v>26</v>
      </c>
      <c r="B6" s="5" t="s">
        <v>27</v>
      </c>
      <c r="C6" s="5">
        <v>2013</v>
      </c>
      <c r="D6" s="8" t="s">
        <v>28</v>
      </c>
      <c r="E6" s="8" t="s">
        <v>29</v>
      </c>
      <c r="F6" s="8" t="s">
        <v>30</v>
      </c>
      <c r="G6" s="5">
        <f>G5</f>
        <v>7.8539816339744827E-5</v>
      </c>
      <c r="H6" s="5">
        <f>2*3</f>
        <v>6</v>
      </c>
      <c r="I6" s="41">
        <f>(G6*H6)/10000</f>
        <v>4.71238898038469E-8</v>
      </c>
      <c r="J6" s="5">
        <f>(1/60)/(60*24)</f>
        <v>1.1574074074074073E-5</v>
      </c>
      <c r="K6" s="5">
        <f>30/(60*24)</f>
        <v>2.0833333333333332E-2</v>
      </c>
      <c r="L6">
        <f>(152/K6)*J6*3</f>
        <v>0.25333333333333335</v>
      </c>
      <c r="M6" s="5">
        <f>365*3</f>
        <v>1095</v>
      </c>
      <c r="N6" s="5">
        <v>0</v>
      </c>
      <c r="O6" s="5">
        <v>0</v>
      </c>
      <c r="P6" s="5">
        <v>0</v>
      </c>
      <c r="Q6" s="5">
        <v>0</v>
      </c>
      <c r="R6" s="5"/>
      <c r="S6" s="8" t="s">
        <v>16</v>
      </c>
      <c r="T6" s="8" t="s">
        <v>34</v>
      </c>
      <c r="U6" s="7"/>
      <c r="V6" s="7"/>
      <c r="W6" s="7"/>
      <c r="X6" s="7"/>
      <c r="Y6" s="7"/>
      <c r="Z6" s="7"/>
      <c r="AA6" s="7"/>
      <c r="AB6" s="7"/>
      <c r="AC6" s="7"/>
      <c r="AD6" s="7"/>
    </row>
    <row r="7" spans="1:30" ht="12" customHeight="1">
      <c r="A7" s="8" t="s">
        <v>26</v>
      </c>
      <c r="B7" s="5" t="s">
        <v>27</v>
      </c>
      <c r="C7" s="5">
        <v>2013</v>
      </c>
      <c r="D7" s="8" t="s">
        <v>28</v>
      </c>
      <c r="E7" s="8" t="s">
        <v>29</v>
      </c>
      <c r="F7" s="8" t="s">
        <v>30</v>
      </c>
      <c r="G7" s="5">
        <f>PI()*0.05^2</f>
        <v>7.8539816339744835E-3</v>
      </c>
      <c r="H7" s="5">
        <f>(5*8*5)+4*5</f>
        <v>220</v>
      </c>
      <c r="I7" s="41">
        <f>(G7*H7)/10000</f>
        <v>1.7278759594743865E-4</v>
      </c>
      <c r="J7" s="5">
        <f>4*7</f>
        <v>28</v>
      </c>
      <c r="K7" s="9">
        <f>AVERAGE(DATE(2010, 10, 1)-DATE(2010, 6, 1), DATE(2011, 6, 1)-DATE(2010, 10, 1))</f>
        <v>182.5</v>
      </c>
      <c r="L7">
        <f>J7*3</f>
        <v>84</v>
      </c>
      <c r="M7" s="5">
        <f>365*3</f>
        <v>1095</v>
      </c>
      <c r="N7" s="5">
        <v>3</v>
      </c>
      <c r="O7" s="5">
        <v>0</v>
      </c>
      <c r="P7" s="5">
        <v>1</v>
      </c>
      <c r="Q7" s="5">
        <v>2</v>
      </c>
      <c r="R7" s="5"/>
      <c r="S7" s="8" t="s">
        <v>22</v>
      </c>
      <c r="T7" s="8" t="s">
        <v>35</v>
      </c>
      <c r="U7" s="7"/>
      <c r="V7" s="7"/>
      <c r="W7" s="7"/>
      <c r="X7" s="7"/>
      <c r="Y7" s="7"/>
      <c r="Z7" s="7"/>
      <c r="AA7" s="7"/>
      <c r="AB7" s="7"/>
      <c r="AC7" s="7"/>
      <c r="AD7" s="7"/>
    </row>
    <row r="8" spans="1:30" s="15" customFormat="1" ht="12" customHeight="1">
      <c r="A8" s="11" t="s">
        <v>37</v>
      </c>
      <c r="B8" s="12" t="s">
        <v>36</v>
      </c>
      <c r="C8" s="12">
        <v>2013</v>
      </c>
      <c r="D8" s="11"/>
      <c r="E8" s="11"/>
      <c r="F8" s="11"/>
      <c r="G8" s="12"/>
      <c r="H8" s="12"/>
      <c r="I8" s="42"/>
      <c r="J8" s="12"/>
      <c r="K8" s="12"/>
      <c r="L8" s="12"/>
      <c r="M8" s="12"/>
      <c r="N8" s="12"/>
      <c r="O8" s="12"/>
      <c r="P8" s="12"/>
      <c r="Q8" s="12"/>
      <c r="R8" s="12"/>
      <c r="S8" s="12"/>
      <c r="T8" s="11" t="s">
        <v>38</v>
      </c>
      <c r="U8" s="11" t="s">
        <v>40</v>
      </c>
      <c r="V8" s="14"/>
      <c r="W8" s="14"/>
      <c r="X8" s="14"/>
      <c r="Y8" s="14"/>
      <c r="Z8" s="14"/>
      <c r="AA8" s="14"/>
      <c r="AB8" s="14"/>
      <c r="AC8" s="14"/>
      <c r="AD8" s="14"/>
    </row>
    <row r="9" spans="1:30" ht="12" customHeight="1">
      <c r="A9" s="8" t="s">
        <v>41</v>
      </c>
      <c r="B9" s="5" t="s">
        <v>42</v>
      </c>
      <c r="C9" s="5">
        <v>2014</v>
      </c>
      <c r="D9" s="8" t="s">
        <v>43</v>
      </c>
      <c r="E9" s="8" t="s">
        <v>44</v>
      </c>
      <c r="F9" s="8" t="s">
        <v>45</v>
      </c>
      <c r="G9" s="5">
        <f>PI()*0.03^2</f>
        <v>2.8274333882308137E-3</v>
      </c>
      <c r="H9" s="5">
        <v>39</v>
      </c>
      <c r="I9" s="41">
        <f>(G9*H9)/10000</f>
        <v>1.1026990214100173E-5</v>
      </c>
      <c r="J9" s="5">
        <f>5/(60*60*24)</f>
        <v>5.7870370370370373E-5</v>
      </c>
      <c r="K9" s="5">
        <f>1/(60*24)</f>
        <v>6.9444444444444447E-4</v>
      </c>
      <c r="L9" s="5">
        <f>47+41</f>
        <v>88</v>
      </c>
      <c r="M9" s="5">
        <f>DATE(2008, 7, 14)-DATE(2007, 6, 2)</f>
        <v>408</v>
      </c>
      <c r="N9" s="5">
        <v>2</v>
      </c>
      <c r="O9" s="5">
        <v>0</v>
      </c>
      <c r="P9" s="5">
        <v>2</v>
      </c>
      <c r="Q9" s="5">
        <v>1</v>
      </c>
      <c r="R9" s="5"/>
      <c r="S9" s="8" t="s">
        <v>46</v>
      </c>
      <c r="T9" s="8" t="s">
        <v>47</v>
      </c>
      <c r="U9" s="7"/>
      <c r="V9" s="7"/>
      <c r="W9" s="7"/>
      <c r="X9" s="7"/>
      <c r="Y9" s="7"/>
      <c r="Z9" s="7"/>
      <c r="AA9" s="7"/>
      <c r="AB9" s="7"/>
      <c r="AC9" s="7"/>
      <c r="AD9" s="7"/>
    </row>
    <row r="10" spans="1:30" ht="12" customHeight="1">
      <c r="A10" s="8" t="s">
        <v>41</v>
      </c>
      <c r="B10" s="5" t="s">
        <v>42</v>
      </c>
      <c r="C10" s="5">
        <v>2014</v>
      </c>
      <c r="D10" s="8" t="s">
        <v>43</v>
      </c>
      <c r="E10" s="8" t="s">
        <v>44</v>
      </c>
      <c r="F10" s="8" t="s">
        <v>45</v>
      </c>
      <c r="G10" s="5">
        <f>PI()*0.03^2</f>
        <v>2.8274333882308137E-3</v>
      </c>
      <c r="H10" s="5">
        <v>108</v>
      </c>
      <c r="I10" s="41">
        <f>(G10*H10)/10000</f>
        <v>3.0536280592892786E-5</v>
      </c>
      <c r="J10" s="5">
        <f>60/(60*60*24)</f>
        <v>6.9444444444444447E-4</v>
      </c>
      <c r="K10" s="5">
        <v>0</v>
      </c>
      <c r="L10" s="5">
        <v>1</v>
      </c>
      <c r="M10" s="5">
        <v>1</v>
      </c>
      <c r="N10" s="5">
        <v>0</v>
      </c>
      <c r="O10" s="5">
        <v>0</v>
      </c>
      <c r="P10" s="5">
        <v>1</v>
      </c>
      <c r="Q10" s="5">
        <v>1</v>
      </c>
      <c r="R10" s="5"/>
      <c r="S10" s="8" t="s">
        <v>15</v>
      </c>
      <c r="T10" s="8" t="s">
        <v>48</v>
      </c>
      <c r="U10" s="7"/>
      <c r="V10" s="7"/>
      <c r="W10" s="7"/>
      <c r="X10" s="7"/>
      <c r="Y10" s="7"/>
      <c r="Z10" s="7"/>
      <c r="AA10" s="7"/>
      <c r="AB10" s="7"/>
      <c r="AC10" s="7"/>
      <c r="AD10" s="7"/>
    </row>
    <row r="11" spans="1:30" ht="12" customHeight="1">
      <c r="A11" s="8" t="s">
        <v>49</v>
      </c>
      <c r="B11" s="8" t="s">
        <v>50</v>
      </c>
      <c r="C11" s="5">
        <v>2005</v>
      </c>
      <c r="D11" s="8" t="s">
        <v>28</v>
      </c>
      <c r="E11" s="8" t="s">
        <v>51</v>
      </c>
      <c r="F11" s="8" t="s">
        <v>52</v>
      </c>
      <c r="G11" s="5">
        <f>2*0.2</f>
        <v>0.4</v>
      </c>
      <c r="H11" s="5">
        <v>329</v>
      </c>
      <c r="I11" s="41">
        <f>(G11*H11)/10000</f>
        <v>1.316E-2</v>
      </c>
      <c r="J11" s="5">
        <f>12/24</f>
        <v>0.5</v>
      </c>
      <c r="K11" s="5">
        <v>0</v>
      </c>
      <c r="L11" s="5">
        <f>12/24</f>
        <v>0.5</v>
      </c>
      <c r="M11" s="5">
        <f>365*2</f>
        <v>730</v>
      </c>
      <c r="N11" s="5">
        <v>0</v>
      </c>
      <c r="O11" s="5">
        <v>0</v>
      </c>
      <c r="P11" s="5">
        <v>2</v>
      </c>
      <c r="Q11" s="5">
        <v>0</v>
      </c>
      <c r="R11" s="5"/>
      <c r="S11" s="8" t="s">
        <v>54</v>
      </c>
      <c r="T11" s="8" t="s">
        <v>53</v>
      </c>
      <c r="U11" s="7"/>
      <c r="V11" s="7"/>
      <c r="W11" s="7"/>
      <c r="X11" s="7"/>
      <c r="Y11" s="7"/>
      <c r="Z11" s="7"/>
      <c r="AA11" s="7"/>
      <c r="AB11" s="7"/>
      <c r="AC11" s="7"/>
      <c r="AD11" s="7"/>
    </row>
    <row r="12" spans="1:30" ht="12" customHeight="1">
      <c r="A12" s="8" t="s">
        <v>49</v>
      </c>
      <c r="B12" s="8" t="s">
        <v>50</v>
      </c>
      <c r="C12" s="5">
        <v>2005</v>
      </c>
      <c r="D12" s="8" t="s">
        <v>28</v>
      </c>
      <c r="E12" s="8" t="s">
        <v>51</v>
      </c>
      <c r="F12" s="8" t="s">
        <v>52</v>
      </c>
      <c r="G12" s="5">
        <f>2*0.2</f>
        <v>0.4</v>
      </c>
      <c r="H12" s="5">
        <v>36</v>
      </c>
      <c r="I12" s="41">
        <f>(G12*H12)/10000</f>
        <v>1.4400000000000001E-3</v>
      </c>
      <c r="J12" s="5">
        <f>12/24</f>
        <v>0.5</v>
      </c>
      <c r="K12" s="5">
        <v>365</v>
      </c>
      <c r="L12" s="5">
        <f>12/24*2</f>
        <v>1</v>
      </c>
      <c r="M12" s="5">
        <f>365*2</f>
        <v>730</v>
      </c>
      <c r="N12" s="5">
        <v>0</v>
      </c>
      <c r="O12" s="5">
        <v>0</v>
      </c>
      <c r="P12" s="5">
        <v>2</v>
      </c>
      <c r="Q12" s="5">
        <v>0</v>
      </c>
      <c r="R12" s="5"/>
      <c r="S12" s="8" t="s">
        <v>54</v>
      </c>
      <c r="T12" s="8" t="s">
        <v>55</v>
      </c>
      <c r="U12" s="7"/>
      <c r="V12" s="7"/>
      <c r="W12" s="7"/>
      <c r="X12" s="7"/>
      <c r="Y12" s="7"/>
      <c r="Z12" s="7"/>
      <c r="AA12" s="7"/>
      <c r="AB12" s="7"/>
      <c r="AC12" s="7"/>
      <c r="AD12" s="7"/>
    </row>
    <row r="13" spans="1:30" ht="12" customHeight="1">
      <c r="A13" s="8" t="s">
        <v>49</v>
      </c>
      <c r="B13" s="8" t="s">
        <v>50</v>
      </c>
      <c r="C13" s="5">
        <v>2005</v>
      </c>
      <c r="D13" s="8" t="s">
        <v>28</v>
      </c>
      <c r="E13" s="8" t="s">
        <v>51</v>
      </c>
      <c r="F13" s="8" t="s">
        <v>52</v>
      </c>
      <c r="G13" s="5">
        <f>2*0.2</f>
        <v>0.4</v>
      </c>
      <c r="H13" s="5">
        <v>15</v>
      </c>
      <c r="I13" s="41">
        <f>(G13*H13)/10000</f>
        <v>5.9999999999999995E-4</v>
      </c>
      <c r="J13" s="5">
        <f>12/24</f>
        <v>0.5</v>
      </c>
      <c r="K13" s="5">
        <v>15</v>
      </c>
      <c r="L13" s="5">
        <f>12/24*2</f>
        <v>1</v>
      </c>
      <c r="M13" s="5">
        <f>365*2</f>
        <v>730</v>
      </c>
      <c r="N13" s="5">
        <v>0</v>
      </c>
      <c r="O13" s="5">
        <v>0</v>
      </c>
      <c r="P13" s="5">
        <v>2</v>
      </c>
      <c r="Q13" s="5">
        <v>0</v>
      </c>
      <c r="R13" s="5"/>
      <c r="S13" s="8" t="s">
        <v>54</v>
      </c>
      <c r="T13" s="8" t="s">
        <v>56</v>
      </c>
      <c r="U13" s="7"/>
      <c r="V13" s="7"/>
      <c r="W13" s="7"/>
      <c r="X13" s="7"/>
      <c r="Y13" s="7"/>
      <c r="Z13" s="7"/>
      <c r="AA13" s="7"/>
      <c r="AB13" s="7"/>
      <c r="AC13" s="7"/>
      <c r="AD13" s="7"/>
    </row>
    <row r="14" spans="1:30" s="15" customFormat="1" ht="12" customHeight="1">
      <c r="A14" s="11" t="s">
        <v>57</v>
      </c>
      <c r="B14" s="16" t="s">
        <v>58</v>
      </c>
      <c r="C14" s="12">
        <v>2013</v>
      </c>
      <c r="D14" s="11" t="s">
        <v>43</v>
      </c>
      <c r="E14" s="11" t="s">
        <v>59</v>
      </c>
      <c r="F14" s="11" t="s">
        <v>60</v>
      </c>
      <c r="G14" s="12"/>
      <c r="H14" s="12"/>
      <c r="I14" s="43"/>
      <c r="J14" s="12"/>
      <c r="K14" s="12"/>
      <c r="L14" s="12"/>
      <c r="M14" s="12"/>
      <c r="N14" s="12"/>
      <c r="O14" s="12"/>
      <c r="P14" s="12"/>
      <c r="Q14" s="12"/>
      <c r="R14" s="12"/>
      <c r="S14" s="12"/>
      <c r="T14" s="12"/>
      <c r="U14" s="11" t="s">
        <v>61</v>
      </c>
      <c r="V14" s="14"/>
      <c r="W14" s="14"/>
      <c r="X14" s="14"/>
      <c r="Y14" s="14"/>
      <c r="Z14" s="14"/>
      <c r="AA14" s="14"/>
      <c r="AB14" s="14"/>
      <c r="AC14" s="14"/>
      <c r="AD14" s="14"/>
    </row>
    <row r="15" spans="1:30" ht="12" customHeight="1">
      <c r="A15" s="8" t="s">
        <v>63</v>
      </c>
      <c r="B15" s="5" t="s">
        <v>62</v>
      </c>
      <c r="C15" s="5">
        <v>2008</v>
      </c>
      <c r="D15" s="8" t="s">
        <v>28</v>
      </c>
      <c r="E15" s="8" t="s">
        <v>64</v>
      </c>
      <c r="F15" s="8" t="s">
        <v>65</v>
      </c>
      <c r="G15" s="5">
        <f>0.5*0.2</f>
        <v>0.1</v>
      </c>
      <c r="H15" s="5">
        <v>1269</v>
      </c>
      <c r="I15" s="41">
        <f>(G15*H15)/10000</f>
        <v>1.269E-2</v>
      </c>
      <c r="J15" s="5">
        <v>1</v>
      </c>
      <c r="K15" s="5">
        <v>0</v>
      </c>
      <c r="L15" s="5">
        <f>J15</f>
        <v>1</v>
      </c>
      <c r="M15" s="5">
        <f>232</f>
        <v>232</v>
      </c>
      <c r="N15" s="5">
        <v>2</v>
      </c>
      <c r="O15" s="5">
        <v>0</v>
      </c>
      <c r="P15" s="5">
        <v>1</v>
      </c>
      <c r="Q15" s="5">
        <v>2</v>
      </c>
      <c r="R15" s="5"/>
      <c r="S15" s="8" t="s">
        <v>66</v>
      </c>
      <c r="T15" s="8" t="s">
        <v>67</v>
      </c>
      <c r="U15" s="7"/>
      <c r="V15" s="7"/>
      <c r="W15" s="7"/>
      <c r="X15" s="7"/>
      <c r="Y15" s="7"/>
      <c r="Z15" s="7"/>
      <c r="AA15" s="7"/>
      <c r="AB15" s="7"/>
      <c r="AC15" s="7"/>
      <c r="AD15" s="7"/>
    </row>
    <row r="16" spans="1:30" ht="12" customHeight="1">
      <c r="A16" s="8" t="s">
        <v>68</v>
      </c>
      <c r="B16" s="5" t="s">
        <v>69</v>
      </c>
      <c r="C16" s="5">
        <v>2008</v>
      </c>
      <c r="D16" s="8" t="s">
        <v>28</v>
      </c>
      <c r="E16" s="8" t="s">
        <v>70</v>
      </c>
      <c r="F16" s="8" t="s">
        <v>71</v>
      </c>
      <c r="G16" s="5">
        <f>PI()*0.25^2</f>
        <v>0.19634954084936207</v>
      </c>
      <c r="H16" s="5">
        <v>1</v>
      </c>
      <c r="I16" s="41">
        <f t="shared" ref="I16:I18" si="0">(G16*H16)/10000</f>
        <v>1.9634954084936207E-5</v>
      </c>
      <c r="J16" s="5">
        <f>11*365</f>
        <v>4015</v>
      </c>
      <c r="K16" s="5">
        <v>0</v>
      </c>
      <c r="L16" s="17">
        <v>4015</v>
      </c>
      <c r="M16" s="5">
        <f>11*365</f>
        <v>4015</v>
      </c>
      <c r="N16" s="5">
        <v>0</v>
      </c>
      <c r="O16" s="5">
        <v>0</v>
      </c>
      <c r="P16" s="5">
        <v>2</v>
      </c>
      <c r="Q16" s="5">
        <v>0</v>
      </c>
      <c r="R16" t="s">
        <v>72</v>
      </c>
      <c r="S16" s="8" t="s">
        <v>17</v>
      </c>
      <c r="T16" s="8" t="s">
        <v>73</v>
      </c>
      <c r="U16" s="7"/>
      <c r="V16" s="7"/>
      <c r="W16" s="7"/>
      <c r="X16" s="7"/>
      <c r="Y16" s="7"/>
      <c r="Z16" s="7"/>
      <c r="AA16" s="7"/>
      <c r="AB16" s="7"/>
      <c r="AC16" s="7"/>
      <c r="AD16" s="7"/>
    </row>
    <row r="17" spans="1:30" ht="12" customHeight="1">
      <c r="A17" s="8" t="s">
        <v>68</v>
      </c>
      <c r="B17" s="5" t="s">
        <v>69</v>
      </c>
      <c r="C17" s="5">
        <v>2008</v>
      </c>
      <c r="D17" s="8" t="s">
        <v>28</v>
      </c>
      <c r="E17" s="8" t="s">
        <v>70</v>
      </c>
      <c r="F17" s="8" t="s">
        <v>71</v>
      </c>
      <c r="G17" s="18">
        <v>512000000</v>
      </c>
      <c r="H17" s="5">
        <v>1</v>
      </c>
      <c r="I17" s="41">
        <f t="shared" si="0"/>
        <v>51200</v>
      </c>
      <c r="J17" s="5">
        <f>1/(3600*24)</f>
        <v>1.1574074074074073E-5</v>
      </c>
      <c r="K17" s="5">
        <f>(15/60)/24</f>
        <v>1.0416666666666666E-2</v>
      </c>
      <c r="L17" s="5">
        <f>((24*4)*365*11) / (24*3600)</f>
        <v>4.4611111111111112</v>
      </c>
      <c r="M17" s="5">
        <f>11*365</f>
        <v>4015</v>
      </c>
      <c r="N17" s="5">
        <v>0</v>
      </c>
      <c r="O17" s="5">
        <v>0</v>
      </c>
      <c r="P17" s="5">
        <v>1</v>
      </c>
      <c r="Q17" s="5">
        <v>0</v>
      </c>
      <c r="R17" s="5"/>
      <c r="S17" s="8" t="s">
        <v>75</v>
      </c>
      <c r="T17" s="8" t="s">
        <v>74</v>
      </c>
      <c r="U17" s="7"/>
      <c r="V17" s="7"/>
      <c r="W17" s="7"/>
      <c r="X17" s="7"/>
      <c r="Y17" s="7"/>
      <c r="Z17" s="7"/>
      <c r="AA17" s="7"/>
      <c r="AB17" s="7"/>
      <c r="AC17" s="7"/>
      <c r="AD17" s="7"/>
    </row>
    <row r="18" spans="1:30" ht="12" customHeight="1">
      <c r="A18" s="8" t="s">
        <v>68</v>
      </c>
      <c r="B18" s="5" t="s">
        <v>69</v>
      </c>
      <c r="C18" s="5">
        <v>2008</v>
      </c>
      <c r="D18" s="8" t="s">
        <v>28</v>
      </c>
      <c r="E18" s="8" t="s">
        <v>70</v>
      </c>
      <c r="F18" s="8" t="s">
        <v>71</v>
      </c>
      <c r="G18" s="5">
        <f>PI()*0.025^2</f>
        <v>1.9634954084936209E-3</v>
      </c>
      <c r="H18" s="5">
        <v>1</v>
      </c>
      <c r="I18" s="41">
        <f t="shared" si="0"/>
        <v>1.9634954084936208E-7</v>
      </c>
      <c r="J18" s="5">
        <f>1/(3600*24)</f>
        <v>1.1574074074074073E-5</v>
      </c>
      <c r="K18" s="5">
        <v>1</v>
      </c>
      <c r="L18" s="5">
        <f>(365*11) / (24*3600)</f>
        <v>4.6469907407407404E-2</v>
      </c>
      <c r="M18" s="5">
        <f>11*365</f>
        <v>4015</v>
      </c>
      <c r="N18" s="5">
        <v>0</v>
      </c>
      <c r="O18" s="5">
        <v>0</v>
      </c>
      <c r="P18" s="5">
        <v>2</v>
      </c>
      <c r="Q18" s="5">
        <v>0</v>
      </c>
      <c r="R18" s="5"/>
      <c r="S18" s="8" t="s">
        <v>76</v>
      </c>
      <c r="T18" s="8" t="s">
        <v>77</v>
      </c>
      <c r="U18" s="7"/>
      <c r="V18" s="7"/>
      <c r="W18" s="7"/>
      <c r="X18" s="7"/>
      <c r="Y18" s="7"/>
      <c r="Z18" s="7"/>
      <c r="AA18" s="7"/>
      <c r="AB18" s="7"/>
      <c r="AC18" s="7"/>
      <c r="AD18" s="7"/>
    </row>
    <row r="19" spans="1:30" s="15" customFormat="1" ht="12" customHeight="1">
      <c r="A19" s="11" t="s">
        <v>41</v>
      </c>
      <c r="B19" s="12" t="s">
        <v>78</v>
      </c>
      <c r="C19" s="12">
        <v>2007</v>
      </c>
      <c r="D19" s="11" t="s">
        <v>28</v>
      </c>
      <c r="E19" s="11" t="s">
        <v>79</v>
      </c>
      <c r="F19" s="11" t="s">
        <v>80</v>
      </c>
      <c r="G19" s="12"/>
      <c r="H19" s="12"/>
      <c r="I19" s="43"/>
      <c r="J19" s="12"/>
      <c r="K19" s="12"/>
      <c r="L19" s="12"/>
      <c r="M19" s="12"/>
      <c r="N19" s="12"/>
      <c r="O19" s="12"/>
      <c r="P19" s="12"/>
      <c r="Q19" s="12"/>
      <c r="R19" s="12"/>
      <c r="S19" s="12"/>
      <c r="T19" s="12"/>
      <c r="U19" s="11" t="s">
        <v>81</v>
      </c>
      <c r="V19" s="14"/>
      <c r="W19" s="14"/>
      <c r="X19" s="14"/>
      <c r="Y19" s="14"/>
      <c r="Z19" s="14"/>
      <c r="AA19" s="14"/>
      <c r="AB19" s="14"/>
      <c r="AC19" s="14"/>
      <c r="AD19" s="14"/>
    </row>
    <row r="20" spans="1:30" s="22" customFormat="1" ht="12" customHeight="1">
      <c r="A20" s="19" t="s">
        <v>41</v>
      </c>
      <c r="B20" s="20" t="s">
        <v>82</v>
      </c>
      <c r="C20" s="20">
        <v>2010</v>
      </c>
      <c r="D20" s="19" t="s">
        <v>83</v>
      </c>
      <c r="E20" s="19" t="s">
        <v>84</v>
      </c>
      <c r="F20" s="19" t="s">
        <v>85</v>
      </c>
      <c r="G20" s="20"/>
      <c r="H20" s="20"/>
      <c r="I20" s="44"/>
      <c r="J20" s="20"/>
      <c r="K20" s="20"/>
      <c r="L20" s="20"/>
      <c r="M20" s="20"/>
      <c r="N20" s="20"/>
      <c r="O20" s="20"/>
      <c r="P20" s="20"/>
      <c r="Q20" s="20"/>
      <c r="R20" s="20"/>
      <c r="S20" s="19" t="s">
        <v>86</v>
      </c>
      <c r="T20" s="19" t="s">
        <v>88</v>
      </c>
      <c r="U20" s="19" t="s">
        <v>87</v>
      </c>
      <c r="V20" s="21"/>
      <c r="W20" s="21"/>
      <c r="X20" s="21"/>
      <c r="Y20" s="21"/>
      <c r="Z20" s="21"/>
      <c r="AA20" s="21"/>
      <c r="AB20" s="21"/>
      <c r="AC20" s="21"/>
      <c r="AD20" s="21"/>
    </row>
    <row r="21" spans="1:30" s="15" customFormat="1" ht="12" customHeight="1">
      <c r="A21" s="23" t="s">
        <v>89</v>
      </c>
      <c r="B21" s="24"/>
      <c r="C21" s="24">
        <v>2005</v>
      </c>
      <c r="D21" s="23" t="s">
        <v>93</v>
      </c>
      <c r="E21" s="23" t="s">
        <v>92</v>
      </c>
      <c r="F21" s="23" t="s">
        <v>90</v>
      </c>
      <c r="G21" s="24"/>
      <c r="H21" s="24"/>
      <c r="I21" s="45"/>
      <c r="J21" s="24"/>
      <c r="K21" s="24"/>
      <c r="L21" s="24"/>
      <c r="M21" s="24"/>
      <c r="N21" s="24"/>
      <c r="O21" s="24"/>
      <c r="P21" s="24"/>
      <c r="Q21" s="24"/>
      <c r="R21" s="24"/>
      <c r="S21" s="24"/>
      <c r="T21" s="24"/>
      <c r="U21" s="11" t="s">
        <v>91</v>
      </c>
      <c r="V21" s="14"/>
      <c r="W21" s="14"/>
      <c r="X21" s="14"/>
      <c r="Y21" s="14"/>
      <c r="Z21" s="14"/>
      <c r="AA21" s="14"/>
      <c r="AB21" s="14"/>
      <c r="AC21" s="14"/>
      <c r="AD21" s="14"/>
    </row>
    <row r="22" spans="1:30" ht="15.75" customHeight="1">
      <c r="A22" t="s">
        <v>94</v>
      </c>
      <c r="B22" t="s">
        <v>95</v>
      </c>
      <c r="C22">
        <v>2009</v>
      </c>
      <c r="D22" t="s">
        <v>28</v>
      </c>
      <c r="E22" t="s">
        <v>96</v>
      </c>
      <c r="F22" t="s">
        <v>97</v>
      </c>
      <c r="G22">
        <f>0.2^2</f>
        <v>4.0000000000000008E-2</v>
      </c>
      <c r="H22">
        <f>28</f>
        <v>28</v>
      </c>
      <c r="I22" s="41">
        <f t="shared" ref="I22:I28" si="1">(G22*H22)/10000</f>
        <v>1.1200000000000001E-4</v>
      </c>
      <c r="J22">
        <f>1/(60*24)</f>
        <v>6.9444444444444447E-4</v>
      </c>
      <c r="K22">
        <v>0</v>
      </c>
      <c r="L22">
        <f>1/(60*24)</f>
        <v>6.9444444444444447E-4</v>
      </c>
      <c r="M22">
        <v>31</v>
      </c>
      <c r="N22">
        <v>1</v>
      </c>
      <c r="O22">
        <v>1</v>
      </c>
      <c r="P22">
        <v>1</v>
      </c>
      <c r="Q22">
        <v>1</v>
      </c>
      <c r="S22" t="s">
        <v>98</v>
      </c>
      <c r="T22" t="s">
        <v>99</v>
      </c>
    </row>
    <row r="23" spans="1:30" ht="15.75" customHeight="1">
      <c r="A23" t="s">
        <v>94</v>
      </c>
      <c r="B23" t="s">
        <v>95</v>
      </c>
      <c r="C23">
        <v>2009</v>
      </c>
      <c r="D23" t="s">
        <v>28</v>
      </c>
      <c r="E23" t="s">
        <v>96</v>
      </c>
      <c r="F23" t="s">
        <v>97</v>
      </c>
      <c r="G23">
        <f>10*1</f>
        <v>10</v>
      </c>
      <c r="H23">
        <v>36</v>
      </c>
      <c r="I23" s="41">
        <f t="shared" si="1"/>
        <v>3.5999999999999997E-2</v>
      </c>
      <c r="J23">
        <f>120/(60*24)</f>
        <v>8.3333333333333329E-2</v>
      </c>
      <c r="K23">
        <v>0</v>
      </c>
      <c r="L23">
        <f>120/(60*24)</f>
        <v>8.3333333333333329E-2</v>
      </c>
      <c r="M23">
        <v>31</v>
      </c>
      <c r="N23">
        <v>1</v>
      </c>
      <c r="O23">
        <v>1</v>
      </c>
      <c r="P23">
        <v>0</v>
      </c>
      <c r="Q23">
        <v>1</v>
      </c>
      <c r="S23" t="s">
        <v>75</v>
      </c>
      <c r="T23" t="s">
        <v>100</v>
      </c>
    </row>
    <row r="24" spans="1:30" ht="15.75" customHeight="1">
      <c r="A24" t="s">
        <v>94</v>
      </c>
      <c r="B24" t="s">
        <v>95</v>
      </c>
      <c r="C24">
        <v>2009</v>
      </c>
      <c r="D24" t="s">
        <v>28</v>
      </c>
      <c r="E24" t="s">
        <v>96</v>
      </c>
      <c r="F24" t="s">
        <v>97</v>
      </c>
      <c r="G24">
        <f>0.5*1</f>
        <v>0.5</v>
      </c>
      <c r="H24">
        <v>36</v>
      </c>
      <c r="I24" s="41">
        <f t="shared" si="1"/>
        <v>1.8E-3</v>
      </c>
      <c r="J24">
        <f>5/(60*24)</f>
        <v>3.472222222222222E-3</v>
      </c>
      <c r="K24">
        <v>0</v>
      </c>
      <c r="L24">
        <f>J24</f>
        <v>3.472222222222222E-3</v>
      </c>
      <c r="M24">
        <v>31</v>
      </c>
      <c r="N24">
        <v>1</v>
      </c>
      <c r="O24">
        <v>1</v>
      </c>
      <c r="P24">
        <v>0</v>
      </c>
      <c r="Q24">
        <v>1</v>
      </c>
      <c r="S24" t="s">
        <v>75</v>
      </c>
      <c r="T24" t="s">
        <v>101</v>
      </c>
    </row>
    <row r="25" spans="1:30" ht="15.75" customHeight="1">
      <c r="A25" t="s">
        <v>94</v>
      </c>
      <c r="B25" t="s">
        <v>95</v>
      </c>
      <c r="C25">
        <v>2009</v>
      </c>
      <c r="D25" t="s">
        <v>28</v>
      </c>
      <c r="E25" t="s">
        <v>96</v>
      </c>
      <c r="F25" t="s">
        <v>97</v>
      </c>
      <c r="G25" s="5">
        <f>PI()*0.05^2</f>
        <v>7.8539816339744835E-3</v>
      </c>
      <c r="H25">
        <f>3*18</f>
        <v>54</v>
      </c>
      <c r="I25" s="41">
        <f t="shared" si="1"/>
        <v>4.2411500823462215E-5</v>
      </c>
      <c r="J25">
        <f>10/(60*24)</f>
        <v>6.9444444444444441E-3</v>
      </c>
      <c r="K25">
        <v>0</v>
      </c>
      <c r="L25">
        <f>10/(60*24)</f>
        <v>6.9444444444444441E-3</v>
      </c>
      <c r="M25">
        <v>31</v>
      </c>
      <c r="N25">
        <v>0</v>
      </c>
      <c r="O25">
        <v>0</v>
      </c>
      <c r="P25">
        <v>2</v>
      </c>
      <c r="Q25">
        <v>0</v>
      </c>
      <c r="S25" t="s">
        <v>75</v>
      </c>
      <c r="T25" t="s">
        <v>102</v>
      </c>
    </row>
    <row r="26" spans="1:30" s="15" customFormat="1" ht="15.75" customHeight="1">
      <c r="A26" s="15" t="s">
        <v>103</v>
      </c>
      <c r="B26" s="15" t="s">
        <v>104</v>
      </c>
      <c r="C26" s="15">
        <v>2005</v>
      </c>
      <c r="D26" s="15" t="s">
        <v>93</v>
      </c>
      <c r="I26" s="46"/>
      <c r="U26" s="15" t="s">
        <v>105</v>
      </c>
    </row>
    <row r="27" spans="1:30" ht="15.75" customHeight="1">
      <c r="A27" t="s">
        <v>106</v>
      </c>
      <c r="B27" t="s">
        <v>109</v>
      </c>
      <c r="C27">
        <v>2010</v>
      </c>
      <c r="D27" t="s">
        <v>28</v>
      </c>
      <c r="E27" t="s">
        <v>107</v>
      </c>
      <c r="F27" t="s">
        <v>108</v>
      </c>
      <c r="G27" s="5">
        <f>PI()*0.05^2*10</f>
        <v>7.8539816339744828E-2</v>
      </c>
      <c r="H27">
        <f>3*5</f>
        <v>15</v>
      </c>
      <c r="I27" s="41">
        <f t="shared" si="1"/>
        <v>1.1780972450961724E-4</v>
      </c>
      <c r="J27">
        <f>10/(60*24) *10</f>
        <v>6.9444444444444448E-2</v>
      </c>
      <c r="K27">
        <v>0</v>
      </c>
      <c r="L27">
        <f>J27</f>
        <v>6.9444444444444448E-2</v>
      </c>
      <c r="M27">
        <f>6*30</f>
        <v>180</v>
      </c>
      <c r="N27">
        <v>0</v>
      </c>
      <c r="O27">
        <v>0</v>
      </c>
      <c r="P27">
        <v>2</v>
      </c>
      <c r="Q27">
        <v>0</v>
      </c>
      <c r="S27" t="s">
        <v>111</v>
      </c>
      <c r="T27" t="s">
        <v>112</v>
      </c>
    </row>
    <row r="28" spans="1:30" ht="15.75" customHeight="1">
      <c r="A28" t="s">
        <v>106</v>
      </c>
      <c r="B28" t="s">
        <v>109</v>
      </c>
      <c r="C28">
        <v>2010</v>
      </c>
      <c r="D28" t="s">
        <v>28</v>
      </c>
      <c r="E28" t="s">
        <v>107</v>
      </c>
      <c r="F28" t="s">
        <v>108</v>
      </c>
      <c r="G28" s="5">
        <f>PI()*0.25^2</f>
        <v>0.19634954084936207</v>
      </c>
      <c r="H28">
        <v>14</v>
      </c>
      <c r="I28" s="41">
        <f t="shared" si="1"/>
        <v>2.7488935718910691E-4</v>
      </c>
      <c r="J28">
        <f>180</f>
        <v>180</v>
      </c>
      <c r="K28">
        <v>0</v>
      </c>
      <c r="L28">
        <f>180</f>
        <v>180</v>
      </c>
      <c r="M28">
        <f>180</f>
        <v>180</v>
      </c>
      <c r="N28">
        <v>0</v>
      </c>
      <c r="O28">
        <v>0</v>
      </c>
      <c r="P28">
        <v>2</v>
      </c>
      <c r="Q28">
        <v>0</v>
      </c>
      <c r="S28" t="s">
        <v>113</v>
      </c>
      <c r="T28" t="s">
        <v>114</v>
      </c>
    </row>
    <row r="29" spans="1:30" ht="15.75" customHeight="1">
      <c r="A29" t="s">
        <v>26</v>
      </c>
      <c r="B29" t="s">
        <v>116</v>
      </c>
      <c r="C29">
        <v>2007</v>
      </c>
      <c r="D29" t="s">
        <v>28</v>
      </c>
      <c r="E29" t="s">
        <v>117</v>
      </c>
      <c r="F29" t="s">
        <v>118</v>
      </c>
      <c r="G29">
        <f>AVERAGE(0.2^2, 1^2)</f>
        <v>0.52</v>
      </c>
      <c r="H29" s="26">
        <f>(I29*10000)/G29</f>
        <v>5115.3846153846152</v>
      </c>
      <c r="I29" s="41">
        <f>2660/10000</f>
        <v>0.26600000000000001</v>
      </c>
      <c r="J29">
        <f>5/(60*24)</f>
        <v>3.472222222222222E-3</v>
      </c>
      <c r="K29">
        <v>0</v>
      </c>
      <c r="L29">
        <f>J29</f>
        <v>3.472222222222222E-3</v>
      </c>
      <c r="M29">
        <f>9*30</f>
        <v>270</v>
      </c>
      <c r="N29">
        <v>0</v>
      </c>
      <c r="O29">
        <v>1</v>
      </c>
      <c r="P29">
        <v>0</v>
      </c>
      <c r="Q29">
        <v>0</v>
      </c>
      <c r="R29" t="s">
        <v>115</v>
      </c>
      <c r="S29" t="s">
        <v>119</v>
      </c>
      <c r="T29" t="s">
        <v>120</v>
      </c>
      <c r="W29" t="s">
        <v>121</v>
      </c>
      <c r="X29" t="s">
        <v>122</v>
      </c>
    </row>
    <row r="30" spans="1:30" ht="15.75" customHeight="1">
      <c r="A30" t="s">
        <v>26</v>
      </c>
      <c r="B30" t="s">
        <v>116</v>
      </c>
      <c r="C30">
        <v>2007</v>
      </c>
      <c r="D30" t="s">
        <v>28</v>
      </c>
      <c r="E30" t="s">
        <v>117</v>
      </c>
      <c r="F30" t="s">
        <v>118</v>
      </c>
      <c r="G30" s="27">
        <f>ROUND(1/120 * 4, 3)</f>
        <v>3.3000000000000002E-2</v>
      </c>
      <c r="H30">
        <f>(1677+1722+1632+819+695+1051) / 2.5</f>
        <v>3038.4</v>
      </c>
      <c r="I30" s="41">
        <f>2660/10000</f>
        <v>0.26600000000000001</v>
      </c>
      <c r="J30">
        <f>5/(3600*24)</f>
        <v>5.7870370370370373E-5</v>
      </c>
      <c r="K30">
        <v>0</v>
      </c>
      <c r="L30">
        <f>J30</f>
        <v>5.7870370370370373E-5</v>
      </c>
      <c r="M30">
        <f>9*30</f>
        <v>270</v>
      </c>
      <c r="N30">
        <v>0</v>
      </c>
      <c r="O30">
        <v>2</v>
      </c>
      <c r="P30">
        <v>0</v>
      </c>
      <c r="Q30">
        <v>0</v>
      </c>
      <c r="R30" t="s">
        <v>115</v>
      </c>
      <c r="S30" t="s">
        <v>123</v>
      </c>
      <c r="T30" t="s">
        <v>124</v>
      </c>
    </row>
    <row r="31" spans="1:30" s="22" customFormat="1" ht="15.75" customHeight="1">
      <c r="A31" s="22" t="s">
        <v>26</v>
      </c>
      <c r="B31" s="22" t="s">
        <v>116</v>
      </c>
      <c r="C31" s="22">
        <v>2007</v>
      </c>
      <c r="D31" s="22" t="s">
        <v>125</v>
      </c>
      <c r="E31" s="22" t="s">
        <v>117</v>
      </c>
      <c r="F31" s="22" t="s">
        <v>118</v>
      </c>
      <c r="I31" s="47"/>
      <c r="R31" s="22" t="s">
        <v>127</v>
      </c>
      <c r="T31" s="22" t="s">
        <v>126</v>
      </c>
      <c r="U31" s="22" t="s">
        <v>128</v>
      </c>
    </row>
    <row r="32" spans="1:30" ht="15.75" customHeight="1">
      <c r="A32" t="s">
        <v>129</v>
      </c>
      <c r="B32" t="s">
        <v>130</v>
      </c>
      <c r="C32">
        <v>2013</v>
      </c>
      <c r="D32" t="s">
        <v>28</v>
      </c>
      <c r="E32" t="s">
        <v>131</v>
      </c>
      <c r="F32" t="s">
        <v>132</v>
      </c>
      <c r="G32">
        <f>1^2</f>
        <v>1</v>
      </c>
      <c r="H32">
        <f>100*3</f>
        <v>300</v>
      </c>
      <c r="I32" s="41">
        <f>2660/10000</f>
        <v>0.26600000000000001</v>
      </c>
      <c r="J32" s="5">
        <f>5/(60*24)</f>
        <v>3.472222222222222E-3</v>
      </c>
      <c r="K32">
        <f>365*2</f>
        <v>730</v>
      </c>
      <c r="L32">
        <f>J32*2</f>
        <v>6.9444444444444441E-3</v>
      </c>
      <c r="M32">
        <f>365*3</f>
        <v>1095</v>
      </c>
      <c r="N32">
        <v>3</v>
      </c>
      <c r="O32">
        <v>0</v>
      </c>
      <c r="P32">
        <v>0</v>
      </c>
      <c r="Q32">
        <v>3</v>
      </c>
      <c r="S32" t="s">
        <v>75</v>
      </c>
      <c r="T32" t="s">
        <v>133</v>
      </c>
    </row>
    <row r="33" spans="1:21" ht="15.75" customHeight="1">
      <c r="A33" t="s">
        <v>129</v>
      </c>
      <c r="B33" t="s">
        <v>130</v>
      </c>
      <c r="C33">
        <v>2013</v>
      </c>
      <c r="D33" t="s">
        <v>28</v>
      </c>
      <c r="E33" t="s">
        <v>131</v>
      </c>
      <c r="F33" t="s">
        <v>132</v>
      </c>
      <c r="G33">
        <f>PI()*0.1^2</f>
        <v>3.1415926535897934E-2</v>
      </c>
      <c r="H33">
        <v>12</v>
      </c>
      <c r="I33" s="41">
        <f t="shared" ref="I33:I35" si="2">(G33*H33)/10000</f>
        <v>3.7699111843077523E-5</v>
      </c>
      <c r="J33" s="28">
        <f>((DATEDIF("18/4/2005", "7/5/2005", "d")/6) + (DATEDIF("25/3/2006", "23/5/2006", "d")/7)) / 2</f>
        <v>5.7976190476190474</v>
      </c>
      <c r="K33">
        <f>1/(60*24)</f>
        <v>6.9444444444444447E-4</v>
      </c>
      <c r="L33" s="29">
        <f>J33*6+J33*7</f>
        <v>75.36904761904762</v>
      </c>
      <c r="M33">
        <f>DATEDIF("18/4/2005", "23/5/2006", "d")</f>
        <v>400</v>
      </c>
      <c r="N33">
        <v>0</v>
      </c>
      <c r="O33">
        <v>0</v>
      </c>
      <c r="P33">
        <v>2</v>
      </c>
      <c r="Q33">
        <v>0</v>
      </c>
      <c r="R33" t="s">
        <v>134</v>
      </c>
      <c r="S33" t="s">
        <v>17</v>
      </c>
      <c r="T33" t="s">
        <v>135</v>
      </c>
    </row>
    <row r="34" spans="1:21" ht="15.75" customHeight="1">
      <c r="A34" t="s">
        <v>129</v>
      </c>
      <c r="B34" t="s">
        <v>130</v>
      </c>
      <c r="C34">
        <v>2013</v>
      </c>
      <c r="D34" t="s">
        <v>28</v>
      </c>
      <c r="E34" t="s">
        <v>131</v>
      </c>
      <c r="F34" t="s">
        <v>132</v>
      </c>
      <c r="G34">
        <v>0.5</v>
      </c>
      <c r="H34">
        <f>28*3</f>
        <v>84</v>
      </c>
      <c r="I34" s="41">
        <f t="shared" si="2"/>
        <v>4.1999999999999997E-3</v>
      </c>
      <c r="J34" s="5">
        <f>5/(60*24)</f>
        <v>3.472222222222222E-3</v>
      </c>
      <c r="K34">
        <v>0</v>
      </c>
      <c r="L34">
        <f>J34</f>
        <v>3.472222222222222E-3</v>
      </c>
      <c r="M34">
        <f>30</f>
        <v>30</v>
      </c>
      <c r="N34">
        <v>1</v>
      </c>
      <c r="O34">
        <v>0</v>
      </c>
      <c r="P34">
        <v>1</v>
      </c>
      <c r="Q34">
        <v>1</v>
      </c>
      <c r="R34" t="s">
        <v>136</v>
      </c>
      <c r="S34" t="s">
        <v>137</v>
      </c>
      <c r="T34" t="s">
        <v>138</v>
      </c>
    </row>
    <row r="35" spans="1:21" ht="15.75" customHeight="1">
      <c r="A35" t="s">
        <v>129</v>
      </c>
      <c r="B35" t="s">
        <v>130</v>
      </c>
      <c r="C35">
        <v>2013</v>
      </c>
      <c r="D35" t="s">
        <v>28</v>
      </c>
      <c r="E35" t="s">
        <v>131</v>
      </c>
      <c r="F35" t="s">
        <v>132</v>
      </c>
      <c r="G35">
        <f>AVERAGE(0.7^2, 0.5^2)</f>
        <v>0.37</v>
      </c>
      <c r="H35">
        <v>6</v>
      </c>
      <c r="I35" s="41">
        <f t="shared" si="2"/>
        <v>2.2199999999999998E-4</v>
      </c>
      <c r="J35" s="5">
        <f>5*(3/60/24)</f>
        <v>1.0416666666666666E-2</v>
      </c>
      <c r="K35" s="30">
        <f>3/24</f>
        <v>0.125</v>
      </c>
      <c r="L35" s="31">
        <f>DATEDIF("5/6/2004", "2/10/2004", "d")*8*J35 + DATEDIF("15/5/2005", "15/9/2005", "d")*8*J35</f>
        <v>20.166666666666664</v>
      </c>
      <c r="M35">
        <f>DATEDIF("5/6/2004", "15/9/2005", "D")</f>
        <v>467</v>
      </c>
      <c r="N35">
        <v>0</v>
      </c>
      <c r="O35">
        <v>0</v>
      </c>
      <c r="P35">
        <v>1</v>
      </c>
      <c r="Q35">
        <v>0</v>
      </c>
      <c r="R35" t="s">
        <v>139</v>
      </c>
      <c r="S35" t="s">
        <v>75</v>
      </c>
      <c r="T35" t="s">
        <v>140</v>
      </c>
    </row>
    <row r="36" spans="1:21" ht="15.75" customHeight="1">
      <c r="A36" t="s">
        <v>129</v>
      </c>
      <c r="B36" t="s">
        <v>130</v>
      </c>
      <c r="C36">
        <v>2013</v>
      </c>
      <c r="D36" t="s">
        <v>28</v>
      </c>
      <c r="E36" t="s">
        <v>131</v>
      </c>
      <c r="F36" t="s">
        <v>132</v>
      </c>
      <c r="G36">
        <f>0.5^2</f>
        <v>0.25</v>
      </c>
      <c r="H36">
        <v>6</v>
      </c>
      <c r="I36" s="41">
        <f t="shared" ref="I36:I41" si="3">(G36*H36)/10000</f>
        <v>1.4999999999999999E-4</v>
      </c>
      <c r="J36" s="5">
        <f>6/60/24</f>
        <v>4.1666666666666666E-3</v>
      </c>
      <c r="K36" s="30">
        <f>72/(24*60)</f>
        <v>0.05</v>
      </c>
      <c r="L36" s="31">
        <f>DATEDIF("24/8/2004", "3/10/2004", "d")*(1/K36)*J36</f>
        <v>3.3333333333333335</v>
      </c>
      <c r="M36">
        <f>DATEDIF("24/8/2004", "3/10/2004", "D")</f>
        <v>40</v>
      </c>
      <c r="N36">
        <v>0</v>
      </c>
      <c r="O36">
        <v>0</v>
      </c>
      <c r="P36">
        <v>1</v>
      </c>
      <c r="Q36">
        <v>0</v>
      </c>
      <c r="R36" t="s">
        <v>139</v>
      </c>
      <c r="S36" t="s">
        <v>17</v>
      </c>
      <c r="T36" t="s">
        <v>140</v>
      </c>
    </row>
    <row r="37" spans="1:21" ht="15.75" customHeight="1">
      <c r="A37" t="s">
        <v>129</v>
      </c>
      <c r="B37" t="s">
        <v>130</v>
      </c>
      <c r="C37">
        <v>2013</v>
      </c>
      <c r="D37" t="s">
        <v>28</v>
      </c>
      <c r="E37" t="s">
        <v>131</v>
      </c>
      <c r="F37" t="s">
        <v>132</v>
      </c>
      <c r="G37" s="32">
        <f>1^2</f>
        <v>1</v>
      </c>
      <c r="H37" s="32">
        <f>5+6+7</f>
        <v>18</v>
      </c>
      <c r="I37" s="41">
        <f t="shared" si="3"/>
        <v>1.8E-3</v>
      </c>
      <c r="J37" s="5">
        <f>10/(60*24)</f>
        <v>6.9444444444444441E-3</v>
      </c>
      <c r="K37" s="28">
        <f>(DATEDIF("15/9/2004","15/5/2005", "d") +DATEDIF("15/9/2005","15/5/2006", "d"))/2</f>
        <v>242</v>
      </c>
      <c r="L37">
        <f>J37*(5+6+7)</f>
        <v>0.125</v>
      </c>
      <c r="M37">
        <f>DATEDIF("15/5/2004","15/9/2006", "d")</f>
        <v>853</v>
      </c>
      <c r="N37">
        <v>0</v>
      </c>
      <c r="O37">
        <v>1</v>
      </c>
      <c r="P37">
        <v>1</v>
      </c>
      <c r="Q37">
        <v>0</v>
      </c>
      <c r="R37" t="s">
        <v>143</v>
      </c>
      <c r="S37" t="s">
        <v>141</v>
      </c>
      <c r="T37" t="s">
        <v>142</v>
      </c>
    </row>
    <row r="38" spans="1:21" ht="15.75" customHeight="1">
      <c r="A38" t="s">
        <v>129</v>
      </c>
      <c r="B38" t="s">
        <v>130</v>
      </c>
      <c r="C38">
        <v>2013</v>
      </c>
      <c r="D38" t="s">
        <v>28</v>
      </c>
      <c r="E38" t="s">
        <v>131</v>
      </c>
      <c r="F38" t="s">
        <v>132</v>
      </c>
      <c r="G38" s="5">
        <f>PI()*0.0425^2</f>
        <v>5.6745017305465653E-3</v>
      </c>
      <c r="H38">
        <f>3+7+5</f>
        <v>15</v>
      </c>
      <c r="I38" s="48">
        <f t="shared" si="3"/>
        <v>8.5117525958198471E-6</v>
      </c>
      <c r="J38" s="5">
        <f>10/(60*24)</f>
        <v>6.9444444444444441E-3</v>
      </c>
      <c r="K38" s="28">
        <f>(DATEDIF("16/9/2004","11/5/2005", "d") +DATEDIF("22/9/2005","15/5/2006", "d"))/2</f>
        <v>236</v>
      </c>
      <c r="L38">
        <f>J38*(3+7+6)</f>
        <v>0.1111111111111111</v>
      </c>
      <c r="M38">
        <f>DATEDIF("15/5/2004","15/9/2006", "d")</f>
        <v>853</v>
      </c>
      <c r="N38">
        <v>0</v>
      </c>
      <c r="O38">
        <v>2</v>
      </c>
      <c r="P38">
        <v>1</v>
      </c>
      <c r="Q38">
        <v>0</v>
      </c>
      <c r="R38" t="s">
        <v>143</v>
      </c>
      <c r="S38" t="s">
        <v>144</v>
      </c>
      <c r="T38" t="s">
        <v>146</v>
      </c>
    </row>
    <row r="39" spans="1:21" ht="15.75" customHeight="1">
      <c r="A39" t="s">
        <v>129</v>
      </c>
      <c r="B39" t="s">
        <v>130</v>
      </c>
      <c r="C39">
        <v>2013</v>
      </c>
      <c r="D39" t="s">
        <v>28</v>
      </c>
      <c r="E39" t="s">
        <v>131</v>
      </c>
      <c r="F39" t="s">
        <v>132</v>
      </c>
      <c r="G39">
        <f>PI()*0.02^2</f>
        <v>1.2566370614359172E-3</v>
      </c>
      <c r="H39">
        <f>7+5</f>
        <v>12</v>
      </c>
      <c r="I39" s="48">
        <f t="shared" si="3"/>
        <v>1.5079644737231008E-6</v>
      </c>
      <c r="J39">
        <f>1/24</f>
        <v>4.1666666666666664E-2</v>
      </c>
      <c r="K39" s="28">
        <f>AVERAGE(DATEDIF("16/9/2005", "11/5/2006", "d"), 23, 21, 22, 23, 21, DATEDIF("22/9/2005", "15/5/2006", "d"), 25, 27, 31, 31, 31)</f>
        <v>60.583333333333336</v>
      </c>
      <c r="L39">
        <f>(7+5)*J39</f>
        <v>0.5</v>
      </c>
      <c r="M39">
        <f>DATEDIF("22/9/2004","12/9/2006", "d")</f>
        <v>720</v>
      </c>
      <c r="N39">
        <v>0</v>
      </c>
      <c r="O39">
        <v>2</v>
      </c>
      <c r="P39">
        <v>2</v>
      </c>
      <c r="Q39">
        <v>0</v>
      </c>
      <c r="R39" t="s">
        <v>143</v>
      </c>
      <c r="S39" t="s">
        <v>145</v>
      </c>
      <c r="T39" t="s">
        <v>147</v>
      </c>
    </row>
    <row r="40" spans="1:21" ht="15.75" customHeight="1">
      <c r="A40" t="s">
        <v>129</v>
      </c>
      <c r="B40" t="s">
        <v>130</v>
      </c>
      <c r="C40">
        <v>2013</v>
      </c>
      <c r="D40" t="s">
        <v>28</v>
      </c>
      <c r="E40" t="s">
        <v>131</v>
      </c>
      <c r="F40" t="s">
        <v>132</v>
      </c>
      <c r="G40" s="5">
        <f>PI()*0.0425^2</f>
        <v>5.6745017305465653E-3</v>
      </c>
      <c r="H40">
        <v>100</v>
      </c>
      <c r="I40" s="48">
        <f t="shared" si="3"/>
        <v>5.6745017305465647E-5</v>
      </c>
      <c r="J40" s="5">
        <f>10/(60*24)</f>
        <v>6.9444444444444441E-3</v>
      </c>
      <c r="K40">
        <v>0</v>
      </c>
      <c r="L40">
        <f>J40</f>
        <v>6.9444444444444441E-3</v>
      </c>
      <c r="M40">
        <f>120</f>
        <v>120</v>
      </c>
      <c r="N40">
        <v>0</v>
      </c>
      <c r="O40">
        <v>2</v>
      </c>
      <c r="P40">
        <v>2</v>
      </c>
      <c r="Q40">
        <v>0</v>
      </c>
      <c r="S40" t="s">
        <v>148</v>
      </c>
      <c r="T40" t="s">
        <v>149</v>
      </c>
    </row>
    <row r="41" spans="1:21" ht="15.75" customHeight="1">
      <c r="A41" t="s">
        <v>129</v>
      </c>
      <c r="B41" t="s">
        <v>130</v>
      </c>
      <c r="C41">
        <v>2013</v>
      </c>
      <c r="D41" t="s">
        <v>28</v>
      </c>
      <c r="E41" t="s">
        <v>131</v>
      </c>
      <c r="F41" t="s">
        <v>132</v>
      </c>
      <c r="G41">
        <f>1^2</f>
        <v>1</v>
      </c>
      <c r="H41">
        <v>9</v>
      </c>
      <c r="I41" s="48">
        <f t="shared" si="3"/>
        <v>8.9999999999999998E-4</v>
      </c>
      <c r="J41">
        <f>2/24</f>
        <v>8.3333333333333329E-2</v>
      </c>
      <c r="K41">
        <v>0</v>
      </c>
      <c r="L41">
        <f>J41</f>
        <v>8.3333333333333329E-2</v>
      </c>
      <c r="M41">
        <f>120</f>
        <v>120</v>
      </c>
      <c r="N41">
        <v>0</v>
      </c>
      <c r="O41">
        <v>1</v>
      </c>
      <c r="P41">
        <v>2</v>
      </c>
      <c r="Q41">
        <v>0</v>
      </c>
      <c r="S41" t="s">
        <v>148</v>
      </c>
      <c r="T41" t="s">
        <v>150</v>
      </c>
    </row>
    <row r="42" spans="1:21" s="15" customFormat="1" ht="15.75" customHeight="1">
      <c r="A42" s="15" t="s">
        <v>49</v>
      </c>
      <c r="B42" s="15" t="s">
        <v>151</v>
      </c>
      <c r="C42" s="15">
        <v>2013</v>
      </c>
      <c r="D42" s="15" t="s">
        <v>28</v>
      </c>
      <c r="E42" s="15" t="s">
        <v>152</v>
      </c>
      <c r="F42" s="15" t="s">
        <v>153</v>
      </c>
      <c r="I42" s="46"/>
      <c r="U42" s="15" t="s">
        <v>105</v>
      </c>
    </row>
    <row r="43" spans="1:21" s="15" customFormat="1" ht="15.75" customHeight="1">
      <c r="A43" s="15" t="s">
        <v>63</v>
      </c>
      <c r="B43" s="15" t="s">
        <v>154</v>
      </c>
      <c r="C43" s="15">
        <v>2012</v>
      </c>
      <c r="D43" s="15" t="s">
        <v>93</v>
      </c>
      <c r="E43" s="15" t="s">
        <v>155</v>
      </c>
      <c r="F43" s="15" t="s">
        <v>156</v>
      </c>
      <c r="I43" s="46"/>
      <c r="U43" s="15" t="s">
        <v>157</v>
      </c>
    </row>
    <row r="44" spans="1:21" s="15" customFormat="1" ht="15.75" customHeight="1">
      <c r="A44" s="15" t="s">
        <v>57</v>
      </c>
      <c r="B44" s="15" t="s">
        <v>158</v>
      </c>
      <c r="C44" s="15">
        <v>2013</v>
      </c>
      <c r="D44" s="15" t="s">
        <v>93</v>
      </c>
      <c r="E44" s="15" t="s">
        <v>159</v>
      </c>
      <c r="F44" s="15" t="s">
        <v>160</v>
      </c>
      <c r="I44" s="46"/>
      <c r="U44" s="15" t="s">
        <v>161</v>
      </c>
    </row>
    <row r="45" spans="1:21" s="15" customFormat="1" ht="15.75" customHeight="1">
      <c r="A45" s="15" t="s">
        <v>162</v>
      </c>
      <c r="B45" s="15" t="s">
        <v>163</v>
      </c>
      <c r="C45" s="15">
        <v>2010</v>
      </c>
      <c r="D45" s="15" t="s">
        <v>93</v>
      </c>
      <c r="E45" s="15" t="s">
        <v>92</v>
      </c>
      <c r="F45" s="15" t="s">
        <v>164</v>
      </c>
      <c r="I45" s="46"/>
      <c r="U45" s="15" t="s">
        <v>91</v>
      </c>
    </row>
    <row r="46" spans="1:21" s="34" customFormat="1" ht="15.75" customHeight="1">
      <c r="A46" s="34" t="s">
        <v>165</v>
      </c>
      <c r="B46" s="34" t="s">
        <v>166</v>
      </c>
      <c r="C46" s="34">
        <v>2005</v>
      </c>
      <c r="D46" s="34" t="s">
        <v>28</v>
      </c>
      <c r="E46" s="34" t="s">
        <v>167</v>
      </c>
      <c r="F46" s="34" t="s">
        <v>168</v>
      </c>
      <c r="G46" s="34">
        <f>10^2</f>
        <v>100</v>
      </c>
      <c r="H46" s="34">
        <f>10*20</f>
        <v>200</v>
      </c>
      <c r="I46" s="49">
        <f t="shared" ref="I46:I69" si="4">(G46*H46)/10000</f>
        <v>2</v>
      </c>
      <c r="J46" s="34">
        <f>30/(60*24)</f>
        <v>2.0833333333333332E-2</v>
      </c>
      <c r="K46" s="34">
        <v>0</v>
      </c>
      <c r="L46" s="34">
        <f>J46</f>
        <v>2.0833333333333332E-2</v>
      </c>
      <c r="M46" s="34">
        <f>90</f>
        <v>90</v>
      </c>
      <c r="N46" s="34">
        <v>3</v>
      </c>
      <c r="O46" s="34">
        <v>1</v>
      </c>
      <c r="P46" s="34">
        <v>0</v>
      </c>
      <c r="Q46" s="34">
        <v>2</v>
      </c>
      <c r="S46" s="34" t="s">
        <v>137</v>
      </c>
      <c r="T46" s="34" t="s">
        <v>169</v>
      </c>
    </row>
    <row r="47" spans="1:21" ht="15.75" customHeight="1">
      <c r="A47" s="34" t="s">
        <v>165</v>
      </c>
      <c r="B47" s="34" t="s">
        <v>166</v>
      </c>
      <c r="C47" s="34">
        <v>2005</v>
      </c>
      <c r="D47" s="34" t="s">
        <v>28</v>
      </c>
      <c r="E47" s="34" t="s">
        <v>167</v>
      </c>
      <c r="F47" s="34" t="s">
        <v>168</v>
      </c>
      <c r="G47" s="5">
        <f>PI()*0.0425^2</f>
        <v>5.6745017305465653E-3</v>
      </c>
      <c r="H47">
        <f>3*10*20</f>
        <v>600</v>
      </c>
      <c r="I47" s="49">
        <f t="shared" si="4"/>
        <v>3.4047010383279392E-4</v>
      </c>
      <c r="J47" s="34">
        <f>30/(60*24)</f>
        <v>2.0833333333333332E-2</v>
      </c>
      <c r="K47">
        <v>0</v>
      </c>
      <c r="L47" s="34">
        <f>J47</f>
        <v>2.0833333333333332E-2</v>
      </c>
      <c r="M47" s="34">
        <f>90</f>
        <v>90</v>
      </c>
      <c r="N47">
        <v>0</v>
      </c>
      <c r="O47">
        <v>2</v>
      </c>
      <c r="P47">
        <v>0</v>
      </c>
      <c r="Q47">
        <v>0</v>
      </c>
      <c r="S47" t="s">
        <v>137</v>
      </c>
      <c r="T47" t="s">
        <v>170</v>
      </c>
    </row>
    <row r="48" spans="1:21" ht="15.75" customHeight="1">
      <c r="A48" s="34" t="s">
        <v>165</v>
      </c>
      <c r="B48" s="34" t="s">
        <v>166</v>
      </c>
      <c r="C48" s="34">
        <v>2005</v>
      </c>
      <c r="D48" s="34" t="s">
        <v>28</v>
      </c>
      <c r="E48" t="s">
        <v>172</v>
      </c>
      <c r="F48" s="34" t="s">
        <v>168</v>
      </c>
      <c r="G48">
        <f>2^2</f>
        <v>4</v>
      </c>
      <c r="H48">
        <f>40*2</f>
        <v>80</v>
      </c>
      <c r="I48" s="49">
        <f t="shared" si="4"/>
        <v>3.2000000000000001E-2</v>
      </c>
      <c r="J48">
        <f>25/(60*24)</f>
        <v>1.7361111111111112E-2</v>
      </c>
      <c r="K48">
        <v>0</v>
      </c>
      <c r="L48">
        <f>J48</f>
        <v>1.7361111111111112E-2</v>
      </c>
      <c r="M48">
        <f>28</f>
        <v>28</v>
      </c>
      <c r="N48">
        <v>3</v>
      </c>
      <c r="O48">
        <v>0</v>
      </c>
      <c r="P48">
        <v>0</v>
      </c>
      <c r="Q48">
        <v>2</v>
      </c>
      <c r="R48" t="s">
        <v>171</v>
      </c>
      <c r="S48" t="s">
        <v>15</v>
      </c>
      <c r="T48" t="s">
        <v>173</v>
      </c>
    </row>
    <row r="49" spans="1:21" ht="15.75" customHeight="1">
      <c r="A49" s="34" t="s">
        <v>165</v>
      </c>
      <c r="B49" s="34" t="s">
        <v>166</v>
      </c>
      <c r="C49" s="34">
        <v>2005</v>
      </c>
      <c r="D49" s="34" t="s">
        <v>28</v>
      </c>
      <c r="E49" t="s">
        <v>172</v>
      </c>
      <c r="F49" s="34" t="s">
        <v>168</v>
      </c>
      <c r="G49" s="5">
        <f>PI()*0.01^2</f>
        <v>3.1415926535897931E-4</v>
      </c>
      <c r="H49">
        <f>40*2</f>
        <v>80</v>
      </c>
      <c r="I49" s="49">
        <f t="shared" si="4"/>
        <v>2.5132741228718342E-6</v>
      </c>
      <c r="J49">
        <f>25/(60*24)</f>
        <v>1.7361111111111112E-2</v>
      </c>
      <c r="K49">
        <v>0</v>
      </c>
      <c r="L49">
        <f>J49</f>
        <v>1.7361111111111112E-2</v>
      </c>
      <c r="M49">
        <f>M48</f>
        <v>28</v>
      </c>
      <c r="N49">
        <v>0</v>
      </c>
      <c r="O49">
        <v>2</v>
      </c>
      <c r="P49">
        <v>0</v>
      </c>
      <c r="Q49">
        <v>0</v>
      </c>
      <c r="R49" t="s">
        <v>171</v>
      </c>
      <c r="S49" t="s">
        <v>15</v>
      </c>
      <c r="T49" t="s">
        <v>174</v>
      </c>
    </row>
    <row r="50" spans="1:21" ht="15.75" customHeight="1">
      <c r="A50" s="35" t="s">
        <v>162</v>
      </c>
      <c r="B50" t="s">
        <v>175</v>
      </c>
      <c r="C50" s="35">
        <v>2012</v>
      </c>
      <c r="D50" s="35" t="s">
        <v>28</v>
      </c>
      <c r="E50" s="35" t="s">
        <v>176</v>
      </c>
      <c r="F50" s="35" t="s">
        <v>177</v>
      </c>
      <c r="G50">
        <f>1^2</f>
        <v>1</v>
      </c>
      <c r="H50">
        <f>20*25</f>
        <v>500</v>
      </c>
      <c r="I50" s="49">
        <f t="shared" si="4"/>
        <v>0.05</v>
      </c>
      <c r="J50">
        <f>10</f>
        <v>10</v>
      </c>
      <c r="K50">
        <v>10</v>
      </c>
      <c r="L50">
        <f>DATEDIF("15/3/2004", "31/5/2004", "d") * 4</f>
        <v>308</v>
      </c>
      <c r="M50">
        <f>DATEDIF("15/3/2004", "31/5/2007", "D")</f>
        <v>1172</v>
      </c>
      <c r="N50">
        <v>0</v>
      </c>
      <c r="O50">
        <v>1</v>
      </c>
      <c r="P50">
        <v>0</v>
      </c>
      <c r="Q50">
        <v>0</v>
      </c>
      <c r="R50" t="s">
        <v>178</v>
      </c>
      <c r="S50" t="s">
        <v>123</v>
      </c>
      <c r="T50" t="s">
        <v>179</v>
      </c>
    </row>
    <row r="51" spans="1:21" ht="15.75" customHeight="1">
      <c r="A51" s="35" t="s">
        <v>181</v>
      </c>
      <c r="B51" t="s">
        <v>180</v>
      </c>
      <c r="C51" s="35">
        <v>2013</v>
      </c>
      <c r="D51" s="35" t="s">
        <v>28</v>
      </c>
      <c r="E51" t="s">
        <v>182</v>
      </c>
      <c r="F51" s="35" t="s">
        <v>183</v>
      </c>
      <c r="G51">
        <f>(PI()*(0.3/2)^2)*7</f>
        <v>0.49480084294039245</v>
      </c>
      <c r="H51">
        <v>1</v>
      </c>
      <c r="I51" s="49">
        <f t="shared" si="4"/>
        <v>4.9480084294039245E-5</v>
      </c>
      <c r="J51">
        <f>60/(60*24)</f>
        <v>4.1666666666666664E-2</v>
      </c>
      <c r="K51" s="28">
        <f>(365*3+5*30) / 36</f>
        <v>34.583333333333336</v>
      </c>
      <c r="L51">
        <f>J51*36</f>
        <v>1.5</v>
      </c>
      <c r="M51">
        <f>DATEDIF("1/1/2009", "31/5/2012", "d")</f>
        <v>1246</v>
      </c>
      <c r="N51">
        <v>0</v>
      </c>
      <c r="O51">
        <v>0</v>
      </c>
      <c r="P51">
        <v>2</v>
      </c>
      <c r="Q51">
        <v>0</v>
      </c>
      <c r="S51" t="s">
        <v>184</v>
      </c>
      <c r="T51" t="s">
        <v>185</v>
      </c>
    </row>
    <row r="52" spans="1:21" ht="15.75" customHeight="1">
      <c r="A52" s="35" t="s">
        <v>181</v>
      </c>
      <c r="B52" t="s">
        <v>186</v>
      </c>
      <c r="C52" s="35">
        <v>2014</v>
      </c>
      <c r="D52" s="35" t="s">
        <v>28</v>
      </c>
      <c r="E52" s="35" t="s">
        <v>187</v>
      </c>
      <c r="F52" s="35" t="s">
        <v>189</v>
      </c>
      <c r="G52">
        <f>PI()*0.5^2</f>
        <v>0.78539816339744828</v>
      </c>
      <c r="H52">
        <v>160</v>
      </c>
      <c r="I52" s="49">
        <f t="shared" si="4"/>
        <v>1.2566370614359173E-2</v>
      </c>
      <c r="J52">
        <f>120/(60*24)</f>
        <v>8.3333333333333329E-2</v>
      </c>
      <c r="K52">
        <v>0</v>
      </c>
      <c r="L52">
        <f>J52</f>
        <v>8.3333333333333329E-2</v>
      </c>
      <c r="M52">
        <f>DATEDIF("28/12/2011", "25/1/2012", "d")</f>
        <v>28</v>
      </c>
      <c r="N52">
        <v>2</v>
      </c>
      <c r="O52">
        <v>2</v>
      </c>
      <c r="P52">
        <v>2</v>
      </c>
      <c r="Q52">
        <v>1</v>
      </c>
      <c r="S52" t="s">
        <v>193</v>
      </c>
      <c r="T52" t="s">
        <v>188</v>
      </c>
    </row>
    <row r="53" spans="1:21" ht="15.75" customHeight="1">
      <c r="A53" s="36" t="s">
        <v>181</v>
      </c>
      <c r="B53" t="s">
        <v>186</v>
      </c>
      <c r="C53" s="35">
        <v>2014</v>
      </c>
      <c r="D53" s="35" t="s">
        <v>28</v>
      </c>
      <c r="E53" s="35" t="s">
        <v>187</v>
      </c>
      <c r="F53" s="35" t="s">
        <v>189</v>
      </c>
      <c r="G53">
        <f>PI()*0.05^2</f>
        <v>7.8539816339744835E-3</v>
      </c>
      <c r="H53">
        <f>((M53*24*60) / 10)</f>
        <v>4032</v>
      </c>
      <c r="I53" s="49">
        <f t="shared" si="4"/>
        <v>3.1667253948185117E-3</v>
      </c>
      <c r="J53">
        <f>1/(60*60*24)</f>
        <v>1.1574074074074073E-5</v>
      </c>
      <c r="K53">
        <f>10/(60*24)</f>
        <v>6.9444444444444441E-3</v>
      </c>
      <c r="L53">
        <f>J53*H53</f>
        <v>4.6666666666666662E-2</v>
      </c>
      <c r="M53">
        <f>DATEDIF("28/12/2011", "25/1/2012", "d")</f>
        <v>28</v>
      </c>
      <c r="N53">
        <v>0</v>
      </c>
      <c r="O53">
        <v>0</v>
      </c>
      <c r="P53">
        <v>1</v>
      </c>
      <c r="Q53">
        <v>0</v>
      </c>
      <c r="S53" t="s">
        <v>119</v>
      </c>
      <c r="T53" t="s">
        <v>190</v>
      </c>
    </row>
    <row r="54" spans="1:21" ht="15.75" customHeight="1">
      <c r="A54" s="36" t="s">
        <v>181</v>
      </c>
      <c r="B54" t="s">
        <v>186</v>
      </c>
      <c r="C54" s="35">
        <v>2014</v>
      </c>
      <c r="D54" s="35" t="s">
        <v>125</v>
      </c>
      <c r="E54" s="35" t="s">
        <v>187</v>
      </c>
      <c r="F54" s="35" t="s">
        <v>189</v>
      </c>
      <c r="G54">
        <v>640050</v>
      </c>
      <c r="H54">
        <f>759817+36418242</f>
        <v>37178059</v>
      </c>
      <c r="I54" s="49">
        <f t="shared" si="4"/>
        <v>2379581666.2950001</v>
      </c>
      <c r="J54">
        <f>1/(60*60*24)</f>
        <v>1.1574074074074073E-5</v>
      </c>
      <c r="K54">
        <v>1</v>
      </c>
      <c r="L54">
        <f>DATEDIF("1/9/2011","29/2/2012","d")*J54</f>
        <v>2.0949074074074073E-3</v>
      </c>
      <c r="M54">
        <f>DATEDIF("1/9/2011","29/2/2012","d")</f>
        <v>181</v>
      </c>
      <c r="N54">
        <v>0</v>
      </c>
      <c r="O54">
        <v>0</v>
      </c>
      <c r="P54">
        <v>2</v>
      </c>
      <c r="Q54">
        <v>0</v>
      </c>
      <c r="S54" t="s">
        <v>194</v>
      </c>
      <c r="T54" t="s">
        <v>195</v>
      </c>
    </row>
    <row r="55" spans="1:21" ht="15.75" customHeight="1">
      <c r="A55" s="36" t="s">
        <v>181</v>
      </c>
      <c r="B55" t="s">
        <v>186</v>
      </c>
      <c r="C55" s="35">
        <v>2014</v>
      </c>
      <c r="D55" s="35" t="s">
        <v>28</v>
      </c>
      <c r="E55" s="35" t="s">
        <v>187</v>
      </c>
      <c r="F55" s="35" t="s">
        <v>189</v>
      </c>
      <c r="G55">
        <f>PI()*0.05^2</f>
        <v>7.8539816339744835E-3</v>
      </c>
      <c r="H55">
        <v>13</v>
      </c>
      <c r="I55" s="49">
        <f t="shared" si="4"/>
        <v>1.0210176124166828E-5</v>
      </c>
      <c r="J55">
        <f>1/(60*60*24)</f>
        <v>1.1574074074074073E-5</v>
      </c>
      <c r="K55" s="28">
        <f>(365*3+5*30) / 13</f>
        <v>95.769230769230774</v>
      </c>
      <c r="L55">
        <f>J55*30</f>
        <v>3.4722222222222218E-4</v>
      </c>
      <c r="M55">
        <f>DATEDIF("28/12/2011", "25/1/2012", "d")</f>
        <v>28</v>
      </c>
      <c r="N55">
        <v>0</v>
      </c>
      <c r="O55">
        <v>0</v>
      </c>
      <c r="P55">
        <v>1</v>
      </c>
      <c r="Q55">
        <v>0</v>
      </c>
      <c r="S55" t="s">
        <v>191</v>
      </c>
      <c r="T55" t="s">
        <v>192</v>
      </c>
    </row>
    <row r="56" spans="1:21" s="15" customFormat="1" ht="15.75" customHeight="1">
      <c r="A56" s="38" t="s">
        <v>41</v>
      </c>
      <c r="B56" s="15" t="s">
        <v>196</v>
      </c>
      <c r="C56" s="15">
        <v>2005</v>
      </c>
      <c r="D56" s="15" t="s">
        <v>93</v>
      </c>
      <c r="E56" s="15" t="s">
        <v>92</v>
      </c>
      <c r="I56" s="46"/>
      <c r="U56" s="15" t="s">
        <v>91</v>
      </c>
    </row>
    <row r="57" spans="1:21" ht="15.75" customHeight="1">
      <c r="A57" s="37" t="s">
        <v>198</v>
      </c>
      <c r="B57" t="s">
        <v>197</v>
      </c>
      <c r="C57" s="35">
        <v>2006</v>
      </c>
      <c r="D57" s="35" t="s">
        <v>28</v>
      </c>
      <c r="E57" s="35" t="s">
        <v>199</v>
      </c>
      <c r="F57" s="35" t="s">
        <v>200</v>
      </c>
      <c r="G57">
        <f>PI()*0.075^2</f>
        <v>1.7671458676442587E-2</v>
      </c>
      <c r="H57">
        <v>37</v>
      </c>
      <c r="I57" s="40">
        <f t="shared" si="4"/>
        <v>6.5384397102837574E-5</v>
      </c>
      <c r="J57">
        <f>5/(60*24)</f>
        <v>3.472222222222222E-3</v>
      </c>
      <c r="K57">
        <v>1</v>
      </c>
      <c r="L57">
        <f>J57*60</f>
        <v>0.20833333333333331</v>
      </c>
      <c r="M57">
        <f>DATEDIF("1/4/2001", "15/5/2002", "d")</f>
        <v>409</v>
      </c>
      <c r="N57">
        <v>0</v>
      </c>
      <c r="O57">
        <v>1</v>
      </c>
      <c r="P57">
        <v>0</v>
      </c>
      <c r="Q57">
        <v>1</v>
      </c>
      <c r="S57" t="s">
        <v>202</v>
      </c>
      <c r="T57" t="s">
        <v>201</v>
      </c>
    </row>
    <row r="58" spans="1:21" ht="15.75" customHeight="1">
      <c r="A58" s="37" t="s">
        <v>198</v>
      </c>
      <c r="B58" t="s">
        <v>197</v>
      </c>
      <c r="C58" s="35">
        <v>2006</v>
      </c>
      <c r="D58" s="35" t="s">
        <v>28</v>
      </c>
      <c r="E58" s="35" t="s">
        <v>199</v>
      </c>
      <c r="F58" s="35" t="s">
        <v>200</v>
      </c>
      <c r="G58">
        <f>PI()*0.025^2</f>
        <v>1.9634954084936209E-3</v>
      </c>
      <c r="H58">
        <v>158</v>
      </c>
      <c r="I58" s="40">
        <f t="shared" si="4"/>
        <v>3.1023227454199211E-5</v>
      </c>
      <c r="J58">
        <f>10/(60*24)</f>
        <v>6.9444444444444441E-3</v>
      </c>
      <c r="K58">
        <f>AVERAGE(3, 5)</f>
        <v>4</v>
      </c>
      <c r="L58">
        <f>3*J58</f>
        <v>2.0833333333333332E-2</v>
      </c>
      <c r="M58">
        <f>DATEDIF("1/4/2001", "15/5/2002", "d")</f>
        <v>409</v>
      </c>
      <c r="N58">
        <v>0</v>
      </c>
      <c r="O58">
        <v>2</v>
      </c>
      <c r="P58">
        <v>0</v>
      </c>
      <c r="Q58">
        <v>1</v>
      </c>
      <c r="S58" t="s">
        <v>202</v>
      </c>
    </row>
    <row r="59" spans="1:21" ht="15.75" customHeight="1">
      <c r="A59" s="37" t="s">
        <v>106</v>
      </c>
      <c r="B59" t="s">
        <v>203</v>
      </c>
      <c r="C59" s="35">
        <v>2009</v>
      </c>
      <c r="D59" s="35" t="s">
        <v>28</v>
      </c>
      <c r="E59" s="35" t="s">
        <v>204</v>
      </c>
      <c r="F59" s="35" t="s">
        <v>205</v>
      </c>
      <c r="G59">
        <f>PI()*0.005^2</f>
        <v>7.8539816339744827E-5</v>
      </c>
      <c r="H59">
        <f>5*3+1*3+4*3</f>
        <v>30</v>
      </c>
      <c r="I59" s="39">
        <f>G59*H59</f>
        <v>2.3561944901923449E-3</v>
      </c>
      <c r="J59">
        <f>1/(60*24)</f>
        <v>6.9444444444444447E-4</v>
      </c>
      <c r="K59">
        <v>0</v>
      </c>
      <c r="L59">
        <f>J59</f>
        <v>6.9444444444444447E-4</v>
      </c>
      <c r="M59">
        <f>DATEDIF("14/3/2006", "7/4/2006", "d")</f>
        <v>24</v>
      </c>
      <c r="N59">
        <v>0</v>
      </c>
      <c r="O59">
        <v>1</v>
      </c>
      <c r="P59">
        <v>1</v>
      </c>
      <c r="Q59">
        <v>0</v>
      </c>
      <c r="S59" t="s">
        <v>207</v>
      </c>
      <c r="T59" t="s">
        <v>206</v>
      </c>
    </row>
    <row r="60" spans="1:21" s="34" customFormat="1" ht="15.75" customHeight="1">
      <c r="A60" s="36" t="s">
        <v>209</v>
      </c>
      <c r="B60" s="34" t="s">
        <v>208</v>
      </c>
      <c r="C60" s="34">
        <v>2010</v>
      </c>
      <c r="D60" s="34" t="s">
        <v>28</v>
      </c>
      <c r="E60" s="34" t="s">
        <v>210</v>
      </c>
      <c r="F60" s="34" t="s">
        <v>211</v>
      </c>
      <c r="G60" s="34">
        <f>201</f>
        <v>201</v>
      </c>
      <c r="H60" s="34">
        <v>5</v>
      </c>
      <c r="I60" s="40">
        <f t="shared" si="4"/>
        <v>0.10050000000000001</v>
      </c>
      <c r="J60" s="34">
        <f>60/(24*60)</f>
        <v>4.1666666666666664E-2</v>
      </c>
      <c r="K60" s="34">
        <f>365</f>
        <v>365</v>
      </c>
      <c r="L60" s="34">
        <f>J60*3</f>
        <v>0.125</v>
      </c>
      <c r="M60" s="34">
        <f>DATEDIF("1/7/2005", "1/7/2007", "d")</f>
        <v>730</v>
      </c>
      <c r="N60" s="34">
        <v>1</v>
      </c>
      <c r="O60" s="34">
        <v>2</v>
      </c>
      <c r="P60" s="34">
        <v>0</v>
      </c>
      <c r="Q60" s="34">
        <v>1</v>
      </c>
      <c r="R60" s="34" t="s">
        <v>212</v>
      </c>
      <c r="S60" s="34" t="s">
        <v>225</v>
      </c>
      <c r="T60" s="34" t="s">
        <v>226</v>
      </c>
    </row>
    <row r="61" spans="1:21" ht="15.75" customHeight="1">
      <c r="A61" s="37" t="s">
        <v>209</v>
      </c>
      <c r="B61" t="s">
        <v>208</v>
      </c>
      <c r="C61" s="35">
        <v>2010</v>
      </c>
      <c r="D61" s="35" t="s">
        <v>28</v>
      </c>
      <c r="E61" s="35" t="s">
        <v>210</v>
      </c>
      <c r="F61" s="34" t="s">
        <v>211</v>
      </c>
      <c r="G61" s="5">
        <f>PI()*0.005^2</f>
        <v>7.8539816339744827E-5</v>
      </c>
      <c r="H61">
        <v>1</v>
      </c>
      <c r="I61" s="40">
        <f t="shared" si="4"/>
        <v>7.8539816339744827E-9</v>
      </c>
      <c r="J61">
        <f>1/(60*60*24)</f>
        <v>1.1574074074074073E-5</v>
      </c>
      <c r="K61">
        <f>10/(60*60*24)</f>
        <v>1.1574074074074075E-4</v>
      </c>
      <c r="L61" s="34">
        <f>265*3</f>
        <v>795</v>
      </c>
      <c r="M61" s="34">
        <f>365*3</f>
        <v>1095</v>
      </c>
      <c r="N61">
        <v>0</v>
      </c>
      <c r="O61">
        <v>0</v>
      </c>
      <c r="P61">
        <v>2</v>
      </c>
      <c r="Q61">
        <v>0</v>
      </c>
      <c r="R61" s="34" t="s">
        <v>212</v>
      </c>
      <c r="S61" t="s">
        <v>213</v>
      </c>
      <c r="T61" t="s">
        <v>228</v>
      </c>
    </row>
    <row r="62" spans="1:21" ht="15.75" customHeight="1">
      <c r="A62" s="37" t="s">
        <v>209</v>
      </c>
      <c r="B62" t="s">
        <v>208</v>
      </c>
      <c r="C62" s="35">
        <v>2010</v>
      </c>
      <c r="D62" s="35" t="s">
        <v>28</v>
      </c>
      <c r="E62" s="35" t="s">
        <v>210</v>
      </c>
      <c r="F62" s="34" t="s">
        <v>211</v>
      </c>
      <c r="G62">
        <f>0.3*10000</f>
        <v>3000</v>
      </c>
      <c r="H62">
        <v>1</v>
      </c>
      <c r="I62" s="39">
        <f t="shared" si="4"/>
        <v>0.3</v>
      </c>
      <c r="J62" s="34">
        <f>60/(24*60)</f>
        <v>4.1666666666666664E-2</v>
      </c>
      <c r="K62" s="34">
        <v>0</v>
      </c>
      <c r="L62" s="34">
        <f>J62</f>
        <v>4.1666666666666664E-2</v>
      </c>
      <c r="M62">
        <v>1</v>
      </c>
      <c r="N62">
        <v>1</v>
      </c>
      <c r="O62">
        <v>2</v>
      </c>
      <c r="P62">
        <v>0</v>
      </c>
      <c r="Q62">
        <v>1</v>
      </c>
      <c r="S62" t="s">
        <v>225</v>
      </c>
      <c r="T62" t="s">
        <v>214</v>
      </c>
    </row>
    <row r="63" spans="1:21" ht="15.75" customHeight="1">
      <c r="A63" s="37" t="s">
        <v>209</v>
      </c>
      <c r="B63" t="s">
        <v>208</v>
      </c>
      <c r="C63" s="35">
        <v>2010</v>
      </c>
      <c r="D63" s="35" t="s">
        <v>28</v>
      </c>
      <c r="E63" s="35" t="s">
        <v>210</v>
      </c>
      <c r="F63" s="34" t="s">
        <v>211</v>
      </c>
      <c r="G63">
        <f>0.01*0.05</f>
        <v>5.0000000000000001E-4</v>
      </c>
      <c r="H63">
        <v>36</v>
      </c>
      <c r="I63" s="39">
        <f t="shared" si="4"/>
        <v>1.8000000000000001E-6</v>
      </c>
      <c r="J63" s="34">
        <f>15/(60*24)</f>
        <v>1.0416666666666666E-2</v>
      </c>
      <c r="K63" s="34">
        <v>0</v>
      </c>
      <c r="L63" s="34">
        <f>J63</f>
        <v>1.0416666666666666E-2</v>
      </c>
      <c r="M63">
        <v>1</v>
      </c>
      <c r="N63">
        <v>1</v>
      </c>
      <c r="O63">
        <v>0</v>
      </c>
      <c r="P63">
        <v>1</v>
      </c>
      <c r="Q63">
        <v>1</v>
      </c>
      <c r="S63" t="s">
        <v>225</v>
      </c>
      <c r="T63" t="s">
        <v>215</v>
      </c>
    </row>
    <row r="64" spans="1:21" ht="15.75" customHeight="1">
      <c r="A64" s="37" t="s">
        <v>209</v>
      </c>
      <c r="B64" t="s">
        <v>208</v>
      </c>
      <c r="C64" s="35">
        <v>2010</v>
      </c>
      <c r="D64" s="35" t="s">
        <v>28</v>
      </c>
      <c r="E64" s="35" t="s">
        <v>210</v>
      </c>
      <c r="F64" s="34" t="s">
        <v>211</v>
      </c>
      <c r="G64">
        <v>0.42</v>
      </c>
      <c r="H64">
        <v>10</v>
      </c>
      <c r="I64" s="39">
        <f t="shared" si="4"/>
        <v>4.2000000000000002E-4</v>
      </c>
      <c r="J64">
        <v>30</v>
      </c>
      <c r="K64">
        <v>30</v>
      </c>
      <c r="L64" s="34">
        <f>15*J64</f>
        <v>450</v>
      </c>
      <c r="M64" s="34">
        <f>DATEDIF("1/5/2005", "1/10/2007", "d")</f>
        <v>883</v>
      </c>
      <c r="N64">
        <v>0</v>
      </c>
      <c r="O64">
        <v>0</v>
      </c>
      <c r="P64">
        <v>1</v>
      </c>
      <c r="Q64">
        <v>0</v>
      </c>
      <c r="R64" s="34" t="s">
        <v>212</v>
      </c>
      <c r="S64" t="s">
        <v>227</v>
      </c>
      <c r="T64" t="s">
        <v>216</v>
      </c>
    </row>
    <row r="65" spans="1:21" ht="15.75" customHeight="1">
      <c r="A65" s="37" t="s">
        <v>209</v>
      </c>
      <c r="B65" t="s">
        <v>208</v>
      </c>
      <c r="C65" s="35">
        <v>2010</v>
      </c>
      <c r="D65" s="35" t="s">
        <v>28</v>
      </c>
      <c r="E65" s="35" t="s">
        <v>210</v>
      </c>
      <c r="F65" s="34" t="s">
        <v>211</v>
      </c>
      <c r="G65">
        <f>PI()*0.1^2</f>
        <v>3.1415926535897934E-2</v>
      </c>
      <c r="H65">
        <f>5+6+71</f>
        <v>82</v>
      </c>
      <c r="I65" s="39">
        <f t="shared" si="4"/>
        <v>2.5761059759436307E-4</v>
      </c>
      <c r="J65">
        <f>30/(60*24)</f>
        <v>2.0833333333333332E-2</v>
      </c>
      <c r="K65">
        <f>J65</f>
        <v>2.0833333333333332E-2</v>
      </c>
      <c r="L65">
        <f>DATEDIF("7/5/2006","30/9/2006","d")*J65</f>
        <v>3.0416666666666665</v>
      </c>
      <c r="M65">
        <f>DATEDIF("7/5/2006","30/9/2006","d")</f>
        <v>146</v>
      </c>
      <c r="N65">
        <v>0</v>
      </c>
      <c r="O65">
        <v>0</v>
      </c>
      <c r="P65">
        <v>1</v>
      </c>
      <c r="Q65">
        <v>0</v>
      </c>
      <c r="S65" t="s">
        <v>217</v>
      </c>
      <c r="T65" t="s">
        <v>218</v>
      </c>
    </row>
    <row r="66" spans="1:21" ht="15.75" customHeight="1">
      <c r="A66" s="37" t="s">
        <v>209</v>
      </c>
      <c r="B66" t="s">
        <v>208</v>
      </c>
      <c r="C66" s="35">
        <v>2010</v>
      </c>
      <c r="D66" s="35" t="s">
        <v>28</v>
      </c>
      <c r="E66" s="35" t="s">
        <v>210</v>
      </c>
      <c r="F66" s="34" t="s">
        <v>211</v>
      </c>
      <c r="G66">
        <f>((0.1*0.1)*45+(0.01*0.02)*6+(0.1*0.1)*3+(0.005*0.4)*3)/57</f>
        <v>8.5473684210526334E-3</v>
      </c>
      <c r="H66">
        <f>45+6+3+3</f>
        <v>57</v>
      </c>
      <c r="I66" s="39">
        <f t="shared" si="4"/>
        <v>4.8720000000000008E-5</v>
      </c>
      <c r="J66" s="34">
        <f>5/(60*24)</f>
        <v>3.472222222222222E-3</v>
      </c>
      <c r="K66">
        <f>30</f>
        <v>30</v>
      </c>
      <c r="L66">
        <f>5*J66</f>
        <v>1.7361111111111112E-2</v>
      </c>
      <c r="M66">
        <f>DATEDIF("7/5/2006","30/9/2006","d")</f>
        <v>146</v>
      </c>
      <c r="N66">
        <v>1</v>
      </c>
      <c r="O66">
        <v>0</v>
      </c>
      <c r="P66">
        <v>2</v>
      </c>
      <c r="Q66">
        <v>0</v>
      </c>
      <c r="S66" t="s">
        <v>219</v>
      </c>
      <c r="T66" t="s">
        <v>220</v>
      </c>
    </row>
    <row r="67" spans="1:21" ht="15.75" customHeight="1">
      <c r="A67" s="37" t="s">
        <v>209</v>
      </c>
      <c r="B67" t="s">
        <v>208</v>
      </c>
      <c r="C67" s="35">
        <v>2010</v>
      </c>
      <c r="D67" s="35" t="s">
        <v>28</v>
      </c>
      <c r="E67" s="35" t="s">
        <v>210</v>
      </c>
      <c r="F67" s="34" t="s">
        <v>211</v>
      </c>
      <c r="G67">
        <f>0.25*0.37</f>
        <v>9.2499999999999999E-2</v>
      </c>
      <c r="H67">
        <v>1</v>
      </c>
      <c r="I67" s="39">
        <f t="shared" si="4"/>
        <v>9.2499999999999995E-6</v>
      </c>
      <c r="J67">
        <f>30/(60*24)</f>
        <v>2.0833333333333332E-2</v>
      </c>
      <c r="K67">
        <f>J67</f>
        <v>2.0833333333333332E-2</v>
      </c>
      <c r="L67">
        <f>DATEDIF("1/11/2004","31/12/2007","d")*K67</f>
        <v>24.0625</v>
      </c>
      <c r="M67">
        <f>DATEDIF("1/11/2004","31/12/2007","d")</f>
        <v>1155</v>
      </c>
      <c r="N67">
        <v>0</v>
      </c>
      <c r="O67">
        <v>0</v>
      </c>
      <c r="P67">
        <v>1</v>
      </c>
      <c r="Q67">
        <v>0</v>
      </c>
      <c r="R67" s="34" t="s">
        <v>212</v>
      </c>
      <c r="S67" t="s">
        <v>229</v>
      </c>
      <c r="T67" t="s">
        <v>221</v>
      </c>
    </row>
    <row r="68" spans="1:21" ht="15.75" customHeight="1">
      <c r="A68" s="37" t="s">
        <v>209</v>
      </c>
      <c r="B68" t="s">
        <v>208</v>
      </c>
      <c r="C68" s="35">
        <v>2010</v>
      </c>
      <c r="D68" s="35" t="s">
        <v>28</v>
      </c>
      <c r="E68" s="35" t="s">
        <v>210</v>
      </c>
      <c r="F68" s="34" t="s">
        <v>211</v>
      </c>
      <c r="G68">
        <v>1</v>
      </c>
      <c r="H68">
        <v>15</v>
      </c>
      <c r="I68" s="39">
        <f t="shared" si="4"/>
        <v>1.5E-3</v>
      </c>
      <c r="J68">
        <f>10/(60*24)</f>
        <v>6.9444444444444441E-3</v>
      </c>
      <c r="K68">
        <v>0</v>
      </c>
      <c r="L68">
        <f>J68</f>
        <v>6.9444444444444441E-3</v>
      </c>
      <c r="M68">
        <f>DATEDIF("7/5/2006","30/9/2006","d")</f>
        <v>146</v>
      </c>
      <c r="N68">
        <v>1</v>
      </c>
      <c r="O68">
        <v>1</v>
      </c>
      <c r="P68">
        <v>0</v>
      </c>
      <c r="Q68">
        <v>1</v>
      </c>
      <c r="S68" t="s">
        <v>222</v>
      </c>
      <c r="T68" t="s">
        <v>223</v>
      </c>
    </row>
    <row r="69" spans="1:21" ht="15.75" customHeight="1">
      <c r="A69" s="37" t="s">
        <v>209</v>
      </c>
      <c r="B69" t="s">
        <v>208</v>
      </c>
      <c r="C69" s="35">
        <v>2010</v>
      </c>
      <c r="D69" s="35" t="s">
        <v>28</v>
      </c>
      <c r="E69" s="35" t="s">
        <v>210</v>
      </c>
      <c r="F69" s="34" t="s">
        <v>211</v>
      </c>
      <c r="G69" s="34">
        <f>201</f>
        <v>201</v>
      </c>
      <c r="H69" s="34">
        <v>5</v>
      </c>
      <c r="I69" s="40">
        <f t="shared" si="4"/>
        <v>0.10050000000000001</v>
      </c>
      <c r="J69">
        <f>60/(60*24)</f>
        <v>4.1666666666666664E-2</v>
      </c>
      <c r="K69">
        <v>30</v>
      </c>
      <c r="L69">
        <f>J69*3</f>
        <v>0.125</v>
      </c>
      <c r="M69">
        <f>DATEDIF("7/5/2006","30/9/2006","d")</f>
        <v>146</v>
      </c>
      <c r="N69">
        <v>0</v>
      </c>
      <c r="O69">
        <v>1</v>
      </c>
      <c r="P69">
        <v>0</v>
      </c>
      <c r="Q69">
        <v>0</v>
      </c>
      <c r="S69" t="s">
        <v>230</v>
      </c>
      <c r="T69" t="s">
        <v>224</v>
      </c>
    </row>
    <row r="70" spans="1:21" ht="15.75" customHeight="1">
      <c r="D70" s="37" t="s">
        <v>233</v>
      </c>
    </row>
    <row r="71" spans="1:21" ht="15.75" customHeight="1">
      <c r="A71" s="37" t="s">
        <v>231</v>
      </c>
      <c r="B71" t="s">
        <v>232</v>
      </c>
      <c r="C71" s="35">
        <v>2013</v>
      </c>
      <c r="D71" s="37" t="s">
        <v>234</v>
      </c>
      <c r="E71" s="35" t="s">
        <v>235</v>
      </c>
      <c r="F71" s="35" t="s">
        <v>236</v>
      </c>
      <c r="G71">
        <f>3*0.5</f>
        <v>1.5</v>
      </c>
      <c r="H71">
        <v>27</v>
      </c>
      <c r="I71" s="26">
        <f>(G71*460968)/10000</f>
        <v>69.145200000000003</v>
      </c>
      <c r="J71">
        <f>1/(60*60*24)</f>
        <v>1.1574074074074073E-5</v>
      </c>
      <c r="K71">
        <v>1.3159499442782856E-4</v>
      </c>
      <c r="L71">
        <v>0.19760288065843623</v>
      </c>
      <c r="M71">
        <f>DATEDIF("1/11/2002","1/12/2010","d")</f>
        <v>2952</v>
      </c>
      <c r="N71">
        <v>1</v>
      </c>
      <c r="O71">
        <v>1</v>
      </c>
      <c r="P71">
        <v>1</v>
      </c>
      <c r="Q71">
        <v>1</v>
      </c>
      <c r="R71" t="s">
        <v>244</v>
      </c>
      <c r="S71" t="s">
        <v>248</v>
      </c>
      <c r="T71" t="s">
        <v>247</v>
      </c>
    </row>
    <row r="72" spans="1:21" ht="15.75" customHeight="1">
      <c r="A72" s="37" t="s">
        <v>94</v>
      </c>
      <c r="B72" t="s">
        <v>249</v>
      </c>
      <c r="C72" s="35">
        <v>2005</v>
      </c>
      <c r="D72" s="37" t="s">
        <v>28</v>
      </c>
      <c r="E72" s="35" t="s">
        <v>250</v>
      </c>
      <c r="F72" s="35" t="s">
        <v>251</v>
      </c>
      <c r="G72">
        <f>PI()*0.1^2</f>
        <v>3.1415926535897934E-2</v>
      </c>
      <c r="H72">
        <f>189</f>
        <v>189</v>
      </c>
      <c r="I72" s="40">
        <f t="shared" ref="I72:I75" si="5">(G72*H72)/10000</f>
        <v>5.9376101152847094E-4</v>
      </c>
      <c r="J72">
        <f>10/(60*24)</f>
        <v>6.9444444444444441E-3</v>
      </c>
      <c r="K72">
        <f>DATEDIF("1/1/1998","1/1/2003","d")</f>
        <v>1826</v>
      </c>
      <c r="L72">
        <f>J72*2*H72</f>
        <v>2.625</v>
      </c>
      <c r="M72">
        <f>DATEDIF("1/1/1998","1/5/2003","d")</f>
        <v>1946</v>
      </c>
      <c r="N72">
        <v>1</v>
      </c>
      <c r="O72">
        <v>2</v>
      </c>
      <c r="P72">
        <v>1</v>
      </c>
      <c r="Q72">
        <v>0</v>
      </c>
      <c r="S72" t="s">
        <v>230</v>
      </c>
      <c r="T72" t="s">
        <v>253</v>
      </c>
    </row>
    <row r="73" spans="1:21" ht="15.75" customHeight="1">
      <c r="A73" s="37" t="s">
        <v>94</v>
      </c>
      <c r="B73" t="s">
        <v>249</v>
      </c>
      <c r="C73" s="35">
        <v>2005</v>
      </c>
      <c r="D73" s="37" t="s">
        <v>28</v>
      </c>
      <c r="E73" s="35" t="s">
        <v>250</v>
      </c>
      <c r="F73" s="35" t="s">
        <v>251</v>
      </c>
      <c r="G73">
        <f>PI()*0.1^2</f>
        <v>3.1415926535897934E-2</v>
      </c>
      <c r="H73">
        <f>64+168</f>
        <v>232</v>
      </c>
      <c r="I73" s="40">
        <f t="shared" si="5"/>
        <v>7.2884949563283203E-4</v>
      </c>
      <c r="J73">
        <f>10/(60*24)</f>
        <v>6.9444444444444441E-3</v>
      </c>
      <c r="K73">
        <v>0</v>
      </c>
      <c r="L73">
        <f>J73*H73</f>
        <v>1.6111111111111109</v>
      </c>
      <c r="M73">
        <f>DATEDIF("11/3/2003","10/4/2003","d")</f>
        <v>30</v>
      </c>
      <c r="N73">
        <v>1</v>
      </c>
      <c r="O73">
        <v>1</v>
      </c>
      <c r="P73">
        <v>1</v>
      </c>
      <c r="Q73">
        <v>1</v>
      </c>
      <c r="S73" t="s">
        <v>219</v>
      </c>
      <c r="T73" t="s">
        <v>252</v>
      </c>
    </row>
    <row r="74" spans="1:21" s="15" customFormat="1" ht="15.75" customHeight="1">
      <c r="A74" s="15" t="s">
        <v>198</v>
      </c>
      <c r="B74" s="15" t="s">
        <v>254</v>
      </c>
      <c r="C74" s="15">
        <v>2007</v>
      </c>
      <c r="D74" s="38" t="s">
        <v>93</v>
      </c>
      <c r="U74" s="15" t="s">
        <v>91</v>
      </c>
    </row>
    <row r="75" spans="1:21" ht="15.75" customHeight="1">
      <c r="A75" s="37" t="s">
        <v>209</v>
      </c>
      <c r="B75" t="s">
        <v>255</v>
      </c>
      <c r="C75" s="35">
        <v>2012</v>
      </c>
      <c r="D75" s="37" t="s">
        <v>28</v>
      </c>
      <c r="E75" s="35" t="s">
        <v>256</v>
      </c>
      <c r="F75" s="35" t="s">
        <v>257</v>
      </c>
      <c r="G75">
        <f>AVERAGE(0.012, 0.05)*10000</f>
        <v>310</v>
      </c>
      <c r="H75">
        <v>60</v>
      </c>
      <c r="I75" s="40">
        <f t="shared" si="5"/>
        <v>1.86</v>
      </c>
      <c r="J75">
        <f>30/(60*24)</f>
        <v>2.0833333333333332E-2</v>
      </c>
      <c r="K75">
        <v>365</v>
      </c>
      <c r="L75">
        <f>J75*H75*3</f>
        <v>3.75</v>
      </c>
      <c r="M75">
        <f>DATEDIF("1/6/2009","31/8/2011","d")</f>
        <v>821</v>
      </c>
      <c r="N75">
        <v>1</v>
      </c>
      <c r="O75">
        <v>2</v>
      </c>
      <c r="P75">
        <v>0</v>
      </c>
      <c r="Q75">
        <v>0</v>
      </c>
      <c r="S75" t="s">
        <v>258</v>
      </c>
      <c r="T75" t="s">
        <v>259</v>
      </c>
    </row>
    <row r="76" spans="1:21" ht="15.75" customHeight="1">
      <c r="A76" s="37" t="s">
        <v>209</v>
      </c>
      <c r="B76" t="s">
        <v>255</v>
      </c>
      <c r="C76" s="35">
        <v>2012</v>
      </c>
      <c r="D76" s="37" t="s">
        <v>125</v>
      </c>
      <c r="E76" s="35" t="s">
        <v>256</v>
      </c>
      <c r="F76" s="35" t="s">
        <v>257</v>
      </c>
      <c r="G76">
        <f>30*30</f>
        <v>900</v>
      </c>
      <c r="H76" s="35">
        <f>(185*170*1000)/30</f>
        <v>1048333.3333333334</v>
      </c>
      <c r="I76">
        <f>(185000*170000)/10000</f>
        <v>3145000</v>
      </c>
      <c r="J76">
        <f>1/(60*60*24)</f>
        <v>1.1574074074074073E-5</v>
      </c>
      <c r="K76">
        <v>0</v>
      </c>
      <c r="L76">
        <f>J76</f>
        <v>1.1574074074074073E-5</v>
      </c>
      <c r="M76">
        <v>1</v>
      </c>
      <c r="N76">
        <v>0</v>
      </c>
      <c r="O76">
        <v>2</v>
      </c>
      <c r="P76">
        <v>0</v>
      </c>
      <c r="Q76">
        <v>0</v>
      </c>
      <c r="T76" t="s">
        <v>260</v>
      </c>
    </row>
    <row r="77" spans="1:21" s="15" customFormat="1" ht="15.75" customHeight="1">
      <c r="A77" s="38" t="s">
        <v>63</v>
      </c>
      <c r="B77" s="15" t="s">
        <v>262</v>
      </c>
      <c r="C77" s="15">
        <v>2013</v>
      </c>
      <c r="D77" s="38" t="s">
        <v>93</v>
      </c>
      <c r="E77" s="15" t="s">
        <v>92</v>
      </c>
      <c r="U77" s="15" t="s">
        <v>263</v>
      </c>
    </row>
    <row r="78" spans="1:21" ht="15.75" customHeight="1">
      <c r="A78" s="37" t="s">
        <v>181</v>
      </c>
      <c r="B78" t="s">
        <v>264</v>
      </c>
      <c r="C78" s="35">
        <v>2005</v>
      </c>
      <c r="D78" s="37" t="s">
        <v>28</v>
      </c>
      <c r="E78" s="35" t="s">
        <v>265</v>
      </c>
      <c r="F78" s="35" t="s">
        <v>266</v>
      </c>
      <c r="G78">
        <f>PI()*0.09^2</f>
        <v>2.5446900494077322E-2</v>
      </c>
      <c r="H78">
        <v>7</v>
      </c>
      <c r="I78" s="40">
        <f t="shared" ref="I78:I79" si="6">(G78*H78)/10000</f>
        <v>1.7812830345854125E-5</v>
      </c>
      <c r="J78">
        <v>1</v>
      </c>
      <c r="K78">
        <v>30</v>
      </c>
      <c r="L78">
        <f>J78*19</f>
        <v>19</v>
      </c>
      <c r="M78" s="34">
        <f>DATEDIF("1/3/2001", "30/6/2002", "d")</f>
        <v>486</v>
      </c>
      <c r="N78">
        <v>0</v>
      </c>
      <c r="O78">
        <v>0</v>
      </c>
      <c r="P78">
        <v>1</v>
      </c>
      <c r="Q78">
        <v>0</v>
      </c>
      <c r="R78" t="s">
        <v>269</v>
      </c>
      <c r="S78" t="s">
        <v>268</v>
      </c>
      <c r="T78" t="s">
        <v>267</v>
      </c>
    </row>
    <row r="79" spans="1:21" ht="15.75" customHeight="1">
      <c r="A79" s="37" t="s">
        <v>181</v>
      </c>
      <c r="B79" t="s">
        <v>264</v>
      </c>
      <c r="C79" s="35">
        <v>2005</v>
      </c>
      <c r="D79" s="37" t="s">
        <v>28</v>
      </c>
      <c r="E79" s="35" t="s">
        <v>265</v>
      </c>
      <c r="F79" s="35" t="s">
        <v>266</v>
      </c>
      <c r="G79">
        <f>PI()*0.375^2</f>
        <v>0.44178646691106466</v>
      </c>
      <c r="H79">
        <v>32</v>
      </c>
      <c r="I79" s="40">
        <f t="shared" si="6"/>
        <v>1.4137166941154068E-3</v>
      </c>
      <c r="J79">
        <f>(18*2)*(1/(60*60*24))</f>
        <v>4.1666666666666664E-4</v>
      </c>
      <c r="K79">
        <v>0</v>
      </c>
      <c r="L79">
        <f>J79</f>
        <v>4.1666666666666664E-4</v>
      </c>
      <c r="M79">
        <v>1</v>
      </c>
      <c r="N79">
        <v>0</v>
      </c>
      <c r="O79">
        <v>0</v>
      </c>
      <c r="P79">
        <v>2</v>
      </c>
      <c r="Q79">
        <v>0</v>
      </c>
      <c r="S79" t="s">
        <v>219</v>
      </c>
      <c r="T79" t="s">
        <v>270</v>
      </c>
    </row>
    <row r="80" spans="1:21" ht="15.75" customHeight="1">
      <c r="A80" s="37" t="s">
        <v>181</v>
      </c>
      <c r="B80" t="s">
        <v>264</v>
      </c>
      <c r="C80" s="35">
        <v>2005</v>
      </c>
      <c r="D80" s="37" t="s">
        <v>28</v>
      </c>
      <c r="E80" s="35" t="s">
        <v>265</v>
      </c>
      <c r="F80" s="35" t="s">
        <v>266</v>
      </c>
      <c r="G80">
        <f>PI()*0.375^2</f>
        <v>0.44178646691106466</v>
      </c>
      <c r="H80">
        <v>11</v>
      </c>
      <c r="I80" s="40">
        <f t="shared" ref="I80:I82" si="7">(G80*H80)/10000</f>
        <v>4.8596511360217117E-4</v>
      </c>
      <c r="J80">
        <f>(18*2)*(1/(60*60*24))</f>
        <v>4.1666666666666664E-4</v>
      </c>
      <c r="K80">
        <v>0</v>
      </c>
      <c r="L80">
        <f>J80</f>
        <v>4.1666666666666664E-4</v>
      </c>
      <c r="M80" s="34">
        <f>DATEDIF("3/3/2002", "27/6/2002", "d")</f>
        <v>116</v>
      </c>
      <c r="N80">
        <v>0</v>
      </c>
      <c r="O80">
        <v>0</v>
      </c>
      <c r="P80">
        <v>2</v>
      </c>
      <c r="Q80">
        <v>0</v>
      </c>
      <c r="S80" t="s">
        <v>219</v>
      </c>
      <c r="T80" t="s">
        <v>271</v>
      </c>
    </row>
    <row r="81" spans="1:20" ht="15.75" customHeight="1">
      <c r="A81" s="37" t="s">
        <v>181</v>
      </c>
      <c r="B81" t="s">
        <v>264</v>
      </c>
      <c r="C81" s="35">
        <v>2005</v>
      </c>
      <c r="D81" s="37" t="s">
        <v>234</v>
      </c>
      <c r="E81" s="35" t="s">
        <v>265</v>
      </c>
      <c r="F81" s="35" t="s">
        <v>266</v>
      </c>
      <c r="G81">
        <f>PI()*0.15^2</f>
        <v>7.0685834705770348E-2</v>
      </c>
      <c r="H81">
        <f>4*9</f>
        <v>36</v>
      </c>
      <c r="I81" s="40">
        <f t="shared" si="7"/>
        <v>2.5446900494077327E-4</v>
      </c>
      <c r="J81" s="51">
        <f>(2/(24*60))*(AVERAGE(18,35,37,20,13,33,33,16)/4)</f>
        <v>8.8975694444444441E-3</v>
      </c>
      <c r="K81">
        <v>0</v>
      </c>
      <c r="L81" s="51">
        <f>J81</f>
        <v>8.8975694444444441E-3</v>
      </c>
      <c r="M81" s="34">
        <f>DATEDIF("1/3/2002", "25/6/2002", "d")</f>
        <v>116</v>
      </c>
      <c r="N81">
        <v>0</v>
      </c>
      <c r="O81">
        <v>0</v>
      </c>
      <c r="P81">
        <v>1</v>
      </c>
      <c r="Q81">
        <v>0</v>
      </c>
      <c r="S81" t="s">
        <v>137</v>
      </c>
      <c r="T81" t="s">
        <v>272</v>
      </c>
    </row>
    <row r="82" spans="1:20" ht="15.75" customHeight="1">
      <c r="A82" s="37" t="s">
        <v>181</v>
      </c>
      <c r="B82" t="s">
        <v>264</v>
      </c>
      <c r="C82" s="35">
        <v>2005</v>
      </c>
      <c r="D82" s="37" t="s">
        <v>28</v>
      </c>
      <c r="E82" s="35" t="s">
        <v>265</v>
      </c>
      <c r="F82" s="35" t="s">
        <v>266</v>
      </c>
      <c r="G82">
        <f>PI()*0.005^2</f>
        <v>7.8539816339744827E-5</v>
      </c>
      <c r="H82">
        <f>5*5*4</f>
        <v>100</v>
      </c>
      <c r="I82" s="52">
        <f t="shared" si="7"/>
        <v>7.8539816339744833E-7</v>
      </c>
      <c r="J82">
        <v>1</v>
      </c>
      <c r="K82" s="34">
        <f>AVERAGE(DATEDIF("4/3/2002", "20/6/2002", "d"), DATEDIF("6/3/2002", "22/6/2002", "d"), DATEDIF("8/3/2002", "18/6/2002", "d"), DATEDIF("10/3/2002", "24/6/2002", "d"))</f>
        <v>106</v>
      </c>
      <c r="L82">
        <f>J82*2</f>
        <v>2</v>
      </c>
      <c r="M82" s="34">
        <f>DATEDIF("3/3/2002", "27/6/2002", "d")</f>
        <v>116</v>
      </c>
      <c r="N82">
        <v>0</v>
      </c>
      <c r="O82">
        <v>0</v>
      </c>
      <c r="P82">
        <v>2</v>
      </c>
      <c r="Q82">
        <v>0</v>
      </c>
      <c r="S82" t="s">
        <v>217</v>
      </c>
      <c r="T82" t="s">
        <v>273</v>
      </c>
    </row>
    <row r="83" spans="1:20" ht="15.75" customHeight="1">
      <c r="A83" s="37" t="s">
        <v>181</v>
      </c>
      <c r="B83" t="s">
        <v>264</v>
      </c>
      <c r="C83" s="35">
        <v>2005</v>
      </c>
      <c r="D83" s="37" t="s">
        <v>28</v>
      </c>
      <c r="E83" s="35" t="s">
        <v>265</v>
      </c>
      <c r="F83" s="35" t="s">
        <v>266</v>
      </c>
      <c r="G83">
        <f>PI()*0.375^2</f>
        <v>0.44178646691106466</v>
      </c>
      <c r="H83">
        <v>22</v>
      </c>
      <c r="I83" s="40">
        <f t="shared" ref="I83:I87" si="8">(G83*H83)/10000</f>
        <v>9.7193022720434234E-4</v>
      </c>
      <c r="J83">
        <f>(18*2)*(1/(60*60*24))</f>
        <v>4.1666666666666664E-4</v>
      </c>
      <c r="K83" s="34">
        <f>DATEDIF("10/3/2002", "18/6/2002", "d")</f>
        <v>100</v>
      </c>
      <c r="L83">
        <f>J83</f>
        <v>4.1666666666666664E-4</v>
      </c>
      <c r="M83" s="34">
        <f>DATEDIF("3/3/2002", "27/6/2002", "d")</f>
        <v>116</v>
      </c>
      <c r="N83">
        <v>0</v>
      </c>
      <c r="O83">
        <v>0</v>
      </c>
      <c r="P83">
        <v>1</v>
      </c>
      <c r="Q83">
        <v>0</v>
      </c>
      <c r="S83" t="s">
        <v>219</v>
      </c>
      <c r="T83" t="s">
        <v>274</v>
      </c>
    </row>
    <row r="84" spans="1:20" ht="15.75" customHeight="1">
      <c r="A84" s="37" t="s">
        <v>181</v>
      </c>
      <c r="B84" t="s">
        <v>264</v>
      </c>
      <c r="C84" s="35">
        <v>2005</v>
      </c>
      <c r="D84" s="37" t="s">
        <v>28</v>
      </c>
      <c r="E84" s="35" t="s">
        <v>265</v>
      </c>
      <c r="F84" s="35" t="s">
        <v>266</v>
      </c>
      <c r="G84">
        <f>PI()*0.015^2</f>
        <v>7.0685834705770342E-4</v>
      </c>
      <c r="H84">
        <f>5*5*4</f>
        <v>100</v>
      </c>
      <c r="I84" s="52">
        <f t="shared" si="8"/>
        <v>7.0685834705770352E-6</v>
      </c>
      <c r="J84">
        <f>30/(60*60*24)</f>
        <v>3.4722222222222224E-4</v>
      </c>
      <c r="K84" s="34">
        <f>AVERAGE(DATEDIF("4/3/2002", "20/6/2002", "d"), DATEDIF("6/3/2002", "22/6/2002", "d"), DATEDIF("8/3/2002", "18/6/2002", "d"), DATEDIF("10/3/2002", "24/6/2002", "d"))</f>
        <v>106</v>
      </c>
      <c r="L84">
        <f>J84*2</f>
        <v>6.9444444444444447E-4</v>
      </c>
      <c r="M84" s="34">
        <f>DATEDIF("3/3/2002", "27/6/2002", "d")</f>
        <v>116</v>
      </c>
      <c r="N84">
        <v>0</v>
      </c>
      <c r="O84">
        <v>0</v>
      </c>
      <c r="P84">
        <v>1</v>
      </c>
      <c r="Q84">
        <v>0</v>
      </c>
      <c r="S84" t="s">
        <v>75</v>
      </c>
      <c r="T84" t="s">
        <v>275</v>
      </c>
    </row>
    <row r="85" spans="1:20" ht="15.75" customHeight="1">
      <c r="A85" s="37" t="s">
        <v>181</v>
      </c>
      <c r="B85" t="s">
        <v>264</v>
      </c>
      <c r="C85" s="35">
        <v>2005</v>
      </c>
      <c r="D85" s="37" t="s">
        <v>234</v>
      </c>
      <c r="E85" s="35" t="s">
        <v>265</v>
      </c>
      <c r="F85" s="35" t="s">
        <v>266</v>
      </c>
      <c r="G85">
        <f>PI()*0.015^2</f>
        <v>7.0685834705770342E-4</v>
      </c>
      <c r="H85">
        <f>4*12</f>
        <v>48</v>
      </c>
      <c r="I85" s="52">
        <f t="shared" si="8"/>
        <v>3.3929200658769768E-6</v>
      </c>
      <c r="J85">
        <f>1/(3600*24)</f>
        <v>1.1574074074074073E-5</v>
      </c>
      <c r="K85">
        <f>AVERAGE(2, 2, 2, 2, 100, 2, 2, 2, 2)</f>
        <v>12.888888888888889</v>
      </c>
      <c r="L85">
        <f>J85</f>
        <v>1.1574074074074073E-5</v>
      </c>
      <c r="M85" s="34">
        <f>DATEDIF("1/3/2002", "25/6/2002", "d")</f>
        <v>116</v>
      </c>
      <c r="N85">
        <v>0</v>
      </c>
      <c r="O85">
        <v>0</v>
      </c>
      <c r="P85">
        <v>1</v>
      </c>
      <c r="Q85">
        <v>0</v>
      </c>
      <c r="S85" t="s">
        <v>277</v>
      </c>
      <c r="T85" t="s">
        <v>276</v>
      </c>
    </row>
    <row r="86" spans="1:20" ht="15.75" customHeight="1">
      <c r="A86" s="37" t="s">
        <v>181</v>
      </c>
      <c r="B86" t="s">
        <v>264</v>
      </c>
      <c r="C86" s="35">
        <v>2005</v>
      </c>
      <c r="D86" s="37" t="s">
        <v>234</v>
      </c>
      <c r="E86" s="35" t="s">
        <v>265</v>
      </c>
      <c r="F86" s="35" t="s">
        <v>266</v>
      </c>
      <c r="G86">
        <f>PI()*0.1^2</f>
        <v>3.1415926535897934E-2</v>
      </c>
      <c r="H86">
        <f>60*20</f>
        <v>1200</v>
      </c>
      <c r="I86" s="52">
        <f t="shared" si="8"/>
        <v>3.7699111843077517E-3</v>
      </c>
      <c r="J86">
        <f>1/(3600*24)</f>
        <v>1.1574074074074073E-5</v>
      </c>
      <c r="K86">
        <f>AVERAGE(2, 2, 2, 1, 99, 2, 2, 1, 1)</f>
        <v>12.444444444444445</v>
      </c>
      <c r="L86">
        <f>J86</f>
        <v>1.1574074074074073E-5</v>
      </c>
      <c r="M86" s="34">
        <f>DATEDIF("1/3/2002", "27/6/2002", "d")</f>
        <v>118</v>
      </c>
      <c r="N86">
        <v>0</v>
      </c>
      <c r="O86">
        <v>0</v>
      </c>
      <c r="P86">
        <v>2</v>
      </c>
      <c r="Q86">
        <v>0</v>
      </c>
      <c r="S86" t="s">
        <v>191</v>
      </c>
      <c r="T86" t="s">
        <v>278</v>
      </c>
    </row>
    <row r="87" spans="1:20" ht="15.75" customHeight="1">
      <c r="A87" s="37" t="s">
        <v>181</v>
      </c>
      <c r="B87" t="s">
        <v>264</v>
      </c>
      <c r="C87" s="35">
        <v>2005</v>
      </c>
      <c r="D87" s="37" t="s">
        <v>234</v>
      </c>
      <c r="E87" s="35" t="s">
        <v>265</v>
      </c>
      <c r="F87" s="35" t="s">
        <v>266</v>
      </c>
      <c r="G87">
        <f>PI()*0.075^2</f>
        <v>1.7671458676442587E-2</v>
      </c>
      <c r="H87">
        <f>(12*60)*20</f>
        <v>14400</v>
      </c>
      <c r="I87" s="52">
        <f t="shared" si="8"/>
        <v>2.5446900494077326E-2</v>
      </c>
      <c r="J87">
        <f>1/(3600*24)</f>
        <v>1.1574074074074073E-5</v>
      </c>
      <c r="K87">
        <f>AVERAGE(2, 2, 2, 1, 99, 2, 2, 1, 1)</f>
        <v>12.444444444444445</v>
      </c>
      <c r="L87">
        <f>J87</f>
        <v>1.1574074074074073E-5</v>
      </c>
      <c r="M87" s="34">
        <f>DATEDIF("1/3/2002", "12/3/2002", "d")</f>
        <v>11</v>
      </c>
      <c r="N87">
        <v>0</v>
      </c>
      <c r="O87">
        <v>0</v>
      </c>
      <c r="P87">
        <v>1</v>
      </c>
      <c r="Q87">
        <v>0</v>
      </c>
      <c r="S87" t="s">
        <v>191</v>
      </c>
      <c r="T87" t="s">
        <v>279</v>
      </c>
    </row>
    <row r="88" spans="1:20" ht="15.75" customHeight="1">
      <c r="A88" s="37" t="s">
        <v>181</v>
      </c>
      <c r="B88" t="s">
        <v>264</v>
      </c>
      <c r="C88" s="35">
        <v>2005</v>
      </c>
      <c r="D88" s="37" t="s">
        <v>234</v>
      </c>
      <c r="E88" s="35" t="s">
        <v>265</v>
      </c>
      <c r="F88" s="35" t="s">
        <v>266</v>
      </c>
      <c r="G88">
        <f>PI()*0.075^2</f>
        <v>1.7671458676442587E-2</v>
      </c>
      <c r="H88">
        <f>(60)*20</f>
        <v>1200</v>
      </c>
      <c r="I88" s="52">
        <f t="shared" ref="I88" si="9">(G88*H88)/10000</f>
        <v>2.1205750411731105E-3</v>
      </c>
      <c r="J88">
        <f>1/(3600*24)</f>
        <v>1.1574074074074073E-5</v>
      </c>
      <c r="K88">
        <f>AVERAGE(2, 2, 2, 1, 99, 2, 2, 1, 1)</f>
        <v>12.444444444444445</v>
      </c>
      <c r="L88">
        <f>J88</f>
        <v>1.1574074074074073E-5</v>
      </c>
      <c r="M88" s="34">
        <f>DATEDIF("1/3/2002", "12/3/2002", "d")</f>
        <v>11</v>
      </c>
      <c r="N88">
        <v>0</v>
      </c>
      <c r="O88">
        <v>0</v>
      </c>
      <c r="P88">
        <v>1</v>
      </c>
      <c r="Q88">
        <v>0</v>
      </c>
      <c r="S88" t="s">
        <v>191</v>
      </c>
      <c r="T88" t="s">
        <v>280</v>
      </c>
    </row>
  </sheetData>
  <hyperlinks>
    <hyperlink ref="B14" r:id="rId1"/>
  </hyperlinks>
  <pageMargins left="0.75" right="0.75" top="1" bottom="1" header="0.5" footer="0.5"/>
  <pageSetup paperSize="9" orientation="portrait" horizontalDpi="4294967292" verticalDpi="4294967292"/>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73"/>
  <sheetViews>
    <sheetView workbookViewId="0">
      <pane ySplit="1060" topLeftCell="A36" activePane="bottomLeft"/>
      <selection sqref="A1:A1048576"/>
      <selection pane="bottomLeft" activeCell="H43" sqref="H43"/>
    </sheetView>
  </sheetViews>
  <sheetFormatPr baseColWidth="10" defaultColWidth="17.33203125" defaultRowHeight="15.75" customHeight="1" x14ac:dyDescent="0"/>
  <cols>
    <col min="1" max="1" width="4.83203125" customWidth="1"/>
    <col min="2" max="2" width="9.6640625" customWidth="1"/>
    <col min="3" max="3" width="32.33203125" customWidth="1"/>
    <col min="4" max="4" width="10.5" customWidth="1"/>
    <col min="5" max="5" width="11" customWidth="1"/>
    <col min="6" max="6" width="14.5" customWidth="1"/>
    <col min="7" max="7" width="14.6640625" customWidth="1"/>
    <col min="8" max="8" width="9.83203125" customWidth="1"/>
    <col min="9" max="9" width="8" customWidth="1"/>
    <col min="10" max="10" width="14.5" customWidth="1"/>
    <col min="11" max="11" width="16.5" customWidth="1"/>
    <col min="12" max="12" width="15.1640625" customWidth="1"/>
    <col min="13" max="13" width="14.5" customWidth="1"/>
    <col min="14" max="15" width="11.83203125" customWidth="1"/>
    <col min="16" max="16" width="8.6640625" customWidth="1"/>
    <col min="17" max="17" width="7.83203125" customWidth="1"/>
    <col min="18" max="20" width="10.6640625" customWidth="1"/>
    <col min="21" max="21" width="41.5" customWidth="1"/>
    <col min="22" max="31" width="14.5" customWidth="1"/>
  </cols>
  <sheetData>
    <row r="1" spans="1:31" ht="15.75" customHeight="1">
      <c r="B1" s="1"/>
      <c r="C1" s="1"/>
      <c r="D1" s="1"/>
      <c r="E1" s="1"/>
      <c r="F1" s="1"/>
      <c r="G1" s="1"/>
      <c r="H1" s="1" t="s">
        <v>0</v>
      </c>
      <c r="I1" s="1" t="s">
        <v>1</v>
      </c>
      <c r="J1" s="1" t="s">
        <v>2</v>
      </c>
      <c r="K1" s="1" t="s">
        <v>3</v>
      </c>
      <c r="L1" s="1" t="s">
        <v>3</v>
      </c>
      <c r="M1" s="1" t="s">
        <v>3</v>
      </c>
      <c r="N1" s="2" t="s">
        <v>3</v>
      </c>
      <c r="O1" s="1"/>
      <c r="P1" s="1"/>
      <c r="Q1" s="1"/>
      <c r="R1" s="1"/>
      <c r="S1" s="1"/>
      <c r="T1" s="1"/>
      <c r="U1" s="1"/>
      <c r="V1" s="1"/>
      <c r="W1" s="1"/>
      <c r="X1" s="1"/>
      <c r="Y1" s="1"/>
      <c r="Z1" s="1"/>
      <c r="AA1" s="1"/>
      <c r="AB1" s="1"/>
      <c r="AC1" s="1"/>
      <c r="AD1" s="1"/>
      <c r="AE1" s="1"/>
    </row>
    <row r="2" spans="1:31" ht="25.5" customHeight="1">
      <c r="B2" s="3" t="s">
        <v>7</v>
      </c>
      <c r="C2" s="3" t="s">
        <v>110</v>
      </c>
      <c r="D2" s="3" t="s">
        <v>8</v>
      </c>
      <c r="E2" s="3" t="s">
        <v>9</v>
      </c>
      <c r="F2" s="3" t="s">
        <v>10</v>
      </c>
      <c r="G2" s="3" t="s">
        <v>11</v>
      </c>
      <c r="H2" s="3" t="s">
        <v>12</v>
      </c>
      <c r="I2" s="3" t="s">
        <v>13</v>
      </c>
      <c r="J2" s="3" t="s">
        <v>14</v>
      </c>
      <c r="K2" s="3" t="s">
        <v>15</v>
      </c>
      <c r="L2" s="3" t="s">
        <v>16</v>
      </c>
      <c r="M2" s="3" t="s">
        <v>17</v>
      </c>
      <c r="N2" s="4" t="s">
        <v>18</v>
      </c>
      <c r="O2" s="3" t="s">
        <v>19</v>
      </c>
      <c r="P2" s="3" t="s">
        <v>20</v>
      </c>
      <c r="Q2" s="3" t="s">
        <v>21</v>
      </c>
      <c r="R2" s="3" t="s">
        <v>22</v>
      </c>
      <c r="S2" s="3" t="s">
        <v>23</v>
      </c>
      <c r="T2" s="3" t="s">
        <v>24</v>
      </c>
      <c r="U2" s="3" t="s">
        <v>25</v>
      </c>
      <c r="V2" s="10" t="s">
        <v>39</v>
      </c>
      <c r="W2" s="1"/>
      <c r="X2" s="1"/>
      <c r="Y2" s="1"/>
      <c r="Z2" s="1"/>
      <c r="AA2" s="1"/>
      <c r="AB2" s="1"/>
      <c r="AC2" s="1"/>
      <c r="AD2" s="1"/>
      <c r="AE2" s="1"/>
    </row>
    <row r="3" spans="1:31" ht="12" customHeight="1">
      <c r="A3">
        <v>1</v>
      </c>
      <c r="B3" s="8" t="s">
        <v>26</v>
      </c>
      <c r="C3" s="5" t="s">
        <v>27</v>
      </c>
      <c r="D3" s="5">
        <v>2013</v>
      </c>
      <c r="E3" s="8" t="s">
        <v>28</v>
      </c>
      <c r="F3" s="8" t="s">
        <v>29</v>
      </c>
      <c r="G3" s="8" t="s">
        <v>30</v>
      </c>
      <c r="H3" s="5">
        <f>0.6^2</f>
        <v>0.36</v>
      </c>
      <c r="I3" s="5">
        <f>4*6+4</f>
        <v>28</v>
      </c>
      <c r="J3" s="6">
        <f t="shared" ref="J3:J13" si="0">(H3*I3)/10000</f>
        <v>1.008E-3</v>
      </c>
      <c r="K3" s="5">
        <f>20/(60*24)</f>
        <v>1.3888888888888888E-2</v>
      </c>
      <c r="L3" s="5">
        <f>(14+21)/2</f>
        <v>17.5</v>
      </c>
      <c r="M3">
        <f>(152/L3)*K3*3</f>
        <v>0.36190476190476184</v>
      </c>
      <c r="N3" s="5">
        <f>365*3</f>
        <v>1095</v>
      </c>
      <c r="O3" s="8">
        <v>0</v>
      </c>
      <c r="P3" s="5">
        <v>0</v>
      </c>
      <c r="Q3" s="5">
        <v>2</v>
      </c>
      <c r="R3" s="5">
        <v>0</v>
      </c>
      <c r="S3" s="5"/>
      <c r="T3" s="5"/>
      <c r="U3" s="8" t="s">
        <v>33</v>
      </c>
      <c r="V3" s="7"/>
      <c r="W3" s="7"/>
      <c r="X3" s="7"/>
      <c r="Y3" s="7"/>
      <c r="Z3" s="7"/>
      <c r="AA3" s="7"/>
      <c r="AB3" s="7"/>
      <c r="AC3" s="7"/>
      <c r="AD3" s="7"/>
      <c r="AE3" s="7"/>
    </row>
    <row r="4" spans="1:31" ht="12" customHeight="1">
      <c r="A4">
        <v>1</v>
      </c>
      <c r="B4" s="8" t="s">
        <v>26</v>
      </c>
      <c r="C4" s="5" t="s">
        <v>27</v>
      </c>
      <c r="D4" s="5">
        <v>2013</v>
      </c>
      <c r="E4" s="8" t="s">
        <v>28</v>
      </c>
      <c r="F4" s="8" t="s">
        <v>29</v>
      </c>
      <c r="G4" s="8" t="s">
        <v>30</v>
      </c>
      <c r="H4" s="5">
        <f>PI()*0.05^2</f>
        <v>7.8539816339744835E-3</v>
      </c>
      <c r="I4" s="5">
        <f>4*6+4</f>
        <v>28</v>
      </c>
      <c r="J4" s="6">
        <f t="shared" si="0"/>
        <v>2.1991148575128556E-5</v>
      </c>
      <c r="K4" s="5">
        <f>20/(60*24)</f>
        <v>1.3888888888888888E-2</v>
      </c>
      <c r="L4" s="5">
        <f>(14+21)/2</f>
        <v>17.5</v>
      </c>
      <c r="M4">
        <f>(152/L4)*K4*3</f>
        <v>0.36190476190476184</v>
      </c>
      <c r="N4" s="5">
        <f>365*3</f>
        <v>1095</v>
      </c>
      <c r="O4" s="8">
        <v>0</v>
      </c>
      <c r="P4" s="5">
        <v>0</v>
      </c>
      <c r="Q4" s="5">
        <v>1</v>
      </c>
      <c r="R4" s="5">
        <v>0</v>
      </c>
      <c r="S4" s="5"/>
      <c r="T4" s="8" t="s">
        <v>12</v>
      </c>
      <c r="U4" s="8" t="s">
        <v>31</v>
      </c>
      <c r="V4" s="7"/>
      <c r="W4" s="7"/>
      <c r="X4" s="7"/>
      <c r="Y4" s="7"/>
      <c r="Z4" s="7"/>
      <c r="AA4" s="7"/>
      <c r="AB4" s="7"/>
      <c r="AC4" s="7"/>
      <c r="AD4" s="7"/>
      <c r="AE4" s="7"/>
    </row>
    <row r="5" spans="1:31" ht="12" customHeight="1">
      <c r="A5">
        <v>1</v>
      </c>
      <c r="B5" s="8" t="s">
        <v>26</v>
      </c>
      <c r="C5" s="5" t="s">
        <v>27</v>
      </c>
      <c r="D5" s="5">
        <v>2013</v>
      </c>
      <c r="E5" s="8" t="s">
        <v>28</v>
      </c>
      <c r="F5" s="8" t="s">
        <v>29</v>
      </c>
      <c r="G5" s="8" t="s">
        <v>30</v>
      </c>
      <c r="H5" s="5">
        <f>PI()*0.005^2</f>
        <v>7.8539816339744827E-5</v>
      </c>
      <c r="I5" s="5">
        <f>4*6+4</f>
        <v>28</v>
      </c>
      <c r="J5" s="6">
        <f t="shared" si="0"/>
        <v>2.1991148575128554E-7</v>
      </c>
      <c r="K5" s="5">
        <f>20/(60*24)</f>
        <v>1.3888888888888888E-2</v>
      </c>
      <c r="L5" s="5">
        <f>(14+21)/2</f>
        <v>17.5</v>
      </c>
      <c r="M5">
        <f>(152/L5)*K5*3</f>
        <v>0.36190476190476184</v>
      </c>
      <c r="N5" s="5">
        <f>365*3</f>
        <v>1095</v>
      </c>
      <c r="O5" s="8">
        <v>0</v>
      </c>
      <c r="P5" s="5">
        <v>0</v>
      </c>
      <c r="Q5" s="5">
        <v>1</v>
      </c>
      <c r="R5" s="5">
        <v>0</v>
      </c>
      <c r="S5" s="5"/>
      <c r="T5" s="8" t="s">
        <v>12</v>
      </c>
      <c r="U5" s="8" t="s">
        <v>32</v>
      </c>
      <c r="V5" s="7"/>
      <c r="W5" s="7"/>
      <c r="X5" s="7"/>
      <c r="Y5" s="7"/>
      <c r="Z5" s="7"/>
      <c r="AA5" s="7"/>
      <c r="AB5" s="7"/>
      <c r="AC5" s="7"/>
      <c r="AD5" s="7"/>
      <c r="AE5" s="7"/>
    </row>
    <row r="6" spans="1:31" ht="12" customHeight="1">
      <c r="A6">
        <v>1</v>
      </c>
      <c r="B6" s="8" t="s">
        <v>26</v>
      </c>
      <c r="C6" s="5" t="s">
        <v>27</v>
      </c>
      <c r="D6" s="5">
        <v>2013</v>
      </c>
      <c r="E6" s="8" t="s">
        <v>28</v>
      </c>
      <c r="F6" s="8" t="s">
        <v>29</v>
      </c>
      <c r="G6" s="8" t="s">
        <v>30</v>
      </c>
      <c r="H6" s="5">
        <f>H5</f>
        <v>7.8539816339744827E-5</v>
      </c>
      <c r="I6" s="5">
        <f>2*3</f>
        <v>6</v>
      </c>
      <c r="J6" s="6">
        <f t="shared" si="0"/>
        <v>4.71238898038469E-8</v>
      </c>
      <c r="K6" s="5">
        <f>(1/60)/(60*24)</f>
        <v>1.1574074074074073E-5</v>
      </c>
      <c r="L6" s="5">
        <f>30/(60*24)</f>
        <v>2.0833333333333332E-2</v>
      </c>
      <c r="M6">
        <f>(152/L6)*K6*3</f>
        <v>0.25333333333333335</v>
      </c>
      <c r="N6" s="5">
        <f>365*3</f>
        <v>1095</v>
      </c>
      <c r="O6" s="5">
        <v>0</v>
      </c>
      <c r="P6" s="5">
        <v>0</v>
      </c>
      <c r="Q6" s="5">
        <v>0</v>
      </c>
      <c r="R6" s="5">
        <v>0</v>
      </c>
      <c r="S6" s="5"/>
      <c r="T6" s="8" t="s">
        <v>16</v>
      </c>
      <c r="U6" s="8" t="s">
        <v>34</v>
      </c>
      <c r="V6" s="7"/>
      <c r="W6" s="7"/>
      <c r="X6" s="7"/>
      <c r="Y6" s="7"/>
      <c r="Z6" s="7"/>
      <c r="AA6" s="7"/>
      <c r="AB6" s="7"/>
      <c r="AC6" s="7"/>
      <c r="AD6" s="7"/>
      <c r="AE6" s="7"/>
    </row>
    <row r="7" spans="1:31" ht="12" customHeight="1">
      <c r="A7">
        <v>1</v>
      </c>
      <c r="B7" s="8" t="s">
        <v>26</v>
      </c>
      <c r="C7" s="5" t="s">
        <v>27</v>
      </c>
      <c r="D7" s="5">
        <v>2013</v>
      </c>
      <c r="E7" s="8" t="s">
        <v>28</v>
      </c>
      <c r="F7" s="8" t="s">
        <v>29</v>
      </c>
      <c r="G7" s="8" t="s">
        <v>30</v>
      </c>
      <c r="H7" s="5">
        <f>PI()*0.05^2</f>
        <v>7.8539816339744835E-3</v>
      </c>
      <c r="I7" s="5">
        <f>(5*8*5)+4*5</f>
        <v>220</v>
      </c>
      <c r="J7" s="6">
        <f t="shared" si="0"/>
        <v>1.7278759594743865E-4</v>
      </c>
      <c r="K7" s="5">
        <f>4*7</f>
        <v>28</v>
      </c>
      <c r="L7" s="9">
        <f>AVERAGE(DATE(2010, 10, 1)-DATE(2010, 6, 1), DATE(2011, 6, 1)-DATE(2010, 10, 1))</f>
        <v>182.5</v>
      </c>
      <c r="M7">
        <f>K7*3</f>
        <v>84</v>
      </c>
      <c r="N7" s="5">
        <f>365*3</f>
        <v>1095</v>
      </c>
      <c r="O7" s="5">
        <v>3</v>
      </c>
      <c r="P7" s="5">
        <v>0</v>
      </c>
      <c r="Q7" s="5">
        <v>1</v>
      </c>
      <c r="R7" s="5">
        <v>2</v>
      </c>
      <c r="S7" s="5"/>
      <c r="T7" s="8" t="s">
        <v>22</v>
      </c>
      <c r="U7" s="8" t="s">
        <v>35</v>
      </c>
      <c r="V7" s="7"/>
      <c r="W7" s="7"/>
      <c r="X7" s="7"/>
      <c r="Y7" s="7"/>
      <c r="Z7" s="7"/>
      <c r="AA7" s="7"/>
      <c r="AB7" s="7"/>
      <c r="AC7" s="7"/>
      <c r="AD7" s="7"/>
      <c r="AE7" s="7"/>
    </row>
    <row r="8" spans="1:31" ht="12" customHeight="1">
      <c r="A8">
        <v>2</v>
      </c>
      <c r="B8" s="8" t="s">
        <v>41</v>
      </c>
      <c r="C8" s="5" t="s">
        <v>42</v>
      </c>
      <c r="D8" s="5">
        <v>2014</v>
      </c>
      <c r="E8" s="8" t="s">
        <v>43</v>
      </c>
      <c r="F8" s="8" t="s">
        <v>44</v>
      </c>
      <c r="G8" s="8" t="s">
        <v>45</v>
      </c>
      <c r="H8" s="5">
        <f>PI()*0.03^2</f>
        <v>2.8274333882308137E-3</v>
      </c>
      <c r="I8" s="5">
        <v>39</v>
      </c>
      <c r="J8" s="6">
        <f t="shared" si="0"/>
        <v>1.1026990214100173E-5</v>
      </c>
      <c r="K8" s="5">
        <f>5/(60*60*24)</f>
        <v>5.7870370370370373E-5</v>
      </c>
      <c r="L8" s="5">
        <f>1/(60*24)</f>
        <v>6.9444444444444447E-4</v>
      </c>
      <c r="M8" s="5">
        <f>47+41</f>
        <v>88</v>
      </c>
      <c r="N8" s="5">
        <f>DATE(2008, 7, 14)-DATE(2007, 6, 2)</f>
        <v>408</v>
      </c>
      <c r="O8" s="5">
        <v>2</v>
      </c>
      <c r="P8" s="5">
        <v>0</v>
      </c>
      <c r="Q8" s="5">
        <v>2</v>
      </c>
      <c r="R8" s="5">
        <v>1</v>
      </c>
      <c r="S8" s="5"/>
      <c r="T8" s="8" t="s">
        <v>46</v>
      </c>
      <c r="U8" s="8" t="s">
        <v>47</v>
      </c>
      <c r="V8" s="7"/>
      <c r="W8" s="7"/>
      <c r="X8" s="7"/>
      <c r="Y8" s="7"/>
      <c r="Z8" s="7"/>
      <c r="AA8" s="7"/>
      <c r="AB8" s="7"/>
      <c r="AC8" s="7"/>
      <c r="AD8" s="7"/>
      <c r="AE8" s="7"/>
    </row>
    <row r="9" spans="1:31" ht="12" customHeight="1">
      <c r="A9">
        <v>2</v>
      </c>
      <c r="B9" s="8" t="s">
        <v>41</v>
      </c>
      <c r="C9" s="5" t="s">
        <v>42</v>
      </c>
      <c r="D9" s="5">
        <v>2014</v>
      </c>
      <c r="E9" s="8" t="s">
        <v>43</v>
      </c>
      <c r="F9" s="8" t="s">
        <v>44</v>
      </c>
      <c r="G9" s="8" t="s">
        <v>45</v>
      </c>
      <c r="H9" s="5">
        <f>PI()*0.03^2</f>
        <v>2.8274333882308137E-3</v>
      </c>
      <c r="I9" s="5">
        <v>108</v>
      </c>
      <c r="J9" s="6">
        <f t="shared" si="0"/>
        <v>3.0536280592892786E-5</v>
      </c>
      <c r="K9" s="5">
        <f>60/(60*60*24)</f>
        <v>6.9444444444444447E-4</v>
      </c>
      <c r="L9" s="5">
        <v>0</v>
      </c>
      <c r="M9" s="5">
        <v>1</v>
      </c>
      <c r="N9" s="5">
        <v>1</v>
      </c>
      <c r="O9" s="5">
        <v>0</v>
      </c>
      <c r="P9" s="5">
        <v>0</v>
      </c>
      <c r="Q9" s="5">
        <v>1</v>
      </c>
      <c r="R9" s="5">
        <v>1</v>
      </c>
      <c r="S9" s="5"/>
      <c r="T9" s="8" t="s">
        <v>15</v>
      </c>
      <c r="U9" s="8" t="s">
        <v>48</v>
      </c>
      <c r="V9" s="7"/>
      <c r="W9" s="7"/>
      <c r="X9" s="7"/>
      <c r="Y9" s="7"/>
      <c r="Z9" s="7"/>
      <c r="AA9" s="7"/>
      <c r="AB9" s="7"/>
      <c r="AC9" s="7"/>
      <c r="AD9" s="7"/>
      <c r="AE9" s="7"/>
    </row>
    <row r="10" spans="1:31" ht="12" customHeight="1">
      <c r="A10">
        <v>3</v>
      </c>
      <c r="B10" s="8" t="s">
        <v>49</v>
      </c>
      <c r="C10" s="8" t="s">
        <v>50</v>
      </c>
      <c r="D10" s="5">
        <v>2005</v>
      </c>
      <c r="E10" s="8" t="s">
        <v>28</v>
      </c>
      <c r="F10" s="8" t="s">
        <v>51</v>
      </c>
      <c r="G10" s="8" t="s">
        <v>52</v>
      </c>
      <c r="H10" s="5">
        <f>2*0.2</f>
        <v>0.4</v>
      </c>
      <c r="I10" s="5">
        <v>329</v>
      </c>
      <c r="J10" s="6">
        <f t="shared" si="0"/>
        <v>1.316E-2</v>
      </c>
      <c r="K10" s="5">
        <f>12/24</f>
        <v>0.5</v>
      </c>
      <c r="L10" s="5">
        <v>0</v>
      </c>
      <c r="M10" s="5">
        <f>12/24</f>
        <v>0.5</v>
      </c>
      <c r="N10" s="5">
        <f>365*2</f>
        <v>730</v>
      </c>
      <c r="O10" s="5">
        <v>0</v>
      </c>
      <c r="P10" s="5">
        <v>0</v>
      </c>
      <c r="Q10" s="5">
        <v>2</v>
      </c>
      <c r="R10" s="5">
        <v>0</v>
      </c>
      <c r="S10" s="5"/>
      <c r="T10" s="8" t="s">
        <v>54</v>
      </c>
      <c r="U10" s="8" t="s">
        <v>53</v>
      </c>
      <c r="V10" s="7"/>
      <c r="W10" s="7"/>
      <c r="X10" s="7"/>
      <c r="Y10" s="7"/>
      <c r="Z10" s="7"/>
      <c r="AA10" s="7"/>
      <c r="AB10" s="7"/>
      <c r="AC10" s="7"/>
      <c r="AD10" s="7"/>
      <c r="AE10" s="7"/>
    </row>
    <row r="11" spans="1:31" ht="12" customHeight="1">
      <c r="A11">
        <v>3</v>
      </c>
      <c r="B11" s="8" t="s">
        <v>49</v>
      </c>
      <c r="C11" s="8" t="s">
        <v>50</v>
      </c>
      <c r="D11" s="5">
        <v>2005</v>
      </c>
      <c r="E11" s="8" t="s">
        <v>28</v>
      </c>
      <c r="F11" s="8" t="s">
        <v>51</v>
      </c>
      <c r="G11" s="8" t="s">
        <v>52</v>
      </c>
      <c r="H11" s="5">
        <f>2*0.2</f>
        <v>0.4</v>
      </c>
      <c r="I11" s="5">
        <v>36</v>
      </c>
      <c r="J11" s="6">
        <f t="shared" si="0"/>
        <v>1.4400000000000001E-3</v>
      </c>
      <c r="K11" s="5">
        <f>12/24</f>
        <v>0.5</v>
      </c>
      <c r="L11" s="5">
        <v>365</v>
      </c>
      <c r="M11" s="5">
        <f>12/24*2</f>
        <v>1</v>
      </c>
      <c r="N11" s="5">
        <f>365*2</f>
        <v>730</v>
      </c>
      <c r="O11" s="5">
        <v>0</v>
      </c>
      <c r="P11" s="5">
        <v>0</v>
      </c>
      <c r="Q11" s="5">
        <v>2</v>
      </c>
      <c r="R11" s="5">
        <v>0</v>
      </c>
      <c r="S11" s="5"/>
      <c r="T11" s="8" t="s">
        <v>54</v>
      </c>
      <c r="U11" s="8" t="s">
        <v>55</v>
      </c>
      <c r="V11" s="7"/>
      <c r="W11" s="7"/>
      <c r="X11" s="7"/>
      <c r="Y11" s="7"/>
      <c r="Z11" s="7"/>
      <c r="AA11" s="7"/>
      <c r="AB11" s="7"/>
      <c r="AC11" s="7"/>
      <c r="AD11" s="7"/>
      <c r="AE11" s="7"/>
    </row>
    <row r="12" spans="1:31" ht="12" customHeight="1">
      <c r="A12">
        <v>3</v>
      </c>
      <c r="B12" s="8" t="s">
        <v>49</v>
      </c>
      <c r="C12" s="8" t="s">
        <v>50</v>
      </c>
      <c r="D12" s="5">
        <v>2005</v>
      </c>
      <c r="E12" s="8" t="s">
        <v>28</v>
      </c>
      <c r="F12" s="8" t="s">
        <v>51</v>
      </c>
      <c r="G12" s="8" t="s">
        <v>52</v>
      </c>
      <c r="H12" s="5">
        <f>2*0.2</f>
        <v>0.4</v>
      </c>
      <c r="I12" s="5">
        <v>15</v>
      </c>
      <c r="J12" s="6">
        <f t="shared" si="0"/>
        <v>5.9999999999999995E-4</v>
      </c>
      <c r="K12" s="5">
        <f>12/24</f>
        <v>0.5</v>
      </c>
      <c r="L12" s="5">
        <v>15</v>
      </c>
      <c r="M12" s="5">
        <f>12/24*2</f>
        <v>1</v>
      </c>
      <c r="N12" s="5">
        <f>365*2</f>
        <v>730</v>
      </c>
      <c r="O12" s="5">
        <v>0</v>
      </c>
      <c r="P12" s="5">
        <v>0</v>
      </c>
      <c r="Q12" s="5">
        <v>2</v>
      </c>
      <c r="R12" s="5">
        <v>0</v>
      </c>
      <c r="S12" s="5"/>
      <c r="T12" s="8" t="s">
        <v>54</v>
      </c>
      <c r="U12" s="8" t="s">
        <v>56</v>
      </c>
      <c r="V12" s="7"/>
      <c r="W12" s="7"/>
      <c r="X12" s="7"/>
      <c r="Y12" s="7"/>
      <c r="Z12" s="7"/>
      <c r="AA12" s="7"/>
      <c r="AB12" s="7"/>
      <c r="AC12" s="7"/>
      <c r="AD12" s="7"/>
      <c r="AE12" s="7"/>
    </row>
    <row r="13" spans="1:31" ht="12" customHeight="1">
      <c r="A13">
        <v>4</v>
      </c>
      <c r="B13" s="8" t="s">
        <v>63</v>
      </c>
      <c r="C13" s="5" t="s">
        <v>62</v>
      </c>
      <c r="D13" s="5">
        <v>2008</v>
      </c>
      <c r="E13" s="8" t="s">
        <v>28</v>
      </c>
      <c r="F13" s="8" t="s">
        <v>64</v>
      </c>
      <c r="G13" s="8" t="s">
        <v>65</v>
      </c>
      <c r="H13" s="5">
        <f>0.5*0.2</f>
        <v>0.1</v>
      </c>
      <c r="I13" s="5">
        <v>1269</v>
      </c>
      <c r="J13" s="6">
        <f t="shared" si="0"/>
        <v>1.269E-2</v>
      </c>
      <c r="K13" s="5">
        <v>1</v>
      </c>
      <c r="L13" s="5">
        <v>0</v>
      </c>
      <c r="M13" s="5">
        <f>K13</f>
        <v>1</v>
      </c>
      <c r="N13" s="5">
        <f>232</f>
        <v>232</v>
      </c>
      <c r="O13" s="5">
        <v>2</v>
      </c>
      <c r="P13" s="5">
        <v>0</v>
      </c>
      <c r="Q13" s="5">
        <v>1</v>
      </c>
      <c r="R13" s="5">
        <v>2</v>
      </c>
      <c r="S13" s="5"/>
      <c r="T13" s="8" t="s">
        <v>66</v>
      </c>
      <c r="U13" s="8" t="s">
        <v>67</v>
      </c>
      <c r="V13" s="7"/>
      <c r="W13" s="7"/>
      <c r="X13" s="7"/>
      <c r="Y13" s="7"/>
      <c r="Z13" s="7"/>
      <c r="AA13" s="7"/>
      <c r="AB13" s="7"/>
      <c r="AC13" s="7"/>
      <c r="AD13" s="7"/>
      <c r="AE13" s="7"/>
    </row>
    <row r="14" spans="1:31" ht="12" customHeight="1">
      <c r="A14">
        <v>5</v>
      </c>
      <c r="B14" s="8" t="s">
        <v>68</v>
      </c>
      <c r="C14" s="5" t="s">
        <v>69</v>
      </c>
      <c r="D14" s="5">
        <v>2008</v>
      </c>
      <c r="E14" s="8" t="s">
        <v>28</v>
      </c>
      <c r="F14" s="8" t="s">
        <v>70</v>
      </c>
      <c r="G14" s="8" t="s">
        <v>71</v>
      </c>
      <c r="H14" s="5">
        <f>PI()*0.25^2</f>
        <v>0.19634954084936207</v>
      </c>
      <c r="I14" s="5">
        <v>1</v>
      </c>
      <c r="J14" s="6">
        <f t="shared" ref="J14:J16" si="1">(H14*I14)/10000</f>
        <v>1.9634954084936207E-5</v>
      </c>
      <c r="K14" s="5">
        <f>11*365</f>
        <v>4015</v>
      </c>
      <c r="L14" s="5">
        <v>0</v>
      </c>
      <c r="M14" s="17">
        <v>4015</v>
      </c>
      <c r="N14" s="5">
        <f>11*365</f>
        <v>4015</v>
      </c>
      <c r="O14" s="5">
        <v>0</v>
      </c>
      <c r="P14" s="5">
        <v>0</v>
      </c>
      <c r="Q14" s="5">
        <v>2</v>
      </c>
      <c r="R14" s="5">
        <v>0</v>
      </c>
      <c r="S14" t="s">
        <v>72</v>
      </c>
      <c r="T14" s="8" t="s">
        <v>17</v>
      </c>
      <c r="U14" s="8" t="s">
        <v>73</v>
      </c>
      <c r="V14" s="7"/>
      <c r="W14" s="7"/>
      <c r="X14" s="7"/>
      <c r="Y14" s="7"/>
      <c r="Z14" s="7"/>
      <c r="AA14" s="7"/>
      <c r="AB14" s="7"/>
      <c r="AC14" s="7"/>
      <c r="AD14" s="7"/>
      <c r="AE14" s="7"/>
    </row>
    <row r="15" spans="1:31" ht="12" customHeight="1">
      <c r="A15">
        <v>5</v>
      </c>
      <c r="B15" s="8" t="s">
        <v>68</v>
      </c>
      <c r="C15" s="5" t="s">
        <v>69</v>
      </c>
      <c r="D15" s="5">
        <v>2008</v>
      </c>
      <c r="E15" s="8" t="s">
        <v>28</v>
      </c>
      <c r="F15" s="8" t="s">
        <v>70</v>
      </c>
      <c r="G15" s="8" t="s">
        <v>71</v>
      </c>
      <c r="H15" s="18">
        <v>512000000</v>
      </c>
      <c r="I15" s="5">
        <v>1</v>
      </c>
      <c r="J15" s="6">
        <f t="shared" si="1"/>
        <v>51200</v>
      </c>
      <c r="K15" s="5">
        <f>1/(3600*24)</f>
        <v>1.1574074074074073E-5</v>
      </c>
      <c r="L15" s="5">
        <f>(15/60)/24</f>
        <v>1.0416666666666666E-2</v>
      </c>
      <c r="M15" s="5">
        <f>((24*4)*365*11) / (24*3600)</f>
        <v>4.4611111111111112</v>
      </c>
      <c r="N15" s="5">
        <f>11*365</f>
        <v>4015</v>
      </c>
      <c r="O15" s="5">
        <v>0</v>
      </c>
      <c r="P15" s="5">
        <v>0</v>
      </c>
      <c r="Q15" s="5">
        <v>1</v>
      </c>
      <c r="R15" s="5">
        <v>0</v>
      </c>
      <c r="S15" s="5"/>
      <c r="T15" s="8" t="s">
        <v>75</v>
      </c>
      <c r="U15" s="8" t="s">
        <v>74</v>
      </c>
      <c r="V15" s="7"/>
      <c r="W15" s="7"/>
      <c r="X15" s="7"/>
      <c r="Y15" s="7"/>
      <c r="Z15" s="7"/>
      <c r="AA15" s="7"/>
      <c r="AB15" s="7"/>
      <c r="AC15" s="7"/>
      <c r="AD15" s="7"/>
      <c r="AE15" s="7"/>
    </row>
    <row r="16" spans="1:31" ht="12" customHeight="1">
      <c r="A16">
        <v>5</v>
      </c>
      <c r="B16" s="8" t="s">
        <v>68</v>
      </c>
      <c r="C16" s="5" t="s">
        <v>69</v>
      </c>
      <c r="D16" s="5">
        <v>2008</v>
      </c>
      <c r="E16" s="8" t="s">
        <v>28</v>
      </c>
      <c r="F16" s="8" t="s">
        <v>70</v>
      </c>
      <c r="G16" s="8" t="s">
        <v>71</v>
      </c>
      <c r="H16" s="5">
        <f>PI()*0.025^2</f>
        <v>1.9634954084936209E-3</v>
      </c>
      <c r="I16" s="5">
        <v>1</v>
      </c>
      <c r="J16" s="25">
        <f t="shared" si="1"/>
        <v>1.9634954084936208E-7</v>
      </c>
      <c r="K16" s="5">
        <f>1/(3600*24)</f>
        <v>1.1574074074074073E-5</v>
      </c>
      <c r="L16" s="5">
        <v>1</v>
      </c>
      <c r="M16" s="5">
        <f>(365*11) / (24*3600)</f>
        <v>4.6469907407407404E-2</v>
      </c>
      <c r="N16" s="5">
        <f>11*365</f>
        <v>4015</v>
      </c>
      <c r="O16" s="5">
        <v>0</v>
      </c>
      <c r="P16" s="5">
        <v>0</v>
      </c>
      <c r="Q16" s="5">
        <v>2</v>
      </c>
      <c r="R16" s="5">
        <v>0</v>
      </c>
      <c r="S16" s="5"/>
      <c r="T16" s="8" t="s">
        <v>76</v>
      </c>
      <c r="U16" s="8" t="s">
        <v>77</v>
      </c>
      <c r="V16" s="7"/>
      <c r="W16" s="7"/>
      <c r="X16" s="7"/>
      <c r="Y16" s="7"/>
      <c r="Z16" s="7"/>
      <c r="AA16" s="7"/>
      <c r="AB16" s="7"/>
      <c r="AC16" s="7"/>
      <c r="AD16" s="7"/>
      <c r="AE16" s="7"/>
    </row>
    <row r="17" spans="1:25" ht="15.75" customHeight="1">
      <c r="A17">
        <v>6</v>
      </c>
      <c r="B17" t="s">
        <v>94</v>
      </c>
      <c r="C17" t="s">
        <v>95</v>
      </c>
      <c r="D17">
        <v>2009</v>
      </c>
      <c r="E17" t="s">
        <v>28</v>
      </c>
      <c r="F17" t="s">
        <v>96</v>
      </c>
      <c r="G17" t="s">
        <v>97</v>
      </c>
      <c r="H17">
        <f>0.2^2</f>
        <v>4.0000000000000008E-2</v>
      </c>
      <c r="I17">
        <f>28</f>
        <v>28</v>
      </c>
      <c r="J17" s="25">
        <f t="shared" ref="J17:J22" si="2">(H17*I17)/10000</f>
        <v>1.1200000000000001E-4</v>
      </c>
      <c r="K17">
        <f>1/(60*24)</f>
        <v>6.9444444444444447E-4</v>
      </c>
      <c r="L17">
        <v>0</v>
      </c>
      <c r="M17">
        <f>1/(60*24)</f>
        <v>6.9444444444444447E-4</v>
      </c>
      <c r="N17">
        <v>31</v>
      </c>
      <c r="O17">
        <v>1</v>
      </c>
      <c r="P17">
        <v>1</v>
      </c>
      <c r="Q17">
        <v>1</v>
      </c>
      <c r="R17">
        <v>1</v>
      </c>
      <c r="T17" t="s">
        <v>98</v>
      </c>
      <c r="U17" t="s">
        <v>99</v>
      </c>
    </row>
    <row r="18" spans="1:25" ht="15.75" customHeight="1">
      <c r="A18">
        <v>6</v>
      </c>
      <c r="B18" t="s">
        <v>94</v>
      </c>
      <c r="C18" t="s">
        <v>95</v>
      </c>
      <c r="D18">
        <v>2009</v>
      </c>
      <c r="E18" t="s">
        <v>28</v>
      </c>
      <c r="F18" t="s">
        <v>96</v>
      </c>
      <c r="G18" t="s">
        <v>97</v>
      </c>
      <c r="H18">
        <f>10*1</f>
        <v>10</v>
      </c>
      <c r="I18">
        <v>36</v>
      </c>
      <c r="J18" s="25">
        <f t="shared" si="2"/>
        <v>3.5999999999999997E-2</v>
      </c>
      <c r="K18">
        <f>120/(60*24)</f>
        <v>8.3333333333333329E-2</v>
      </c>
      <c r="L18">
        <v>0</v>
      </c>
      <c r="M18">
        <f>120/(60*24)</f>
        <v>8.3333333333333329E-2</v>
      </c>
      <c r="N18">
        <v>31</v>
      </c>
      <c r="O18">
        <v>1</v>
      </c>
      <c r="P18">
        <v>1</v>
      </c>
      <c r="Q18">
        <v>0</v>
      </c>
      <c r="R18">
        <v>1</v>
      </c>
      <c r="T18" t="s">
        <v>75</v>
      </c>
      <c r="U18" t="s">
        <v>100</v>
      </c>
    </row>
    <row r="19" spans="1:25" ht="15.75" customHeight="1">
      <c r="A19">
        <v>6</v>
      </c>
      <c r="B19" t="s">
        <v>94</v>
      </c>
      <c r="C19" t="s">
        <v>95</v>
      </c>
      <c r="D19">
        <v>2009</v>
      </c>
      <c r="E19" t="s">
        <v>28</v>
      </c>
      <c r="F19" t="s">
        <v>96</v>
      </c>
      <c r="G19" t="s">
        <v>97</v>
      </c>
      <c r="H19">
        <f>0.5*1</f>
        <v>0.5</v>
      </c>
      <c r="I19">
        <v>36</v>
      </c>
      <c r="J19" s="25">
        <f t="shared" si="2"/>
        <v>1.8E-3</v>
      </c>
      <c r="K19">
        <f>5/(60*24)</f>
        <v>3.472222222222222E-3</v>
      </c>
      <c r="L19">
        <v>0</v>
      </c>
      <c r="M19">
        <f>K19</f>
        <v>3.472222222222222E-3</v>
      </c>
      <c r="N19">
        <v>31</v>
      </c>
      <c r="O19">
        <v>1</v>
      </c>
      <c r="P19">
        <v>1</v>
      </c>
      <c r="Q19">
        <v>0</v>
      </c>
      <c r="R19">
        <v>1</v>
      </c>
      <c r="T19" t="s">
        <v>75</v>
      </c>
      <c r="U19" t="s">
        <v>101</v>
      </c>
    </row>
    <row r="20" spans="1:25" ht="15.75" customHeight="1">
      <c r="A20">
        <v>6</v>
      </c>
      <c r="B20" t="s">
        <v>94</v>
      </c>
      <c r="C20" t="s">
        <v>95</v>
      </c>
      <c r="D20">
        <v>2009</v>
      </c>
      <c r="E20" t="s">
        <v>28</v>
      </c>
      <c r="F20" t="s">
        <v>96</v>
      </c>
      <c r="G20" t="s">
        <v>97</v>
      </c>
      <c r="H20" s="5">
        <f>PI()*0.05^2</f>
        <v>7.8539816339744835E-3</v>
      </c>
      <c r="I20">
        <f>3*18</f>
        <v>54</v>
      </c>
      <c r="J20" s="25">
        <f t="shared" si="2"/>
        <v>4.2411500823462215E-5</v>
      </c>
      <c r="K20">
        <f>10/(60*24)</f>
        <v>6.9444444444444441E-3</v>
      </c>
      <c r="L20">
        <v>0</v>
      </c>
      <c r="M20">
        <f>10/(60*24)</f>
        <v>6.9444444444444441E-3</v>
      </c>
      <c r="N20">
        <v>31</v>
      </c>
      <c r="O20">
        <v>0</v>
      </c>
      <c r="P20">
        <v>0</v>
      </c>
      <c r="Q20">
        <v>2</v>
      </c>
      <c r="R20">
        <v>0</v>
      </c>
      <c r="T20" t="s">
        <v>75</v>
      </c>
      <c r="U20" t="s">
        <v>102</v>
      </c>
    </row>
    <row r="21" spans="1:25" ht="15.75" customHeight="1">
      <c r="A21">
        <v>7</v>
      </c>
      <c r="B21" t="s">
        <v>106</v>
      </c>
      <c r="C21" t="s">
        <v>109</v>
      </c>
      <c r="D21">
        <v>2010</v>
      </c>
      <c r="E21" t="s">
        <v>28</v>
      </c>
      <c r="F21" t="s">
        <v>107</v>
      </c>
      <c r="G21" t="s">
        <v>108</v>
      </c>
      <c r="H21" s="5">
        <f>PI()*0.05^2*10</f>
        <v>7.8539816339744828E-2</v>
      </c>
      <c r="I21">
        <f>3*5</f>
        <v>15</v>
      </c>
      <c r="J21" s="25">
        <f t="shared" si="2"/>
        <v>1.1780972450961724E-4</v>
      </c>
      <c r="K21">
        <f>10/(60*24) *10</f>
        <v>6.9444444444444448E-2</v>
      </c>
      <c r="L21">
        <v>0</v>
      </c>
      <c r="M21">
        <f>K21</f>
        <v>6.9444444444444448E-2</v>
      </c>
      <c r="N21">
        <f>6*30</f>
        <v>180</v>
      </c>
      <c r="O21">
        <v>0</v>
      </c>
      <c r="P21">
        <v>0</v>
      </c>
      <c r="Q21">
        <v>2</v>
      </c>
      <c r="R21">
        <v>0</v>
      </c>
      <c r="T21" t="s">
        <v>111</v>
      </c>
      <c r="U21" t="s">
        <v>112</v>
      </c>
    </row>
    <row r="22" spans="1:25" ht="15.75" customHeight="1">
      <c r="A22">
        <v>7</v>
      </c>
      <c r="B22" t="s">
        <v>106</v>
      </c>
      <c r="C22" t="s">
        <v>109</v>
      </c>
      <c r="D22">
        <v>2010</v>
      </c>
      <c r="E22" t="s">
        <v>28</v>
      </c>
      <c r="F22" t="s">
        <v>107</v>
      </c>
      <c r="G22" t="s">
        <v>108</v>
      </c>
      <c r="H22" s="5">
        <f>PI()*0.25^2</f>
        <v>0.19634954084936207</v>
      </c>
      <c r="I22">
        <v>14</v>
      </c>
      <c r="J22" s="25">
        <f t="shared" si="2"/>
        <v>2.7488935718910691E-4</v>
      </c>
      <c r="K22">
        <f>180</f>
        <v>180</v>
      </c>
      <c r="L22">
        <v>0</v>
      </c>
      <c r="M22">
        <f>180</f>
        <v>180</v>
      </c>
      <c r="N22">
        <f>180</f>
        <v>180</v>
      </c>
      <c r="O22">
        <v>0</v>
      </c>
      <c r="P22">
        <v>0</v>
      </c>
      <c r="Q22">
        <v>2</v>
      </c>
      <c r="R22">
        <v>0</v>
      </c>
      <c r="T22" t="s">
        <v>113</v>
      </c>
      <c r="U22" t="s">
        <v>114</v>
      </c>
    </row>
    <row r="23" spans="1:25" ht="15.75" customHeight="1">
      <c r="A23">
        <v>8</v>
      </c>
      <c r="B23" t="s">
        <v>26</v>
      </c>
      <c r="C23" t="s">
        <v>116</v>
      </c>
      <c r="D23">
        <v>2007</v>
      </c>
      <c r="E23" t="s">
        <v>28</v>
      </c>
      <c r="F23" t="s">
        <v>117</v>
      </c>
      <c r="G23" t="s">
        <v>118</v>
      </c>
      <c r="H23">
        <f>AVERAGE(0.2^2, 1^2)</f>
        <v>0.52</v>
      </c>
      <c r="I23" s="26">
        <f>(J23*10000)/H23</f>
        <v>5115.3846153846152</v>
      </c>
      <c r="J23" s="25">
        <f>2660/10000</f>
        <v>0.26600000000000001</v>
      </c>
      <c r="K23">
        <f>5/(60*24)</f>
        <v>3.472222222222222E-3</v>
      </c>
      <c r="L23">
        <v>0</v>
      </c>
      <c r="M23">
        <f>K23</f>
        <v>3.472222222222222E-3</v>
      </c>
      <c r="N23">
        <f>9*30</f>
        <v>270</v>
      </c>
      <c r="O23">
        <v>0</v>
      </c>
      <c r="P23">
        <v>1</v>
      </c>
      <c r="Q23">
        <v>0</v>
      </c>
      <c r="R23">
        <v>0</v>
      </c>
      <c r="S23" t="s">
        <v>115</v>
      </c>
      <c r="T23" t="s">
        <v>119</v>
      </c>
      <c r="U23" t="s">
        <v>120</v>
      </c>
      <c r="X23" t="s">
        <v>121</v>
      </c>
      <c r="Y23" t="s">
        <v>122</v>
      </c>
    </row>
    <row r="24" spans="1:25" ht="15.75" customHeight="1">
      <c r="A24">
        <v>8</v>
      </c>
      <c r="B24" t="s">
        <v>26</v>
      </c>
      <c r="C24" t="s">
        <v>116</v>
      </c>
      <c r="D24">
        <v>2007</v>
      </c>
      <c r="E24" t="s">
        <v>28</v>
      </c>
      <c r="F24" t="s">
        <v>117</v>
      </c>
      <c r="G24" t="s">
        <v>118</v>
      </c>
      <c r="H24" s="27">
        <f>ROUND(1/120 * 4, 3)</f>
        <v>3.3000000000000002E-2</v>
      </c>
      <c r="I24">
        <f>(1677+1722+1632+819+695+1051) / 2.5</f>
        <v>3038.4</v>
      </c>
      <c r="J24" s="25">
        <f>2660/10000</f>
        <v>0.26600000000000001</v>
      </c>
      <c r="K24">
        <f>5/(3600*24)</f>
        <v>5.7870370370370373E-5</v>
      </c>
      <c r="L24">
        <v>0</v>
      </c>
      <c r="M24">
        <f>K24</f>
        <v>5.7870370370370373E-5</v>
      </c>
      <c r="N24">
        <f>9*30</f>
        <v>270</v>
      </c>
      <c r="O24">
        <v>0</v>
      </c>
      <c r="P24">
        <v>2</v>
      </c>
      <c r="Q24">
        <v>0</v>
      </c>
      <c r="R24">
        <v>0</v>
      </c>
      <c r="S24" t="s">
        <v>115</v>
      </c>
      <c r="T24" t="s">
        <v>123</v>
      </c>
      <c r="U24" t="s">
        <v>124</v>
      </c>
    </row>
    <row r="25" spans="1:25" ht="15.75" customHeight="1">
      <c r="A25">
        <v>9</v>
      </c>
      <c r="B25" t="s">
        <v>129</v>
      </c>
      <c r="C25" t="s">
        <v>261</v>
      </c>
      <c r="D25">
        <v>2013</v>
      </c>
      <c r="E25" t="s">
        <v>28</v>
      </c>
      <c r="F25" t="s">
        <v>131</v>
      </c>
      <c r="G25" t="s">
        <v>132</v>
      </c>
      <c r="H25">
        <f>1^2</f>
        <v>1</v>
      </c>
      <c r="I25">
        <f>100*3</f>
        <v>300</v>
      </c>
      <c r="J25" s="25">
        <f>2660/10000</f>
        <v>0.26600000000000001</v>
      </c>
      <c r="K25" s="5">
        <f>5/(60*24)</f>
        <v>3.472222222222222E-3</v>
      </c>
      <c r="L25">
        <f>365*2</f>
        <v>730</v>
      </c>
      <c r="M25">
        <f>K25*2</f>
        <v>6.9444444444444441E-3</v>
      </c>
      <c r="N25">
        <f>365*3</f>
        <v>1095</v>
      </c>
      <c r="O25">
        <v>3</v>
      </c>
      <c r="P25">
        <v>0</v>
      </c>
      <c r="Q25">
        <v>0</v>
      </c>
      <c r="R25">
        <v>3</v>
      </c>
      <c r="T25" t="s">
        <v>75</v>
      </c>
      <c r="U25" t="s">
        <v>133</v>
      </c>
    </row>
    <row r="26" spans="1:25" ht="12">
      <c r="A26">
        <v>9</v>
      </c>
      <c r="B26" t="s">
        <v>129</v>
      </c>
      <c r="C26" t="s">
        <v>261</v>
      </c>
      <c r="D26">
        <v>2013</v>
      </c>
      <c r="E26" t="s">
        <v>28</v>
      </c>
      <c r="F26" t="s">
        <v>131</v>
      </c>
      <c r="G26" t="s">
        <v>132</v>
      </c>
      <c r="H26">
        <f>PI()*0.1^2</f>
        <v>3.1415926535897934E-2</v>
      </c>
      <c r="I26">
        <v>12</v>
      </c>
      <c r="J26" s="25">
        <f t="shared" ref="J26:J44" si="3">(H26*I26)/10000</f>
        <v>3.7699111843077523E-5</v>
      </c>
      <c r="K26" s="28">
        <f>((DATEDIF("18/4/2005", "7/5/2005", "d")/6) + (DATEDIF("25/3/2006", "23/5/2006", "d")/7)) / 2</f>
        <v>5.7976190476190474</v>
      </c>
      <c r="L26">
        <f>1/(60*24)</f>
        <v>6.9444444444444447E-4</v>
      </c>
      <c r="M26" s="29">
        <f>K26*6+K26*7</f>
        <v>75.36904761904762</v>
      </c>
      <c r="N26">
        <f>DATEDIF("18/4/2005", "23/5/2006", "d")</f>
        <v>400</v>
      </c>
      <c r="O26">
        <v>0</v>
      </c>
      <c r="P26">
        <v>0</v>
      </c>
      <c r="Q26">
        <v>2</v>
      </c>
      <c r="R26">
        <v>0</v>
      </c>
      <c r="S26" t="s">
        <v>134</v>
      </c>
      <c r="T26" t="s">
        <v>17</v>
      </c>
      <c r="U26" t="s">
        <v>135</v>
      </c>
    </row>
    <row r="27" spans="1:25" ht="12">
      <c r="A27">
        <v>9</v>
      </c>
      <c r="B27" t="s">
        <v>129</v>
      </c>
      <c r="C27" t="s">
        <v>261</v>
      </c>
      <c r="D27">
        <v>2013</v>
      </c>
      <c r="E27" t="s">
        <v>28</v>
      </c>
      <c r="F27" t="s">
        <v>131</v>
      </c>
      <c r="G27" t="s">
        <v>132</v>
      </c>
      <c r="H27">
        <v>0.5</v>
      </c>
      <c r="I27">
        <f>28*3</f>
        <v>84</v>
      </c>
      <c r="J27" s="25">
        <f t="shared" si="3"/>
        <v>4.1999999999999997E-3</v>
      </c>
      <c r="K27" s="5">
        <f>5/(60*24)</f>
        <v>3.472222222222222E-3</v>
      </c>
      <c r="L27">
        <v>0</v>
      </c>
      <c r="M27">
        <f>K27</f>
        <v>3.472222222222222E-3</v>
      </c>
      <c r="N27">
        <f>30</f>
        <v>30</v>
      </c>
      <c r="O27">
        <v>1</v>
      </c>
      <c r="P27">
        <v>0</v>
      </c>
      <c r="Q27">
        <v>1</v>
      </c>
      <c r="R27">
        <v>1</v>
      </c>
      <c r="S27" t="s">
        <v>136</v>
      </c>
      <c r="T27" t="s">
        <v>137</v>
      </c>
      <c r="U27" t="s">
        <v>138</v>
      </c>
    </row>
    <row r="28" spans="1:25" ht="12">
      <c r="A28">
        <v>9</v>
      </c>
      <c r="B28" t="s">
        <v>129</v>
      </c>
      <c r="C28" t="s">
        <v>261</v>
      </c>
      <c r="D28">
        <v>2013</v>
      </c>
      <c r="E28" t="s">
        <v>28</v>
      </c>
      <c r="F28" t="s">
        <v>131</v>
      </c>
      <c r="G28" t="s">
        <v>132</v>
      </c>
      <c r="H28">
        <f>AVERAGE(0.7^2, 0.5^2)</f>
        <v>0.37</v>
      </c>
      <c r="I28">
        <v>6</v>
      </c>
      <c r="J28" s="25">
        <f t="shared" si="3"/>
        <v>2.2199999999999998E-4</v>
      </c>
      <c r="K28" s="5">
        <f>5*(3/60/24)</f>
        <v>1.0416666666666666E-2</v>
      </c>
      <c r="L28" s="30">
        <f>3/24</f>
        <v>0.125</v>
      </c>
      <c r="M28" s="31">
        <f>DATEDIF("5/6/2004", "2/10/2004", "d")*8*K28 + DATEDIF("15/5/2005", "15/9/2005", "d")*8*K28</f>
        <v>20.166666666666664</v>
      </c>
      <c r="N28">
        <f>DATEDIF("5/6/2004", "15/9/2005", "D")</f>
        <v>467</v>
      </c>
      <c r="O28">
        <v>0</v>
      </c>
      <c r="P28">
        <v>0</v>
      </c>
      <c r="Q28">
        <v>1</v>
      </c>
      <c r="R28">
        <v>0</v>
      </c>
      <c r="S28" t="s">
        <v>139</v>
      </c>
      <c r="T28" t="s">
        <v>75</v>
      </c>
      <c r="U28" t="s">
        <v>140</v>
      </c>
    </row>
    <row r="29" spans="1:25" ht="12">
      <c r="A29">
        <v>9</v>
      </c>
      <c r="B29" t="s">
        <v>129</v>
      </c>
      <c r="C29" t="s">
        <v>261</v>
      </c>
      <c r="D29">
        <v>2013</v>
      </c>
      <c r="E29" t="s">
        <v>28</v>
      </c>
      <c r="F29" t="s">
        <v>131</v>
      </c>
      <c r="G29" t="s">
        <v>132</v>
      </c>
      <c r="H29">
        <f>0.5^2</f>
        <v>0.25</v>
      </c>
      <c r="I29">
        <v>6</v>
      </c>
      <c r="J29" s="25">
        <f t="shared" si="3"/>
        <v>1.4999999999999999E-4</v>
      </c>
      <c r="K29" s="5">
        <f>6/60/24</f>
        <v>4.1666666666666666E-3</v>
      </c>
      <c r="L29" s="30">
        <f>72/(24*60)</f>
        <v>0.05</v>
      </c>
      <c r="M29" s="31">
        <f>DATEDIF("24/8/2004", "3/10/2004", "d")*(1/L29)*K29</f>
        <v>3.3333333333333335</v>
      </c>
      <c r="N29">
        <f>DATEDIF("24/8/2004", "3/10/2004", "D")</f>
        <v>40</v>
      </c>
      <c r="O29">
        <v>0</v>
      </c>
      <c r="P29">
        <v>0</v>
      </c>
      <c r="Q29">
        <v>1</v>
      </c>
      <c r="R29">
        <v>0</v>
      </c>
      <c r="S29" t="s">
        <v>139</v>
      </c>
      <c r="T29" t="s">
        <v>17</v>
      </c>
      <c r="U29" t="s">
        <v>140</v>
      </c>
    </row>
    <row r="30" spans="1:25" ht="12">
      <c r="A30">
        <v>9</v>
      </c>
      <c r="B30" t="s">
        <v>129</v>
      </c>
      <c r="C30" t="s">
        <v>261</v>
      </c>
      <c r="D30">
        <v>2013</v>
      </c>
      <c r="E30" t="s">
        <v>28</v>
      </c>
      <c r="F30" t="s">
        <v>131</v>
      </c>
      <c r="G30" t="s">
        <v>132</v>
      </c>
      <c r="H30" s="32">
        <f>1^2</f>
        <v>1</v>
      </c>
      <c r="I30" s="32">
        <f>5+6+7</f>
        <v>18</v>
      </c>
      <c r="J30" s="25">
        <f t="shared" si="3"/>
        <v>1.8E-3</v>
      </c>
      <c r="K30" s="5">
        <f>10/(60*24)</f>
        <v>6.9444444444444441E-3</v>
      </c>
      <c r="L30" s="28">
        <f>(DATEDIF("15/9/2004","15/5/2005", "d") +DATEDIF("15/9/2005","15/5/2006", "d"))/2</f>
        <v>242</v>
      </c>
      <c r="M30">
        <f>K30*(5+6+7)</f>
        <v>0.125</v>
      </c>
      <c r="N30">
        <f>DATEDIF("15/5/2004","15/9/2006", "d")</f>
        <v>853</v>
      </c>
      <c r="O30">
        <v>0</v>
      </c>
      <c r="P30">
        <v>1</v>
      </c>
      <c r="Q30">
        <v>1</v>
      </c>
      <c r="R30">
        <v>0</v>
      </c>
      <c r="S30" t="s">
        <v>143</v>
      </c>
      <c r="T30" t="s">
        <v>141</v>
      </c>
      <c r="U30" t="s">
        <v>142</v>
      </c>
    </row>
    <row r="31" spans="1:25" ht="12">
      <c r="A31">
        <v>9</v>
      </c>
      <c r="B31" t="s">
        <v>129</v>
      </c>
      <c r="C31" t="s">
        <v>261</v>
      </c>
      <c r="D31">
        <v>2013</v>
      </c>
      <c r="E31" t="s">
        <v>28</v>
      </c>
      <c r="F31" t="s">
        <v>131</v>
      </c>
      <c r="G31" t="s">
        <v>132</v>
      </c>
      <c r="H31" s="5">
        <f>PI()*0.0425^2</f>
        <v>5.6745017305465653E-3</v>
      </c>
      <c r="I31">
        <f>3+7+5</f>
        <v>15</v>
      </c>
      <c r="J31" s="33">
        <f t="shared" si="3"/>
        <v>8.5117525958198471E-6</v>
      </c>
      <c r="K31" s="5">
        <f>10/(60*24)</f>
        <v>6.9444444444444441E-3</v>
      </c>
      <c r="L31" s="28">
        <f>(DATEDIF("16/9/2004","11/5/2005", "d") +DATEDIF("22/9/2005","15/5/2006", "d"))/2</f>
        <v>236</v>
      </c>
      <c r="M31">
        <f>K31*(3+7+6)</f>
        <v>0.1111111111111111</v>
      </c>
      <c r="N31">
        <f>DATEDIF("15/5/2004","15/9/2006", "d")</f>
        <v>853</v>
      </c>
      <c r="O31">
        <v>0</v>
      </c>
      <c r="P31">
        <v>2</v>
      </c>
      <c r="Q31">
        <v>1</v>
      </c>
      <c r="R31">
        <v>0</v>
      </c>
      <c r="S31" t="s">
        <v>143</v>
      </c>
      <c r="T31" t="s">
        <v>144</v>
      </c>
      <c r="U31" t="s">
        <v>146</v>
      </c>
    </row>
    <row r="32" spans="1:25" ht="12">
      <c r="A32">
        <v>9</v>
      </c>
      <c r="B32" t="s">
        <v>129</v>
      </c>
      <c r="C32" t="s">
        <v>261</v>
      </c>
      <c r="D32">
        <v>2013</v>
      </c>
      <c r="E32" t="s">
        <v>28</v>
      </c>
      <c r="F32" t="s">
        <v>131</v>
      </c>
      <c r="G32" t="s">
        <v>132</v>
      </c>
      <c r="H32">
        <f>PI()*0.02^2</f>
        <v>1.2566370614359172E-3</v>
      </c>
      <c r="I32">
        <f>7+5</f>
        <v>12</v>
      </c>
      <c r="J32" s="33">
        <f t="shared" si="3"/>
        <v>1.5079644737231008E-6</v>
      </c>
      <c r="K32">
        <f>1/24</f>
        <v>4.1666666666666664E-2</v>
      </c>
      <c r="L32" s="28">
        <f>AVERAGE(DATEDIF("16/9/2005", "11/5/2006", "d"), 23, 21, 22, 23, 21, DATEDIF("22/9/2005", "15/5/2006", "d"), 25, 27, 31, 31, 31)</f>
        <v>60.583333333333336</v>
      </c>
      <c r="M32">
        <f>(7+5)*K32</f>
        <v>0.5</v>
      </c>
      <c r="N32">
        <f>DATEDIF("22/9/2004","12/9/2006", "d")</f>
        <v>720</v>
      </c>
      <c r="O32">
        <v>0</v>
      </c>
      <c r="P32">
        <v>2</v>
      </c>
      <c r="Q32">
        <v>2</v>
      </c>
      <c r="R32">
        <v>0</v>
      </c>
      <c r="S32" t="s">
        <v>143</v>
      </c>
      <c r="T32" t="s">
        <v>145</v>
      </c>
      <c r="U32" t="s">
        <v>147</v>
      </c>
    </row>
    <row r="33" spans="1:21" ht="12">
      <c r="A33">
        <v>9</v>
      </c>
      <c r="B33" t="s">
        <v>129</v>
      </c>
      <c r="C33" t="s">
        <v>261</v>
      </c>
      <c r="D33">
        <v>2013</v>
      </c>
      <c r="E33" t="s">
        <v>28</v>
      </c>
      <c r="F33" t="s">
        <v>131</v>
      </c>
      <c r="G33" t="s">
        <v>132</v>
      </c>
      <c r="H33" s="5">
        <f>PI()*0.0425^2</f>
        <v>5.6745017305465653E-3</v>
      </c>
      <c r="I33">
        <v>100</v>
      </c>
      <c r="J33" s="33">
        <f t="shared" si="3"/>
        <v>5.6745017305465647E-5</v>
      </c>
      <c r="K33" s="5">
        <f>10/(60*24)</f>
        <v>6.9444444444444441E-3</v>
      </c>
      <c r="L33">
        <v>0</v>
      </c>
      <c r="M33">
        <f t="shared" ref="M33:M34" si="4">K33</f>
        <v>6.9444444444444441E-3</v>
      </c>
      <c r="N33">
        <f>120</f>
        <v>120</v>
      </c>
      <c r="O33">
        <v>0</v>
      </c>
      <c r="P33">
        <v>2</v>
      </c>
      <c r="Q33">
        <v>2</v>
      </c>
      <c r="R33">
        <v>0</v>
      </c>
      <c r="T33" t="s">
        <v>148</v>
      </c>
      <c r="U33" t="s">
        <v>149</v>
      </c>
    </row>
    <row r="34" spans="1:21" ht="12">
      <c r="A34">
        <v>9</v>
      </c>
      <c r="B34" t="s">
        <v>129</v>
      </c>
      <c r="C34" t="s">
        <v>261</v>
      </c>
      <c r="D34">
        <v>2013</v>
      </c>
      <c r="E34" t="s">
        <v>28</v>
      </c>
      <c r="F34" t="s">
        <v>131</v>
      </c>
      <c r="G34" t="s">
        <v>132</v>
      </c>
      <c r="H34">
        <f>1^2</f>
        <v>1</v>
      </c>
      <c r="I34">
        <v>9</v>
      </c>
      <c r="J34" s="33">
        <f t="shared" si="3"/>
        <v>8.9999999999999998E-4</v>
      </c>
      <c r="K34">
        <f>2/24</f>
        <v>8.3333333333333329E-2</v>
      </c>
      <c r="L34">
        <v>0</v>
      </c>
      <c r="M34">
        <f t="shared" si="4"/>
        <v>8.3333333333333329E-2</v>
      </c>
      <c r="N34">
        <f>120</f>
        <v>120</v>
      </c>
      <c r="O34">
        <v>0</v>
      </c>
      <c r="P34">
        <v>1</v>
      </c>
      <c r="Q34">
        <v>2</v>
      </c>
      <c r="R34">
        <v>0</v>
      </c>
      <c r="T34" t="s">
        <v>148</v>
      </c>
      <c r="U34" t="s">
        <v>150</v>
      </c>
    </row>
    <row r="35" spans="1:21" s="34" customFormat="1" ht="15.75" customHeight="1">
      <c r="A35" s="34">
        <v>10</v>
      </c>
      <c r="B35" s="34" t="s">
        <v>165</v>
      </c>
      <c r="C35" s="34" t="s">
        <v>166</v>
      </c>
      <c r="D35" s="34">
        <v>2005</v>
      </c>
      <c r="E35" s="34" t="s">
        <v>28</v>
      </c>
      <c r="F35" s="34" t="s">
        <v>167</v>
      </c>
      <c r="G35" s="34" t="s">
        <v>168</v>
      </c>
      <c r="H35" s="34">
        <f>10^2</f>
        <v>100</v>
      </c>
      <c r="I35" s="34">
        <f>10*20</f>
        <v>200</v>
      </c>
      <c r="J35" s="49">
        <f t="shared" si="3"/>
        <v>2</v>
      </c>
      <c r="K35" s="34">
        <f>30/(60*24)</f>
        <v>2.0833333333333332E-2</v>
      </c>
      <c r="L35" s="34">
        <v>0</v>
      </c>
      <c r="M35" s="34">
        <f>K35</f>
        <v>2.0833333333333332E-2</v>
      </c>
      <c r="N35" s="34">
        <f>90</f>
        <v>90</v>
      </c>
      <c r="O35" s="34">
        <v>3</v>
      </c>
      <c r="P35" s="34">
        <v>1</v>
      </c>
      <c r="Q35" s="34">
        <v>0</v>
      </c>
      <c r="R35" s="34">
        <v>2</v>
      </c>
      <c r="T35" s="34" t="s">
        <v>137</v>
      </c>
      <c r="U35" s="34" t="s">
        <v>169</v>
      </c>
    </row>
    <row r="36" spans="1:21" ht="15.75" customHeight="1">
      <c r="A36" s="35">
        <v>10</v>
      </c>
      <c r="B36" s="34" t="s">
        <v>165</v>
      </c>
      <c r="C36" s="34" t="s">
        <v>166</v>
      </c>
      <c r="D36" s="34">
        <v>2005</v>
      </c>
      <c r="E36" s="34" t="s">
        <v>28</v>
      </c>
      <c r="F36" s="34" t="s">
        <v>167</v>
      </c>
      <c r="G36" s="34" t="s">
        <v>168</v>
      </c>
      <c r="H36" s="5">
        <f>PI()*0.0425^2</f>
        <v>5.6745017305465653E-3</v>
      </c>
      <c r="I36">
        <f>3*10*20</f>
        <v>600</v>
      </c>
      <c r="J36" s="49">
        <f t="shared" si="3"/>
        <v>3.4047010383279392E-4</v>
      </c>
      <c r="K36" s="34">
        <f>30/(60*24)</f>
        <v>2.0833333333333332E-2</v>
      </c>
      <c r="L36">
        <v>0</v>
      </c>
      <c r="M36" s="34">
        <f>K36</f>
        <v>2.0833333333333332E-2</v>
      </c>
      <c r="N36" s="34">
        <f>90</f>
        <v>90</v>
      </c>
      <c r="O36">
        <v>0</v>
      </c>
      <c r="P36">
        <v>2</v>
      </c>
      <c r="Q36">
        <v>0</v>
      </c>
      <c r="R36">
        <v>0</v>
      </c>
      <c r="T36" t="s">
        <v>137</v>
      </c>
      <c r="U36" t="s">
        <v>170</v>
      </c>
    </row>
    <row r="37" spans="1:21" ht="15.75" customHeight="1">
      <c r="A37" s="35">
        <v>10</v>
      </c>
      <c r="B37" s="34" t="s">
        <v>165</v>
      </c>
      <c r="C37" s="34" t="s">
        <v>166</v>
      </c>
      <c r="D37" s="34">
        <v>2005</v>
      </c>
      <c r="E37" s="34" t="s">
        <v>28</v>
      </c>
      <c r="F37" t="s">
        <v>172</v>
      </c>
      <c r="G37" s="34" t="s">
        <v>168</v>
      </c>
      <c r="H37">
        <f>2^2</f>
        <v>4</v>
      </c>
      <c r="I37">
        <f>40*2</f>
        <v>80</v>
      </c>
      <c r="J37" s="49">
        <f t="shared" si="3"/>
        <v>3.2000000000000001E-2</v>
      </c>
      <c r="K37">
        <f>25/(60*24)</f>
        <v>1.7361111111111112E-2</v>
      </c>
      <c r="L37">
        <v>0</v>
      </c>
      <c r="M37">
        <f>K37</f>
        <v>1.7361111111111112E-2</v>
      </c>
      <c r="N37">
        <f>28</f>
        <v>28</v>
      </c>
      <c r="O37">
        <v>3</v>
      </c>
      <c r="P37">
        <v>0</v>
      </c>
      <c r="Q37">
        <v>0</v>
      </c>
      <c r="R37">
        <v>2</v>
      </c>
      <c r="S37" t="s">
        <v>171</v>
      </c>
      <c r="T37" t="s">
        <v>15</v>
      </c>
      <c r="U37" t="s">
        <v>173</v>
      </c>
    </row>
    <row r="38" spans="1:21" ht="15.75" customHeight="1">
      <c r="A38" s="35">
        <v>10</v>
      </c>
      <c r="B38" s="34" t="s">
        <v>165</v>
      </c>
      <c r="C38" s="34" t="s">
        <v>166</v>
      </c>
      <c r="D38" s="34">
        <v>2005</v>
      </c>
      <c r="E38" s="34" t="s">
        <v>28</v>
      </c>
      <c r="F38" t="s">
        <v>172</v>
      </c>
      <c r="G38" s="34" t="s">
        <v>168</v>
      </c>
      <c r="H38" s="5">
        <f>PI()*0.01^2</f>
        <v>3.1415926535897931E-4</v>
      </c>
      <c r="I38">
        <f>40*2</f>
        <v>80</v>
      </c>
      <c r="J38" s="49">
        <f t="shared" si="3"/>
        <v>2.5132741228718342E-6</v>
      </c>
      <c r="K38">
        <f>25/(60*24)</f>
        <v>1.7361111111111112E-2</v>
      </c>
      <c r="L38">
        <v>0</v>
      </c>
      <c r="M38">
        <f>K38</f>
        <v>1.7361111111111112E-2</v>
      </c>
      <c r="N38">
        <f>N37</f>
        <v>28</v>
      </c>
      <c r="O38">
        <v>0</v>
      </c>
      <c r="P38">
        <v>2</v>
      </c>
      <c r="Q38">
        <v>0</v>
      </c>
      <c r="R38">
        <v>0</v>
      </c>
      <c r="S38" t="s">
        <v>171</v>
      </c>
      <c r="T38" t="s">
        <v>15</v>
      </c>
      <c r="U38" t="s">
        <v>174</v>
      </c>
    </row>
    <row r="39" spans="1:21" ht="15.75" customHeight="1">
      <c r="A39" s="35">
        <v>11</v>
      </c>
      <c r="B39" s="35" t="s">
        <v>162</v>
      </c>
      <c r="C39" t="s">
        <v>175</v>
      </c>
      <c r="D39" s="35">
        <v>2012</v>
      </c>
      <c r="E39" s="35" t="s">
        <v>28</v>
      </c>
      <c r="F39" s="35" t="s">
        <v>176</v>
      </c>
      <c r="G39" s="35" t="s">
        <v>177</v>
      </c>
      <c r="H39">
        <f>1^2</f>
        <v>1</v>
      </c>
      <c r="I39">
        <f>20*25</f>
        <v>500</v>
      </c>
      <c r="J39" s="49">
        <f t="shared" si="3"/>
        <v>0.05</v>
      </c>
      <c r="K39">
        <f>10</f>
        <v>10</v>
      </c>
      <c r="L39">
        <v>10</v>
      </c>
      <c r="M39">
        <f>DATEDIF("15/3/2004", "31/5/2004", "d") * 4</f>
        <v>308</v>
      </c>
      <c r="N39">
        <f>DATEDIF("15/3/2004", "31/5/2007", "D")</f>
        <v>1172</v>
      </c>
      <c r="O39">
        <v>0</v>
      </c>
      <c r="P39">
        <v>1</v>
      </c>
      <c r="Q39">
        <v>0</v>
      </c>
      <c r="R39">
        <v>0</v>
      </c>
      <c r="S39" t="s">
        <v>178</v>
      </c>
      <c r="T39" t="s">
        <v>123</v>
      </c>
      <c r="U39" t="s">
        <v>179</v>
      </c>
    </row>
    <row r="40" spans="1:21" ht="15.75" customHeight="1">
      <c r="A40" s="35">
        <v>12</v>
      </c>
      <c r="B40" s="35" t="s">
        <v>181</v>
      </c>
      <c r="C40" t="s">
        <v>180</v>
      </c>
      <c r="D40" s="35">
        <v>2013</v>
      </c>
      <c r="E40" s="35" t="s">
        <v>28</v>
      </c>
      <c r="F40" t="s">
        <v>182</v>
      </c>
      <c r="G40" s="35" t="s">
        <v>183</v>
      </c>
      <c r="H40">
        <f>(PI()*(0.3/2)^2)*7</f>
        <v>0.49480084294039245</v>
      </c>
      <c r="I40">
        <v>1</v>
      </c>
      <c r="J40" s="49">
        <f t="shared" si="3"/>
        <v>4.9480084294039245E-5</v>
      </c>
      <c r="K40">
        <f>60/(60*24)</f>
        <v>4.1666666666666664E-2</v>
      </c>
      <c r="L40" s="28">
        <f>(365*3+5*30) / 36</f>
        <v>34.583333333333336</v>
      </c>
      <c r="M40">
        <f>K40*36</f>
        <v>1.5</v>
      </c>
      <c r="N40">
        <f>DATEDIF("1/1/2009", "31/5/2012", "d")</f>
        <v>1246</v>
      </c>
      <c r="O40">
        <v>0</v>
      </c>
      <c r="P40">
        <v>0</v>
      </c>
      <c r="Q40">
        <v>2</v>
      </c>
      <c r="R40">
        <v>0</v>
      </c>
      <c r="T40" t="s">
        <v>184</v>
      </c>
      <c r="U40" t="s">
        <v>185</v>
      </c>
    </row>
    <row r="41" spans="1:21" ht="15.75" customHeight="1">
      <c r="A41" s="35">
        <v>13</v>
      </c>
      <c r="B41" s="35" t="s">
        <v>181</v>
      </c>
      <c r="C41" t="s">
        <v>186</v>
      </c>
      <c r="D41" s="35">
        <v>2014</v>
      </c>
      <c r="E41" s="35" t="s">
        <v>28</v>
      </c>
      <c r="F41" s="35" t="s">
        <v>187</v>
      </c>
      <c r="G41" s="35" t="s">
        <v>189</v>
      </c>
      <c r="H41">
        <f>PI()*0.5^2</f>
        <v>0.78539816339744828</v>
      </c>
      <c r="I41">
        <v>160</v>
      </c>
      <c r="J41" s="49">
        <f t="shared" si="3"/>
        <v>1.2566370614359173E-2</v>
      </c>
      <c r="K41">
        <f>120/(60*24)</f>
        <v>8.3333333333333329E-2</v>
      </c>
      <c r="L41">
        <v>0</v>
      </c>
      <c r="M41">
        <f>K41</f>
        <v>8.3333333333333329E-2</v>
      </c>
      <c r="N41">
        <f>DATEDIF("28/12/2011", "25/1/2012", "d")</f>
        <v>28</v>
      </c>
      <c r="O41">
        <v>2</v>
      </c>
      <c r="P41">
        <v>2</v>
      </c>
      <c r="Q41">
        <v>2</v>
      </c>
      <c r="R41">
        <v>1</v>
      </c>
      <c r="T41" t="s">
        <v>193</v>
      </c>
      <c r="U41" t="s">
        <v>188</v>
      </c>
    </row>
    <row r="42" spans="1:21" ht="15.75" customHeight="1">
      <c r="A42" s="35">
        <v>13</v>
      </c>
      <c r="B42" s="36" t="s">
        <v>181</v>
      </c>
      <c r="C42" t="s">
        <v>186</v>
      </c>
      <c r="D42" s="35">
        <v>2014</v>
      </c>
      <c r="E42" s="35" t="s">
        <v>28</v>
      </c>
      <c r="F42" s="35" t="s">
        <v>187</v>
      </c>
      <c r="G42" s="35" t="s">
        <v>189</v>
      </c>
      <c r="H42">
        <f>PI()*0.05^2</f>
        <v>7.8539816339744835E-3</v>
      </c>
      <c r="I42">
        <f>((N42*24*60) / 10)</f>
        <v>4032</v>
      </c>
      <c r="J42" s="49">
        <f t="shared" si="3"/>
        <v>3.1667253948185117E-3</v>
      </c>
      <c r="K42">
        <f>1/(60*60*24)</f>
        <v>1.1574074074074073E-5</v>
      </c>
      <c r="L42">
        <f>10/(60*24)</f>
        <v>6.9444444444444441E-3</v>
      </c>
      <c r="M42">
        <f>K42*I42</f>
        <v>4.6666666666666662E-2</v>
      </c>
      <c r="N42">
        <f>DATEDIF("28/12/2011", "25/1/2012", "d")</f>
        <v>28</v>
      </c>
      <c r="O42">
        <v>0</v>
      </c>
      <c r="P42">
        <v>0</v>
      </c>
      <c r="Q42">
        <v>1</v>
      </c>
      <c r="R42">
        <v>0</v>
      </c>
      <c r="T42" t="s">
        <v>119</v>
      </c>
      <c r="U42" t="s">
        <v>190</v>
      </c>
    </row>
    <row r="43" spans="1:21" ht="15.75" customHeight="1">
      <c r="A43" s="35">
        <v>13</v>
      </c>
      <c r="B43" s="36" t="s">
        <v>181</v>
      </c>
      <c r="C43" t="s">
        <v>186</v>
      </c>
      <c r="D43" s="35">
        <v>2014</v>
      </c>
      <c r="E43" s="35" t="s">
        <v>125</v>
      </c>
      <c r="F43" s="35" t="s">
        <v>187</v>
      </c>
      <c r="G43" s="35" t="s">
        <v>189</v>
      </c>
      <c r="H43">
        <v>640050</v>
      </c>
      <c r="I43">
        <f>759817+36418242</f>
        <v>37178059</v>
      </c>
      <c r="J43" s="49">
        <f t="shared" si="3"/>
        <v>2379581666.2950001</v>
      </c>
      <c r="K43">
        <f>1/(60*60*24)</f>
        <v>1.1574074074074073E-5</v>
      </c>
      <c r="L43">
        <v>1</v>
      </c>
      <c r="M43">
        <f>DATEDIF("1/9/2011","29/2/2012","d")*K43</f>
        <v>2.0949074074074073E-3</v>
      </c>
      <c r="N43">
        <f>DATEDIF("1/9/2011","29/2/2012","d")</f>
        <v>181</v>
      </c>
      <c r="O43">
        <v>0</v>
      </c>
      <c r="P43">
        <v>0</v>
      </c>
      <c r="Q43">
        <v>2</v>
      </c>
      <c r="R43">
        <v>0</v>
      </c>
      <c r="T43" t="s">
        <v>194</v>
      </c>
      <c r="U43" t="s">
        <v>195</v>
      </c>
    </row>
    <row r="44" spans="1:21" ht="15.75" customHeight="1">
      <c r="A44" s="35">
        <v>13</v>
      </c>
      <c r="B44" s="36" t="s">
        <v>181</v>
      </c>
      <c r="C44" t="s">
        <v>186</v>
      </c>
      <c r="D44" s="35">
        <v>2014</v>
      </c>
      <c r="E44" s="35" t="s">
        <v>28</v>
      </c>
      <c r="F44" s="35" t="s">
        <v>187</v>
      </c>
      <c r="G44" s="35" t="s">
        <v>189</v>
      </c>
      <c r="H44">
        <f>PI()*0.05^2</f>
        <v>7.8539816339744835E-3</v>
      </c>
      <c r="I44">
        <v>13</v>
      </c>
      <c r="J44" s="49">
        <f t="shared" si="3"/>
        <v>1.0210176124166828E-5</v>
      </c>
      <c r="K44">
        <f>1/(60*60*24)</f>
        <v>1.1574074074074073E-5</v>
      </c>
      <c r="L44" s="28">
        <f>(365*3+5*30) / 13</f>
        <v>95.769230769230774</v>
      </c>
      <c r="M44">
        <f>K44*30</f>
        <v>3.4722222222222218E-4</v>
      </c>
      <c r="N44">
        <f>DATEDIF("28/12/2011", "25/1/2012", "d")</f>
        <v>28</v>
      </c>
      <c r="O44">
        <v>0</v>
      </c>
      <c r="P44">
        <v>0</v>
      </c>
      <c r="Q44">
        <v>1</v>
      </c>
      <c r="R44">
        <v>0</v>
      </c>
      <c r="T44" t="s">
        <v>191</v>
      </c>
      <c r="U44" t="s">
        <v>192</v>
      </c>
    </row>
    <row r="45" spans="1:21" ht="15.75" customHeight="1">
      <c r="A45" s="35">
        <v>14</v>
      </c>
      <c r="B45" s="37" t="s">
        <v>198</v>
      </c>
      <c r="C45" t="s">
        <v>197</v>
      </c>
      <c r="D45" s="35">
        <v>2006</v>
      </c>
      <c r="E45" s="35" t="s">
        <v>28</v>
      </c>
      <c r="F45" s="35" t="s">
        <v>199</v>
      </c>
      <c r="G45" s="35" t="s">
        <v>200</v>
      </c>
      <c r="H45">
        <f>PI()*0.075^2</f>
        <v>1.7671458676442587E-2</v>
      </c>
      <c r="I45">
        <v>37</v>
      </c>
      <c r="J45" s="49">
        <f t="shared" ref="J45:J46" si="5">(H45*I45)/10000</f>
        <v>6.5384397102837574E-5</v>
      </c>
      <c r="K45">
        <f>5/(60*24)</f>
        <v>3.472222222222222E-3</v>
      </c>
      <c r="L45">
        <v>1</v>
      </c>
      <c r="M45">
        <f>K45*60</f>
        <v>0.20833333333333331</v>
      </c>
      <c r="N45">
        <f>DATEDIF("1/4/2001", "15/5/2002", "d")</f>
        <v>409</v>
      </c>
      <c r="O45">
        <v>0</v>
      </c>
      <c r="P45">
        <v>1</v>
      </c>
      <c r="Q45">
        <v>0</v>
      </c>
      <c r="R45">
        <v>1</v>
      </c>
      <c r="T45" t="s">
        <v>202</v>
      </c>
      <c r="U45" t="s">
        <v>201</v>
      </c>
    </row>
    <row r="46" spans="1:21" ht="15.75" customHeight="1">
      <c r="A46" s="35">
        <v>14</v>
      </c>
      <c r="B46" s="37" t="s">
        <v>198</v>
      </c>
      <c r="C46" t="s">
        <v>197</v>
      </c>
      <c r="D46" s="35">
        <v>2006</v>
      </c>
      <c r="E46" s="35" t="s">
        <v>28</v>
      </c>
      <c r="F46" s="35" t="s">
        <v>199</v>
      </c>
      <c r="G46" s="35" t="s">
        <v>200</v>
      </c>
      <c r="H46">
        <f>PI()*0.025^2</f>
        <v>1.9634954084936209E-3</v>
      </c>
      <c r="I46">
        <v>158</v>
      </c>
      <c r="J46" s="49">
        <f t="shared" si="5"/>
        <v>3.1023227454199211E-5</v>
      </c>
      <c r="K46">
        <f>10/(60*24)</f>
        <v>6.9444444444444441E-3</v>
      </c>
      <c r="L46">
        <f>AVERAGE(3, 5)</f>
        <v>4</v>
      </c>
      <c r="M46">
        <f>3*K46</f>
        <v>2.0833333333333332E-2</v>
      </c>
      <c r="N46">
        <f>DATEDIF("1/4/2001", "15/5/2002", "d")</f>
        <v>409</v>
      </c>
      <c r="O46">
        <v>0</v>
      </c>
      <c r="P46">
        <v>2</v>
      </c>
      <c r="Q46">
        <v>0</v>
      </c>
      <c r="R46">
        <v>1</v>
      </c>
      <c r="T46" t="s">
        <v>202</v>
      </c>
    </row>
    <row r="47" spans="1:21" ht="15.75" customHeight="1">
      <c r="A47" s="35">
        <v>15</v>
      </c>
      <c r="B47" s="37" t="s">
        <v>106</v>
      </c>
      <c r="C47" t="s">
        <v>203</v>
      </c>
      <c r="D47" s="35">
        <v>2009</v>
      </c>
      <c r="E47" s="35" t="s">
        <v>28</v>
      </c>
      <c r="F47" s="35" t="s">
        <v>204</v>
      </c>
      <c r="G47" s="35" t="s">
        <v>205</v>
      </c>
      <c r="H47">
        <f>PI()*0.005^2</f>
        <v>7.8539816339744827E-5</v>
      </c>
      <c r="I47">
        <f>5*3+1*3+4*3</f>
        <v>30</v>
      </c>
      <c r="J47" s="48">
        <f>H47*I47</f>
        <v>2.3561944901923449E-3</v>
      </c>
      <c r="K47">
        <f>1/(60*24)</f>
        <v>6.9444444444444447E-4</v>
      </c>
      <c r="L47">
        <v>0</v>
      </c>
      <c r="M47">
        <f>K47</f>
        <v>6.9444444444444447E-4</v>
      </c>
      <c r="N47">
        <f>DATEDIF("14/3/2006", "7/4/2006", "d")</f>
        <v>24</v>
      </c>
      <c r="O47">
        <v>0</v>
      </c>
      <c r="P47">
        <v>1</v>
      </c>
      <c r="Q47">
        <v>1</v>
      </c>
      <c r="R47">
        <v>0</v>
      </c>
      <c r="T47" t="s">
        <v>207</v>
      </c>
      <c r="U47" t="s">
        <v>206</v>
      </c>
    </row>
    <row r="48" spans="1:21" s="34" customFormat="1" ht="15.75" customHeight="1">
      <c r="A48" s="35">
        <v>16</v>
      </c>
      <c r="B48" s="36" t="s">
        <v>209</v>
      </c>
      <c r="C48" s="34" t="s">
        <v>208</v>
      </c>
      <c r="D48" s="34">
        <v>2010</v>
      </c>
      <c r="E48" s="34" t="s">
        <v>28</v>
      </c>
      <c r="F48" s="34" t="s">
        <v>210</v>
      </c>
      <c r="G48" s="34" t="s">
        <v>211</v>
      </c>
      <c r="H48" s="34">
        <f>201</f>
        <v>201</v>
      </c>
      <c r="I48" s="34">
        <v>5</v>
      </c>
      <c r="J48" s="40">
        <f t="shared" ref="J48:J57" si="6">(H48*I48)/10000</f>
        <v>0.10050000000000001</v>
      </c>
      <c r="K48" s="34">
        <f>60/(24*60)</f>
        <v>4.1666666666666664E-2</v>
      </c>
      <c r="L48" s="34">
        <f>365</f>
        <v>365</v>
      </c>
      <c r="M48" s="34">
        <f>K48*3</f>
        <v>0.125</v>
      </c>
      <c r="N48" s="34">
        <f>DATEDIF("1/7/2005", "1/7/2007", "d")</f>
        <v>730</v>
      </c>
      <c r="O48" s="34">
        <v>1</v>
      </c>
      <c r="P48" s="34">
        <v>2</v>
      </c>
      <c r="Q48" s="34">
        <v>0</v>
      </c>
      <c r="R48" s="34">
        <v>1</v>
      </c>
      <c r="S48" s="34" t="s">
        <v>212</v>
      </c>
      <c r="T48" s="34" t="s">
        <v>225</v>
      </c>
      <c r="U48" s="34" t="s">
        <v>226</v>
      </c>
    </row>
    <row r="49" spans="1:21" ht="15.75" customHeight="1">
      <c r="A49" s="35">
        <v>16</v>
      </c>
      <c r="B49" s="37" t="s">
        <v>209</v>
      </c>
      <c r="C49" t="s">
        <v>208</v>
      </c>
      <c r="D49" s="35">
        <v>2010</v>
      </c>
      <c r="E49" s="35" t="s">
        <v>28</v>
      </c>
      <c r="F49" s="35" t="s">
        <v>210</v>
      </c>
      <c r="G49" s="34" t="s">
        <v>211</v>
      </c>
      <c r="H49" s="5">
        <f>PI()*0.005^2</f>
        <v>7.8539816339744827E-5</v>
      </c>
      <c r="I49">
        <v>1</v>
      </c>
      <c r="J49" s="40">
        <f t="shared" si="6"/>
        <v>7.8539816339744827E-9</v>
      </c>
      <c r="K49">
        <f>1/(60*60*24)</f>
        <v>1.1574074074074073E-5</v>
      </c>
      <c r="L49">
        <f>10/(60*60*24)</f>
        <v>1.1574074074074075E-4</v>
      </c>
      <c r="M49" s="34">
        <f>265*3</f>
        <v>795</v>
      </c>
      <c r="N49" s="34">
        <f>365*3</f>
        <v>1095</v>
      </c>
      <c r="O49">
        <v>0</v>
      </c>
      <c r="P49">
        <v>0</v>
      </c>
      <c r="Q49">
        <v>2</v>
      </c>
      <c r="R49">
        <v>0</v>
      </c>
      <c r="S49" s="34" t="s">
        <v>212</v>
      </c>
      <c r="T49" t="s">
        <v>213</v>
      </c>
      <c r="U49" t="s">
        <v>228</v>
      </c>
    </row>
    <row r="50" spans="1:21" ht="15.75" customHeight="1">
      <c r="A50" s="35">
        <v>16</v>
      </c>
      <c r="B50" s="37" t="s">
        <v>209</v>
      </c>
      <c r="C50" t="s">
        <v>208</v>
      </c>
      <c r="D50" s="35">
        <v>2010</v>
      </c>
      <c r="E50" s="35" t="s">
        <v>28</v>
      </c>
      <c r="F50" s="35" t="s">
        <v>210</v>
      </c>
      <c r="G50" s="34" t="s">
        <v>211</v>
      </c>
      <c r="H50">
        <f>0.3*10000</f>
        <v>3000</v>
      </c>
      <c r="I50">
        <v>1</v>
      </c>
      <c r="J50" s="39">
        <f t="shared" si="6"/>
        <v>0.3</v>
      </c>
      <c r="K50" s="34">
        <f>60/(24*60)</f>
        <v>4.1666666666666664E-2</v>
      </c>
      <c r="L50" s="34">
        <v>0</v>
      </c>
      <c r="M50" s="34">
        <f>K50</f>
        <v>4.1666666666666664E-2</v>
      </c>
      <c r="N50">
        <v>1</v>
      </c>
      <c r="O50">
        <v>1</v>
      </c>
      <c r="P50">
        <v>2</v>
      </c>
      <c r="Q50">
        <v>0</v>
      </c>
      <c r="R50">
        <v>1</v>
      </c>
      <c r="T50" t="s">
        <v>225</v>
      </c>
      <c r="U50" t="s">
        <v>214</v>
      </c>
    </row>
    <row r="51" spans="1:21" ht="15.75" customHeight="1">
      <c r="A51" s="35">
        <v>16</v>
      </c>
      <c r="B51" s="37" t="s">
        <v>209</v>
      </c>
      <c r="C51" t="s">
        <v>208</v>
      </c>
      <c r="D51" s="35">
        <v>2010</v>
      </c>
      <c r="E51" s="35" t="s">
        <v>28</v>
      </c>
      <c r="F51" s="35" t="s">
        <v>210</v>
      </c>
      <c r="G51" s="34" t="s">
        <v>211</v>
      </c>
      <c r="H51">
        <f>0.01*0.05</f>
        <v>5.0000000000000001E-4</v>
      </c>
      <c r="I51">
        <v>36</v>
      </c>
      <c r="J51" s="39">
        <f t="shared" si="6"/>
        <v>1.8000000000000001E-6</v>
      </c>
      <c r="K51" s="34">
        <f>15/(60*24)</f>
        <v>1.0416666666666666E-2</v>
      </c>
      <c r="L51" s="34">
        <v>0</v>
      </c>
      <c r="M51" s="34">
        <f>K51</f>
        <v>1.0416666666666666E-2</v>
      </c>
      <c r="N51">
        <v>1</v>
      </c>
      <c r="O51">
        <v>1</v>
      </c>
      <c r="P51">
        <v>0</v>
      </c>
      <c r="Q51">
        <v>1</v>
      </c>
      <c r="R51">
        <v>1</v>
      </c>
      <c r="T51" t="s">
        <v>225</v>
      </c>
      <c r="U51" t="s">
        <v>215</v>
      </c>
    </row>
    <row r="52" spans="1:21" ht="15.75" customHeight="1">
      <c r="A52" s="35">
        <v>16</v>
      </c>
      <c r="B52" s="37" t="s">
        <v>209</v>
      </c>
      <c r="C52" t="s">
        <v>208</v>
      </c>
      <c r="D52" s="35">
        <v>2010</v>
      </c>
      <c r="E52" s="35" t="s">
        <v>28</v>
      </c>
      <c r="F52" s="35" t="s">
        <v>210</v>
      </c>
      <c r="G52" s="34" t="s">
        <v>211</v>
      </c>
      <c r="H52">
        <v>0.42</v>
      </c>
      <c r="I52">
        <v>10</v>
      </c>
      <c r="J52" s="39">
        <f t="shared" si="6"/>
        <v>4.2000000000000002E-4</v>
      </c>
      <c r="K52">
        <v>30</v>
      </c>
      <c r="L52">
        <v>30</v>
      </c>
      <c r="M52" s="34">
        <f>15*K52</f>
        <v>450</v>
      </c>
      <c r="N52" s="34">
        <f>DATEDIF("1/5/2005", "1/10/2007", "d")</f>
        <v>883</v>
      </c>
      <c r="O52">
        <v>0</v>
      </c>
      <c r="P52">
        <v>0</v>
      </c>
      <c r="Q52">
        <v>1</v>
      </c>
      <c r="R52">
        <v>0</v>
      </c>
      <c r="S52" s="34" t="s">
        <v>212</v>
      </c>
      <c r="T52" t="s">
        <v>227</v>
      </c>
      <c r="U52" t="s">
        <v>216</v>
      </c>
    </row>
    <row r="53" spans="1:21" ht="15.75" customHeight="1">
      <c r="A53" s="35">
        <v>16</v>
      </c>
      <c r="B53" s="37" t="s">
        <v>209</v>
      </c>
      <c r="C53" t="s">
        <v>208</v>
      </c>
      <c r="D53" s="35">
        <v>2010</v>
      </c>
      <c r="E53" s="35" t="s">
        <v>28</v>
      </c>
      <c r="F53" s="35" t="s">
        <v>210</v>
      </c>
      <c r="G53" s="34" t="s">
        <v>211</v>
      </c>
      <c r="H53">
        <f>PI()*0.1^2</f>
        <v>3.1415926535897934E-2</v>
      </c>
      <c r="I53">
        <f>5+6+71</f>
        <v>82</v>
      </c>
      <c r="J53" s="39">
        <f t="shared" si="6"/>
        <v>2.5761059759436307E-4</v>
      </c>
      <c r="K53">
        <f>30/(60*24)</f>
        <v>2.0833333333333332E-2</v>
      </c>
      <c r="L53">
        <f>K53</f>
        <v>2.0833333333333332E-2</v>
      </c>
      <c r="M53">
        <f>DATEDIF("7/5/2006","30/9/2006","d")*K53</f>
        <v>3.0416666666666665</v>
      </c>
      <c r="N53">
        <f>DATEDIF("7/5/2006","30/9/2006","d")</f>
        <v>146</v>
      </c>
      <c r="O53">
        <v>0</v>
      </c>
      <c r="P53">
        <v>0</v>
      </c>
      <c r="Q53">
        <v>1</v>
      </c>
      <c r="R53">
        <v>0</v>
      </c>
      <c r="T53" t="s">
        <v>217</v>
      </c>
      <c r="U53" t="s">
        <v>218</v>
      </c>
    </row>
    <row r="54" spans="1:21" ht="15.75" customHeight="1">
      <c r="A54" s="35">
        <v>16</v>
      </c>
      <c r="B54" s="37" t="s">
        <v>209</v>
      </c>
      <c r="C54" t="s">
        <v>208</v>
      </c>
      <c r="D54" s="35">
        <v>2010</v>
      </c>
      <c r="E54" s="35" t="s">
        <v>28</v>
      </c>
      <c r="F54" s="35" t="s">
        <v>210</v>
      </c>
      <c r="G54" s="34" t="s">
        <v>211</v>
      </c>
      <c r="H54">
        <f>((0.1*0.1)*45+(0.01*0.02)*6+(0.1*0.1)*3+(0.005*0.4)*3)/57</f>
        <v>8.5473684210526334E-3</v>
      </c>
      <c r="I54">
        <f>45+6+3+3</f>
        <v>57</v>
      </c>
      <c r="J54" s="39">
        <f t="shared" si="6"/>
        <v>4.8720000000000008E-5</v>
      </c>
      <c r="K54" s="34">
        <f>5/(60*24)</f>
        <v>3.472222222222222E-3</v>
      </c>
      <c r="L54">
        <f>30</f>
        <v>30</v>
      </c>
      <c r="M54">
        <f>5*K54</f>
        <v>1.7361111111111112E-2</v>
      </c>
      <c r="N54">
        <f>DATEDIF("7/5/2006","30/9/2006","d")</f>
        <v>146</v>
      </c>
      <c r="O54">
        <v>1</v>
      </c>
      <c r="P54">
        <v>0</v>
      </c>
      <c r="Q54">
        <v>2</v>
      </c>
      <c r="R54">
        <v>0</v>
      </c>
      <c r="T54" t="s">
        <v>219</v>
      </c>
      <c r="U54" t="s">
        <v>220</v>
      </c>
    </row>
    <row r="55" spans="1:21" ht="15.75" customHeight="1">
      <c r="A55" s="35">
        <v>16</v>
      </c>
      <c r="B55" s="37" t="s">
        <v>209</v>
      </c>
      <c r="C55" t="s">
        <v>208</v>
      </c>
      <c r="D55" s="35">
        <v>2010</v>
      </c>
      <c r="E55" s="35" t="s">
        <v>28</v>
      </c>
      <c r="F55" s="35" t="s">
        <v>210</v>
      </c>
      <c r="G55" s="34" t="s">
        <v>211</v>
      </c>
      <c r="H55">
        <f>0.25*0.37</f>
        <v>9.2499999999999999E-2</v>
      </c>
      <c r="I55">
        <v>1</v>
      </c>
      <c r="J55" s="39">
        <f t="shared" si="6"/>
        <v>9.2499999999999995E-6</v>
      </c>
      <c r="K55">
        <f>30/(60*24)</f>
        <v>2.0833333333333332E-2</v>
      </c>
      <c r="L55">
        <f>K55</f>
        <v>2.0833333333333332E-2</v>
      </c>
      <c r="M55">
        <f>DATEDIF("1/11/2004","31/12/2007","d")*L55</f>
        <v>24.0625</v>
      </c>
      <c r="N55">
        <f>DATEDIF("1/11/2004","31/12/2007","d")</f>
        <v>1155</v>
      </c>
      <c r="O55">
        <v>0</v>
      </c>
      <c r="P55">
        <v>0</v>
      </c>
      <c r="Q55">
        <v>1</v>
      </c>
      <c r="R55">
        <v>0</v>
      </c>
      <c r="S55" s="34" t="s">
        <v>212</v>
      </c>
      <c r="T55" t="s">
        <v>229</v>
      </c>
      <c r="U55" t="s">
        <v>221</v>
      </c>
    </row>
    <row r="56" spans="1:21" ht="15.75" customHeight="1">
      <c r="A56" s="35">
        <v>16</v>
      </c>
      <c r="B56" s="37" t="s">
        <v>209</v>
      </c>
      <c r="C56" t="s">
        <v>208</v>
      </c>
      <c r="D56" s="35">
        <v>2010</v>
      </c>
      <c r="E56" s="35" t="s">
        <v>28</v>
      </c>
      <c r="F56" s="35" t="s">
        <v>210</v>
      </c>
      <c r="G56" s="34" t="s">
        <v>211</v>
      </c>
      <c r="H56">
        <v>1</v>
      </c>
      <c r="I56">
        <v>15</v>
      </c>
      <c r="J56" s="39">
        <f t="shared" si="6"/>
        <v>1.5E-3</v>
      </c>
      <c r="K56">
        <f>10/(60*24)</f>
        <v>6.9444444444444441E-3</v>
      </c>
      <c r="L56">
        <v>0</v>
      </c>
      <c r="M56">
        <f>K56</f>
        <v>6.9444444444444441E-3</v>
      </c>
      <c r="N56">
        <f>DATEDIF("7/5/2006","30/9/2006","d")</f>
        <v>146</v>
      </c>
      <c r="O56">
        <v>1</v>
      </c>
      <c r="P56">
        <v>1</v>
      </c>
      <c r="Q56">
        <v>0</v>
      </c>
      <c r="R56">
        <v>1</v>
      </c>
      <c r="T56" t="s">
        <v>222</v>
      </c>
      <c r="U56" t="s">
        <v>223</v>
      </c>
    </row>
    <row r="57" spans="1:21" ht="15.75" customHeight="1">
      <c r="A57" s="35">
        <v>16</v>
      </c>
      <c r="B57" s="37" t="s">
        <v>209</v>
      </c>
      <c r="C57" t="s">
        <v>208</v>
      </c>
      <c r="D57" s="35">
        <v>2010</v>
      </c>
      <c r="E57" s="35" t="s">
        <v>28</v>
      </c>
      <c r="F57" s="35" t="s">
        <v>210</v>
      </c>
      <c r="G57" s="34" t="s">
        <v>211</v>
      </c>
      <c r="H57" s="34">
        <f>201</f>
        <v>201</v>
      </c>
      <c r="I57" s="34">
        <v>5</v>
      </c>
      <c r="J57" s="40">
        <f t="shared" si="6"/>
        <v>0.10050000000000001</v>
      </c>
      <c r="K57">
        <f>60/(60*24)</f>
        <v>4.1666666666666664E-2</v>
      </c>
      <c r="L57">
        <v>30</v>
      </c>
      <c r="M57">
        <f>K57*3</f>
        <v>0.125</v>
      </c>
      <c r="N57">
        <f>DATEDIF("7/5/2006","30/9/2006","d")</f>
        <v>146</v>
      </c>
      <c r="O57">
        <v>0</v>
      </c>
      <c r="P57">
        <v>1</v>
      </c>
      <c r="Q57">
        <v>0</v>
      </c>
      <c r="R57">
        <v>0</v>
      </c>
      <c r="T57" t="s">
        <v>230</v>
      </c>
      <c r="U57" t="s">
        <v>224</v>
      </c>
    </row>
    <row r="58" spans="1:21" ht="15.75" customHeight="1">
      <c r="A58" s="35">
        <v>17</v>
      </c>
      <c r="B58" s="37" t="s">
        <v>231</v>
      </c>
      <c r="C58" t="s">
        <v>232</v>
      </c>
      <c r="D58" s="35">
        <v>2013</v>
      </c>
      <c r="E58" s="37" t="s">
        <v>234</v>
      </c>
      <c r="F58" s="35" t="s">
        <v>235</v>
      </c>
      <c r="G58" s="35" t="s">
        <v>236</v>
      </c>
      <c r="H58">
        <f>3*0.5</f>
        <v>1.5</v>
      </c>
      <c r="I58">
        <v>27</v>
      </c>
      <c r="J58" s="26">
        <f>(H58*460968)/10000</f>
        <v>69.145200000000003</v>
      </c>
      <c r="K58">
        <f>1/(60*60*24)</f>
        <v>1.1574074074074073E-5</v>
      </c>
      <c r="L58">
        <v>1.3159499442782856E-4</v>
      </c>
      <c r="M58">
        <v>0.19760288065843623</v>
      </c>
      <c r="N58">
        <f>DATEDIF("1/11/2002","1/12/2010","d")</f>
        <v>2952</v>
      </c>
      <c r="O58">
        <v>1</v>
      </c>
      <c r="P58">
        <v>1</v>
      </c>
      <c r="Q58">
        <v>1</v>
      </c>
      <c r="R58">
        <v>1</v>
      </c>
      <c r="S58" t="s">
        <v>244</v>
      </c>
      <c r="T58" t="s">
        <v>248</v>
      </c>
      <c r="U58" t="s">
        <v>247</v>
      </c>
    </row>
    <row r="59" spans="1:21" ht="15.75" customHeight="1">
      <c r="A59" s="35">
        <v>18</v>
      </c>
      <c r="B59" s="37" t="s">
        <v>94</v>
      </c>
      <c r="C59" t="s">
        <v>249</v>
      </c>
      <c r="D59" s="35">
        <v>2005</v>
      </c>
      <c r="E59" s="37" t="s">
        <v>28</v>
      </c>
      <c r="F59" s="35" t="s">
        <v>250</v>
      </c>
      <c r="G59" s="35" t="s">
        <v>251</v>
      </c>
      <c r="H59">
        <f>PI()*0.1^2</f>
        <v>3.1415926535897934E-2</v>
      </c>
      <c r="I59">
        <f>189</f>
        <v>189</v>
      </c>
      <c r="J59" s="40">
        <f t="shared" ref="J59:J61" si="7">(H59*I59)/10000</f>
        <v>5.9376101152847094E-4</v>
      </c>
      <c r="K59">
        <f>10/(60*24)</f>
        <v>6.9444444444444441E-3</v>
      </c>
      <c r="L59">
        <f>DATEDIF("1/1/1998","1/1/2003","d")</f>
        <v>1826</v>
      </c>
      <c r="M59">
        <f>K59*2*I59</f>
        <v>2.625</v>
      </c>
      <c r="N59">
        <f>DATEDIF("1/1/1998","1/5/2003","d")</f>
        <v>1946</v>
      </c>
      <c r="O59">
        <v>1</v>
      </c>
      <c r="P59">
        <v>2</v>
      </c>
      <c r="Q59">
        <v>1</v>
      </c>
      <c r="R59">
        <v>0</v>
      </c>
      <c r="T59" t="s">
        <v>230</v>
      </c>
      <c r="U59" t="s">
        <v>253</v>
      </c>
    </row>
    <row r="60" spans="1:21" ht="15.75" customHeight="1">
      <c r="A60" s="35">
        <v>18</v>
      </c>
      <c r="B60" s="37" t="s">
        <v>94</v>
      </c>
      <c r="C60" t="s">
        <v>249</v>
      </c>
      <c r="D60" s="35">
        <v>2005</v>
      </c>
      <c r="E60" s="37" t="s">
        <v>28</v>
      </c>
      <c r="F60" s="35" t="s">
        <v>250</v>
      </c>
      <c r="G60" s="35" t="s">
        <v>251</v>
      </c>
      <c r="H60">
        <f>PI()*0.1^2</f>
        <v>3.1415926535897934E-2</v>
      </c>
      <c r="I60">
        <f>64+168</f>
        <v>232</v>
      </c>
      <c r="J60" s="40">
        <f t="shared" si="7"/>
        <v>7.2884949563283203E-4</v>
      </c>
      <c r="K60">
        <f>10/(60*24)</f>
        <v>6.9444444444444441E-3</v>
      </c>
      <c r="L60">
        <v>0</v>
      </c>
      <c r="M60">
        <f>K60*I60</f>
        <v>1.6111111111111109</v>
      </c>
      <c r="N60">
        <f>DATEDIF("11/3/2003","10/4/2003","d")</f>
        <v>30</v>
      </c>
      <c r="O60">
        <v>1</v>
      </c>
      <c r="P60">
        <v>1</v>
      </c>
      <c r="Q60">
        <v>1</v>
      </c>
      <c r="R60">
        <v>1</v>
      </c>
      <c r="T60" t="s">
        <v>219</v>
      </c>
      <c r="U60" t="s">
        <v>252</v>
      </c>
    </row>
    <row r="61" spans="1:21" ht="15.75" customHeight="1">
      <c r="A61" s="35">
        <v>19</v>
      </c>
      <c r="B61" s="37" t="s">
        <v>209</v>
      </c>
      <c r="C61" t="s">
        <v>255</v>
      </c>
      <c r="D61" s="35">
        <v>2012</v>
      </c>
      <c r="E61" s="37" t="s">
        <v>28</v>
      </c>
      <c r="F61" s="35" t="s">
        <v>256</v>
      </c>
      <c r="G61" s="35" t="s">
        <v>257</v>
      </c>
      <c r="H61">
        <f>AVERAGE(0.012, 0.05)*10000</f>
        <v>310</v>
      </c>
      <c r="I61">
        <v>60</v>
      </c>
      <c r="J61" s="40">
        <f t="shared" si="7"/>
        <v>1.86</v>
      </c>
      <c r="K61">
        <f>30/(60*24)</f>
        <v>2.0833333333333332E-2</v>
      </c>
      <c r="L61">
        <v>365</v>
      </c>
      <c r="M61">
        <f>K61*I61*3</f>
        <v>3.75</v>
      </c>
      <c r="N61">
        <f>DATEDIF("1/6/2009","31/8/2011","d")</f>
        <v>821</v>
      </c>
      <c r="O61">
        <v>1</v>
      </c>
      <c r="P61">
        <v>2</v>
      </c>
      <c r="Q61">
        <v>0</v>
      </c>
      <c r="R61">
        <v>0</v>
      </c>
      <c r="T61" t="s">
        <v>258</v>
      </c>
      <c r="U61" t="s">
        <v>259</v>
      </c>
    </row>
    <row r="62" spans="1:21" ht="15.75" customHeight="1">
      <c r="A62" s="35">
        <v>19</v>
      </c>
      <c r="B62" s="37" t="s">
        <v>209</v>
      </c>
      <c r="C62" t="s">
        <v>255</v>
      </c>
      <c r="D62" s="35">
        <v>2012</v>
      </c>
      <c r="E62" s="37" t="s">
        <v>125</v>
      </c>
      <c r="F62" s="35" t="s">
        <v>256</v>
      </c>
      <c r="G62" s="35" t="s">
        <v>257</v>
      </c>
      <c r="H62">
        <f>30*30</f>
        <v>900</v>
      </c>
      <c r="I62" s="35">
        <f>(185*170*1000)/30</f>
        <v>1048333.3333333334</v>
      </c>
      <c r="J62">
        <f>(185000*170000)/10000</f>
        <v>3145000</v>
      </c>
      <c r="K62">
        <f>1/(60*60*24)</f>
        <v>1.1574074074074073E-5</v>
      </c>
      <c r="L62">
        <v>0</v>
      </c>
      <c r="M62">
        <f>K62</f>
        <v>1.1574074074074073E-5</v>
      </c>
      <c r="N62">
        <v>1</v>
      </c>
      <c r="O62">
        <v>0</v>
      </c>
      <c r="P62">
        <v>2</v>
      </c>
      <c r="Q62">
        <v>0</v>
      </c>
      <c r="R62">
        <v>0</v>
      </c>
      <c r="U62" t="s">
        <v>260</v>
      </c>
    </row>
    <row r="63" spans="1:21" ht="15.75" customHeight="1">
      <c r="A63" s="35">
        <v>20</v>
      </c>
      <c r="B63" s="37" t="s">
        <v>181</v>
      </c>
      <c r="C63" t="s">
        <v>264</v>
      </c>
      <c r="D63" s="35">
        <v>2005</v>
      </c>
      <c r="E63" s="37" t="s">
        <v>28</v>
      </c>
      <c r="F63" s="35" t="s">
        <v>265</v>
      </c>
      <c r="G63" s="35" t="s">
        <v>266</v>
      </c>
      <c r="H63">
        <f>PI()*0.09^2</f>
        <v>2.5446900494077322E-2</v>
      </c>
      <c r="I63">
        <v>7</v>
      </c>
      <c r="J63" s="40">
        <f t="shared" ref="J63:J73" si="8">(H63*I63)/10000</f>
        <v>1.7812830345854125E-5</v>
      </c>
      <c r="K63">
        <v>1</v>
      </c>
      <c r="L63">
        <v>30</v>
      </c>
      <c r="M63">
        <f>K63*19</f>
        <v>19</v>
      </c>
      <c r="N63" s="34">
        <f>DATEDIF("1/3/2001", "30/6/2002", "d")</f>
        <v>486</v>
      </c>
      <c r="O63">
        <v>0</v>
      </c>
      <c r="P63">
        <v>0</v>
      </c>
      <c r="Q63">
        <v>1</v>
      </c>
      <c r="R63">
        <v>0</v>
      </c>
      <c r="S63" t="s">
        <v>269</v>
      </c>
      <c r="T63" t="s">
        <v>268</v>
      </c>
      <c r="U63" t="s">
        <v>267</v>
      </c>
    </row>
    <row r="64" spans="1:21" ht="15.75" customHeight="1">
      <c r="A64" s="35">
        <v>20</v>
      </c>
      <c r="B64" s="37" t="s">
        <v>181</v>
      </c>
      <c r="C64" t="s">
        <v>264</v>
      </c>
      <c r="D64" s="35">
        <v>2005</v>
      </c>
      <c r="E64" s="37" t="s">
        <v>28</v>
      </c>
      <c r="F64" s="35" t="s">
        <v>265</v>
      </c>
      <c r="G64" s="35" t="s">
        <v>266</v>
      </c>
      <c r="H64">
        <f>PI()*0.375^2</f>
        <v>0.44178646691106466</v>
      </c>
      <c r="I64">
        <v>32</v>
      </c>
      <c r="J64" s="40">
        <f t="shared" si="8"/>
        <v>1.4137166941154068E-3</v>
      </c>
      <c r="K64">
        <f>(18*2)*(1/(60*60*24))</f>
        <v>4.1666666666666664E-4</v>
      </c>
      <c r="L64">
        <v>0</v>
      </c>
      <c r="M64">
        <f>K64</f>
        <v>4.1666666666666664E-4</v>
      </c>
      <c r="N64">
        <v>1</v>
      </c>
      <c r="O64">
        <v>0</v>
      </c>
      <c r="P64">
        <v>0</v>
      </c>
      <c r="Q64">
        <v>2</v>
      </c>
      <c r="R64">
        <v>0</v>
      </c>
      <c r="T64" t="s">
        <v>219</v>
      </c>
      <c r="U64" t="s">
        <v>270</v>
      </c>
    </row>
    <row r="65" spans="1:21" ht="15.75" customHeight="1">
      <c r="A65" s="35">
        <v>20</v>
      </c>
      <c r="B65" s="37" t="s">
        <v>181</v>
      </c>
      <c r="C65" t="s">
        <v>264</v>
      </c>
      <c r="D65" s="35">
        <v>2005</v>
      </c>
      <c r="E65" s="37" t="s">
        <v>28</v>
      </c>
      <c r="F65" s="35" t="s">
        <v>265</v>
      </c>
      <c r="G65" s="35" t="s">
        <v>266</v>
      </c>
      <c r="H65">
        <f>PI()*0.375^2</f>
        <v>0.44178646691106466</v>
      </c>
      <c r="I65">
        <v>11</v>
      </c>
      <c r="J65" s="40">
        <f t="shared" si="8"/>
        <v>4.8596511360217117E-4</v>
      </c>
      <c r="K65">
        <f>(18*2)*(1/(60*60*24))</f>
        <v>4.1666666666666664E-4</v>
      </c>
      <c r="L65">
        <v>0</v>
      </c>
      <c r="M65">
        <f>K65</f>
        <v>4.1666666666666664E-4</v>
      </c>
      <c r="N65" s="34">
        <f>DATEDIF("3/3/2002", "27/6/2002", "d")</f>
        <v>116</v>
      </c>
      <c r="O65">
        <v>0</v>
      </c>
      <c r="P65">
        <v>0</v>
      </c>
      <c r="Q65">
        <v>2</v>
      </c>
      <c r="R65">
        <v>0</v>
      </c>
      <c r="T65" t="s">
        <v>219</v>
      </c>
      <c r="U65" t="s">
        <v>271</v>
      </c>
    </row>
    <row r="66" spans="1:21" ht="15.75" customHeight="1">
      <c r="A66" s="35">
        <v>20</v>
      </c>
      <c r="B66" s="37" t="s">
        <v>181</v>
      </c>
      <c r="C66" t="s">
        <v>264</v>
      </c>
      <c r="D66" s="35">
        <v>2005</v>
      </c>
      <c r="E66" s="37" t="s">
        <v>234</v>
      </c>
      <c r="F66" s="35" t="s">
        <v>265</v>
      </c>
      <c r="G66" s="35" t="s">
        <v>266</v>
      </c>
      <c r="H66">
        <f>PI()*0.15^2</f>
        <v>7.0685834705770348E-2</v>
      </c>
      <c r="I66">
        <f>4*9</f>
        <v>36</v>
      </c>
      <c r="J66" s="40">
        <f t="shared" si="8"/>
        <v>2.5446900494077327E-4</v>
      </c>
      <c r="K66" s="51">
        <f>(2/(24*60))*(AVERAGE(18,35,37,20,13,33,33,16)/4)</f>
        <v>8.8975694444444441E-3</v>
      </c>
      <c r="L66">
        <v>0</v>
      </c>
      <c r="M66" s="51">
        <f>K66</f>
        <v>8.8975694444444441E-3</v>
      </c>
      <c r="N66" s="34">
        <f>DATEDIF("1/3/2002", "25/6/2002", "d")</f>
        <v>116</v>
      </c>
      <c r="O66">
        <v>0</v>
      </c>
      <c r="P66">
        <v>0</v>
      </c>
      <c r="Q66">
        <v>1</v>
      </c>
      <c r="R66">
        <v>0</v>
      </c>
      <c r="T66" t="s">
        <v>137</v>
      </c>
      <c r="U66" t="s">
        <v>272</v>
      </c>
    </row>
    <row r="67" spans="1:21" ht="15.75" customHeight="1">
      <c r="A67" s="35">
        <v>20</v>
      </c>
      <c r="B67" s="37" t="s">
        <v>181</v>
      </c>
      <c r="C67" t="s">
        <v>264</v>
      </c>
      <c r="D67" s="35">
        <v>2005</v>
      </c>
      <c r="E67" s="37" t="s">
        <v>28</v>
      </c>
      <c r="F67" s="35" t="s">
        <v>265</v>
      </c>
      <c r="G67" s="35" t="s">
        <v>266</v>
      </c>
      <c r="H67">
        <f>PI()*0.005^2</f>
        <v>7.8539816339744827E-5</v>
      </c>
      <c r="I67">
        <f>5*5*4</f>
        <v>100</v>
      </c>
      <c r="J67" s="52">
        <f t="shared" si="8"/>
        <v>7.8539816339744833E-7</v>
      </c>
      <c r="K67">
        <v>1</v>
      </c>
      <c r="L67" s="34">
        <f>AVERAGE(DATEDIF("4/3/2002", "20/6/2002", "d"), DATEDIF("6/3/2002", "22/6/2002", "d"), DATEDIF("8/3/2002", "18/6/2002", "d"), DATEDIF("10/3/2002", "24/6/2002", "d"))</f>
        <v>106</v>
      </c>
      <c r="M67">
        <f>K67*2</f>
        <v>2</v>
      </c>
      <c r="N67" s="34">
        <f>DATEDIF("3/3/2002", "27/6/2002", "d")</f>
        <v>116</v>
      </c>
      <c r="O67">
        <v>0</v>
      </c>
      <c r="P67">
        <v>0</v>
      </c>
      <c r="Q67">
        <v>2</v>
      </c>
      <c r="R67">
        <v>0</v>
      </c>
      <c r="T67" t="s">
        <v>217</v>
      </c>
      <c r="U67" t="s">
        <v>273</v>
      </c>
    </row>
    <row r="68" spans="1:21" ht="15.75" customHeight="1">
      <c r="A68" s="35">
        <v>20</v>
      </c>
      <c r="B68" s="37" t="s">
        <v>181</v>
      </c>
      <c r="C68" t="s">
        <v>264</v>
      </c>
      <c r="D68" s="35">
        <v>2005</v>
      </c>
      <c r="E68" s="37" t="s">
        <v>28</v>
      </c>
      <c r="F68" s="35" t="s">
        <v>265</v>
      </c>
      <c r="G68" s="35" t="s">
        <v>266</v>
      </c>
      <c r="H68">
        <f>PI()*0.375^2</f>
        <v>0.44178646691106466</v>
      </c>
      <c r="I68">
        <v>22</v>
      </c>
      <c r="J68" s="40">
        <f t="shared" si="8"/>
        <v>9.7193022720434234E-4</v>
      </c>
      <c r="K68">
        <f>(18*2)*(1/(60*60*24))</f>
        <v>4.1666666666666664E-4</v>
      </c>
      <c r="L68" s="34">
        <f>DATEDIF("10/3/2002", "18/6/2002", "d")</f>
        <v>100</v>
      </c>
      <c r="M68">
        <f>K68</f>
        <v>4.1666666666666664E-4</v>
      </c>
      <c r="N68" s="34">
        <f>DATEDIF("3/3/2002", "27/6/2002", "d")</f>
        <v>116</v>
      </c>
      <c r="O68">
        <v>0</v>
      </c>
      <c r="P68">
        <v>0</v>
      </c>
      <c r="Q68">
        <v>1</v>
      </c>
      <c r="R68">
        <v>0</v>
      </c>
      <c r="T68" t="s">
        <v>219</v>
      </c>
      <c r="U68" t="s">
        <v>274</v>
      </c>
    </row>
    <row r="69" spans="1:21" ht="15.75" customHeight="1">
      <c r="A69" s="35">
        <v>20</v>
      </c>
      <c r="B69" s="37" t="s">
        <v>181</v>
      </c>
      <c r="C69" t="s">
        <v>264</v>
      </c>
      <c r="D69" s="35">
        <v>2005</v>
      </c>
      <c r="E69" s="37" t="s">
        <v>28</v>
      </c>
      <c r="F69" s="35" t="s">
        <v>265</v>
      </c>
      <c r="G69" s="35" t="s">
        <v>266</v>
      </c>
      <c r="H69">
        <f>PI()*0.015^2</f>
        <v>7.0685834705770342E-4</v>
      </c>
      <c r="I69">
        <f>5*5*4</f>
        <v>100</v>
      </c>
      <c r="J69" s="52">
        <f t="shared" si="8"/>
        <v>7.0685834705770352E-6</v>
      </c>
      <c r="K69">
        <f>30/(60*60*24)</f>
        <v>3.4722222222222224E-4</v>
      </c>
      <c r="L69" s="34">
        <f>AVERAGE(DATEDIF("4/3/2002", "20/6/2002", "d"), DATEDIF("6/3/2002", "22/6/2002", "d"), DATEDIF("8/3/2002", "18/6/2002", "d"), DATEDIF("10/3/2002", "24/6/2002", "d"))</f>
        <v>106</v>
      </c>
      <c r="M69">
        <f>K69*2</f>
        <v>6.9444444444444447E-4</v>
      </c>
      <c r="N69" s="34">
        <f>DATEDIF("3/3/2002", "27/6/2002", "d")</f>
        <v>116</v>
      </c>
      <c r="O69">
        <v>0</v>
      </c>
      <c r="P69">
        <v>0</v>
      </c>
      <c r="Q69">
        <v>1</v>
      </c>
      <c r="R69">
        <v>0</v>
      </c>
      <c r="T69" t="s">
        <v>75</v>
      </c>
      <c r="U69" t="s">
        <v>275</v>
      </c>
    </row>
    <row r="70" spans="1:21" ht="15.75" customHeight="1">
      <c r="A70" s="35">
        <v>20</v>
      </c>
      <c r="B70" s="37" t="s">
        <v>181</v>
      </c>
      <c r="C70" t="s">
        <v>264</v>
      </c>
      <c r="D70" s="35">
        <v>2005</v>
      </c>
      <c r="E70" s="37" t="s">
        <v>234</v>
      </c>
      <c r="F70" s="35" t="s">
        <v>265</v>
      </c>
      <c r="G70" s="35" t="s">
        <v>266</v>
      </c>
      <c r="H70">
        <f>PI()*0.015^2</f>
        <v>7.0685834705770342E-4</v>
      </c>
      <c r="I70">
        <f>4*12</f>
        <v>48</v>
      </c>
      <c r="J70" s="52">
        <f t="shared" si="8"/>
        <v>3.3929200658769768E-6</v>
      </c>
      <c r="K70">
        <f>1/(3600*24)</f>
        <v>1.1574074074074073E-5</v>
      </c>
      <c r="L70">
        <f>AVERAGE(2, 2, 2, 2, 100, 2, 2, 2, 2)</f>
        <v>12.888888888888889</v>
      </c>
      <c r="M70">
        <f>K70</f>
        <v>1.1574074074074073E-5</v>
      </c>
      <c r="N70" s="34">
        <f>DATEDIF("1/3/2002", "25/6/2002", "d")</f>
        <v>116</v>
      </c>
      <c r="O70">
        <v>0</v>
      </c>
      <c r="P70">
        <v>0</v>
      </c>
      <c r="Q70">
        <v>1</v>
      </c>
      <c r="R70">
        <v>0</v>
      </c>
      <c r="T70" t="s">
        <v>277</v>
      </c>
      <c r="U70" t="s">
        <v>276</v>
      </c>
    </row>
    <row r="71" spans="1:21" ht="15.75" customHeight="1">
      <c r="A71" s="35">
        <v>20</v>
      </c>
      <c r="B71" s="37" t="s">
        <v>181</v>
      </c>
      <c r="C71" t="s">
        <v>264</v>
      </c>
      <c r="D71" s="35">
        <v>2005</v>
      </c>
      <c r="E71" s="37" t="s">
        <v>234</v>
      </c>
      <c r="F71" s="35" t="s">
        <v>265</v>
      </c>
      <c r="G71" s="35" t="s">
        <v>266</v>
      </c>
      <c r="H71">
        <f>PI()*0.1^2</f>
        <v>3.1415926535897934E-2</v>
      </c>
      <c r="I71">
        <f>60*20</f>
        <v>1200</v>
      </c>
      <c r="J71" s="52">
        <f t="shared" si="8"/>
        <v>3.7699111843077517E-3</v>
      </c>
      <c r="K71">
        <f>1/(3600*24)</f>
        <v>1.1574074074074073E-5</v>
      </c>
      <c r="L71">
        <f>AVERAGE(2, 2, 2, 1, 99, 2, 2, 1, 1)</f>
        <v>12.444444444444445</v>
      </c>
      <c r="M71">
        <f>K71</f>
        <v>1.1574074074074073E-5</v>
      </c>
      <c r="N71" s="34">
        <f>DATEDIF("1/3/2002", "27/6/2002", "d")</f>
        <v>118</v>
      </c>
      <c r="O71">
        <v>0</v>
      </c>
      <c r="P71">
        <v>0</v>
      </c>
      <c r="Q71">
        <v>2</v>
      </c>
      <c r="R71">
        <v>0</v>
      </c>
      <c r="T71" t="s">
        <v>191</v>
      </c>
      <c r="U71" t="s">
        <v>278</v>
      </c>
    </row>
    <row r="72" spans="1:21" ht="15.75" customHeight="1">
      <c r="A72" s="35">
        <v>20</v>
      </c>
      <c r="B72" s="37" t="s">
        <v>181</v>
      </c>
      <c r="C72" t="s">
        <v>264</v>
      </c>
      <c r="D72" s="35">
        <v>2005</v>
      </c>
      <c r="E72" s="37" t="s">
        <v>234</v>
      </c>
      <c r="F72" s="35" t="s">
        <v>265</v>
      </c>
      <c r="G72" s="35" t="s">
        <v>266</v>
      </c>
      <c r="H72">
        <f>PI()*0.075^2</f>
        <v>1.7671458676442587E-2</v>
      </c>
      <c r="I72">
        <f>(12*60)*20</f>
        <v>14400</v>
      </c>
      <c r="J72" s="52">
        <f t="shared" si="8"/>
        <v>2.5446900494077326E-2</v>
      </c>
      <c r="K72">
        <f>1/(3600*24)</f>
        <v>1.1574074074074073E-5</v>
      </c>
      <c r="L72">
        <f>AVERAGE(2, 2, 2, 1, 99, 2, 2, 1, 1)</f>
        <v>12.444444444444445</v>
      </c>
      <c r="M72">
        <f>K72</f>
        <v>1.1574074074074073E-5</v>
      </c>
      <c r="N72" s="34">
        <f>DATEDIF("1/3/2002", "12/3/2002", "d")</f>
        <v>11</v>
      </c>
      <c r="O72">
        <v>0</v>
      </c>
      <c r="P72">
        <v>0</v>
      </c>
      <c r="Q72">
        <v>1</v>
      </c>
      <c r="R72">
        <v>0</v>
      </c>
      <c r="T72" t="s">
        <v>191</v>
      </c>
      <c r="U72" t="s">
        <v>279</v>
      </c>
    </row>
    <row r="73" spans="1:21" ht="15.75" customHeight="1">
      <c r="A73" s="35">
        <v>20</v>
      </c>
      <c r="B73" s="37" t="s">
        <v>181</v>
      </c>
      <c r="C73" t="s">
        <v>264</v>
      </c>
      <c r="D73" s="35">
        <v>2005</v>
      </c>
      <c r="E73" s="37" t="s">
        <v>234</v>
      </c>
      <c r="F73" s="35" t="s">
        <v>265</v>
      </c>
      <c r="G73" s="35" t="s">
        <v>266</v>
      </c>
      <c r="H73">
        <f>PI()*0.075^2</f>
        <v>1.7671458676442587E-2</v>
      </c>
      <c r="I73">
        <f>(60)*20</f>
        <v>1200</v>
      </c>
      <c r="J73" s="52">
        <f t="shared" si="8"/>
        <v>2.1205750411731105E-3</v>
      </c>
      <c r="K73">
        <f>1/(3600*24)</f>
        <v>1.1574074074074073E-5</v>
      </c>
      <c r="L73">
        <f>AVERAGE(2, 2, 2, 1, 99, 2, 2, 1, 1)</f>
        <v>12.444444444444445</v>
      </c>
      <c r="M73">
        <f>K73</f>
        <v>1.1574074074074073E-5</v>
      </c>
      <c r="N73" s="34">
        <f>DATEDIF("1/3/2002", "12/3/2002", "d")</f>
        <v>11</v>
      </c>
      <c r="O73">
        <v>0</v>
      </c>
      <c r="P73">
        <v>0</v>
      </c>
      <c r="Q73">
        <v>1</v>
      </c>
      <c r="R73">
        <v>0</v>
      </c>
      <c r="T73" t="s">
        <v>191</v>
      </c>
      <c r="U73" t="s">
        <v>280</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4"/>
  <sheetViews>
    <sheetView workbookViewId="0">
      <selection activeCell="C20" sqref="C20"/>
    </sheetView>
  </sheetViews>
  <sheetFormatPr baseColWidth="10" defaultColWidth="17.33203125" defaultRowHeight="15.75" customHeight="1" x14ac:dyDescent="0"/>
  <cols>
    <col min="1" max="1" width="9.6640625" customWidth="1"/>
    <col min="2" max="2" width="9.5" customWidth="1"/>
    <col min="3" max="3" width="10.5" customWidth="1"/>
    <col min="4" max="4" width="11" customWidth="1"/>
    <col min="5" max="5" width="14.5" customWidth="1"/>
    <col min="6" max="6" width="14.6640625" customWidth="1"/>
    <col min="7" max="7" width="9.83203125" customWidth="1"/>
    <col min="8" max="8" width="8" customWidth="1"/>
    <col min="9" max="9" width="14.5" customWidth="1"/>
    <col min="10" max="10" width="16.5" customWidth="1"/>
    <col min="11" max="11" width="15.1640625" customWidth="1"/>
    <col min="12" max="12" width="14.5" customWidth="1"/>
    <col min="13" max="14" width="11.83203125" customWidth="1"/>
    <col min="15" max="15" width="8.6640625" customWidth="1"/>
    <col min="16" max="16" width="7.83203125" customWidth="1"/>
    <col min="17" max="19" width="10.6640625" customWidth="1"/>
    <col min="20" max="20" width="41.5" customWidth="1"/>
    <col min="21" max="30" width="14.5" customWidth="1"/>
  </cols>
  <sheetData>
    <row r="1" spans="1:30" ht="15.75" customHeight="1">
      <c r="A1" s="1"/>
      <c r="B1" s="1"/>
      <c r="C1" s="1"/>
      <c r="D1" s="1"/>
      <c r="E1" s="1"/>
      <c r="F1" s="1"/>
      <c r="G1" s="1" t="s">
        <v>0</v>
      </c>
      <c r="H1" s="1" t="s">
        <v>1</v>
      </c>
      <c r="I1" s="1" t="s">
        <v>2</v>
      </c>
      <c r="J1" s="1" t="s">
        <v>3</v>
      </c>
      <c r="K1" s="1" t="s">
        <v>3</v>
      </c>
      <c r="L1" s="1" t="s">
        <v>3</v>
      </c>
      <c r="M1" s="2" t="s">
        <v>3</v>
      </c>
      <c r="N1" s="1"/>
      <c r="O1" s="1"/>
      <c r="P1" s="1"/>
      <c r="Q1" s="1"/>
      <c r="R1" s="1"/>
      <c r="S1" s="1"/>
      <c r="T1" s="1"/>
      <c r="U1" s="1"/>
      <c r="V1" s="1"/>
      <c r="W1" s="1"/>
      <c r="X1" s="1"/>
      <c r="Y1" s="1"/>
      <c r="Z1" s="1"/>
      <c r="AA1" s="1"/>
      <c r="AB1" s="1"/>
      <c r="AC1" s="1"/>
      <c r="AD1" s="1"/>
    </row>
    <row r="2" spans="1:30" ht="25.5" customHeight="1">
      <c r="A2" s="3" t="s">
        <v>7</v>
      </c>
      <c r="B2" s="3" t="s">
        <v>110</v>
      </c>
      <c r="C2" s="3" t="s">
        <v>8</v>
      </c>
      <c r="D2" s="3" t="s">
        <v>9</v>
      </c>
      <c r="E2" s="3" t="s">
        <v>10</v>
      </c>
      <c r="F2" s="3" t="s">
        <v>11</v>
      </c>
      <c r="G2" s="3" t="s">
        <v>12</v>
      </c>
      <c r="H2" s="3" t="s">
        <v>13</v>
      </c>
      <c r="I2" s="3" t="s">
        <v>14</v>
      </c>
      <c r="J2" s="3" t="s">
        <v>15</v>
      </c>
      <c r="K2" s="3" t="s">
        <v>16</v>
      </c>
      <c r="L2" s="3" t="s">
        <v>17</v>
      </c>
      <c r="M2" s="4" t="s">
        <v>18</v>
      </c>
      <c r="N2" s="3" t="s">
        <v>19</v>
      </c>
      <c r="O2" s="3" t="s">
        <v>20</v>
      </c>
      <c r="P2" s="3" t="s">
        <v>21</v>
      </c>
      <c r="Q2" s="3" t="s">
        <v>22</v>
      </c>
      <c r="R2" s="3" t="s">
        <v>23</v>
      </c>
      <c r="S2" s="3" t="s">
        <v>24</v>
      </c>
      <c r="T2" s="3" t="s">
        <v>25</v>
      </c>
      <c r="U2" s="10" t="s">
        <v>39</v>
      </c>
      <c r="V2" s="1"/>
      <c r="W2" s="1"/>
      <c r="X2" s="1"/>
      <c r="Y2" s="1"/>
      <c r="Z2" s="1"/>
      <c r="AA2" s="1"/>
      <c r="AB2" s="1"/>
      <c r="AC2" s="1"/>
      <c r="AD2" s="1"/>
    </row>
    <row r="3" spans="1:30" s="15" customFormat="1" ht="12" customHeight="1">
      <c r="A3" s="11" t="s">
        <v>37</v>
      </c>
      <c r="B3" s="12" t="s">
        <v>36</v>
      </c>
      <c r="C3" s="12">
        <v>2013</v>
      </c>
      <c r="D3" s="11"/>
      <c r="E3" s="11"/>
      <c r="F3" s="11"/>
      <c r="G3" s="12"/>
      <c r="H3" s="12"/>
      <c r="I3" s="13"/>
      <c r="J3" s="12"/>
      <c r="K3" s="12"/>
      <c r="L3" s="12"/>
      <c r="M3" s="12"/>
      <c r="N3" s="12"/>
      <c r="O3" s="12"/>
      <c r="P3" s="12"/>
      <c r="Q3" s="12"/>
      <c r="R3" s="12"/>
      <c r="S3" s="12"/>
      <c r="T3" s="11" t="s">
        <v>38</v>
      </c>
      <c r="U3" s="11" t="s">
        <v>40</v>
      </c>
      <c r="V3" s="14"/>
      <c r="W3" s="14"/>
      <c r="X3" s="14"/>
      <c r="Y3" s="14"/>
      <c r="Z3" s="14"/>
      <c r="AA3" s="14"/>
      <c r="AB3" s="14"/>
      <c r="AC3" s="14"/>
      <c r="AD3" s="14"/>
    </row>
    <row r="4" spans="1:30" s="15" customFormat="1" ht="12" customHeight="1">
      <c r="A4" s="11" t="s">
        <v>57</v>
      </c>
      <c r="B4" s="16" t="s">
        <v>58</v>
      </c>
      <c r="C4" s="12">
        <v>2013</v>
      </c>
      <c r="D4" s="11" t="s">
        <v>43</v>
      </c>
      <c r="E4" s="11" t="s">
        <v>59</v>
      </c>
      <c r="F4" s="11" t="s">
        <v>60</v>
      </c>
      <c r="G4" s="12"/>
      <c r="H4" s="12"/>
      <c r="I4" s="12"/>
      <c r="J4" s="12"/>
      <c r="K4" s="12"/>
      <c r="L4" s="12"/>
      <c r="M4" s="12"/>
      <c r="N4" s="12"/>
      <c r="O4" s="12"/>
      <c r="P4" s="12"/>
      <c r="Q4" s="12"/>
      <c r="R4" s="12"/>
      <c r="S4" s="12"/>
      <c r="T4" s="12"/>
      <c r="U4" s="11" t="s">
        <v>61</v>
      </c>
      <c r="V4" s="14"/>
      <c r="W4" s="14"/>
      <c r="X4" s="14"/>
      <c r="Y4" s="14"/>
      <c r="Z4" s="14"/>
      <c r="AA4" s="14"/>
      <c r="AB4" s="14"/>
      <c r="AC4" s="14"/>
      <c r="AD4" s="14"/>
    </row>
    <row r="5" spans="1:30" s="15" customFormat="1" ht="12" customHeight="1">
      <c r="A5" s="11" t="s">
        <v>41</v>
      </c>
      <c r="B5" s="12" t="s">
        <v>78</v>
      </c>
      <c r="C5" s="12">
        <v>2007</v>
      </c>
      <c r="D5" s="11" t="s">
        <v>28</v>
      </c>
      <c r="E5" s="11" t="s">
        <v>79</v>
      </c>
      <c r="F5" s="11" t="s">
        <v>80</v>
      </c>
      <c r="G5" s="12"/>
      <c r="H5" s="12"/>
      <c r="I5" s="12"/>
      <c r="J5" s="12"/>
      <c r="K5" s="12"/>
      <c r="L5" s="12"/>
      <c r="M5" s="12"/>
      <c r="N5" s="12"/>
      <c r="O5" s="12"/>
      <c r="P5" s="12"/>
      <c r="Q5" s="12"/>
      <c r="R5" s="12"/>
      <c r="S5" s="12"/>
      <c r="T5" s="12"/>
      <c r="U5" s="11" t="s">
        <v>81</v>
      </c>
      <c r="V5" s="14"/>
      <c r="W5" s="14"/>
      <c r="X5" s="14"/>
      <c r="Y5" s="14"/>
      <c r="Z5" s="14"/>
      <c r="AA5" s="14"/>
      <c r="AB5" s="14"/>
      <c r="AC5" s="14"/>
      <c r="AD5" s="14"/>
    </row>
    <row r="6" spans="1:30" s="22" customFormat="1" ht="12" customHeight="1">
      <c r="A6" s="19" t="s">
        <v>41</v>
      </c>
      <c r="B6" s="20" t="s">
        <v>82</v>
      </c>
      <c r="C6" s="20">
        <v>2010</v>
      </c>
      <c r="D6" s="19" t="s">
        <v>83</v>
      </c>
      <c r="E6" s="19" t="s">
        <v>84</v>
      </c>
      <c r="F6" s="19" t="s">
        <v>85</v>
      </c>
      <c r="G6" s="20"/>
      <c r="H6" s="20"/>
      <c r="I6" s="20"/>
      <c r="J6" s="20"/>
      <c r="K6" s="20"/>
      <c r="L6" s="20"/>
      <c r="M6" s="20"/>
      <c r="N6" s="20"/>
      <c r="O6" s="20"/>
      <c r="P6" s="20"/>
      <c r="Q6" s="20"/>
      <c r="R6" s="20"/>
      <c r="S6" s="19" t="s">
        <v>86</v>
      </c>
      <c r="T6" s="19" t="s">
        <v>88</v>
      </c>
      <c r="U6" s="19" t="s">
        <v>87</v>
      </c>
      <c r="V6" s="21"/>
      <c r="W6" s="21"/>
      <c r="X6" s="21"/>
      <c r="Y6" s="21"/>
      <c r="Z6" s="21"/>
      <c r="AA6" s="21"/>
      <c r="AB6" s="21"/>
      <c r="AC6" s="21"/>
      <c r="AD6" s="21"/>
    </row>
    <row r="7" spans="1:30" s="15" customFormat="1" ht="12" customHeight="1">
      <c r="A7" s="23" t="s">
        <v>89</v>
      </c>
      <c r="B7" s="24"/>
      <c r="C7" s="24">
        <v>2005</v>
      </c>
      <c r="D7" s="23" t="s">
        <v>93</v>
      </c>
      <c r="E7" s="23" t="s">
        <v>92</v>
      </c>
      <c r="F7" s="23" t="s">
        <v>90</v>
      </c>
      <c r="G7" s="24"/>
      <c r="H7" s="24"/>
      <c r="I7" s="24"/>
      <c r="J7" s="24"/>
      <c r="K7" s="24"/>
      <c r="L7" s="24"/>
      <c r="M7" s="24"/>
      <c r="N7" s="24"/>
      <c r="O7" s="24"/>
      <c r="P7" s="24"/>
      <c r="Q7" s="24"/>
      <c r="R7" s="24"/>
      <c r="S7" s="24"/>
      <c r="T7" s="24"/>
      <c r="U7" s="11" t="s">
        <v>91</v>
      </c>
      <c r="V7" s="14"/>
      <c r="W7" s="14"/>
      <c r="X7" s="14"/>
      <c r="Y7" s="14"/>
      <c r="Z7" s="14"/>
      <c r="AA7" s="14"/>
      <c r="AB7" s="14"/>
      <c r="AC7" s="14"/>
      <c r="AD7" s="14"/>
    </row>
    <row r="8" spans="1:30" s="15" customFormat="1" ht="15.75" customHeight="1">
      <c r="A8" s="15" t="s">
        <v>103</v>
      </c>
      <c r="B8" s="15" t="s">
        <v>104</v>
      </c>
      <c r="C8" s="15">
        <v>2005</v>
      </c>
      <c r="D8" s="15" t="s">
        <v>93</v>
      </c>
      <c r="U8" s="15" t="s">
        <v>105</v>
      </c>
    </row>
    <row r="9" spans="1:30" s="22" customFormat="1" ht="15.75" customHeight="1">
      <c r="A9" s="22" t="s">
        <v>26</v>
      </c>
      <c r="B9" s="22" t="s">
        <v>116</v>
      </c>
      <c r="C9" s="22">
        <v>2007</v>
      </c>
      <c r="D9" s="22" t="s">
        <v>125</v>
      </c>
      <c r="E9" s="22" t="s">
        <v>117</v>
      </c>
      <c r="F9" s="22" t="s">
        <v>118</v>
      </c>
      <c r="R9" s="22" t="s">
        <v>127</v>
      </c>
      <c r="T9" s="22" t="s">
        <v>126</v>
      </c>
      <c r="U9" s="22" t="s">
        <v>128</v>
      </c>
    </row>
    <row r="10" spans="1:30" s="15" customFormat="1" ht="12">
      <c r="A10" s="15" t="s">
        <v>49</v>
      </c>
      <c r="B10" s="15" t="s">
        <v>151</v>
      </c>
      <c r="C10" s="15">
        <v>2013</v>
      </c>
      <c r="D10" s="15" t="s">
        <v>28</v>
      </c>
      <c r="E10" s="15" t="s">
        <v>152</v>
      </c>
      <c r="F10" s="15" t="s">
        <v>153</v>
      </c>
      <c r="U10" s="15" t="s">
        <v>105</v>
      </c>
    </row>
    <row r="11" spans="1:30" s="15" customFormat="1" ht="12">
      <c r="A11" s="15" t="s">
        <v>63</v>
      </c>
      <c r="B11" s="15" t="s">
        <v>154</v>
      </c>
      <c r="C11" s="15">
        <v>2012</v>
      </c>
      <c r="D11" s="15" t="s">
        <v>93</v>
      </c>
      <c r="E11" s="15" t="s">
        <v>155</v>
      </c>
      <c r="F11" s="15" t="s">
        <v>156</v>
      </c>
      <c r="U11" s="15" t="s">
        <v>157</v>
      </c>
    </row>
    <row r="12" spans="1:30" s="15" customFormat="1" ht="12">
      <c r="A12" s="15" t="s">
        <v>57</v>
      </c>
      <c r="B12" s="15" t="s">
        <v>158</v>
      </c>
      <c r="C12" s="15">
        <v>2013</v>
      </c>
      <c r="D12" s="15" t="s">
        <v>93</v>
      </c>
      <c r="E12" s="15" t="s">
        <v>159</v>
      </c>
      <c r="F12" s="15" t="s">
        <v>160</v>
      </c>
      <c r="U12" s="15" t="s">
        <v>161</v>
      </c>
    </row>
    <row r="13" spans="1:30" s="15" customFormat="1" ht="12">
      <c r="A13" s="15" t="s">
        <v>162</v>
      </c>
      <c r="B13" s="15" t="s">
        <v>163</v>
      </c>
      <c r="C13" s="15">
        <v>2010</v>
      </c>
      <c r="D13" s="15" t="s">
        <v>93</v>
      </c>
      <c r="E13" s="15" t="s">
        <v>92</v>
      </c>
      <c r="F13" s="15" t="s">
        <v>164</v>
      </c>
      <c r="U13" s="15" t="s">
        <v>91</v>
      </c>
    </row>
    <row r="14" spans="1:30" s="15" customFormat="1" ht="12">
      <c r="A14" s="38" t="s">
        <v>41</v>
      </c>
      <c r="B14" s="15" t="s">
        <v>196</v>
      </c>
      <c r="C14" s="15">
        <v>2005</v>
      </c>
      <c r="D14" s="15" t="s">
        <v>93</v>
      </c>
      <c r="E14" s="15" t="s">
        <v>92</v>
      </c>
      <c r="U14" s="15" t="s">
        <v>91</v>
      </c>
    </row>
  </sheetData>
  <hyperlinks>
    <hyperlink ref="B4" r:id="rId1"/>
  </hyperlinks>
  <pageMargins left="0.75" right="0.75" top="1" bottom="1" header="0.5" footer="0.5"/>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G3" sqref="G3"/>
    </sheetView>
  </sheetViews>
  <sheetFormatPr baseColWidth="10" defaultRowHeight="12" x14ac:dyDescent="0"/>
  <cols>
    <col min="7" max="7" width="11" customWidth="1"/>
  </cols>
  <sheetData>
    <row r="1" spans="1:7">
      <c r="A1" t="s">
        <v>237</v>
      </c>
    </row>
    <row r="2" spans="1:7">
      <c r="A2" t="s">
        <v>238</v>
      </c>
      <c r="B2" t="s">
        <v>239</v>
      </c>
      <c r="C2" t="s">
        <v>1</v>
      </c>
      <c r="D2" t="s">
        <v>240</v>
      </c>
      <c r="E2" t="s">
        <v>241</v>
      </c>
      <c r="F2" t="s">
        <v>242</v>
      </c>
      <c r="G2" t="s">
        <v>243</v>
      </c>
    </row>
    <row r="3" spans="1:7" ht="14">
      <c r="A3">
        <v>18.7</v>
      </c>
      <c r="B3" s="50">
        <v>427702</v>
      </c>
      <c r="C3" s="50">
        <v>8609</v>
      </c>
      <c r="D3" s="50">
        <f>C3/A3</f>
        <v>460.37433155080214</v>
      </c>
      <c r="E3">
        <f>C3/(A3*60)</f>
        <v>7.6729055258467023</v>
      </c>
      <c r="F3">
        <f>60/E3</f>
        <v>7.8197235451271929</v>
      </c>
      <c r="G3">
        <f>F3/(60*60*24)</f>
        <v>9.0506059550083252E-5</v>
      </c>
    </row>
    <row r="4" spans="1:7" ht="14">
      <c r="A4">
        <v>18.38</v>
      </c>
      <c r="B4">
        <v>514517</v>
      </c>
      <c r="C4">
        <v>6993</v>
      </c>
      <c r="D4" s="50">
        <f t="shared" ref="D4:D29" si="0">C4/A4</f>
        <v>380.46789989118611</v>
      </c>
      <c r="E4">
        <f t="shared" ref="E4:E29" si="1">C4/(A4*60)</f>
        <v>6.3411316648531013</v>
      </c>
      <c r="F4">
        <f t="shared" ref="F4:F29" si="2">60/E4</f>
        <v>9.4620334620334621</v>
      </c>
      <c r="G4">
        <f t="shared" ref="G4:G29" si="3">F4/(60*60*24)</f>
        <v>1.0951427618094284E-4</v>
      </c>
    </row>
    <row r="5" spans="1:7" ht="14">
      <c r="A5">
        <v>37.479999999999997</v>
      </c>
      <c r="B5">
        <v>1371064</v>
      </c>
      <c r="C5">
        <v>27734</v>
      </c>
      <c r="D5" s="50">
        <f t="shared" si="0"/>
        <v>739.96798292422636</v>
      </c>
      <c r="E5">
        <f t="shared" si="1"/>
        <v>12.332799715403773</v>
      </c>
      <c r="F5">
        <f t="shared" si="2"/>
        <v>4.865075358765413</v>
      </c>
      <c r="G5">
        <f t="shared" si="3"/>
        <v>5.630874257830339E-5</v>
      </c>
    </row>
    <row r="6" spans="1:7" ht="14">
      <c r="A6">
        <v>43.38</v>
      </c>
      <c r="B6">
        <v>1046134</v>
      </c>
      <c r="C6">
        <v>27423</v>
      </c>
      <c r="D6" s="50">
        <f t="shared" si="0"/>
        <v>632.15767634854762</v>
      </c>
      <c r="E6">
        <f t="shared" si="1"/>
        <v>10.535961272475795</v>
      </c>
      <c r="F6">
        <f t="shared" si="2"/>
        <v>5.6947817525434852</v>
      </c>
      <c r="G6">
        <f t="shared" si="3"/>
        <v>6.5911825839623669E-5</v>
      </c>
    </row>
    <row r="7" spans="1:7" ht="14">
      <c r="A7">
        <v>30.74</v>
      </c>
      <c r="B7">
        <v>1449278</v>
      </c>
      <c r="C7">
        <v>9887</v>
      </c>
      <c r="D7" s="50">
        <f t="shared" si="0"/>
        <v>321.63305139882891</v>
      </c>
      <c r="E7">
        <f t="shared" si="1"/>
        <v>5.3605508566471487</v>
      </c>
      <c r="F7">
        <f t="shared" si="2"/>
        <v>11.192879538788306</v>
      </c>
      <c r="G7">
        <f t="shared" si="3"/>
        <v>1.295472168841239E-4</v>
      </c>
    </row>
    <row r="8" spans="1:7" ht="14">
      <c r="A8">
        <v>78.56</v>
      </c>
      <c r="B8">
        <v>2531244</v>
      </c>
      <c r="C8">
        <v>22488</v>
      </c>
      <c r="D8" s="50">
        <f t="shared" si="0"/>
        <v>286.25254582484723</v>
      </c>
      <c r="E8">
        <f t="shared" si="1"/>
        <v>4.7708757637474539</v>
      </c>
      <c r="F8">
        <f t="shared" si="2"/>
        <v>12.576307363927429</v>
      </c>
      <c r="G8">
        <f t="shared" si="3"/>
        <v>1.4555911300841932E-4</v>
      </c>
    </row>
    <row r="9" spans="1:7" ht="14">
      <c r="A9">
        <v>32.520000000000003</v>
      </c>
      <c r="B9">
        <v>631939</v>
      </c>
      <c r="C9">
        <v>7399</v>
      </c>
      <c r="D9" s="50">
        <f t="shared" si="0"/>
        <v>227.52152521525213</v>
      </c>
      <c r="E9">
        <f t="shared" si="1"/>
        <v>3.7920254202542019</v>
      </c>
      <c r="F9">
        <f t="shared" si="2"/>
        <v>15.822678740370323</v>
      </c>
      <c r="G9">
        <f t="shared" si="3"/>
        <v>1.8313285579132319E-4</v>
      </c>
    </row>
    <row r="10" spans="1:7" ht="14">
      <c r="A10">
        <v>89.26</v>
      </c>
      <c r="B10">
        <v>2426064</v>
      </c>
      <c r="C10">
        <v>28672</v>
      </c>
      <c r="D10" s="50">
        <f t="shared" si="0"/>
        <v>321.21891104638132</v>
      </c>
      <c r="E10">
        <f t="shared" si="1"/>
        <v>5.3536485174396891</v>
      </c>
      <c r="F10">
        <f t="shared" si="2"/>
        <v>11.207310267857144</v>
      </c>
      <c r="G10">
        <f t="shared" si="3"/>
        <v>1.2971423921130955E-4</v>
      </c>
    </row>
    <row r="11" spans="1:7" ht="14">
      <c r="A11">
        <v>29.19</v>
      </c>
      <c r="B11">
        <v>967481</v>
      </c>
      <c r="C11">
        <v>9629</v>
      </c>
      <c r="D11" s="50">
        <f t="shared" si="0"/>
        <v>329.87324426173348</v>
      </c>
      <c r="E11">
        <f t="shared" si="1"/>
        <v>5.4978874043622241</v>
      </c>
      <c r="F11">
        <f t="shared" si="2"/>
        <v>10.913282791567141</v>
      </c>
      <c r="G11">
        <f t="shared" si="3"/>
        <v>1.2631114342091598E-4</v>
      </c>
    </row>
    <row r="12" spans="1:7" ht="14">
      <c r="A12">
        <v>44.43</v>
      </c>
      <c r="B12">
        <v>1395147</v>
      </c>
      <c r="C12">
        <v>13985</v>
      </c>
      <c r="D12" s="50">
        <f t="shared" si="0"/>
        <v>314.76479855953187</v>
      </c>
      <c r="E12">
        <f t="shared" si="1"/>
        <v>5.2460799759921972</v>
      </c>
      <c r="F12">
        <f t="shared" si="2"/>
        <v>11.437111190561316</v>
      </c>
      <c r="G12">
        <f t="shared" si="3"/>
        <v>1.323739721129782E-4</v>
      </c>
    </row>
    <row r="13" spans="1:7" ht="14">
      <c r="A13">
        <v>24.95</v>
      </c>
      <c r="B13">
        <v>311985</v>
      </c>
      <c r="C13">
        <v>7572</v>
      </c>
      <c r="D13" s="50">
        <f t="shared" si="0"/>
        <v>303.48697394789582</v>
      </c>
      <c r="E13">
        <f t="shared" si="1"/>
        <v>5.05811623246493</v>
      </c>
      <c r="F13">
        <f t="shared" si="2"/>
        <v>11.862123613312203</v>
      </c>
      <c r="G13">
        <f t="shared" si="3"/>
        <v>1.3729309737629865E-4</v>
      </c>
    </row>
    <row r="14" spans="1:7" ht="14">
      <c r="A14">
        <v>72.77</v>
      </c>
      <c r="B14">
        <v>2951930</v>
      </c>
      <c r="C14">
        <v>23566</v>
      </c>
      <c r="D14" s="50">
        <f t="shared" si="0"/>
        <v>323.84224268242411</v>
      </c>
      <c r="E14">
        <f t="shared" si="1"/>
        <v>5.3973707113737346</v>
      </c>
      <c r="F14">
        <f t="shared" si="2"/>
        <v>11.116523805482474</v>
      </c>
      <c r="G14">
        <f t="shared" si="3"/>
        <v>1.2866346997086198E-4</v>
      </c>
    </row>
    <row r="15" spans="1:7" ht="14">
      <c r="A15">
        <v>48.79</v>
      </c>
      <c r="B15">
        <v>1424881</v>
      </c>
      <c r="C15">
        <v>16350</v>
      </c>
      <c r="D15" s="50">
        <f t="shared" si="0"/>
        <v>335.10965361754461</v>
      </c>
      <c r="E15">
        <f t="shared" si="1"/>
        <v>5.5851608936257424</v>
      </c>
      <c r="F15">
        <f t="shared" si="2"/>
        <v>10.742752293577983</v>
      </c>
      <c r="G15">
        <f t="shared" si="3"/>
        <v>1.2433741080530072E-4</v>
      </c>
    </row>
    <row r="16" spans="1:7" ht="14">
      <c r="A16">
        <v>31.4</v>
      </c>
      <c r="B16">
        <v>897982</v>
      </c>
      <c r="C16">
        <v>7212</v>
      </c>
      <c r="D16" s="50">
        <f t="shared" si="0"/>
        <v>229.68152866242039</v>
      </c>
      <c r="E16">
        <f t="shared" si="1"/>
        <v>3.8280254777070062</v>
      </c>
      <c r="F16">
        <f t="shared" si="2"/>
        <v>15.6738768718802</v>
      </c>
      <c r="G16">
        <f t="shared" si="3"/>
        <v>1.8141061194305787E-4</v>
      </c>
    </row>
    <row r="17" spans="1:8" ht="14">
      <c r="A17">
        <v>30.38</v>
      </c>
      <c r="B17">
        <v>332189</v>
      </c>
      <c r="C17">
        <v>7284</v>
      </c>
      <c r="D17" s="50">
        <f t="shared" si="0"/>
        <v>239.76300197498355</v>
      </c>
      <c r="E17">
        <f t="shared" si="1"/>
        <v>3.9960500329163926</v>
      </c>
      <c r="F17">
        <f t="shared" si="2"/>
        <v>15.01482701812191</v>
      </c>
      <c r="G17">
        <f t="shared" si="3"/>
        <v>1.7378272011715174E-4</v>
      </c>
    </row>
    <row r="18" spans="1:8" ht="14">
      <c r="A18">
        <v>21.53</v>
      </c>
      <c r="B18">
        <v>350554</v>
      </c>
      <c r="C18">
        <v>4602</v>
      </c>
      <c r="D18" s="50">
        <f t="shared" si="0"/>
        <v>213.74825824431025</v>
      </c>
      <c r="E18">
        <f t="shared" si="1"/>
        <v>3.5624709707385041</v>
      </c>
      <c r="F18">
        <f t="shared" si="2"/>
        <v>16.842242503259452</v>
      </c>
      <c r="G18">
        <f t="shared" si="3"/>
        <v>1.9493336230624365E-4</v>
      </c>
    </row>
    <row r="19" spans="1:8" ht="14">
      <c r="A19">
        <v>90.39</v>
      </c>
      <c r="B19">
        <v>3398509</v>
      </c>
      <c r="C19">
        <v>27696</v>
      </c>
      <c r="D19" s="50">
        <f t="shared" si="0"/>
        <v>306.40557583803519</v>
      </c>
      <c r="E19">
        <f t="shared" si="1"/>
        <v>5.106759597300587</v>
      </c>
      <c r="F19">
        <f t="shared" si="2"/>
        <v>11.749133448873481</v>
      </c>
      <c r="G19">
        <f t="shared" si="3"/>
        <v>1.3598534084344308E-4</v>
      </c>
    </row>
    <row r="20" spans="1:8" ht="14">
      <c r="A20">
        <v>52.35</v>
      </c>
      <c r="B20">
        <v>1358927</v>
      </c>
      <c r="C20">
        <v>13777</v>
      </c>
      <c r="D20" s="50">
        <f t="shared" si="0"/>
        <v>263.17096466093602</v>
      </c>
      <c r="E20">
        <f t="shared" si="1"/>
        <v>4.3861827443489334</v>
      </c>
      <c r="F20">
        <f t="shared" si="2"/>
        <v>13.679320606808449</v>
      </c>
      <c r="G20">
        <f t="shared" si="3"/>
        <v>1.583254699862089E-4</v>
      </c>
    </row>
    <row r="21" spans="1:8" ht="14">
      <c r="A21">
        <v>41.97</v>
      </c>
      <c r="B21">
        <v>1503415</v>
      </c>
      <c r="C21">
        <v>12224</v>
      </c>
      <c r="D21" s="50">
        <f t="shared" si="0"/>
        <v>291.25565880390758</v>
      </c>
      <c r="E21">
        <f t="shared" si="1"/>
        <v>4.854260980065126</v>
      </c>
      <c r="F21">
        <f t="shared" si="2"/>
        <v>12.360274869109947</v>
      </c>
      <c r="G21">
        <f t="shared" si="3"/>
        <v>1.4305873691099476E-4</v>
      </c>
    </row>
    <row r="22" spans="1:8" ht="14">
      <c r="A22">
        <v>41.31</v>
      </c>
      <c r="B22">
        <v>757913</v>
      </c>
      <c r="C22">
        <v>12881</v>
      </c>
      <c r="D22" s="50">
        <f t="shared" si="0"/>
        <v>311.81312030985231</v>
      </c>
      <c r="E22">
        <f t="shared" si="1"/>
        <v>5.1968853384975384</v>
      </c>
      <c r="F22">
        <f t="shared" si="2"/>
        <v>11.545376911730457</v>
      </c>
      <c r="G22">
        <f t="shared" si="3"/>
        <v>1.3362704758947288E-4</v>
      </c>
    </row>
    <row r="23" spans="1:8" ht="14">
      <c r="A23">
        <v>90.42</v>
      </c>
      <c r="B23">
        <v>3994637</v>
      </c>
      <c r="C23">
        <v>31197</v>
      </c>
      <c r="D23" s="50">
        <f t="shared" si="0"/>
        <v>345.02322495023225</v>
      </c>
      <c r="E23">
        <f t="shared" si="1"/>
        <v>5.7503870825038712</v>
      </c>
      <c r="F23">
        <f t="shared" si="2"/>
        <v>10.434080200019231</v>
      </c>
      <c r="G23">
        <f t="shared" si="3"/>
        <v>1.2076481712985221E-4</v>
      </c>
    </row>
    <row r="24" spans="1:8" ht="14">
      <c r="A24">
        <v>71.099999999999994</v>
      </c>
      <c r="B24">
        <v>2046603</v>
      </c>
      <c r="C24">
        <v>23064</v>
      </c>
      <c r="D24" s="50">
        <f t="shared" si="0"/>
        <v>324.38818565400845</v>
      </c>
      <c r="E24">
        <f t="shared" si="1"/>
        <v>5.4064697609001406</v>
      </c>
      <c r="F24">
        <f t="shared" si="2"/>
        <v>11.097814776274713</v>
      </c>
      <c r="G24">
        <f t="shared" si="3"/>
        <v>1.2844693028095733E-4</v>
      </c>
    </row>
    <row r="25" spans="1:8" ht="14">
      <c r="A25">
        <v>88.48</v>
      </c>
      <c r="B25">
        <v>4718301</v>
      </c>
      <c r="C25">
        <v>29659</v>
      </c>
      <c r="D25" s="50">
        <f t="shared" si="0"/>
        <v>335.20569620253161</v>
      </c>
      <c r="E25">
        <f t="shared" si="1"/>
        <v>5.5867616033755274</v>
      </c>
      <c r="F25">
        <f t="shared" si="2"/>
        <v>10.739674297852254</v>
      </c>
      <c r="G25">
        <f t="shared" si="3"/>
        <v>1.2430178585477145E-4</v>
      </c>
    </row>
    <row r="26" spans="1:8" ht="14">
      <c r="A26">
        <v>86.92</v>
      </c>
      <c r="B26">
        <v>3287408</v>
      </c>
      <c r="C26">
        <v>30209</v>
      </c>
      <c r="D26" s="50">
        <f t="shared" si="0"/>
        <v>347.54947077772664</v>
      </c>
      <c r="E26">
        <f t="shared" si="1"/>
        <v>5.7924911796287777</v>
      </c>
      <c r="F26">
        <f t="shared" si="2"/>
        <v>10.358237611307889</v>
      </c>
      <c r="G26">
        <f t="shared" si="3"/>
        <v>1.1988700939013761E-4</v>
      </c>
    </row>
    <row r="27" spans="1:8" ht="14">
      <c r="A27">
        <v>73.83</v>
      </c>
      <c r="B27">
        <v>2476751</v>
      </c>
      <c r="C27">
        <v>23086</v>
      </c>
      <c r="D27" s="50">
        <f t="shared" si="0"/>
        <v>312.69131789245563</v>
      </c>
      <c r="E27">
        <f t="shared" si="1"/>
        <v>5.2115219648742608</v>
      </c>
      <c r="F27">
        <f t="shared" si="2"/>
        <v>11.51295157238153</v>
      </c>
      <c r="G27">
        <f t="shared" si="3"/>
        <v>1.3325175430997142E-4</v>
      </c>
    </row>
    <row r="28" spans="1:8" ht="14">
      <c r="A28">
        <v>76.239999999999995</v>
      </c>
      <c r="B28">
        <v>2212841</v>
      </c>
      <c r="C28">
        <v>24906</v>
      </c>
      <c r="D28" s="50">
        <f t="shared" si="0"/>
        <v>326.67890870933894</v>
      </c>
      <c r="E28">
        <f t="shared" si="1"/>
        <v>5.4446484784889826</v>
      </c>
      <c r="F28">
        <f t="shared" si="2"/>
        <v>11.019995181883882</v>
      </c>
      <c r="G28">
        <f t="shared" si="3"/>
        <v>1.2754624053106344E-4</v>
      </c>
    </row>
    <row r="29" spans="1:8" ht="14">
      <c r="A29">
        <v>8.15</v>
      </c>
      <c r="B29">
        <v>319635</v>
      </c>
      <c r="C29">
        <v>2864</v>
      </c>
      <c r="D29" s="50">
        <f t="shared" si="0"/>
        <v>351.41104294478527</v>
      </c>
      <c r="E29">
        <f t="shared" si="1"/>
        <v>5.8568507157464209</v>
      </c>
      <c r="F29">
        <f t="shared" si="2"/>
        <v>10.244413407821229</v>
      </c>
      <c r="G29">
        <f t="shared" si="3"/>
        <v>1.1856959962756052E-4</v>
      </c>
    </row>
    <row r="30" spans="1:8">
      <c r="A30">
        <f>AVERAGE(A3:A29)</f>
        <v>50.874814814814819</v>
      </c>
      <c r="B30">
        <f>SUM(B3:B29)</f>
        <v>45105031</v>
      </c>
      <c r="C30">
        <f>AVERAGE(C3:C29)</f>
        <v>17072.888888888891</v>
      </c>
      <c r="G30">
        <f>AVERAGE(G3:G29)</f>
        <v>1.3159499442782856E-4</v>
      </c>
      <c r="H30" t="s">
        <v>246</v>
      </c>
    </row>
    <row r="31" spans="1:8">
      <c r="B31" t="s">
        <v>245</v>
      </c>
      <c r="C31">
        <f>C30/(60*60*24)</f>
        <v>0.19760288065843623</v>
      </c>
    </row>
    <row r="32" spans="1:8">
      <c r="C32">
        <f>SUM(C3:C29)</f>
        <v>460968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Full</vt:lpstr>
      <vt:lpstr>Data-bearing</vt:lpstr>
      <vt:lpstr>Rejected</vt:lpstr>
      <vt:lpstr>calcs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Lyndon Estes</cp:lastModifiedBy>
  <dcterms:created xsi:type="dcterms:W3CDTF">2014-09-16T16:52:28Z</dcterms:created>
  <dcterms:modified xsi:type="dcterms:W3CDTF">2015-07-21T21:01:10Z</dcterms:modified>
</cp:coreProperties>
</file>