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40" yWindow="240" windowWidth="31440" windowHeight="180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1" l="1"/>
  <c r="I45" i="1"/>
  <c r="J44" i="1"/>
  <c r="I44" i="1"/>
  <c r="J43" i="1"/>
  <c r="L43" i="1"/>
  <c r="I43" i="1"/>
  <c r="G42" i="1"/>
  <c r="I42" i="1"/>
  <c r="J41" i="1"/>
  <c r="L41" i="1"/>
  <c r="G41" i="1"/>
  <c r="I41" i="1"/>
  <c r="M40" i="1"/>
  <c r="L40" i="1"/>
  <c r="G40" i="1"/>
  <c r="I40" i="1"/>
  <c r="G39" i="1"/>
  <c r="I39" i="1"/>
  <c r="J38" i="1"/>
  <c r="L38" i="1"/>
  <c r="G38" i="1"/>
  <c r="H38" i="1"/>
  <c r="I38" i="1"/>
  <c r="J37" i="1"/>
  <c r="I37" i="1"/>
  <c r="G36" i="1"/>
  <c r="H36" i="1"/>
  <c r="I36" i="1"/>
  <c r="I35" i="1"/>
  <c r="J34" i="1"/>
  <c r="L34" i="1"/>
  <c r="G34" i="1"/>
  <c r="I34" i="1"/>
  <c r="M33" i="1"/>
  <c r="I33" i="1"/>
  <c r="J32" i="1"/>
  <c r="L32" i="1"/>
  <c r="I32" i="1"/>
  <c r="L31" i="1"/>
  <c r="G31" i="1"/>
  <c r="I31" i="1"/>
  <c r="J30" i="1"/>
  <c r="L30" i="1"/>
  <c r="G30" i="1"/>
  <c r="H30" i="1"/>
  <c r="I30" i="1"/>
  <c r="J29" i="1"/>
  <c r="L29" i="1"/>
  <c r="G29" i="1"/>
  <c r="H29" i="1"/>
  <c r="I29" i="1"/>
  <c r="K28" i="1"/>
  <c r="G28" i="1"/>
  <c r="H28" i="1"/>
  <c r="I28" i="1"/>
  <c r="M27" i="1"/>
  <c r="J27" i="1"/>
  <c r="L27" i="1"/>
  <c r="H27" i="1"/>
  <c r="I27" i="1"/>
  <c r="L26" i="1"/>
  <c r="J26" i="1"/>
  <c r="G26" i="1"/>
  <c r="I26" i="1"/>
  <c r="L25" i="1"/>
  <c r="J25" i="1"/>
  <c r="I25" i="1"/>
  <c r="M24" i="1"/>
  <c r="J24" i="1"/>
  <c r="I24" i="1"/>
  <c r="M23" i="1"/>
  <c r="L23" i="1"/>
  <c r="J23" i="1"/>
  <c r="I23" i="1"/>
  <c r="L22" i="1"/>
  <c r="J22" i="1"/>
  <c r="G22" i="1"/>
  <c r="I22" i="1"/>
  <c r="L21" i="1"/>
  <c r="J21" i="1"/>
  <c r="I21" i="1"/>
  <c r="L20" i="1"/>
  <c r="J20" i="1"/>
  <c r="H20" i="1"/>
  <c r="I20" i="1"/>
  <c r="L19" i="1"/>
  <c r="J19" i="1"/>
  <c r="G19" i="1"/>
  <c r="H19" i="1"/>
  <c r="I19" i="1"/>
  <c r="J18" i="1"/>
  <c r="I18" i="1"/>
  <c r="G18" i="1"/>
  <c r="H18" i="1"/>
  <c r="M17" i="1"/>
  <c r="L17" i="1"/>
  <c r="J17" i="1"/>
  <c r="G17" i="1"/>
  <c r="H17" i="1"/>
  <c r="I17" i="1"/>
  <c r="M16" i="1"/>
  <c r="K16" i="1"/>
  <c r="G16" i="1"/>
  <c r="I16" i="1"/>
  <c r="M15" i="1"/>
  <c r="J15" i="1"/>
  <c r="L15" i="1"/>
  <c r="K15" i="1"/>
  <c r="G15" i="1"/>
  <c r="I15" i="1"/>
  <c r="M14" i="1"/>
  <c r="L14" i="1"/>
  <c r="J14" i="1"/>
  <c r="G14" i="1"/>
  <c r="I14" i="1"/>
  <c r="M13" i="1"/>
  <c r="L13" i="1"/>
  <c r="J13" i="1"/>
  <c r="G13" i="1"/>
  <c r="H13" i="1"/>
  <c r="I13" i="1"/>
  <c r="M12" i="1"/>
  <c r="J12" i="1"/>
  <c r="L12" i="1"/>
  <c r="K12" i="1"/>
  <c r="G12" i="1"/>
  <c r="I12" i="1"/>
  <c r="H11" i="1"/>
  <c r="I11" i="1"/>
  <c r="I10" i="1"/>
  <c r="I9" i="1"/>
  <c r="L8" i="1"/>
  <c r="J8" i="1"/>
  <c r="G8" i="1"/>
  <c r="I8" i="1"/>
  <c r="M7" i="1"/>
  <c r="L7" i="1"/>
  <c r="K7" i="1"/>
  <c r="G7" i="1"/>
  <c r="I7" i="1"/>
  <c r="M6" i="1"/>
  <c r="L6" i="1"/>
  <c r="G6" i="1"/>
  <c r="I6" i="1"/>
  <c r="M5" i="1"/>
  <c r="G5" i="1"/>
  <c r="I5" i="1"/>
  <c r="G4" i="1"/>
  <c r="I4" i="1"/>
  <c r="G3" i="1"/>
  <c r="I3" i="1"/>
</calcChain>
</file>

<file path=xl/comments1.xml><?xml version="1.0" encoding="utf-8"?>
<comments xmlns="http://schemas.openxmlformats.org/spreadsheetml/2006/main">
  <authors>
    <author/>
  </authors>
  <commentList>
    <comment ref="I2" authorId="0">
      <text>
        <r>
          <rPr>
            <sz val="10"/>
            <color rgb="FF000000"/>
            <rFont val="Arial"/>
          </rPr>
          <t xml:space="preserve">Lyndon Estes:
Calculate as (plot resolution * N sites) / 10000
</t>
        </r>
      </text>
    </comment>
    <comment ref="R2" authorId="0">
      <text>
        <r>
          <rPr>
            <sz val="10"/>
            <color rgb="FF000000"/>
            <rFont val="Arial"/>
          </rPr>
          <t>Lyndon Estes:
separate with semi-colon if more than one</t>
        </r>
      </text>
    </comment>
  </commentList>
</comments>
</file>

<file path=xl/sharedStrings.xml><?xml version="1.0" encoding="utf-8"?>
<sst xmlns="http://schemas.openxmlformats.org/spreadsheetml/2006/main" count="320" uniqueCount="153">
  <si>
    <t>m^2</t>
  </si>
  <si>
    <t>n</t>
  </si>
  <si>
    <t>ha</t>
  </si>
  <si>
    <t>days</t>
  </si>
  <si>
    <t>journal</t>
  </si>
  <si>
    <t>DOI</t>
  </si>
  <si>
    <t>study_year</t>
  </si>
  <si>
    <t>study_type</t>
  </si>
  <si>
    <t>country_region</t>
  </si>
  <si>
    <t>subject_matter</t>
  </si>
  <si>
    <t>plot_res</t>
  </si>
  <si>
    <t>n_sites</t>
  </si>
  <si>
    <t>sampled_area</t>
  </si>
  <si>
    <t>samp_duration</t>
  </si>
  <si>
    <t>t_btwn_samp</t>
  </si>
  <si>
    <t>study_duration</t>
  </si>
  <si>
    <t>study_span</t>
  </si>
  <si>
    <t>composition</t>
  </si>
  <si>
    <t>structure</t>
  </si>
  <si>
    <t>function</t>
  </si>
  <si>
    <t>tax_breadth</t>
  </si>
  <si>
    <t>DOI_data_source</t>
  </si>
  <si>
    <t>sensitivity</t>
  </si>
  <si>
    <t>notes</t>
  </si>
  <si>
    <t>Proceedings of the Royal Society B-Biological Sciences</t>
  </si>
  <si>
    <t>10.1098/rspb.2005.3268</t>
  </si>
  <si>
    <t>field/direct observation</t>
  </si>
  <si>
    <t>South Africa</t>
  </si>
  <si>
    <t>pollination</t>
  </si>
  <si>
    <t>plot_res is guessed area of orchid plants</t>
  </si>
  <si>
    <t>Agriculture Ecosystems &amp; Environment</t>
  </si>
  <si>
    <t>10.1016/j.agee.2009.08.012</t>
  </si>
  <si>
    <t>French Guiana</t>
  </si>
  <si>
    <t>soil macroinvertebrates</t>
  </si>
  <si>
    <t>plot_res is area of soil cores (note though, they were volumetric).  One of their plots (made up of 30 soil cores, which were each considered sites) was a revisiting of an secondary growth plot that had been burned and cleared in the interim.</t>
  </si>
  <si>
    <t>Biological Conservation</t>
  </si>
  <si>
    <t>10.1016/j.biocon.2008.01.019</t>
  </si>
  <si>
    <t>USA</t>
  </si>
  <si>
    <t>Pelicans and West Nile Virus</t>
  </si>
  <si>
    <t>plot_res is based on the size of a pelican chick</t>
  </si>
  <si>
    <t>Pelican mortality</t>
  </si>
  <si>
    <t>plot_res is an estimate of island sizes using google maps, scaled by proportion of total number of nests per lake</t>
  </si>
  <si>
    <t>Mosquitoes abundance</t>
  </si>
  <si>
    <t>http://www.ndhealth.gov/WNV/Documents/Summary/2007MosquitoReport.pdf</t>
  </si>
  <si>
    <t>DOI_data_source is a link to the source of some of the mosquito data used; plot_res was assumed to be the size of the mosquito traps)</t>
  </si>
  <si>
    <t>Ecological Applications</t>
  </si>
  <si>
    <t>10.1890/10-2362.1</t>
  </si>
  <si>
    <t>remote sensing</t>
  </si>
  <si>
    <t>global</t>
  </si>
  <si>
    <t>Cropland fires</t>
  </si>
  <si>
    <t>10.5194/acp-6-957-2006</t>
  </si>
  <si>
    <t>samp_duration estimate of one minute for Aqua and Terra MODIS satellites</t>
  </si>
  <si>
    <t>other geographic data</t>
  </si>
  <si>
    <t>cropland cover</t>
  </si>
  <si>
    <t>10.1029/2007GB002952</t>
  </si>
  <si>
    <t>samp_duration calculated based on yield estimates for one calendar year from M3 cropland dataset product</t>
  </si>
  <si>
    <t>Landscape Ecology</t>
  </si>
  <si>
    <t>10.1007/s10980-004-3160-0</t>
  </si>
  <si>
    <t>England</t>
  </si>
  <si>
    <t>urban gardens landscapes</t>
  </si>
  <si>
    <t>amount of time spent surveying gardens not indicated. Assumed mean of 1 day</t>
  </si>
  <si>
    <t>urban gardens</t>
  </si>
  <si>
    <t>samp_duration, study_span</t>
  </si>
  <si>
    <t>assumed it took one day per garden to survey</t>
  </si>
  <si>
    <t>Journal of Ecology</t>
  </si>
  <si>
    <t>10.1111/j.1365-2745.2010.01717.x</t>
  </si>
  <si>
    <t>Brazil</t>
  </si>
  <si>
    <t>Phenology</t>
  </si>
  <si>
    <t>samp_duration, plot_res</t>
  </si>
  <si>
    <t>samp_duration assumed five minutes per tree visit, average tree crown radius of 2m</t>
  </si>
  <si>
    <t>Fruit and flower morphology</t>
  </si>
  <si>
    <t>plot_res, samp_duration</t>
  </si>
  <si>
    <t>plot_res is guess area of fruit, flower, seed samples, samp_duration assumed 20 minutes per sample processing time</t>
  </si>
  <si>
    <t>10.1016/j.agee.2003.09.015</t>
  </si>
  <si>
    <t>Argentina</t>
  </si>
  <si>
    <t>Agricultural communities</t>
  </si>
  <si>
    <t>10.1016/j.agee.2012.06.015</t>
  </si>
  <si>
    <t>Groundwater nutrients</t>
  </si>
  <si>
    <t>Global Change Biology</t>
  </si>
  <si>
    <t>10.1111/j.1365-2486.2004.00844.x</t>
  </si>
  <si>
    <t>Forest emissions</t>
  </si>
  <si>
    <t>http://www.fia.fs.fed.us/library/fact-sheets/data-collections/Sampling%20and%20Plot%20Design.pdf</t>
  </si>
  <si>
    <t>samp_duration assumed to be one day per plot (1 plot = 3 sites)</t>
  </si>
  <si>
    <t>Conservation Biology</t>
  </si>
  <si>
    <t>10.1111/j.1523-1739.2012.01904.x</t>
  </si>
  <si>
    <t>land-sharing land-sparing</t>
  </si>
  <si>
    <t>10.1016/j.biocon.2009.02.020</t>
  </si>
  <si>
    <t>Plants</t>
  </si>
  <si>
    <t>n_sites, samp_duration</t>
  </si>
  <si>
    <t>n_sites proportionally counts pixels by the percent area land that they cover, DOI_data_source is actually ISBN of one data source, GIS products used for protected area designations were too numerous to track down, since data resolution included no temporal component, samp_duration was assumed to be the length of time during with all records were collected (e.g. 1987-2000)</t>
  </si>
  <si>
    <t>10.1111/1365-2745.12037</t>
  </si>
  <si>
    <t>Czech Republic</t>
  </si>
  <si>
    <t>Productivity</t>
  </si>
  <si>
    <t>samp_duration assumed to be 10 minutes</t>
  </si>
  <si>
    <t>Invasive plants</t>
  </si>
  <si>
    <t>samp_duration assumed to be 60 minutes</t>
  </si>
  <si>
    <t>plot_res was individual plants, assumed to be .25m x .25m, samp_duration assumed to be 15 minutes</t>
  </si>
  <si>
    <t>Oecologia</t>
  </si>
  <si>
    <t>10.1007/s00442-005-0065-9</t>
  </si>
  <si>
    <t>Pastures and grazing</t>
  </si>
  <si>
    <t>samp_duration assumed to be 15 minutes, study_span ('growing season 2000') assumed to be April 15 to September 10</t>
  </si>
  <si>
    <t>Pasture plants</t>
  </si>
  <si>
    <t>samp_duration assumed to be 3 hours, study_span ('growing season 2000') assumed to be April 15 to September 10, exclosure plots (1/3) were not counted</t>
  </si>
  <si>
    <t>10.1111/j.1365-2745.2009.01579.x</t>
  </si>
  <si>
    <t>Chile and Argentina</t>
  </si>
  <si>
    <t>High altitude plants</t>
  </si>
  <si>
    <t>plot_res, samp_duration, study_span</t>
  </si>
  <si>
    <t>plot_res (size of average cushion) assumed to be 0.25m square, 30 minutes per cushion, 90 day study period (unlisted)</t>
  </si>
  <si>
    <t>plot_res assumes transects have a 5cm width, took 5 minutes to survey, all conducted in 90 days</t>
  </si>
  <si>
    <t>Diversity and Distributions</t>
  </si>
  <si>
    <t>10.1111/j.1366-9516.2006.00217.x</t>
  </si>
  <si>
    <t>Mexico</t>
  </si>
  <si>
    <t>Spiders</t>
  </si>
  <si>
    <t>study_duration assumes they sampled each point each month of the study, but this was ambiguous in the text</t>
  </si>
  <si>
    <t>plot_res assumed to be size of pitfall trap</t>
  </si>
  <si>
    <t>Ground vegetation</t>
  </si>
  <si>
    <t>Samp_duration assumed 10 minutes</t>
  </si>
  <si>
    <t>Leaf litter</t>
  </si>
  <si>
    <t>plot_resolution, assumed litter depth measurements had a 1cm x 3cm cross section, took 1 minute each</t>
  </si>
  <si>
    <t>Biogeosciences</t>
  </si>
  <si>
    <t>10.5194/bg-9-71-2012</t>
  </si>
  <si>
    <t>Australia</t>
  </si>
  <si>
    <t>NDVI</t>
  </si>
  <si>
    <t>http://phenology.cr.usgs.gov/ndvi_avhrr.php</t>
  </si>
  <si>
    <t>NDVI data was used to illustrate methodological issues with analyzing VI data, not to actually observe patterns in nature directly</t>
  </si>
  <si>
    <t>10.1007/s00442-014-2921-y</t>
  </si>
  <si>
    <t>Malaysia and Philippines</t>
  </si>
  <si>
    <t>Lizards</t>
  </si>
  <si>
    <t>Samp_duration assumed 20 minutes per lizard, study span assumed to be one year (no information given)</t>
  </si>
  <si>
    <t>Ecosystems</t>
  </si>
  <si>
    <t>10.1007/s10021-013-9684-x</t>
  </si>
  <si>
    <t>Tree mortality</t>
  </si>
  <si>
    <t>samp_duration assumed to be five days for resurveys of plots</t>
  </si>
  <si>
    <t>Wood decomposition</t>
  </si>
  <si>
    <t>plot_res assumed to be 5cm x 5cm</t>
  </si>
  <si>
    <t>plot_res, samp_duration, study_duration</t>
  </si>
  <si>
    <t xml:space="preserve">Average cross sectional area assumed to be .5m^2, </t>
  </si>
  <si>
    <t>Wood chemistry</t>
  </si>
  <si>
    <t>Assumed wood samples 1cm x 1cm, 1 day to process</t>
  </si>
  <si>
    <t>Eddy Covariance</t>
  </si>
  <si>
    <t>10.1111/j.1365-2486.2008.01610.x</t>
  </si>
  <si>
    <t>plo_res assumed gas intake integrated over .01m2</t>
  </si>
  <si>
    <t>Wood moisture</t>
  </si>
  <si>
    <t>Soil moisture</t>
  </si>
  <si>
    <t>Global Ecology and Biogeography</t>
  </si>
  <si>
    <t>10.1111/j.1466-8238.2012.00778.x</t>
  </si>
  <si>
    <t>Pan-tropical</t>
  </si>
  <si>
    <t>Forest architecture</t>
  </si>
  <si>
    <t>estimated average tree diameter of 50cm, assumed 1 minute to estimate tree height, study_span assumed 1 year</t>
  </si>
  <si>
    <t>10.1016/j.biocon.2007.01.005</t>
  </si>
  <si>
    <t>Slovenia</t>
  </si>
  <si>
    <t>Grass</t>
  </si>
  <si>
    <t>Insects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</si>
</sst>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1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2E2E2E"/>
      <name val="Arial"/>
    </font>
    <font>
      <u/>
      <sz val="10"/>
      <color rgb="FF0000FF"/>
      <name val="Arial"/>
    </font>
    <font>
      <sz val="9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4" fillId="2" borderId="0" xfId="0" applyFont="1" applyFill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>
      <alignment horizontal="right"/>
    </xf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164" fontId="7" fillId="0" borderId="0" xfId="0" applyNumberFormat="1" applyFont="1" applyAlignme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698500</xdr:colOff>
      <xdr:row>68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698500</xdr:colOff>
      <xdr:row>68</xdr:row>
      <xdr:rowOff>76200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henology.cr.usgs.gov/ndvi_avhrr.php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1" Type="http://schemas.openxmlformats.org/officeDocument/2006/relationships/hyperlink" Target="http://www.ndhealth.gov/WNV/Documents/Summary/2007MosquitoReport.pdf" TargetMode="External"/><Relationship Id="rId2" Type="http://schemas.openxmlformats.org/officeDocument/2006/relationships/hyperlink" Target="http://www.fia.fs.fed.us/library/fact-sheets/data-collections/Sampling%20and%20Plot%20Desig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8"/>
  <sheetViews>
    <sheetView tabSelected="1" topLeftCell="G1" workbookViewId="0">
      <pane ySplit="2" topLeftCell="A3" activePane="bottomLeft" state="frozen"/>
      <selection pane="bottomLeft" activeCell="U45" sqref="A2:U45"/>
    </sheetView>
  </sheetViews>
  <sheetFormatPr baseColWidth="10" defaultColWidth="17.33203125" defaultRowHeight="15.75" customHeight="1" x14ac:dyDescent="0"/>
  <cols>
    <col min="1" max="1" width="46.6640625" customWidth="1"/>
    <col min="2" max="2" width="22.1640625" customWidth="1"/>
    <col min="3" max="3" width="10.5" customWidth="1"/>
    <col min="4" max="4" width="19.83203125" customWidth="1"/>
    <col min="5" max="5" width="16.1640625" customWidth="1"/>
    <col min="6" max="6" width="24.33203125" customWidth="1"/>
    <col min="7" max="7" width="9.83203125" customWidth="1"/>
    <col min="8" max="8" width="8" customWidth="1"/>
    <col min="9" max="9" width="13.5" customWidth="1"/>
    <col min="10" max="10" width="16.5" customWidth="1"/>
    <col min="11" max="11" width="11.83203125" customWidth="1"/>
    <col min="12" max="12" width="14.5" customWidth="1"/>
    <col min="13" max="14" width="11.83203125" customWidth="1"/>
    <col min="15" max="15" width="8.6640625" customWidth="1"/>
    <col min="16" max="16" width="7.83203125" customWidth="1"/>
    <col min="17" max="18" width="10.6640625" customWidth="1"/>
    <col min="19" max="19" width="30.6640625" customWidth="1"/>
    <col min="20" max="20" width="70.5" customWidth="1"/>
    <col min="21" max="30" width="14.5" customWidth="1"/>
  </cols>
  <sheetData>
    <row r="1" spans="1:30" ht="15.7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3</v>
      </c>
      <c r="L1" s="1" t="s">
        <v>3</v>
      </c>
      <c r="M1" s="2" t="s">
        <v>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5.5" customHeight="1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4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2" customHeight="1">
      <c r="A3" s="5" t="s">
        <v>24</v>
      </c>
      <c r="B3" s="6" t="s">
        <v>25</v>
      </c>
      <c r="C3" s="6">
        <v>2005</v>
      </c>
      <c r="D3" s="6" t="s">
        <v>26</v>
      </c>
      <c r="E3" s="6" t="s">
        <v>27</v>
      </c>
      <c r="F3" s="6" t="s">
        <v>28</v>
      </c>
      <c r="G3" s="7">
        <f>25/10000</f>
        <v>2.5000000000000001E-3</v>
      </c>
      <c r="H3" s="6">
        <v>36</v>
      </c>
      <c r="I3" s="7">
        <f t="shared" ref="I3:I13" si="0">G3*H3/10000</f>
        <v>9.0000000000000002E-6</v>
      </c>
      <c r="J3" s="6">
        <v>1</v>
      </c>
      <c r="K3" s="6">
        <v>0</v>
      </c>
      <c r="L3" s="6">
        <v>1</v>
      </c>
      <c r="M3" s="6">
        <v>1</v>
      </c>
      <c r="N3" s="6">
        <v>3</v>
      </c>
      <c r="O3" s="6">
        <v>1</v>
      </c>
      <c r="P3" s="6">
        <v>1</v>
      </c>
      <c r="Q3" s="6">
        <v>1</v>
      </c>
      <c r="R3" s="8"/>
      <c r="S3" s="6" t="s">
        <v>10</v>
      </c>
      <c r="T3" s="6" t="s">
        <v>29</v>
      </c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 customHeight="1">
      <c r="A4" s="5" t="s">
        <v>30</v>
      </c>
      <c r="B4" s="6" t="s">
        <v>31</v>
      </c>
      <c r="C4" s="6">
        <v>2010</v>
      </c>
      <c r="D4" s="6" t="s">
        <v>26</v>
      </c>
      <c r="E4" s="6" t="s">
        <v>32</v>
      </c>
      <c r="F4" s="6" t="s">
        <v>33</v>
      </c>
      <c r="G4" s="7">
        <f t="shared" ref="G4:G5" si="1">0.25*0.25</f>
        <v>6.25E-2</v>
      </c>
      <c r="H4" s="6">
        <v>150</v>
      </c>
      <c r="I4" s="7">
        <f t="shared" si="0"/>
        <v>9.3749999999999997E-4</v>
      </c>
      <c r="J4" s="6">
        <v>1</v>
      </c>
      <c r="K4" s="6">
        <v>0</v>
      </c>
      <c r="L4" s="6">
        <v>1</v>
      </c>
      <c r="M4" s="6">
        <v>365</v>
      </c>
      <c r="N4" s="6">
        <v>3</v>
      </c>
      <c r="O4" s="6">
        <v>2</v>
      </c>
      <c r="P4" s="6">
        <v>1</v>
      </c>
      <c r="Q4" s="6">
        <v>2</v>
      </c>
      <c r="R4" s="8"/>
      <c r="S4" s="6" t="s">
        <v>10</v>
      </c>
      <c r="T4" s="6" t="s">
        <v>34</v>
      </c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 customHeight="1">
      <c r="A5" s="5" t="s">
        <v>35</v>
      </c>
      <c r="B5" s="10" t="s">
        <v>36</v>
      </c>
      <c r="C5" s="11">
        <v>2008</v>
      </c>
      <c r="D5" s="6" t="s">
        <v>26</v>
      </c>
      <c r="E5" s="6" t="s">
        <v>37</v>
      </c>
      <c r="F5" s="6" t="s">
        <v>38</v>
      </c>
      <c r="G5" s="7">
        <f t="shared" si="1"/>
        <v>6.25E-2</v>
      </c>
      <c r="H5" s="6">
        <v>260</v>
      </c>
      <c r="I5" s="7">
        <f t="shared" si="0"/>
        <v>1.6249999999999999E-3</v>
      </c>
      <c r="J5" s="6">
        <v>1</v>
      </c>
      <c r="K5" s="6">
        <v>0</v>
      </c>
      <c r="L5" s="6">
        <v>1</v>
      </c>
      <c r="M5" s="7">
        <f>4*365+60</f>
        <v>1520</v>
      </c>
      <c r="N5" s="6">
        <v>3</v>
      </c>
      <c r="O5" s="6">
        <v>2</v>
      </c>
      <c r="P5" s="6">
        <v>3</v>
      </c>
      <c r="Q5" s="6">
        <v>2</v>
      </c>
      <c r="R5" s="8"/>
      <c r="S5" s="6" t="s">
        <v>10</v>
      </c>
      <c r="T5" s="6" t="s">
        <v>39</v>
      </c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 customHeight="1">
      <c r="A6" s="5" t="s">
        <v>35</v>
      </c>
      <c r="B6" s="10" t="s">
        <v>36</v>
      </c>
      <c r="C6" s="11">
        <v>2008</v>
      </c>
      <c r="D6" s="6" t="s">
        <v>26</v>
      </c>
      <c r="E6" s="6" t="s">
        <v>37</v>
      </c>
      <c r="F6" s="6" t="s">
        <v>40</v>
      </c>
      <c r="G6" s="7">
        <f>(100*100*3*500/12948+50*50*2*500/3909+100*100*2*2500/13900)/3</f>
        <v>1798.3840444240302</v>
      </c>
      <c r="H6" s="6">
        <v>3</v>
      </c>
      <c r="I6" s="7">
        <f t="shared" si="0"/>
        <v>0.53951521332720909</v>
      </c>
      <c r="J6" s="6">
        <v>120</v>
      </c>
      <c r="K6" s="6">
        <v>245</v>
      </c>
      <c r="L6" s="7">
        <f t="shared" ref="L6:L7" si="2">120*4</f>
        <v>480</v>
      </c>
      <c r="M6" s="7">
        <f t="shared" ref="M6:M7" si="3">4*365 + 120</f>
        <v>1580</v>
      </c>
      <c r="N6" s="6">
        <v>3</v>
      </c>
      <c r="O6" s="6">
        <v>1</v>
      </c>
      <c r="P6" s="6">
        <v>1</v>
      </c>
      <c r="Q6" s="6">
        <v>0</v>
      </c>
      <c r="R6" s="8"/>
      <c r="S6" s="6" t="s">
        <v>10</v>
      </c>
      <c r="T6" s="6" t="s">
        <v>41</v>
      </c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 customHeight="1">
      <c r="A7" s="5" t="s">
        <v>35</v>
      </c>
      <c r="B7" s="10" t="s">
        <v>36</v>
      </c>
      <c r="C7" s="11">
        <v>2008</v>
      </c>
      <c r="D7" s="6" t="s">
        <v>26</v>
      </c>
      <c r="E7" s="6" t="s">
        <v>37</v>
      </c>
      <c r="F7" s="6" t="s">
        <v>42</v>
      </c>
      <c r="G7" s="7">
        <f>0.15*0.15</f>
        <v>2.2499999999999999E-2</v>
      </c>
      <c r="H7" s="6">
        <v>116.5</v>
      </c>
      <c r="I7" s="7">
        <f t="shared" si="0"/>
        <v>2.6212499999999999E-4</v>
      </c>
      <c r="J7" s="6">
        <v>7</v>
      </c>
      <c r="K7" s="6">
        <f>(365-102)/14</f>
        <v>18.785714285714285</v>
      </c>
      <c r="L7" s="7">
        <f t="shared" si="2"/>
        <v>480</v>
      </c>
      <c r="M7" s="7">
        <f t="shared" si="3"/>
        <v>1580</v>
      </c>
      <c r="N7" s="6">
        <v>3</v>
      </c>
      <c r="O7" s="6">
        <v>1</v>
      </c>
      <c r="P7" s="6">
        <v>0</v>
      </c>
      <c r="Q7" s="6">
        <v>0</v>
      </c>
      <c r="R7" s="12" t="s">
        <v>43</v>
      </c>
      <c r="S7" s="6" t="s">
        <v>10</v>
      </c>
      <c r="T7" s="6" t="s">
        <v>44</v>
      </c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 customHeight="1">
      <c r="A8" s="5" t="s">
        <v>45</v>
      </c>
      <c r="B8" s="13" t="s">
        <v>46</v>
      </c>
      <c r="C8" s="11">
        <v>2012</v>
      </c>
      <c r="D8" s="6" t="s">
        <v>47</v>
      </c>
      <c r="E8" s="6" t="s">
        <v>48</v>
      </c>
      <c r="F8" s="6" t="s">
        <v>49</v>
      </c>
      <c r="G8" s="7">
        <f>1000*1000</f>
        <v>1000000</v>
      </c>
      <c r="H8" s="6">
        <v>12193300</v>
      </c>
      <c r="I8" s="7">
        <f t="shared" si="0"/>
        <v>1219330000</v>
      </c>
      <c r="J8" s="6">
        <f>1/24/60</f>
        <v>6.9444444444444436E-4</v>
      </c>
      <c r="K8" s="6">
        <v>0.25</v>
      </c>
      <c r="L8" s="7">
        <f>365*4</f>
        <v>1460</v>
      </c>
      <c r="M8" s="6">
        <v>1460</v>
      </c>
      <c r="N8" s="6">
        <v>0</v>
      </c>
      <c r="O8" s="6">
        <v>0</v>
      </c>
      <c r="P8" s="6">
        <v>1</v>
      </c>
      <c r="Q8" s="6">
        <v>0</v>
      </c>
      <c r="R8" s="6" t="s">
        <v>50</v>
      </c>
      <c r="S8" s="6" t="s">
        <v>13</v>
      </c>
      <c r="T8" s="6" t="s">
        <v>51</v>
      </c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 customHeight="1">
      <c r="A9" s="5" t="s">
        <v>45</v>
      </c>
      <c r="B9" s="13" t="s">
        <v>46</v>
      </c>
      <c r="C9" s="11">
        <v>2012</v>
      </c>
      <c r="D9" s="6" t="s">
        <v>52</v>
      </c>
      <c r="E9" s="6" t="s">
        <v>48</v>
      </c>
      <c r="F9" s="6" t="s">
        <v>53</v>
      </c>
      <c r="G9" s="6">
        <v>45045100</v>
      </c>
      <c r="H9" s="6">
        <v>270690</v>
      </c>
      <c r="I9" s="7">
        <f t="shared" si="0"/>
        <v>1219325811.9000001</v>
      </c>
      <c r="J9" s="6">
        <v>365</v>
      </c>
      <c r="K9" s="6">
        <v>0</v>
      </c>
      <c r="L9" s="6">
        <v>365</v>
      </c>
      <c r="M9" s="6">
        <v>365</v>
      </c>
      <c r="N9" s="6">
        <v>1</v>
      </c>
      <c r="O9" s="6">
        <v>0</v>
      </c>
      <c r="P9" s="6">
        <v>1</v>
      </c>
      <c r="Q9" s="6">
        <v>1</v>
      </c>
      <c r="R9" s="6" t="s">
        <v>54</v>
      </c>
      <c r="S9" s="6" t="s">
        <v>13</v>
      </c>
      <c r="T9" s="6" t="s">
        <v>55</v>
      </c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 customHeight="1">
      <c r="A10" s="5" t="s">
        <v>56</v>
      </c>
      <c r="B10" s="14" t="s">
        <v>57</v>
      </c>
      <c r="C10" s="11">
        <v>2005</v>
      </c>
      <c r="D10" s="6" t="s">
        <v>26</v>
      </c>
      <c r="E10" s="6" t="s">
        <v>58</v>
      </c>
      <c r="F10" s="6" t="s">
        <v>59</v>
      </c>
      <c r="G10" s="6">
        <v>10000</v>
      </c>
      <c r="H10" s="6">
        <v>61</v>
      </c>
      <c r="I10" s="7">
        <f t="shared" si="0"/>
        <v>61</v>
      </c>
      <c r="J10" s="6">
        <v>1</v>
      </c>
      <c r="K10" s="6">
        <v>0</v>
      </c>
      <c r="L10" s="6">
        <v>1</v>
      </c>
      <c r="M10" s="6">
        <v>1</v>
      </c>
      <c r="N10" s="6">
        <v>1</v>
      </c>
      <c r="O10" s="6">
        <v>1</v>
      </c>
      <c r="P10" s="6">
        <v>0</v>
      </c>
      <c r="Q10" s="6">
        <v>0</v>
      </c>
      <c r="R10" s="8"/>
      <c r="S10" s="14" t="s">
        <v>13</v>
      </c>
      <c r="T10" s="6" t="s">
        <v>60</v>
      </c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 customHeight="1">
      <c r="A11" s="5" t="s">
        <v>56</v>
      </c>
      <c r="B11" s="14" t="s">
        <v>57</v>
      </c>
      <c r="C11" s="11">
        <v>2005</v>
      </c>
      <c r="D11" s="6" t="s">
        <v>26</v>
      </c>
      <c r="E11" s="6" t="s">
        <v>58</v>
      </c>
      <c r="F11" s="6" t="s">
        <v>61</v>
      </c>
      <c r="G11" s="6">
        <v>0.25</v>
      </c>
      <c r="H11" s="7">
        <f>61*143</f>
        <v>8723</v>
      </c>
      <c r="I11" s="7">
        <f t="shared" si="0"/>
        <v>0.21807499999999999</v>
      </c>
      <c r="J11" s="6">
        <v>1</v>
      </c>
      <c r="K11" s="6">
        <v>0</v>
      </c>
      <c r="L11" s="6">
        <v>1</v>
      </c>
      <c r="M11" s="6">
        <v>90</v>
      </c>
      <c r="N11" s="6">
        <v>2</v>
      </c>
      <c r="O11" s="6">
        <v>2</v>
      </c>
      <c r="P11" s="6">
        <v>1</v>
      </c>
      <c r="Q11" s="6">
        <v>1</v>
      </c>
      <c r="R11" s="8"/>
      <c r="S11" s="6" t="s">
        <v>62</v>
      </c>
      <c r="T11" s="14" t="s">
        <v>63</v>
      </c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 customHeight="1">
      <c r="A12" s="5" t="s">
        <v>64</v>
      </c>
      <c r="B12" s="6" t="s">
        <v>65</v>
      </c>
      <c r="C12" s="11">
        <v>2010</v>
      </c>
      <c r="D12" s="6" t="s">
        <v>26</v>
      </c>
      <c r="E12" s="6" t="s">
        <v>66</v>
      </c>
      <c r="F12" s="6" t="s">
        <v>67</v>
      </c>
      <c r="G12" s="7">
        <f>PI()*4</f>
        <v>12.566370614359172</v>
      </c>
      <c r="H12" s="6">
        <v>550</v>
      </c>
      <c r="I12" s="7">
        <f t="shared" si="0"/>
        <v>0.69115038378975446</v>
      </c>
      <c r="J12" s="7">
        <f>1/24/60*5</f>
        <v>3.472222222222222E-3</v>
      </c>
      <c r="K12" s="7">
        <f>365/12</f>
        <v>30.416666666666668</v>
      </c>
      <c r="L12" s="7">
        <f>30*J12</f>
        <v>0.10416666666666666</v>
      </c>
      <c r="M12" s="7">
        <f t="shared" ref="M12:M13" si="4">365*2+31+31+30+31+30+31</f>
        <v>914</v>
      </c>
      <c r="N12" s="6">
        <v>3</v>
      </c>
      <c r="O12" s="6">
        <v>2</v>
      </c>
      <c r="P12" s="6">
        <v>2</v>
      </c>
      <c r="Q12" s="6">
        <v>1</v>
      </c>
      <c r="R12" s="8"/>
      <c r="S12" s="6" t="s">
        <v>68</v>
      </c>
      <c r="T12" s="6" t="s">
        <v>69</v>
      </c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 customHeight="1">
      <c r="A13" s="5" t="s">
        <v>64</v>
      </c>
      <c r="B13" s="6" t="s">
        <v>65</v>
      </c>
      <c r="C13" s="11">
        <v>2010</v>
      </c>
      <c r="D13" s="6" t="s">
        <v>26</v>
      </c>
      <c r="E13" s="6" t="s">
        <v>66</v>
      </c>
      <c r="F13" s="6" t="s">
        <v>70</v>
      </c>
      <c r="G13" s="7">
        <f>0.01*0.01</f>
        <v>1E-4</v>
      </c>
      <c r="H13" s="7">
        <f>34*3*60</f>
        <v>6120</v>
      </c>
      <c r="I13" s="7">
        <f t="shared" si="0"/>
        <v>6.1199999999999997E-5</v>
      </c>
      <c r="J13" s="7">
        <f>1/24/60*20</f>
        <v>1.3888888888888888E-2</v>
      </c>
      <c r="K13" s="6">
        <v>0</v>
      </c>
      <c r="L13" s="7">
        <f>1/24/60*20</f>
        <v>1.3888888888888888E-2</v>
      </c>
      <c r="M13" s="7">
        <f t="shared" si="4"/>
        <v>914</v>
      </c>
      <c r="N13" s="6">
        <v>3</v>
      </c>
      <c r="O13" s="6">
        <v>3</v>
      </c>
      <c r="P13" s="6">
        <v>1</v>
      </c>
      <c r="Q13" s="6">
        <v>1</v>
      </c>
      <c r="R13" s="8"/>
      <c r="S13" s="6" t="s">
        <v>71</v>
      </c>
      <c r="T13" s="6" t="s">
        <v>72</v>
      </c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 customHeight="1">
      <c r="A14" s="5" t="s">
        <v>30</v>
      </c>
      <c r="B14" s="14" t="s">
        <v>73</v>
      </c>
      <c r="C14" s="14">
        <v>2004</v>
      </c>
      <c r="D14" s="6" t="s">
        <v>26</v>
      </c>
      <c r="E14" s="14" t="s">
        <v>74</v>
      </c>
      <c r="F14" s="14" t="s">
        <v>75</v>
      </c>
      <c r="G14">
        <f>30*10000</f>
        <v>300000</v>
      </c>
      <c r="H14" s="14">
        <v>74</v>
      </c>
      <c r="I14">
        <f>H14*G14/10000</f>
        <v>2220</v>
      </c>
      <c r="J14" s="7">
        <f>1/24/2</f>
        <v>2.0833333333333332E-2</v>
      </c>
      <c r="K14" s="6">
        <v>0</v>
      </c>
      <c r="L14" s="7">
        <f>1/24/2</f>
        <v>2.0833333333333332E-2</v>
      </c>
      <c r="M14" s="7">
        <f>365*4+31</f>
        <v>1491</v>
      </c>
      <c r="N14" s="6">
        <v>3</v>
      </c>
      <c r="O14" s="6">
        <v>1</v>
      </c>
      <c r="P14" s="6">
        <v>1</v>
      </c>
      <c r="Q14" s="6">
        <v>1</v>
      </c>
      <c r="R14" s="8"/>
      <c r="S14" s="8"/>
      <c r="T14" s="8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5.75" customHeight="1">
      <c r="A15" s="5" t="s">
        <v>30</v>
      </c>
      <c r="B15" s="15" t="s">
        <v>76</v>
      </c>
      <c r="C15" s="16">
        <v>2012</v>
      </c>
      <c r="D15" s="6" t="s">
        <v>26</v>
      </c>
      <c r="E15" s="6" t="s">
        <v>58</v>
      </c>
      <c r="F15" s="14" t="s">
        <v>77</v>
      </c>
      <c r="G15" s="7">
        <f>PI()*0.25^2</f>
        <v>0.19634954084936207</v>
      </c>
      <c r="H15" s="6">
        <v>30</v>
      </c>
      <c r="I15" s="7">
        <f t="shared" ref="I15:I17" si="5">G15*H15/10000</f>
        <v>5.8904862254808622E-4</v>
      </c>
      <c r="J15">
        <f>1/24/60*1.6</f>
        <v>1.1111111111111111E-3</v>
      </c>
      <c r="K15" s="7">
        <f>365/12</f>
        <v>30.416666666666668</v>
      </c>
      <c r="L15">
        <f>J15*35</f>
        <v>3.888888888888889E-2</v>
      </c>
      <c r="M15" s="14">
        <f>365*3-28</f>
        <v>1067</v>
      </c>
      <c r="N15" s="14">
        <v>0</v>
      </c>
      <c r="O15" s="14">
        <v>1</v>
      </c>
      <c r="P15" s="14">
        <v>2</v>
      </c>
      <c r="Q15" s="14">
        <v>0</v>
      </c>
    </row>
    <row r="16" spans="1:30" ht="15.75" customHeight="1">
      <c r="A16" s="5" t="s">
        <v>78</v>
      </c>
      <c r="B16" s="14" t="s">
        <v>79</v>
      </c>
      <c r="C16" s="11">
        <v>2004</v>
      </c>
      <c r="D16" s="14" t="s">
        <v>26</v>
      </c>
      <c r="E16" s="14" t="s">
        <v>37</v>
      </c>
      <c r="F16" s="14" t="s">
        <v>80</v>
      </c>
      <c r="G16">
        <f>PI()*7.32</f>
        <v>22.996458224277287</v>
      </c>
      <c r="H16" s="14">
        <v>750000</v>
      </c>
      <c r="I16" s="7">
        <f t="shared" si="5"/>
        <v>1724.7343668207966</v>
      </c>
      <c r="J16" s="14">
        <v>1</v>
      </c>
      <c r="K16">
        <f>365*10</f>
        <v>3650</v>
      </c>
      <c r="L16" s="14">
        <v>2</v>
      </c>
      <c r="M16">
        <f>365*20</f>
        <v>7300</v>
      </c>
      <c r="N16" s="14">
        <v>3</v>
      </c>
      <c r="O16" s="14">
        <v>2</v>
      </c>
      <c r="P16" s="14">
        <v>2</v>
      </c>
      <c r="Q16" s="14">
        <v>1</v>
      </c>
      <c r="R16" s="17" t="s">
        <v>81</v>
      </c>
      <c r="S16" s="14" t="s">
        <v>13</v>
      </c>
      <c r="T16" s="14" t="s">
        <v>82</v>
      </c>
    </row>
    <row r="17" spans="1:20" ht="15.75" customHeight="1">
      <c r="A17" s="5" t="s">
        <v>83</v>
      </c>
      <c r="B17" s="14" t="s">
        <v>84</v>
      </c>
      <c r="C17" s="11">
        <v>2012</v>
      </c>
      <c r="D17" s="14" t="s">
        <v>26</v>
      </c>
      <c r="E17" s="14" t="s">
        <v>74</v>
      </c>
      <c r="F17" s="14" t="s">
        <v>85</v>
      </c>
      <c r="G17">
        <f>PI()*25*25</f>
        <v>1963.4954084936207</v>
      </c>
      <c r="H17">
        <f>6*33</f>
        <v>198</v>
      </c>
      <c r="I17" s="7">
        <f t="shared" si="5"/>
        <v>38.877209088173686</v>
      </c>
      <c r="J17">
        <f>1/24/3</f>
        <v>1.3888888888888888E-2</v>
      </c>
      <c r="K17" s="14">
        <v>0</v>
      </c>
      <c r="L17">
        <f>1/24/3</f>
        <v>1.3888888888888888E-2</v>
      </c>
      <c r="M17">
        <f>31+30+31+31</f>
        <v>123</v>
      </c>
      <c r="N17" s="14">
        <v>3</v>
      </c>
      <c r="O17" s="14">
        <v>2</v>
      </c>
      <c r="P17" s="14">
        <v>2</v>
      </c>
      <c r="Q17" s="14">
        <v>1</v>
      </c>
    </row>
    <row r="18" spans="1:20" ht="15.75" customHeight="1">
      <c r="A18" s="5" t="s">
        <v>35</v>
      </c>
      <c r="B18" s="14" t="s">
        <v>86</v>
      </c>
      <c r="C18" s="11">
        <v>2009</v>
      </c>
      <c r="D18" s="14" t="s">
        <v>52</v>
      </c>
      <c r="E18" s="14" t="s">
        <v>58</v>
      </c>
      <c r="F18" s="14" t="s">
        <v>87</v>
      </c>
      <c r="G18">
        <f>10000*10000</f>
        <v>100000000</v>
      </c>
      <c r="H18">
        <f>I18*10000/G18</f>
        <v>2332.1765999999998</v>
      </c>
      <c r="I18" s="7">
        <f>315159*0.74*100</f>
        <v>23321766</v>
      </c>
      <c r="J18">
        <f>365*14</f>
        <v>5110</v>
      </c>
      <c r="K18" s="14">
        <v>0</v>
      </c>
      <c r="L18" s="14">
        <v>5110</v>
      </c>
      <c r="M18" s="14">
        <v>5110</v>
      </c>
      <c r="N18" s="14">
        <v>3</v>
      </c>
      <c r="O18" s="14">
        <v>1</v>
      </c>
      <c r="P18" s="14">
        <v>1</v>
      </c>
      <c r="Q18" s="14">
        <v>1</v>
      </c>
      <c r="R18" s="18">
        <v>198510675</v>
      </c>
      <c r="S18" s="14" t="s">
        <v>88</v>
      </c>
      <c r="T18" s="14" t="s">
        <v>89</v>
      </c>
    </row>
    <row r="19" spans="1:20" ht="15.75" customHeight="1">
      <c r="A19" s="5" t="s">
        <v>64</v>
      </c>
      <c r="B19" s="14" t="s">
        <v>90</v>
      </c>
      <c r="C19" s="11">
        <v>2013</v>
      </c>
      <c r="D19" s="14" t="s">
        <v>26</v>
      </c>
      <c r="E19" s="14" t="s">
        <v>91</v>
      </c>
      <c r="F19" s="14" t="s">
        <v>92</v>
      </c>
      <c r="G19">
        <f>0.25*0.25</f>
        <v>6.25E-2</v>
      </c>
      <c r="H19" s="14">
        <f>72*5</f>
        <v>360</v>
      </c>
      <c r="I19">
        <f t="shared" ref="I19:I41" si="6">G19*H19/10000</f>
        <v>2.2499999999999998E-3</v>
      </c>
      <c r="J19">
        <f>1/24/6</f>
        <v>6.9444444444444441E-3</v>
      </c>
      <c r="K19" s="14">
        <v>0</v>
      </c>
      <c r="L19">
        <f>1/24/6</f>
        <v>6.9444444444444441E-3</v>
      </c>
      <c r="M19" s="14">
        <v>62</v>
      </c>
      <c r="N19" s="14">
        <v>0</v>
      </c>
      <c r="O19" s="14">
        <v>1</v>
      </c>
      <c r="P19" s="14">
        <v>1</v>
      </c>
      <c r="Q19" s="14">
        <v>1</v>
      </c>
      <c r="S19" s="14" t="s">
        <v>13</v>
      </c>
      <c r="T19" s="14" t="s">
        <v>93</v>
      </c>
    </row>
    <row r="20" spans="1:20" ht="15.75" customHeight="1">
      <c r="A20" s="5" t="s">
        <v>64</v>
      </c>
      <c r="B20" s="14" t="s">
        <v>90</v>
      </c>
      <c r="C20" s="11">
        <v>2013</v>
      </c>
      <c r="D20" s="14" t="s">
        <v>26</v>
      </c>
      <c r="E20" s="14" t="s">
        <v>91</v>
      </c>
      <c r="F20" s="14" t="s">
        <v>94</v>
      </c>
      <c r="G20" s="14">
        <v>4</v>
      </c>
      <c r="H20" s="14">
        <f>72*3</f>
        <v>216</v>
      </c>
      <c r="I20">
        <f t="shared" si="6"/>
        <v>8.6400000000000005E-2</v>
      </c>
      <c r="J20">
        <f t="shared" ref="J20:J21" si="7">1/24</f>
        <v>4.1666666666666664E-2</v>
      </c>
      <c r="K20" s="14">
        <v>0</v>
      </c>
      <c r="L20">
        <f t="shared" ref="L20:L21" si="8">1/24</f>
        <v>4.1666666666666664E-2</v>
      </c>
      <c r="M20" s="14">
        <v>62</v>
      </c>
      <c r="N20" s="14">
        <v>3</v>
      </c>
      <c r="O20" s="14">
        <v>1</v>
      </c>
      <c r="P20" s="14">
        <v>1</v>
      </c>
      <c r="Q20" s="14">
        <v>1</v>
      </c>
      <c r="S20" s="14" t="s">
        <v>13</v>
      </c>
      <c r="T20" s="14" t="s">
        <v>95</v>
      </c>
    </row>
    <row r="21" spans="1:20" ht="15.75" customHeight="1">
      <c r="A21" s="5" t="s">
        <v>64</v>
      </c>
      <c r="B21" s="14" t="s">
        <v>90</v>
      </c>
      <c r="C21" s="11">
        <v>2013</v>
      </c>
      <c r="D21" s="14" t="s">
        <v>26</v>
      </c>
      <c r="E21" s="14" t="s">
        <v>91</v>
      </c>
      <c r="F21" s="14" t="s">
        <v>87</v>
      </c>
      <c r="G21" s="14">
        <v>4</v>
      </c>
      <c r="H21" s="14">
        <v>60</v>
      </c>
      <c r="I21">
        <f t="shared" si="6"/>
        <v>2.4E-2</v>
      </c>
      <c r="J21">
        <f t="shared" si="7"/>
        <v>4.1666666666666664E-2</v>
      </c>
      <c r="K21" s="14">
        <v>0</v>
      </c>
      <c r="L21">
        <f t="shared" si="8"/>
        <v>4.1666666666666664E-2</v>
      </c>
      <c r="M21" s="14">
        <v>30</v>
      </c>
      <c r="N21" s="14">
        <v>3</v>
      </c>
      <c r="O21" s="14">
        <v>1</v>
      </c>
      <c r="P21" s="14">
        <v>1</v>
      </c>
      <c r="Q21" s="14">
        <v>1</v>
      </c>
      <c r="S21" s="14" t="s">
        <v>13</v>
      </c>
      <c r="T21" s="14" t="s">
        <v>95</v>
      </c>
    </row>
    <row r="22" spans="1:20" ht="15.75" customHeight="1">
      <c r="A22" s="5" t="s">
        <v>64</v>
      </c>
      <c r="B22" s="14" t="s">
        <v>90</v>
      </c>
      <c r="C22" s="11">
        <v>2013</v>
      </c>
      <c r="D22" s="14" t="s">
        <v>26</v>
      </c>
      <c r="E22" s="14" t="s">
        <v>91</v>
      </c>
      <c r="F22" s="14" t="s">
        <v>94</v>
      </c>
      <c r="G22" s="14">
        <f>0.5*0.5</f>
        <v>0.25</v>
      </c>
      <c r="H22" s="14">
        <v>3920</v>
      </c>
      <c r="I22">
        <f t="shared" si="6"/>
        <v>9.8000000000000004E-2</v>
      </c>
      <c r="J22">
        <f t="shared" ref="J22:J23" si="9">1/24/4</f>
        <v>1.0416666666666666E-2</v>
      </c>
      <c r="K22" s="14">
        <v>0</v>
      </c>
      <c r="L22">
        <f t="shared" ref="L22:L23" si="10">1/24/4</f>
        <v>1.0416666666666666E-2</v>
      </c>
      <c r="M22" s="14">
        <v>456</v>
      </c>
      <c r="N22" s="14">
        <v>3</v>
      </c>
      <c r="O22" s="14">
        <v>0</v>
      </c>
      <c r="P22" s="14">
        <v>1</v>
      </c>
      <c r="Q22" s="14">
        <v>3</v>
      </c>
      <c r="S22" s="14" t="s">
        <v>71</v>
      </c>
      <c r="T22" s="14" t="s">
        <v>96</v>
      </c>
    </row>
    <row r="23" spans="1:20" ht="15.75" customHeight="1">
      <c r="A23" s="5" t="s">
        <v>97</v>
      </c>
      <c r="B23" s="14" t="s">
        <v>98</v>
      </c>
      <c r="C23" s="11">
        <v>2006</v>
      </c>
      <c r="D23" s="14" t="s">
        <v>26</v>
      </c>
      <c r="E23" s="14" t="s">
        <v>37</v>
      </c>
      <c r="F23" s="14" t="s">
        <v>99</v>
      </c>
      <c r="G23" s="14">
        <v>1</v>
      </c>
      <c r="H23" s="14">
        <v>340</v>
      </c>
      <c r="I23">
        <f t="shared" si="6"/>
        <v>3.4000000000000002E-2</v>
      </c>
      <c r="J23">
        <f t="shared" si="9"/>
        <v>1.0416666666666666E-2</v>
      </c>
      <c r="K23" s="14">
        <v>0</v>
      </c>
      <c r="L23">
        <f t="shared" si="10"/>
        <v>1.0416666666666666E-2</v>
      </c>
      <c r="M23">
        <f t="shared" ref="M23:M24" si="11">55+31*3</f>
        <v>148</v>
      </c>
      <c r="N23" s="14">
        <v>3</v>
      </c>
      <c r="O23" s="14">
        <v>2</v>
      </c>
      <c r="P23" s="14">
        <v>1</v>
      </c>
      <c r="Q23" s="14">
        <v>1</v>
      </c>
      <c r="S23" s="14" t="s">
        <v>62</v>
      </c>
      <c r="T23" s="14" t="s">
        <v>100</v>
      </c>
    </row>
    <row r="24" spans="1:20" ht="15.75" customHeight="1">
      <c r="A24" s="5" t="s">
        <v>97</v>
      </c>
      <c r="B24" s="14" t="s">
        <v>98</v>
      </c>
      <c r="C24" s="11">
        <v>2006</v>
      </c>
      <c r="D24" s="14" t="s">
        <v>26</v>
      </c>
      <c r="E24" s="14" t="s">
        <v>37</v>
      </c>
      <c r="F24" s="14" t="s">
        <v>101</v>
      </c>
      <c r="G24" s="14">
        <v>1000</v>
      </c>
      <c r="H24" s="14">
        <v>34</v>
      </c>
      <c r="I24">
        <f t="shared" si="6"/>
        <v>3.4</v>
      </c>
      <c r="J24" s="19">
        <f>1/8</f>
        <v>0.125</v>
      </c>
      <c r="K24" s="14">
        <v>0</v>
      </c>
      <c r="L24" s="14">
        <v>0.125</v>
      </c>
      <c r="M24">
        <f t="shared" si="11"/>
        <v>148</v>
      </c>
      <c r="N24" s="14">
        <v>3</v>
      </c>
      <c r="O24" s="14">
        <v>0</v>
      </c>
      <c r="P24" s="14">
        <v>0</v>
      </c>
      <c r="Q24" s="14">
        <v>1</v>
      </c>
      <c r="S24" s="14" t="s">
        <v>62</v>
      </c>
      <c r="T24" s="14" t="s">
        <v>102</v>
      </c>
    </row>
    <row r="25" spans="1:20" ht="15.75" customHeight="1">
      <c r="A25" s="5" t="s">
        <v>64</v>
      </c>
      <c r="B25" s="14" t="s">
        <v>103</v>
      </c>
      <c r="C25" s="11">
        <v>2009</v>
      </c>
      <c r="D25" s="14" t="s">
        <v>26</v>
      </c>
      <c r="E25" s="14" t="s">
        <v>104</v>
      </c>
      <c r="F25" s="14" t="s">
        <v>105</v>
      </c>
      <c r="G25" s="14">
        <v>0.25</v>
      </c>
      <c r="H25" s="14">
        <v>2076</v>
      </c>
      <c r="I25">
        <f t="shared" si="6"/>
        <v>5.1900000000000002E-2</v>
      </c>
      <c r="J25">
        <f>1/24/2</f>
        <v>2.0833333333333332E-2</v>
      </c>
      <c r="K25" s="14">
        <v>0</v>
      </c>
      <c r="L25">
        <f>1/24/2</f>
        <v>2.0833333333333332E-2</v>
      </c>
      <c r="M25" s="14">
        <v>90</v>
      </c>
      <c r="N25" s="14">
        <v>3</v>
      </c>
      <c r="O25" s="14">
        <v>1</v>
      </c>
      <c r="P25" s="14">
        <v>1</v>
      </c>
      <c r="Q25" s="14">
        <v>1</v>
      </c>
      <c r="S25" s="14" t="s">
        <v>106</v>
      </c>
      <c r="T25" s="14" t="s">
        <v>107</v>
      </c>
    </row>
    <row r="26" spans="1:20" ht="15.75" customHeight="1">
      <c r="A26" s="5" t="s">
        <v>64</v>
      </c>
      <c r="B26" s="14" t="s">
        <v>103</v>
      </c>
      <c r="C26" s="11">
        <v>2009</v>
      </c>
      <c r="D26" s="14" t="s">
        <v>26</v>
      </c>
      <c r="E26" s="14" t="s">
        <v>104</v>
      </c>
      <c r="F26" s="14" t="s">
        <v>105</v>
      </c>
      <c r="G26">
        <f>50*0.05</f>
        <v>2.5</v>
      </c>
      <c r="H26" s="14">
        <v>110</v>
      </c>
      <c r="I26">
        <f t="shared" si="6"/>
        <v>2.75E-2</v>
      </c>
      <c r="J26">
        <f>1/24/12</f>
        <v>3.472222222222222E-3</v>
      </c>
      <c r="K26" s="14">
        <v>0</v>
      </c>
      <c r="L26">
        <f>1/24/12</f>
        <v>3.472222222222222E-3</v>
      </c>
      <c r="M26" s="14">
        <v>90</v>
      </c>
      <c r="N26" s="14">
        <v>2</v>
      </c>
      <c r="O26" s="14">
        <v>1</v>
      </c>
      <c r="P26" s="14">
        <v>1</v>
      </c>
      <c r="Q26" s="14">
        <v>1</v>
      </c>
      <c r="S26" s="14" t="s">
        <v>106</v>
      </c>
      <c r="T26" s="14" t="s">
        <v>108</v>
      </c>
    </row>
    <row r="27" spans="1:20" ht="15.75" customHeight="1">
      <c r="A27" s="5" t="s">
        <v>109</v>
      </c>
      <c r="B27" s="14" t="s">
        <v>110</v>
      </c>
      <c r="C27" s="11">
        <v>2006</v>
      </c>
      <c r="D27" s="14" t="s">
        <v>26</v>
      </c>
      <c r="E27" s="14" t="s">
        <v>111</v>
      </c>
      <c r="F27" s="14" t="s">
        <v>112</v>
      </c>
      <c r="G27" s="14">
        <v>20</v>
      </c>
      <c r="H27">
        <f>56*3</f>
        <v>168</v>
      </c>
      <c r="I27">
        <f t="shared" si="6"/>
        <v>0.33600000000000002</v>
      </c>
      <c r="J27">
        <f>1/24/2</f>
        <v>2.0833333333333332E-2</v>
      </c>
      <c r="K27" s="14">
        <v>30</v>
      </c>
      <c r="L27">
        <f>J27*6</f>
        <v>0.125</v>
      </c>
      <c r="M27">
        <f>7*30</f>
        <v>210</v>
      </c>
      <c r="N27" s="14">
        <v>3</v>
      </c>
      <c r="O27" s="14">
        <v>2</v>
      </c>
      <c r="P27" s="14">
        <v>1</v>
      </c>
      <c r="Q27" s="14">
        <v>2</v>
      </c>
      <c r="S27" s="14" t="s">
        <v>15</v>
      </c>
      <c r="T27" s="14" t="s">
        <v>113</v>
      </c>
    </row>
    <row r="28" spans="1:20" ht="15.75" customHeight="1">
      <c r="A28" s="5" t="s">
        <v>109</v>
      </c>
      <c r="B28" s="14" t="s">
        <v>110</v>
      </c>
      <c r="C28" s="11">
        <v>2006</v>
      </c>
      <c r="D28" s="14" t="s">
        <v>26</v>
      </c>
      <c r="E28" s="14" t="s">
        <v>111</v>
      </c>
      <c r="F28" s="14" t="s">
        <v>112</v>
      </c>
      <c r="G28" s="14">
        <f>PI()*0.05*0.05</f>
        <v>7.8539816339744835E-3</v>
      </c>
      <c r="H28">
        <f>3*56</f>
        <v>168</v>
      </c>
      <c r="I28">
        <f t="shared" si="6"/>
        <v>1.3194689145077133E-4</v>
      </c>
      <c r="J28" s="14">
        <v>4</v>
      </c>
      <c r="K28">
        <f>1/24/6</f>
        <v>6.9444444444444441E-3</v>
      </c>
      <c r="L28" s="14">
        <v>180</v>
      </c>
      <c r="M28" s="14">
        <v>210</v>
      </c>
      <c r="N28" s="14">
        <v>3</v>
      </c>
      <c r="O28" s="14">
        <v>2</v>
      </c>
      <c r="P28" s="14">
        <v>1</v>
      </c>
      <c r="Q28" s="14">
        <v>1</v>
      </c>
      <c r="S28" s="14" t="s">
        <v>10</v>
      </c>
      <c r="T28" s="14" t="s">
        <v>114</v>
      </c>
    </row>
    <row r="29" spans="1:20" ht="15.75" customHeight="1">
      <c r="A29" s="5" t="s">
        <v>109</v>
      </c>
      <c r="B29" s="14" t="s">
        <v>110</v>
      </c>
      <c r="C29" s="11">
        <v>2006</v>
      </c>
      <c r="D29" s="14" t="s">
        <v>26</v>
      </c>
      <c r="E29" s="14" t="s">
        <v>111</v>
      </c>
      <c r="F29" s="14" t="s">
        <v>115</v>
      </c>
      <c r="G29" s="14">
        <f>625/10000</f>
        <v>6.25E-2</v>
      </c>
      <c r="H29">
        <f>9*56</f>
        <v>504</v>
      </c>
      <c r="I29">
        <f t="shared" si="6"/>
        <v>3.15E-3</v>
      </c>
      <c r="J29">
        <f>1/24/6</f>
        <v>6.9444444444444441E-3</v>
      </c>
      <c r="K29" s="14">
        <v>30</v>
      </c>
      <c r="L29">
        <f t="shared" ref="L29:L30" si="12">J29*6</f>
        <v>4.1666666666666664E-2</v>
      </c>
      <c r="M29" s="14">
        <v>210</v>
      </c>
      <c r="N29" s="14">
        <v>2</v>
      </c>
      <c r="O29" s="14">
        <v>2</v>
      </c>
      <c r="P29" s="14">
        <v>1</v>
      </c>
      <c r="Q29" s="14">
        <v>1</v>
      </c>
      <c r="S29" s="14" t="s">
        <v>13</v>
      </c>
      <c r="T29" s="14" t="s">
        <v>116</v>
      </c>
    </row>
    <row r="30" spans="1:20" ht="15.75" customHeight="1">
      <c r="A30" s="5" t="s">
        <v>109</v>
      </c>
      <c r="B30" s="14" t="s">
        <v>110</v>
      </c>
      <c r="C30" s="11">
        <v>2006</v>
      </c>
      <c r="D30" s="14" t="s">
        <v>26</v>
      </c>
      <c r="E30" s="14" t="s">
        <v>111</v>
      </c>
      <c r="F30" s="14" t="s">
        <v>117</v>
      </c>
      <c r="G30" s="14">
        <f>0.01*0.03</f>
        <v>2.9999999999999997E-4</v>
      </c>
      <c r="H30">
        <f>5*3*56</f>
        <v>840</v>
      </c>
      <c r="I30">
        <f t="shared" si="6"/>
        <v>2.5199999999999999E-5</v>
      </c>
      <c r="J30">
        <f>1/24/60</f>
        <v>6.9444444444444436E-4</v>
      </c>
      <c r="K30" s="14">
        <v>30</v>
      </c>
      <c r="L30">
        <f t="shared" si="12"/>
        <v>4.1666666666666657E-3</v>
      </c>
      <c r="M30" s="14">
        <v>210</v>
      </c>
      <c r="N30" s="14">
        <v>0</v>
      </c>
      <c r="O30" s="14">
        <v>1</v>
      </c>
      <c r="P30" s="14">
        <v>1</v>
      </c>
      <c r="Q30" s="14">
        <v>0</v>
      </c>
      <c r="S30" s="14" t="s">
        <v>71</v>
      </c>
      <c r="T30" s="14" t="s">
        <v>118</v>
      </c>
    </row>
    <row r="31" spans="1:20" ht="15.75" customHeight="1">
      <c r="A31" s="5" t="s">
        <v>119</v>
      </c>
      <c r="B31" s="14" t="s">
        <v>120</v>
      </c>
      <c r="C31" s="11">
        <v>2012</v>
      </c>
      <c r="D31" s="14" t="s">
        <v>47</v>
      </c>
      <c r="E31" s="14" t="s">
        <v>121</v>
      </c>
      <c r="F31" s="14" t="s">
        <v>122</v>
      </c>
      <c r="G31">
        <f>8000*8000</f>
        <v>64000000</v>
      </c>
      <c r="H31" s="14">
        <v>1000</v>
      </c>
      <c r="I31">
        <f t="shared" si="6"/>
        <v>6400000</v>
      </c>
      <c r="J31" s="14">
        <v>14</v>
      </c>
      <c r="K31" s="14">
        <v>0</v>
      </c>
      <c r="L31">
        <f>24*365</f>
        <v>8760</v>
      </c>
      <c r="M31" s="14">
        <v>8760</v>
      </c>
      <c r="N31" s="14">
        <v>0</v>
      </c>
      <c r="O31" s="14">
        <v>0</v>
      </c>
      <c r="P31" s="14">
        <v>1</v>
      </c>
      <c r="Q31" s="14">
        <v>0</v>
      </c>
      <c r="R31" s="17" t="s">
        <v>123</v>
      </c>
      <c r="T31" s="14" t="s">
        <v>124</v>
      </c>
    </row>
    <row r="32" spans="1:20" ht="15.75" customHeight="1">
      <c r="A32" s="5" t="s">
        <v>97</v>
      </c>
      <c r="B32" s="14" t="s">
        <v>125</v>
      </c>
      <c r="C32" s="11">
        <v>2014</v>
      </c>
      <c r="D32" s="14" t="s">
        <v>26</v>
      </c>
      <c r="E32" s="14" t="s">
        <v>126</v>
      </c>
      <c r="F32" s="14" t="s">
        <v>127</v>
      </c>
      <c r="G32" s="14">
        <v>0.04</v>
      </c>
      <c r="H32" s="14">
        <v>246</v>
      </c>
      <c r="I32">
        <f t="shared" si="6"/>
        <v>9.8400000000000007E-4</v>
      </c>
      <c r="J32">
        <f>1/24/3</f>
        <v>1.3888888888888888E-2</v>
      </c>
      <c r="K32" s="14">
        <v>0</v>
      </c>
      <c r="L32">
        <f>J32</f>
        <v>1.3888888888888888E-2</v>
      </c>
      <c r="M32" s="14">
        <v>365</v>
      </c>
      <c r="N32" s="14">
        <v>3</v>
      </c>
      <c r="O32" s="14">
        <v>2</v>
      </c>
      <c r="P32" s="14">
        <v>0</v>
      </c>
      <c r="Q32" s="14">
        <v>1</v>
      </c>
      <c r="S32" s="14" t="s">
        <v>62</v>
      </c>
      <c r="T32" s="14" t="s">
        <v>128</v>
      </c>
    </row>
    <row r="33" spans="1:20" ht="15.75" customHeight="1">
      <c r="A33" s="5" t="s">
        <v>129</v>
      </c>
      <c r="B33" s="14" t="s">
        <v>130</v>
      </c>
      <c r="C33" s="11">
        <v>2013</v>
      </c>
      <c r="D33" s="14" t="s">
        <v>26</v>
      </c>
      <c r="E33" s="14" t="s">
        <v>32</v>
      </c>
      <c r="F33" s="14" t="s">
        <v>131</v>
      </c>
      <c r="G33" s="14">
        <v>4900</v>
      </c>
      <c r="H33" s="14">
        <v>2</v>
      </c>
      <c r="I33">
        <f t="shared" si="6"/>
        <v>0.98</v>
      </c>
      <c r="J33" s="14">
        <v>5</v>
      </c>
      <c r="K33" s="14">
        <v>730</v>
      </c>
      <c r="L33" s="14">
        <v>20</v>
      </c>
      <c r="M33">
        <f>6*365+1</f>
        <v>2191</v>
      </c>
      <c r="N33" s="14">
        <v>3</v>
      </c>
      <c r="O33" s="14">
        <v>2</v>
      </c>
      <c r="P33" s="14">
        <v>2</v>
      </c>
      <c r="Q33" s="14">
        <v>1</v>
      </c>
      <c r="S33" s="14" t="s">
        <v>13</v>
      </c>
      <c r="T33" s="14" t="s">
        <v>132</v>
      </c>
    </row>
    <row r="34" spans="1:20" ht="15.75" customHeight="1">
      <c r="A34" s="5" t="s">
        <v>129</v>
      </c>
      <c r="B34" s="14" t="s">
        <v>130</v>
      </c>
      <c r="C34" s="11">
        <v>2013</v>
      </c>
      <c r="D34" s="14" t="s">
        <v>26</v>
      </c>
      <c r="E34" s="14" t="s">
        <v>32</v>
      </c>
      <c r="F34" s="14" t="s">
        <v>133</v>
      </c>
      <c r="G34">
        <f>0.05*0.05</f>
        <v>2.5000000000000005E-3</v>
      </c>
      <c r="H34" s="14">
        <v>42</v>
      </c>
      <c r="I34">
        <f t="shared" si="6"/>
        <v>1.0500000000000003E-5</v>
      </c>
      <c r="J34">
        <f>1/24/30</f>
        <v>1.3888888888888887E-3</v>
      </c>
      <c r="K34" s="14">
        <v>6</v>
      </c>
      <c r="L34">
        <f>13*J34</f>
        <v>1.8055555555555554E-2</v>
      </c>
      <c r="M34" s="14">
        <v>79</v>
      </c>
      <c r="N34" s="14">
        <v>3</v>
      </c>
      <c r="O34" s="14">
        <v>3</v>
      </c>
      <c r="P34" s="14">
        <v>1</v>
      </c>
      <c r="Q34" s="14">
        <v>1</v>
      </c>
      <c r="S34" s="14" t="s">
        <v>10</v>
      </c>
      <c r="T34" s="14" t="s">
        <v>134</v>
      </c>
    </row>
    <row r="35" spans="1:20" ht="15.75" customHeight="1">
      <c r="A35" s="5" t="s">
        <v>129</v>
      </c>
      <c r="B35" s="14" t="s">
        <v>130</v>
      </c>
      <c r="C35" s="11">
        <v>2013</v>
      </c>
      <c r="D35" s="14" t="s">
        <v>26</v>
      </c>
      <c r="E35" s="14" t="s">
        <v>32</v>
      </c>
      <c r="F35" s="14" t="s">
        <v>133</v>
      </c>
      <c r="G35" s="14">
        <v>0.5</v>
      </c>
      <c r="H35" s="14">
        <v>42</v>
      </c>
      <c r="I35">
        <f t="shared" si="6"/>
        <v>2.0999999999999999E-3</v>
      </c>
      <c r="J35" s="14">
        <v>3</v>
      </c>
      <c r="K35" s="14">
        <v>0</v>
      </c>
      <c r="L35" s="14">
        <v>1</v>
      </c>
      <c r="M35" s="14">
        <v>5</v>
      </c>
      <c r="N35" s="14">
        <v>3</v>
      </c>
      <c r="O35" s="14">
        <v>3</v>
      </c>
      <c r="P35" s="14">
        <v>2</v>
      </c>
      <c r="Q35" s="14">
        <v>1</v>
      </c>
      <c r="S35" s="14" t="s">
        <v>135</v>
      </c>
      <c r="T35" s="14" t="s">
        <v>136</v>
      </c>
    </row>
    <row r="36" spans="1:20" ht="15.75" customHeight="1">
      <c r="A36" s="5" t="s">
        <v>129</v>
      </c>
      <c r="B36" s="14" t="s">
        <v>130</v>
      </c>
      <c r="C36" s="11">
        <v>2013</v>
      </c>
      <c r="D36" s="14" t="s">
        <v>26</v>
      </c>
      <c r="E36" s="14" t="s">
        <v>32</v>
      </c>
      <c r="F36" s="14" t="s">
        <v>137</v>
      </c>
      <c r="G36">
        <f>0.01*0.01</f>
        <v>1E-4</v>
      </c>
      <c r="H36">
        <f>42*3</f>
        <v>126</v>
      </c>
      <c r="I36">
        <f t="shared" si="6"/>
        <v>1.26E-6</v>
      </c>
      <c r="J36" s="14">
        <v>1</v>
      </c>
      <c r="K36" s="14">
        <v>0</v>
      </c>
      <c r="L36" s="14">
        <v>1</v>
      </c>
      <c r="M36" s="14">
        <v>1</v>
      </c>
      <c r="N36" s="14">
        <v>3</v>
      </c>
      <c r="O36" s="14">
        <v>3</v>
      </c>
      <c r="P36" s="14">
        <v>2</v>
      </c>
      <c r="Q36" s="14">
        <v>1</v>
      </c>
      <c r="S36" s="14" t="s">
        <v>135</v>
      </c>
      <c r="T36" s="14" t="s">
        <v>138</v>
      </c>
    </row>
    <row r="37" spans="1:20" ht="15.75" customHeight="1">
      <c r="A37" s="5" t="s">
        <v>129</v>
      </c>
      <c r="B37" s="14" t="s">
        <v>130</v>
      </c>
      <c r="C37" s="11">
        <v>2013</v>
      </c>
      <c r="D37" s="14" t="s">
        <v>26</v>
      </c>
      <c r="E37" s="14" t="s">
        <v>32</v>
      </c>
      <c r="F37" s="14" t="s">
        <v>139</v>
      </c>
      <c r="G37" s="14">
        <v>0.01</v>
      </c>
      <c r="H37" s="14">
        <v>1</v>
      </c>
      <c r="I37">
        <f t="shared" si="6"/>
        <v>9.9999999999999995E-7</v>
      </c>
      <c r="J37">
        <f>1/24/60/60/20</f>
        <v>5.787037037037037E-7</v>
      </c>
      <c r="K37" s="14">
        <v>0</v>
      </c>
      <c r="L37" s="14">
        <v>365</v>
      </c>
      <c r="M37" s="14">
        <v>365</v>
      </c>
      <c r="N37" s="14">
        <v>0</v>
      </c>
      <c r="O37" s="14">
        <v>0</v>
      </c>
      <c r="P37" s="14">
        <v>1</v>
      </c>
      <c r="Q37" s="14">
        <v>0</v>
      </c>
      <c r="R37" s="14" t="s">
        <v>140</v>
      </c>
      <c r="S37" s="14" t="s">
        <v>10</v>
      </c>
      <c r="T37" s="14" t="s">
        <v>141</v>
      </c>
    </row>
    <row r="38" spans="1:20" ht="15.75" customHeight="1">
      <c r="A38" s="5" t="s">
        <v>129</v>
      </c>
      <c r="B38" s="14" t="s">
        <v>130</v>
      </c>
      <c r="C38" s="11">
        <v>2013</v>
      </c>
      <c r="D38" s="14" t="s">
        <v>26</v>
      </c>
      <c r="E38" s="14" t="s">
        <v>32</v>
      </c>
      <c r="F38" s="14" t="s">
        <v>142</v>
      </c>
      <c r="G38">
        <f t="shared" ref="G38:G39" si="13">0.01*0.01</f>
        <v>1E-4</v>
      </c>
      <c r="H38">
        <f>42*4</f>
        <v>168</v>
      </c>
      <c r="I38">
        <f t="shared" si="6"/>
        <v>1.6800000000000002E-6</v>
      </c>
      <c r="J38">
        <f>1/24/60</f>
        <v>6.9444444444444436E-4</v>
      </c>
      <c r="K38" s="14">
        <v>0</v>
      </c>
      <c r="L38">
        <f>J38</f>
        <v>6.9444444444444436E-4</v>
      </c>
      <c r="M38" s="14">
        <v>1</v>
      </c>
      <c r="N38" s="14">
        <v>3</v>
      </c>
      <c r="O38" s="14">
        <v>3</v>
      </c>
      <c r="P38" s="14">
        <v>1</v>
      </c>
      <c r="Q38" s="14">
        <v>1</v>
      </c>
      <c r="S38" s="14" t="s">
        <v>135</v>
      </c>
    </row>
    <row r="39" spans="1:20" ht="15.75" customHeight="1">
      <c r="A39" s="5" t="s">
        <v>129</v>
      </c>
      <c r="B39" s="14" t="s">
        <v>130</v>
      </c>
      <c r="C39" s="11">
        <v>2013</v>
      </c>
      <c r="D39" s="14" t="s">
        <v>26</v>
      </c>
      <c r="E39" s="14" t="s">
        <v>32</v>
      </c>
      <c r="F39" s="14" t="s">
        <v>143</v>
      </c>
      <c r="G39">
        <f t="shared" si="13"/>
        <v>1E-4</v>
      </c>
      <c r="H39" s="14">
        <v>1</v>
      </c>
      <c r="I39">
        <f t="shared" si="6"/>
        <v>1E-8</v>
      </c>
      <c r="J39" s="14">
        <v>1</v>
      </c>
      <c r="K39" s="14">
        <v>0</v>
      </c>
      <c r="L39" s="14">
        <v>79</v>
      </c>
      <c r="M39" s="14">
        <v>79</v>
      </c>
      <c r="N39" s="14">
        <v>0</v>
      </c>
      <c r="O39" s="14">
        <v>3</v>
      </c>
      <c r="P39" s="14">
        <v>1</v>
      </c>
      <c r="Q39" s="14">
        <v>0</v>
      </c>
      <c r="S39" s="14" t="s">
        <v>10</v>
      </c>
    </row>
    <row r="40" spans="1:20" ht="15.75" customHeight="1">
      <c r="A40" s="5" t="s">
        <v>129</v>
      </c>
      <c r="B40" s="14" t="s">
        <v>130</v>
      </c>
      <c r="C40" s="11">
        <v>2013</v>
      </c>
      <c r="D40" s="14" t="s">
        <v>26</v>
      </c>
      <c r="E40" s="14" t="s">
        <v>32</v>
      </c>
      <c r="F40" s="14" t="s">
        <v>133</v>
      </c>
      <c r="G40" s="14">
        <f>6.25*10000</f>
        <v>62500</v>
      </c>
      <c r="H40" s="14">
        <v>1</v>
      </c>
      <c r="I40">
        <f t="shared" si="6"/>
        <v>6.25</v>
      </c>
      <c r="J40" s="14">
        <v>1</v>
      </c>
      <c r="K40" s="14">
        <v>30</v>
      </c>
      <c r="L40">
        <f>12*20</f>
        <v>240</v>
      </c>
      <c r="M40">
        <f>20*365.25</f>
        <v>7305</v>
      </c>
      <c r="N40" s="14">
        <v>3</v>
      </c>
      <c r="O40" s="14">
        <v>2</v>
      </c>
      <c r="P40" s="14">
        <v>2</v>
      </c>
      <c r="Q40" s="14">
        <v>1</v>
      </c>
    </row>
    <row r="41" spans="1:20" ht="15.75" customHeight="1">
      <c r="A41" s="5" t="s">
        <v>144</v>
      </c>
      <c r="B41" s="14" t="s">
        <v>145</v>
      </c>
      <c r="C41" s="11">
        <v>2012</v>
      </c>
      <c r="D41" s="14" t="s">
        <v>26</v>
      </c>
      <c r="E41" s="14" t="s">
        <v>146</v>
      </c>
      <c r="F41" s="14" t="s">
        <v>147</v>
      </c>
      <c r="G41">
        <f>PI()*0.25*0.25</f>
        <v>0.19634954084936207</v>
      </c>
      <c r="H41" s="14">
        <v>20497</v>
      </c>
      <c r="I41">
        <f t="shared" si="6"/>
        <v>0.40245765387893745</v>
      </c>
      <c r="J41">
        <f>1/24/60</f>
        <v>6.9444444444444436E-4</v>
      </c>
      <c r="K41" s="14">
        <v>0</v>
      </c>
      <c r="L41">
        <f>J41</f>
        <v>6.9444444444444436E-4</v>
      </c>
      <c r="M41" s="14">
        <v>365</v>
      </c>
      <c r="N41" s="14">
        <v>3</v>
      </c>
      <c r="O41" s="14">
        <v>2</v>
      </c>
      <c r="P41" s="14">
        <v>1</v>
      </c>
      <c r="Q41" s="14">
        <v>1</v>
      </c>
      <c r="S41" s="14" t="s">
        <v>106</v>
      </c>
      <c r="T41" s="14" t="s">
        <v>148</v>
      </c>
    </row>
    <row r="42" spans="1:20" ht="15.75" customHeight="1">
      <c r="A42" s="5" t="s">
        <v>144</v>
      </c>
      <c r="B42" s="14" t="s">
        <v>145</v>
      </c>
      <c r="C42" s="11">
        <v>2012</v>
      </c>
      <c r="D42" s="14" t="s">
        <v>26</v>
      </c>
      <c r="E42" s="14" t="s">
        <v>146</v>
      </c>
      <c r="F42" s="14" t="s">
        <v>147</v>
      </c>
      <c r="G42" s="14">
        <f>2*10000</f>
        <v>20000</v>
      </c>
      <c r="H42" s="14">
        <v>104</v>
      </c>
      <c r="I42">
        <f>H42*G42/10000</f>
        <v>208</v>
      </c>
      <c r="J42" s="14">
        <v>20</v>
      </c>
      <c r="K42" s="14">
        <v>0</v>
      </c>
      <c r="L42" s="14">
        <v>20</v>
      </c>
      <c r="M42" s="14">
        <v>365</v>
      </c>
      <c r="N42" s="14">
        <v>3</v>
      </c>
      <c r="O42" s="14">
        <v>2</v>
      </c>
      <c r="P42" s="14">
        <v>1</v>
      </c>
      <c r="Q42" s="14">
        <v>1</v>
      </c>
      <c r="S42" s="14" t="s">
        <v>106</v>
      </c>
      <c r="T42" s="14" t="s">
        <v>148</v>
      </c>
    </row>
    <row r="43" spans="1:20" ht="15.75" customHeight="1">
      <c r="A43" s="5" t="s">
        <v>35</v>
      </c>
      <c r="B43" s="15" t="s">
        <v>149</v>
      </c>
      <c r="C43" s="11">
        <v>2007</v>
      </c>
      <c r="D43" s="14" t="s">
        <v>26</v>
      </c>
      <c r="E43" s="14" t="s">
        <v>150</v>
      </c>
      <c r="F43" s="14" t="s">
        <v>151</v>
      </c>
      <c r="G43" s="14">
        <v>9</v>
      </c>
      <c r="H43" s="14">
        <v>10</v>
      </c>
      <c r="I43">
        <f t="shared" ref="I43:I45" si="14">G43*H43/10000</f>
        <v>8.9999999999999993E-3</v>
      </c>
      <c r="J43">
        <f>1/24</f>
        <v>4.1666666666666664E-2</v>
      </c>
      <c r="K43" s="14">
        <v>0</v>
      </c>
      <c r="L43">
        <f>J43</f>
        <v>4.1666666666666664E-2</v>
      </c>
      <c r="M43" s="14">
        <v>123</v>
      </c>
      <c r="N43" s="14">
        <v>3</v>
      </c>
      <c r="O43" s="14">
        <v>1</v>
      </c>
      <c r="P43" s="14">
        <v>0</v>
      </c>
      <c r="Q43" s="14">
        <v>1</v>
      </c>
      <c r="S43" s="14" t="s">
        <v>13</v>
      </c>
    </row>
    <row r="44" spans="1:20" ht="15.75" customHeight="1">
      <c r="A44" s="5" t="s">
        <v>35</v>
      </c>
      <c r="B44" s="15" t="s">
        <v>149</v>
      </c>
      <c r="C44" s="11">
        <v>2007</v>
      </c>
      <c r="D44" s="14" t="s">
        <v>26</v>
      </c>
      <c r="E44" s="14" t="s">
        <v>150</v>
      </c>
      <c r="F44" s="14" t="s">
        <v>152</v>
      </c>
      <c r="G44" s="14">
        <v>100</v>
      </c>
      <c r="H44" s="14">
        <v>10</v>
      </c>
      <c r="I44">
        <f t="shared" si="14"/>
        <v>0.1</v>
      </c>
      <c r="J44" s="14">
        <f>1/24/3</f>
        <v>1.3888888888888888E-2</v>
      </c>
      <c r="K44" s="14">
        <v>40</v>
      </c>
      <c r="L44" s="14">
        <v>60</v>
      </c>
      <c r="M44" s="14">
        <v>123</v>
      </c>
      <c r="N44" s="14">
        <v>3</v>
      </c>
      <c r="O44" s="14">
        <v>1</v>
      </c>
      <c r="P44" s="14">
        <v>1</v>
      </c>
      <c r="Q44" s="14">
        <v>2</v>
      </c>
      <c r="S44" s="14"/>
    </row>
    <row r="45" spans="1:20" ht="15.75" customHeight="1">
      <c r="A45" s="5" t="s">
        <v>35</v>
      </c>
      <c r="B45" s="15" t="s">
        <v>149</v>
      </c>
      <c r="C45" s="11">
        <v>2007</v>
      </c>
      <c r="D45" s="14" t="s">
        <v>26</v>
      </c>
      <c r="E45" s="14" t="s">
        <v>150</v>
      </c>
      <c r="F45" s="14" t="s">
        <v>152</v>
      </c>
      <c r="G45" s="14">
        <f>PI()*0.035*0.035</f>
        <v>3.8484510006474974E-3</v>
      </c>
      <c r="H45" s="14">
        <v>60</v>
      </c>
      <c r="I45">
        <f t="shared" si="14"/>
        <v>2.3090706003884983E-5</v>
      </c>
      <c r="J45" s="14">
        <v>7</v>
      </c>
      <c r="K45" s="14">
        <v>33</v>
      </c>
      <c r="L45" s="14">
        <v>21</v>
      </c>
      <c r="M45" s="14">
        <v>123</v>
      </c>
      <c r="N45" s="14">
        <v>3</v>
      </c>
      <c r="O45" s="14">
        <v>1</v>
      </c>
      <c r="P45" s="14">
        <v>1</v>
      </c>
      <c r="Q45" s="14">
        <v>1</v>
      </c>
      <c r="S45" s="14" t="s">
        <v>10</v>
      </c>
      <c r="T45" s="14" t="s">
        <v>114</v>
      </c>
    </row>
    <row r="46" spans="1:20" ht="15.75" customHeight="1">
      <c r="A46" s="5"/>
      <c r="C46" s="11"/>
    </row>
    <row r="47" spans="1:20" ht="15.75" customHeight="1">
      <c r="A47" s="5"/>
      <c r="C47" s="11"/>
    </row>
    <row r="48" spans="1:20" ht="15.75" customHeight="1">
      <c r="A48" s="5"/>
      <c r="C48" s="11"/>
    </row>
    <row r="49" spans="1:3" ht="15.75" customHeight="1">
      <c r="A49" s="5"/>
      <c r="C49" s="11"/>
    </row>
    <row r="50" spans="1:3" ht="15.75" customHeight="1">
      <c r="A50" s="5"/>
      <c r="C50" s="11"/>
    </row>
    <row r="51" spans="1:3" ht="15.75" customHeight="1">
      <c r="A51" s="5"/>
      <c r="C51" s="11"/>
    </row>
    <row r="52" spans="1:3" ht="15.75" customHeight="1">
      <c r="A52" s="5"/>
      <c r="C52" s="11"/>
    </row>
    <row r="53" spans="1:3" ht="15.75" customHeight="1">
      <c r="A53" s="5"/>
      <c r="C53" s="11"/>
    </row>
    <row r="54" spans="1:3" ht="15.75" customHeight="1">
      <c r="A54" s="5"/>
      <c r="C54" s="11"/>
    </row>
    <row r="55" spans="1:3" ht="15.75" customHeight="1">
      <c r="A55" s="5"/>
      <c r="C55" s="11"/>
    </row>
    <row r="56" spans="1:3" ht="15.75" customHeight="1">
      <c r="A56" s="5"/>
      <c r="C56" s="11"/>
    </row>
    <row r="57" spans="1:3" ht="15.75" customHeight="1">
      <c r="A57" s="5"/>
      <c r="C57" s="11"/>
    </row>
    <row r="58" spans="1:3" ht="15.75" customHeight="1">
      <c r="A58" s="5"/>
      <c r="C58" s="11"/>
    </row>
    <row r="59" spans="1:3" ht="15.75" customHeight="1">
      <c r="A59" s="5"/>
      <c r="C59" s="11"/>
    </row>
    <row r="60" spans="1:3" ht="15.75" customHeight="1">
      <c r="A60" s="5"/>
      <c r="C60" s="11"/>
    </row>
    <row r="61" spans="1:3" ht="15.75" customHeight="1">
      <c r="A61" s="5"/>
      <c r="C61" s="11"/>
    </row>
    <row r="62" spans="1:3" ht="15.75" customHeight="1">
      <c r="A62" s="5"/>
      <c r="C62" s="11"/>
    </row>
    <row r="63" spans="1:3" ht="15.75" customHeight="1">
      <c r="A63" s="5"/>
      <c r="C63" s="11"/>
    </row>
    <row r="64" spans="1:3" ht="15.75" customHeight="1">
      <c r="A64" s="5"/>
      <c r="C64" s="11"/>
    </row>
    <row r="65" spans="1:3" ht="15.75" customHeight="1">
      <c r="A65" s="5"/>
      <c r="C65" s="11"/>
    </row>
    <row r="66" spans="1:3" ht="15.75" customHeight="1">
      <c r="A66" s="5"/>
      <c r="C66" s="11"/>
    </row>
    <row r="67" spans="1:3" ht="15.75" customHeight="1">
      <c r="A67" s="5"/>
      <c r="C67" s="11"/>
    </row>
    <row r="68" spans="1:3" ht="15.75" customHeight="1">
      <c r="A68" s="5"/>
      <c r="C68" s="11"/>
    </row>
    <row r="69" spans="1:3" ht="15.75" customHeight="1">
      <c r="A69" s="5"/>
      <c r="C69" s="11"/>
    </row>
    <row r="70" spans="1:3" ht="15.75" customHeight="1">
      <c r="A70" s="5"/>
      <c r="C70" s="11"/>
    </row>
    <row r="71" spans="1:3" ht="15.75" customHeight="1">
      <c r="A71" s="5"/>
      <c r="C71" s="11"/>
    </row>
    <row r="72" spans="1:3" ht="15.75" customHeight="1">
      <c r="A72" s="5"/>
      <c r="C72" s="11"/>
    </row>
    <row r="73" spans="1:3" ht="15.75" customHeight="1">
      <c r="A73" s="5"/>
      <c r="C73" s="11"/>
    </row>
    <row r="74" spans="1:3" ht="15.75" customHeight="1">
      <c r="A74" s="5"/>
      <c r="C74" s="11"/>
    </row>
    <row r="75" spans="1:3" ht="15.75" customHeight="1">
      <c r="A75" s="5"/>
      <c r="C75" s="11"/>
    </row>
    <row r="76" spans="1:3" ht="15.75" customHeight="1">
      <c r="A76" s="5"/>
      <c r="C76" s="11"/>
    </row>
    <row r="77" spans="1:3" ht="15.75" customHeight="1">
      <c r="A77" s="5"/>
      <c r="C77" s="11"/>
    </row>
    <row r="78" spans="1:3" ht="15.75" customHeight="1">
      <c r="A78" s="5"/>
      <c r="C78" s="11"/>
    </row>
    <row r="79" spans="1:3" ht="15.75" customHeight="1">
      <c r="A79" s="5"/>
      <c r="C79" s="11"/>
    </row>
    <row r="80" spans="1:3" ht="15.75" customHeight="1">
      <c r="A80" s="5"/>
      <c r="C80" s="11"/>
    </row>
    <row r="81" spans="1:3" ht="15.75" customHeight="1">
      <c r="A81" s="5"/>
      <c r="C81" s="11"/>
    </row>
    <row r="82" spans="1:3" ht="15.75" customHeight="1">
      <c r="A82" s="5"/>
      <c r="C82" s="11"/>
    </row>
    <row r="83" spans="1:3" ht="15.75" customHeight="1">
      <c r="A83" s="5"/>
      <c r="C83" s="11"/>
    </row>
    <row r="84" spans="1:3" ht="15.75" customHeight="1">
      <c r="A84" s="5"/>
      <c r="C84" s="11"/>
    </row>
    <row r="85" spans="1:3" ht="15.75" customHeight="1">
      <c r="A85" s="5"/>
      <c r="C85" s="11"/>
    </row>
    <row r="86" spans="1:3" ht="15.75" customHeight="1">
      <c r="A86" s="5"/>
      <c r="C86" s="11"/>
    </row>
    <row r="87" spans="1:3" ht="15.75" customHeight="1">
      <c r="A87" s="5"/>
      <c r="C87" s="11"/>
    </row>
    <row r="88" spans="1:3" ht="15.75" customHeight="1">
      <c r="A88" s="5"/>
      <c r="C88" s="11"/>
    </row>
  </sheetData>
  <dataValidations count="1">
    <dataValidation type="list" allowBlank="1" sqref="D3:D88">
      <formula1>"field/direct observation,paleo-reconstruction,other geographic data,remote sensing,passive/automated data collection"</formula1>
    </dataValidation>
  </dataValidations>
  <hyperlinks>
    <hyperlink ref="R7" r:id="rId1"/>
    <hyperlink ref="R16" r:id="rId2"/>
    <hyperlink ref="R31" r:id="rId3"/>
  </hyperlinks>
  <pageMargins left="0.75" right="0.75" top="1" bottom="1" header="0.5" footer="0.5"/>
  <pageSetup orientation="portrait" horizontalDpi="4294967292" verticalDpi="4294967292"/>
  <drawing r:id="rId4"/>
  <legacy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Lyndon Estes</cp:lastModifiedBy>
  <dcterms:modified xsi:type="dcterms:W3CDTF">2015-12-03T22:55:40Z</dcterms:modified>
</cp:coreProperties>
</file>