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autoCompressPictures="0"/>
  <mc:AlternateContent xmlns:mc="http://schemas.openxmlformats.org/markup-compatibility/2006">
    <mc:Choice Requires="x15">
      <x15ac:absPath xmlns:x15ac="http://schemas.microsoft.com/office/spreadsheetml/2010/11/ac" url="/Users/lestes/Dropbox/publications/ecoscales/inst/extdata/"/>
    </mc:Choice>
  </mc:AlternateContent>
  <bookViews>
    <workbookView xWindow="7780" yWindow="460" windowWidth="32760" windowHeight="17040" tabRatio="500"/>
  </bookViews>
  <sheets>
    <sheet name="merged_calibrationf.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7" i="1" l="1"/>
  <c r="Q27" i="1"/>
  <c r="Q46" i="1"/>
  <c r="R46" i="1"/>
  <c r="O134" i="1"/>
  <c r="R134" i="1"/>
  <c r="Q134" i="1"/>
  <c r="O133" i="1"/>
  <c r="R133" i="1"/>
  <c r="Q133" i="1"/>
  <c r="O132" i="1"/>
  <c r="R132" i="1"/>
  <c r="Q132" i="1"/>
  <c r="Q131" i="1"/>
  <c r="O131" i="1"/>
  <c r="R21" i="1"/>
  <c r="R22" i="1"/>
  <c r="R105" i="1"/>
  <c r="R106" i="1"/>
  <c r="R107" i="1"/>
  <c r="R5" i="1"/>
  <c r="R90" i="1"/>
  <c r="R91" i="1"/>
  <c r="R92" i="1"/>
  <c r="R124" i="1"/>
  <c r="R123" i="1"/>
  <c r="R18" i="1"/>
  <c r="Q95" i="1"/>
  <c r="R95" i="1"/>
  <c r="Q44" i="1"/>
  <c r="R96" i="1"/>
  <c r="R14" i="1"/>
  <c r="R13" i="1"/>
  <c r="R185" i="1"/>
  <c r="R184" i="1"/>
  <c r="R45" i="1"/>
  <c r="Q185" i="1"/>
  <c r="O185" i="1"/>
  <c r="Q184" i="1"/>
  <c r="O184" i="1"/>
  <c r="P182" i="1"/>
  <c r="Q96" i="1"/>
  <c r="P96" i="1"/>
  <c r="O46" i="1"/>
  <c r="P45" i="1"/>
  <c r="O45" i="1"/>
  <c r="Q14" i="1"/>
  <c r="P14" i="1"/>
  <c r="Q13" i="1"/>
  <c r="P13" i="1"/>
  <c r="N136" i="1"/>
  <c r="N135" i="1"/>
  <c r="N131" i="1"/>
  <c r="N46" i="1"/>
  <c r="N45" i="1"/>
  <c r="N14" i="1"/>
  <c r="N13" i="1"/>
  <c r="K185" i="1"/>
  <c r="M185" i="1"/>
  <c r="M184" i="1"/>
  <c r="K184" i="1"/>
  <c r="M183" i="1"/>
  <c r="M182" i="1"/>
  <c r="K182" i="1"/>
  <c r="K136" i="1"/>
  <c r="M136" i="1"/>
  <c r="M135" i="1"/>
  <c r="M134" i="1"/>
  <c r="M133" i="1"/>
  <c r="L133" i="1"/>
  <c r="K133" i="1"/>
  <c r="M132" i="1"/>
  <c r="L132" i="1"/>
  <c r="K131" i="1"/>
  <c r="M131" i="1"/>
  <c r="K96" i="1"/>
  <c r="M96" i="1"/>
  <c r="M46" i="1"/>
  <c r="M45" i="1"/>
  <c r="K27" i="1"/>
  <c r="M27" i="1"/>
  <c r="K14" i="1"/>
  <c r="M14" i="1"/>
  <c r="K13" i="1"/>
  <c r="M13" i="1"/>
  <c r="R176" i="1"/>
  <c r="K176" i="1"/>
  <c r="M176" i="1"/>
  <c r="R177" i="1"/>
  <c r="R175" i="1"/>
  <c r="R156" i="1"/>
  <c r="R44" i="1"/>
  <c r="R32" i="1"/>
  <c r="R26" i="1"/>
  <c r="R11" i="1"/>
  <c r="O34" i="1"/>
  <c r="Q34" i="1"/>
  <c r="O107" i="1"/>
  <c r="Q107" i="1"/>
  <c r="L107" i="1"/>
  <c r="M107" i="1"/>
  <c r="O106" i="1"/>
  <c r="Q106" i="1"/>
  <c r="K106" i="1"/>
  <c r="L106" i="1"/>
  <c r="M106" i="1"/>
  <c r="O105" i="1"/>
  <c r="Q105" i="1"/>
  <c r="L105" i="1"/>
  <c r="M105" i="1"/>
  <c r="O104" i="1"/>
  <c r="Q104" i="1"/>
  <c r="M104" i="1"/>
  <c r="O103" i="1"/>
  <c r="Q103" i="1"/>
  <c r="K103" i="1"/>
  <c r="L103" i="1"/>
  <c r="M103" i="1"/>
  <c r="Q89" i="1"/>
  <c r="P89" i="1"/>
  <c r="K89" i="1"/>
  <c r="M89" i="1"/>
  <c r="O40" i="1"/>
  <c r="Q40" i="1"/>
  <c r="M40" i="1"/>
  <c r="K34" i="1"/>
  <c r="M34" i="1"/>
  <c r="O28" i="1"/>
  <c r="Q28" i="1"/>
  <c r="M28" i="1"/>
  <c r="O22" i="1"/>
  <c r="Q22" i="1"/>
  <c r="K22" i="1"/>
  <c r="L22" i="1"/>
  <c r="M22" i="1"/>
  <c r="O21" i="1"/>
  <c r="Q21" i="1"/>
  <c r="K21" i="1"/>
  <c r="L21" i="1"/>
  <c r="M21" i="1"/>
  <c r="K4" i="1"/>
  <c r="L4" i="1"/>
  <c r="M4" i="1"/>
  <c r="Q3" i="1"/>
  <c r="P3" i="1"/>
  <c r="O3" i="1"/>
  <c r="K3" i="1"/>
  <c r="L3" i="1"/>
  <c r="M3" i="1"/>
  <c r="O2" i="1"/>
  <c r="Q2" i="1"/>
  <c r="P2" i="1"/>
  <c r="K2" i="1"/>
  <c r="L2" i="1"/>
  <c r="M2" i="1"/>
  <c r="M5" i="1"/>
  <c r="P5" i="1"/>
  <c r="Q5" i="1"/>
  <c r="M23" i="1"/>
  <c r="O114" i="1"/>
  <c r="L114" i="1"/>
  <c r="Q114" i="1"/>
  <c r="M114" i="1"/>
  <c r="O113" i="1"/>
  <c r="Q113" i="1"/>
  <c r="M113" i="1"/>
  <c r="O112" i="1"/>
  <c r="L112" i="1"/>
  <c r="Q112" i="1"/>
  <c r="M112" i="1"/>
  <c r="O111" i="1"/>
  <c r="L111" i="1"/>
  <c r="Q111" i="1"/>
  <c r="M111" i="1"/>
  <c r="O110" i="1"/>
  <c r="Q110" i="1"/>
  <c r="M110" i="1"/>
  <c r="O109" i="1"/>
  <c r="Q109" i="1"/>
  <c r="M109" i="1"/>
  <c r="O108" i="1"/>
  <c r="Q108" i="1"/>
  <c r="M108" i="1"/>
  <c r="Q92" i="1"/>
  <c r="M92" i="1"/>
  <c r="Q91" i="1"/>
  <c r="M91" i="1"/>
  <c r="Q90" i="1"/>
  <c r="M90" i="1"/>
  <c r="Q29" i="1"/>
  <c r="Q6" i="1"/>
  <c r="P6" i="1"/>
  <c r="O6" i="1"/>
  <c r="L6" i="1"/>
  <c r="M6" i="1"/>
  <c r="Q94" i="1"/>
</calcChain>
</file>

<file path=xl/comments1.xml><?xml version="1.0" encoding="utf-8"?>
<comments xmlns="http://schemas.openxmlformats.org/spreadsheetml/2006/main">
  <authors>
    <author>Lyndon Estes</author>
    <author>LA</author>
    <author>EcosynthAdmin</author>
    <author>Jason</author>
    <author>Paul R. Elsen</author>
    <author/>
    <author>Microsoft Office User</author>
    <author>Paul Elsen</author>
  </authors>
  <commentList>
    <comment ref="F2" authorId="0">
      <text>
        <r>
          <rPr>
            <b/>
            <sz val="9"/>
            <color indexed="81"/>
            <rFont val="Calibri"/>
            <family val="2"/>
          </rPr>
          <t>Lyndon Estes:</t>
        </r>
        <r>
          <rPr>
            <sz val="9"/>
            <color indexed="81"/>
            <rFont val="Calibri"/>
            <family val="2"/>
          </rPr>
          <t xml:space="preserve">
17/5/2017: fixed from 2003</t>
        </r>
      </text>
    </comment>
    <comment ref="O2" authorId="1">
      <text>
        <r>
          <rPr>
            <b/>
            <sz val="9"/>
            <color indexed="81"/>
            <rFont val="Tahoma"/>
            <family val="2"/>
          </rPr>
          <t>LA:</t>
        </r>
        <r>
          <rPr>
            <sz val="9"/>
            <color indexed="81"/>
            <rFont val="Tahoma"/>
            <family val="2"/>
          </rPr>
          <t xml:space="preserve">
samp duration 5 mins each</t>
        </r>
      </text>
    </comment>
    <comment ref="P2" authorId="1">
      <text>
        <r>
          <rPr>
            <b/>
            <sz val="9"/>
            <color indexed="81"/>
            <rFont val="Tahoma"/>
            <family val="2"/>
          </rPr>
          <t>LA:</t>
        </r>
        <r>
          <rPr>
            <sz val="9"/>
            <color indexed="81"/>
            <rFont val="Tahoma"/>
            <family val="2"/>
          </rPr>
          <t xml:space="preserve">
LA - Period of sampling mid september, 03 to dec, 03 = 77 days. Total number of visits 3, so 77/3 = 25.67 days between each sampling visit.</t>
        </r>
      </text>
    </comment>
    <comment ref="Q2" authorId="1">
      <text>
        <r>
          <rPr>
            <b/>
            <sz val="9"/>
            <color indexed="81"/>
            <rFont val="Tahoma"/>
            <family val="2"/>
          </rPr>
          <t>LA:</t>
        </r>
        <r>
          <rPr>
            <sz val="9"/>
            <color indexed="81"/>
            <rFont val="Tahoma"/>
            <family val="2"/>
          </rPr>
          <t xml:space="preserve">
samp_duration*(3*2)</t>
        </r>
      </text>
    </comment>
    <comment ref="R2" authorId="1">
      <text>
        <r>
          <rPr>
            <b/>
            <sz val="9"/>
            <color indexed="81"/>
            <rFont val="Tahoma"/>
            <family val="2"/>
          </rPr>
          <t>LA:</t>
        </r>
        <r>
          <rPr>
            <sz val="9"/>
            <color indexed="81"/>
            <rFont val="Tahoma"/>
            <family val="2"/>
          </rPr>
          <t xml:space="preserve">
Period of sampling from mid september, 03 to dec, 03 = 77 days.</t>
        </r>
      </text>
    </comment>
    <comment ref="F3" authorId="0">
      <text>
        <r>
          <rPr>
            <b/>
            <sz val="9"/>
            <color indexed="81"/>
            <rFont val="Calibri"/>
            <family val="2"/>
          </rPr>
          <t>Lyndon Estes:</t>
        </r>
        <r>
          <rPr>
            <sz val="9"/>
            <color indexed="81"/>
            <rFont val="Calibri"/>
            <family val="2"/>
          </rPr>
          <t xml:space="preserve">
17/5/2017: fixed from 2003</t>
        </r>
      </text>
    </comment>
    <comment ref="P3" authorId="1">
      <text>
        <r>
          <rPr>
            <b/>
            <sz val="9"/>
            <color indexed="81"/>
            <rFont val="Tahoma"/>
            <family val="2"/>
          </rPr>
          <t>LA:</t>
        </r>
        <r>
          <rPr>
            <sz val="9"/>
            <color indexed="81"/>
            <rFont val="Tahoma"/>
            <family val="2"/>
          </rPr>
          <t xml:space="preserve">
12 ( 6 in AM &amp; 6 in PM) repeat sampling events every day during am hours i.e. 8 AM to 8 PM ~12 hours.</t>
        </r>
      </text>
    </comment>
    <comment ref="Q3" authorId="1">
      <text>
        <r>
          <rPr>
            <b/>
            <sz val="9"/>
            <color indexed="81"/>
            <rFont val="Tahoma"/>
            <family val="2"/>
          </rPr>
          <t>LA:</t>
        </r>
        <r>
          <rPr>
            <sz val="9"/>
            <color indexed="81"/>
            <rFont val="Tahoma"/>
            <family val="2"/>
          </rPr>
          <t xml:space="preserve">
From the article - Gonzales-Gomez et al. cite "only 2.2% out of 3,000 min allocated to observing birds yielded observations of foraging birds" (138). 
</t>
        </r>
      </text>
    </comment>
    <comment ref="R3" authorId="2">
      <text>
        <r>
          <rPr>
            <b/>
            <sz val="9"/>
            <color indexed="81"/>
            <rFont val="Tahoma"/>
            <family val="2"/>
          </rPr>
          <t>LA - Period of sampling from mid september, 03 to dec, 03 = 77 days.</t>
        </r>
      </text>
    </comment>
    <comment ref="F4" authorId="0">
      <text>
        <r>
          <rPr>
            <b/>
            <sz val="9"/>
            <color indexed="81"/>
            <rFont val="Calibri"/>
            <family val="2"/>
          </rPr>
          <t>Lyndon Estes:</t>
        </r>
        <r>
          <rPr>
            <sz val="9"/>
            <color indexed="81"/>
            <rFont val="Calibri"/>
            <family val="2"/>
          </rPr>
          <t xml:space="preserve">
17/5/2017: fixed from 2003</t>
        </r>
      </text>
    </comment>
    <comment ref="K4" authorId="1">
      <text>
        <r>
          <rPr>
            <b/>
            <sz val="9"/>
            <color indexed="81"/>
            <rFont val="Tahoma"/>
            <family val="2"/>
          </rPr>
          <t>LA:</t>
        </r>
        <r>
          <rPr>
            <sz val="9"/>
            <color indexed="81"/>
            <rFont val="Tahoma"/>
            <family val="2"/>
          </rPr>
          <t xml:space="preserve">
assume caterpillar larvae cluster in a circle with 2 cm radius </t>
        </r>
      </text>
    </comment>
    <comment ref="L4" authorId="1">
      <text>
        <r>
          <rPr>
            <b/>
            <sz val="9"/>
            <color indexed="81"/>
            <rFont val="Tahoma"/>
            <family val="2"/>
          </rPr>
          <t>LA:</t>
        </r>
        <r>
          <rPr>
            <sz val="9"/>
            <color indexed="81"/>
            <rFont val="Tahoma"/>
            <family val="2"/>
          </rPr>
          <t xml:space="preserve">
sampling unit group of larvae</t>
        </r>
      </text>
    </comment>
    <comment ref="Q4" authorId="1">
      <text>
        <r>
          <rPr>
            <b/>
            <sz val="9"/>
            <color indexed="81"/>
            <rFont val="Tahoma"/>
            <family val="2"/>
          </rPr>
          <t>LA:</t>
        </r>
        <r>
          <rPr>
            <sz val="9"/>
            <color indexed="81"/>
            <rFont val="Tahoma"/>
            <family val="2"/>
          </rPr>
          <t xml:space="preserve">
Unsure how many repeated samples - assume caterpillars counted only once</t>
        </r>
      </text>
    </comment>
    <comment ref="R4" authorId="2">
      <text>
        <r>
          <rPr>
            <b/>
            <sz val="9"/>
            <color indexed="81"/>
            <rFont val="Tahoma"/>
            <family val="2"/>
          </rPr>
          <t>LA - Period of sampling from mid september, 03 to dec, 03 = 77 days.</t>
        </r>
      </text>
    </comment>
    <comment ref="F5" authorId="0">
      <text>
        <r>
          <rPr>
            <b/>
            <sz val="9"/>
            <color indexed="81"/>
            <rFont val="Calibri"/>
            <family val="2"/>
          </rPr>
          <t>Lyndon Estes:</t>
        </r>
        <r>
          <rPr>
            <sz val="9"/>
            <color indexed="81"/>
            <rFont val="Calibri"/>
            <family val="2"/>
          </rPr>
          <t xml:space="preserve">
17/5/2017: fixed from 2004</t>
        </r>
      </text>
    </comment>
    <comment ref="K5" authorId="3">
      <text>
        <r>
          <rPr>
            <b/>
            <sz val="9"/>
            <color indexed="81"/>
            <rFont val="Tahoma"/>
            <family val="2"/>
          </rPr>
          <t>Jason:</t>
        </r>
        <r>
          <rPr>
            <sz val="9"/>
            <color indexed="81"/>
            <rFont val="Tahoma"/>
            <family val="2"/>
          </rPr>
          <t xml:space="preserve">
50m radius
</t>
        </r>
      </text>
    </comment>
    <comment ref="O5" authorId="3">
      <text>
        <r>
          <rPr>
            <b/>
            <sz val="9"/>
            <color indexed="81"/>
            <rFont val="Tahoma"/>
            <family val="2"/>
          </rPr>
          <t>Jason:</t>
        </r>
        <r>
          <rPr>
            <sz val="9"/>
            <color indexed="81"/>
            <rFont val="Tahoma"/>
            <family val="2"/>
          </rPr>
          <t xml:space="preserve">
Assuming 6 points per plot
</t>
        </r>
      </text>
    </comment>
    <comment ref="P5" authorId="3">
      <text>
        <r>
          <rPr>
            <b/>
            <sz val="9"/>
            <color indexed="81"/>
            <rFont val="Tahoma"/>
            <family val="2"/>
          </rPr>
          <t>Jason:</t>
        </r>
        <r>
          <rPr>
            <sz val="9"/>
            <color indexed="81"/>
            <rFont val="Tahoma"/>
            <family val="2"/>
          </rPr>
          <t xml:space="preserve">
"each point was visited…at least 3 times during the season"
Season is about 4 months
</t>
        </r>
      </text>
    </comment>
    <comment ref="Q5" authorId="3">
      <text>
        <r>
          <rPr>
            <b/>
            <sz val="9"/>
            <color indexed="81"/>
            <rFont val="Tahoma"/>
            <family val="2"/>
          </rPr>
          <t>Jason:</t>
        </r>
        <r>
          <rPr>
            <sz val="9"/>
            <color indexed="81"/>
            <rFont val="Tahoma"/>
            <family val="2"/>
          </rPr>
          <t xml:space="preserve">
Assuming 6 points per plot
</t>
        </r>
      </text>
    </comment>
    <comment ref="F6" authorId="0">
      <text>
        <r>
          <rPr>
            <b/>
            <sz val="9"/>
            <color indexed="81"/>
            <rFont val="Calibri"/>
            <family val="2"/>
          </rPr>
          <t>Lyndon Estes:</t>
        </r>
        <r>
          <rPr>
            <sz val="9"/>
            <color indexed="81"/>
            <rFont val="Calibri"/>
            <family val="2"/>
          </rPr>
          <t xml:space="preserve">
17/5/2017: fixed from 2004</t>
        </r>
      </text>
    </comment>
    <comment ref="K6" authorId="3">
      <text>
        <r>
          <rPr>
            <b/>
            <sz val="9"/>
            <color indexed="81"/>
            <rFont val="Tahoma"/>
            <family val="2"/>
          </rPr>
          <t>Jason:</t>
        </r>
        <r>
          <rPr>
            <sz val="9"/>
            <color indexed="81"/>
            <rFont val="Tahoma"/>
            <family val="2"/>
          </rPr>
          <t xml:space="preserve">
30m radius
</t>
        </r>
      </text>
    </comment>
    <comment ref="N9" authorId="4">
      <text>
        <r>
          <rPr>
            <b/>
            <sz val="10"/>
            <color indexed="81"/>
            <rFont val="TimesNewRomanPSMT"/>
          </rPr>
          <t>Paul R. Elsen:</t>
        </r>
        <r>
          <rPr>
            <sz val="10"/>
            <color indexed="81"/>
            <rFont val="TimesNewRomanPSMT"/>
          </rPr>
          <t xml:space="preserve">
Study area is Los Queules National Reserve, a forest tract of 145 hectares immersed in 600 ha of native forest; assumed effective extent is entire 600 ha because looking at continuous forest and fragments</t>
        </r>
      </text>
    </comment>
    <comment ref="N11" authorId="0">
      <text>
        <r>
          <rPr>
            <b/>
            <sz val="9"/>
            <color indexed="81"/>
            <rFont val="Arial"/>
            <family val="2"/>
          </rPr>
          <t>Lyndon Estes:</t>
        </r>
        <r>
          <rPr>
            <sz val="9"/>
            <color indexed="81"/>
            <rFont val="Arial"/>
            <family val="2"/>
          </rPr>
          <t xml:space="preserve">
Only area of forest reserve was given. No sample map.  Assume whole area of forest. Overesitimate</t>
        </r>
      </text>
    </comment>
    <comment ref="R11" authorId="0">
      <text>
        <r>
          <rPr>
            <b/>
            <sz val="9"/>
            <color indexed="81"/>
            <rFont val="Arial"/>
            <family val="2"/>
          </rPr>
          <t>Lyndon Estes:</t>
        </r>
        <r>
          <rPr>
            <sz val="9"/>
            <color indexed="81"/>
            <rFont val="Arial"/>
            <family val="2"/>
          </rPr>
          <t xml:space="preserve">
assume mid-septemer to end Dec</t>
        </r>
      </text>
    </comment>
    <comment ref="N12" authorId="0">
      <text>
        <r>
          <rPr>
            <b/>
            <sz val="9"/>
            <color indexed="81"/>
            <rFont val="Arial"/>
            <family val="2"/>
          </rPr>
          <t>Lyndon Estes:</t>
        </r>
        <r>
          <rPr>
            <sz val="9"/>
            <color indexed="81"/>
            <rFont val="Arial"/>
            <family val="2"/>
          </rPr>
          <t xml:space="preserve">
Only area of forest reserve was given. No sample map.  Assume whole area of forest. Overesitimate</t>
        </r>
      </text>
    </comment>
    <comment ref="R12" authorId="0">
      <text>
        <r>
          <rPr>
            <b/>
            <sz val="9"/>
            <color indexed="81"/>
            <rFont val="Arial"/>
            <family val="2"/>
          </rPr>
          <t>Lyndon Estes:</t>
        </r>
        <r>
          <rPr>
            <sz val="9"/>
            <color indexed="81"/>
            <rFont val="Arial"/>
            <family val="2"/>
          </rPr>
          <t xml:space="preserve">
Assume each plot was done only once, thus 12 hours total max (morning through evening</t>
        </r>
      </text>
    </comment>
    <comment ref="R13" authorId="5">
      <text>
        <r>
          <rPr>
            <sz val="10"/>
            <color rgb="FF000000"/>
            <rFont val="Arial"/>
            <family val="2"/>
          </rPr>
          <t>"mid-September to December" assumed half of September and all of December.
	-Tim Treuer</t>
        </r>
      </text>
    </comment>
    <comment ref="F15" authorId="6">
      <text>
        <r>
          <rPr>
            <b/>
            <sz val="10"/>
            <color indexed="81"/>
            <rFont val="Calibri"/>
            <family val="2"/>
          </rPr>
          <t>Microsoft Office User:</t>
        </r>
        <r>
          <rPr>
            <sz val="10"/>
            <color indexed="81"/>
            <rFont val="Calibri"/>
            <family val="2"/>
          </rPr>
          <t xml:space="preserve">
Filled in year on 1 Dec 2017</t>
        </r>
      </text>
    </comment>
    <comment ref="F16" authorId="6">
      <text>
        <r>
          <rPr>
            <b/>
            <sz val="10"/>
            <color indexed="81"/>
            <rFont val="Calibri"/>
            <family val="2"/>
          </rPr>
          <t>Microsoft Office User:</t>
        </r>
        <r>
          <rPr>
            <sz val="10"/>
            <color indexed="81"/>
            <rFont val="Calibri"/>
            <family val="2"/>
          </rPr>
          <t xml:space="preserve">
Filled in year on 1 Dec 2017</t>
        </r>
      </text>
    </comment>
    <comment ref="N18" authorId="4">
      <text>
        <r>
          <rPr>
            <b/>
            <sz val="10"/>
            <color indexed="81"/>
            <rFont val="TimesNewRomanPSMT"/>
          </rPr>
          <t>Paul R. Elsen:</t>
        </r>
        <r>
          <rPr>
            <sz val="10"/>
            <color indexed="81"/>
            <rFont val="TimesNewRomanPSMT"/>
          </rPr>
          <t xml:space="preserve">
Study is very vague about where lynx are sampled within Norway, saying that they were taken from across all of Norway. I looked up a current Eurasian Lynx range map from http://maps.iucnredlist.org/map.html?id=12519 and drew the distribution within Norway in GE Pro to estimate the extent at 19144020.30 ha</t>
        </r>
      </text>
    </comment>
    <comment ref="Q18" authorId="0">
      <text>
        <r>
          <rPr>
            <b/>
            <sz val="9"/>
            <color indexed="81"/>
            <rFont val="Arial"/>
            <family val="2"/>
          </rPr>
          <t>Lyndon Estes:</t>
        </r>
        <r>
          <rPr>
            <sz val="9"/>
            <color indexed="81"/>
            <rFont val="Arial"/>
            <family val="2"/>
          </rPr>
          <t xml:space="preserve">
Don't think the individuals count as repeat observations? I actually did the same, but am now questioning myself
If individuals don't count as repeat observations, then study duration = sampling duration (1) * 1 observation = 1 day?</t>
        </r>
      </text>
    </comment>
    <comment ref="R18" authorId="4">
      <text>
        <r>
          <rPr>
            <b/>
            <sz val="10"/>
            <color indexed="81"/>
            <rFont val="TimesNewRomanPSMT"/>
          </rPr>
          <t>Paul R. Elsen:</t>
        </r>
        <r>
          <rPr>
            <sz val="10"/>
            <color indexed="81"/>
            <rFont val="TimesNewRomanPSMT"/>
          </rPr>
          <t xml:space="preserve">
Sampling from 1993-2009
</t>
        </r>
        <r>
          <rPr>
            <b/>
            <sz val="10"/>
            <color indexed="81"/>
            <rFont val="TimesNewRomanPSMT"/>
          </rPr>
          <t>PE 4/21/17:</t>
        </r>
        <r>
          <rPr>
            <sz val="10"/>
            <color indexed="81"/>
            <rFont val="TimesNewRomanPSMT"/>
          </rPr>
          <t xml:space="preserve"> Updated to act_dur (once-off)</t>
        </r>
      </text>
    </comment>
    <comment ref="N19" authorId="0">
      <text>
        <r>
          <rPr>
            <b/>
            <sz val="9"/>
            <color indexed="81"/>
            <rFont val="Arial"/>
            <family val="2"/>
          </rPr>
          <t>Lyndon Estes:</t>
        </r>
        <r>
          <rPr>
            <sz val="9"/>
            <color indexed="81"/>
            <rFont val="Arial"/>
            <family val="2"/>
          </rPr>
          <t xml:space="preserve">
All of Norway sampled. Almost certainly an over-estimate</t>
        </r>
      </text>
    </comment>
    <comment ref="Q19" authorId="0">
      <text>
        <r>
          <rPr>
            <b/>
            <sz val="9"/>
            <color indexed="81"/>
            <rFont val="Arial"/>
            <family val="2"/>
          </rPr>
          <t>Lyndon Estes:</t>
        </r>
        <r>
          <rPr>
            <sz val="9"/>
            <color indexed="81"/>
            <rFont val="Arial"/>
            <family val="2"/>
          </rPr>
          <t xml:space="preserve">
Assume lynx harvested by hunters, 1 per lynx per day over the study time period
LDE: 4/4/2016 - individual lynx should not be temporal replicates. Replaced 276 with 1</t>
        </r>
      </text>
    </comment>
    <comment ref="R19" authorId="0">
      <text>
        <r>
          <rPr>
            <b/>
            <sz val="9"/>
            <color indexed="81"/>
            <rFont val="Arial"/>
            <family val="2"/>
          </rPr>
          <t>Lyndon Estes:</t>
        </r>
        <r>
          <rPr>
            <sz val="9"/>
            <color indexed="81"/>
            <rFont val="Arial"/>
            <family val="2"/>
          </rPr>
          <t xml:space="preserve">
study from 1993-2009 (period in which individuals were sampled)
10/4/2017: With definitional change of effective duration, altered this</t>
        </r>
      </text>
    </comment>
    <comment ref="F21" authorId="0">
      <text>
        <r>
          <rPr>
            <b/>
            <sz val="9"/>
            <color indexed="81"/>
            <rFont val="Calibri"/>
            <family val="2"/>
          </rPr>
          <t>Lyndon Estes:</t>
        </r>
        <r>
          <rPr>
            <sz val="9"/>
            <color indexed="81"/>
            <rFont val="Calibri"/>
            <family val="2"/>
          </rPr>
          <t xml:space="preserve">
17/5/2017: fixed from 2008</t>
        </r>
      </text>
    </comment>
    <comment ref="K21" authorId="0">
      <text>
        <r>
          <rPr>
            <b/>
            <sz val="9"/>
            <color indexed="81"/>
            <rFont val="Calibri"/>
            <family val="2"/>
          </rPr>
          <t>Lyndon Estes:</t>
        </r>
        <r>
          <rPr>
            <sz val="9"/>
            <color indexed="81"/>
            <rFont val="Calibri"/>
            <family val="2"/>
          </rPr>
          <t xml:space="preserve">
Re the sampling strategy, can you reevaluate this--we wanted to consider plot_res as being the size of the sample in which a total count was made. Here they sub-sampled within these plots
Fixed - assume single wheat shoot dimensions are 2.5 feet by 1 inch.</t>
        </r>
      </text>
    </comment>
    <comment ref="L21" authorId="0">
      <text>
        <r>
          <rPr>
            <b/>
            <sz val="9"/>
            <color indexed="81"/>
            <rFont val="Calibri"/>
            <family val="2"/>
          </rPr>
          <t>Lyndon Estes:</t>
        </r>
        <r>
          <rPr>
            <sz val="9"/>
            <color indexed="81"/>
            <rFont val="Calibri"/>
            <family val="2"/>
          </rPr>
          <t xml:space="preserve">
Re the sampling strategy, can you reevaluate this--we wanted to consider plot_res as being the size of the sample in which a total count was made. Here they sub-sampled within these plots
Fixed - 4 fields x (100 wheat shoots per field)</t>
        </r>
      </text>
    </comment>
    <comment ref="O21" authorId="1">
      <text>
        <r>
          <rPr>
            <b/>
            <sz val="9"/>
            <color indexed="81"/>
            <rFont val="Tahoma"/>
            <family val="2"/>
          </rPr>
          <t>LA:</t>
        </r>
        <r>
          <rPr>
            <sz val="9"/>
            <color indexed="81"/>
            <rFont val="Tahoma"/>
            <family val="2"/>
          </rPr>
          <t xml:space="preserve">
assume 10 mins spent counting </t>
        </r>
      </text>
    </comment>
    <comment ref="P21" authorId="1">
      <text>
        <r>
          <rPr>
            <b/>
            <sz val="9"/>
            <color indexed="81"/>
            <rFont val="Tahoma"/>
            <family val="2"/>
          </rPr>
          <t>LA:</t>
        </r>
        <r>
          <rPr>
            <sz val="9"/>
            <color indexed="81"/>
            <rFont val="Tahoma"/>
            <family val="2"/>
          </rPr>
          <t xml:space="preserve">
weekly sampling
</t>
        </r>
      </text>
    </comment>
    <comment ref="Q21" authorId="0">
      <text>
        <r>
          <rPr>
            <b/>
            <sz val="9"/>
            <color indexed="81"/>
            <rFont val="Calibri"/>
            <family val="2"/>
          </rPr>
          <t>Lyndon Estes:</t>
        </r>
        <r>
          <rPr>
            <sz val="9"/>
            <color indexed="81"/>
            <rFont val="Calibri"/>
            <family val="2"/>
          </rPr>
          <t xml:space="preserve">
This looks still like mixing of spatial and temporal replicates?
Fixed - assume approximately 8.7 ~ 9 sampling events </t>
        </r>
      </text>
    </comment>
    <comment ref="R21" authorId="1">
      <text>
        <r>
          <rPr>
            <b/>
            <sz val="9"/>
            <color indexed="81"/>
            <rFont val="Tahoma"/>
            <family val="2"/>
          </rPr>
          <t>LA:</t>
        </r>
        <r>
          <rPr>
            <sz val="9"/>
            <color indexed="81"/>
            <rFont val="Tahoma"/>
            <family val="2"/>
          </rPr>
          <t xml:space="preserve">
June &amp; July</t>
        </r>
      </text>
    </comment>
    <comment ref="F22" authorId="0">
      <text>
        <r>
          <rPr>
            <b/>
            <sz val="9"/>
            <color indexed="81"/>
            <rFont val="Calibri"/>
            <family val="2"/>
          </rPr>
          <t>Lyndon Estes:</t>
        </r>
        <r>
          <rPr>
            <sz val="9"/>
            <color indexed="81"/>
            <rFont val="Calibri"/>
            <family val="2"/>
          </rPr>
          <t xml:space="preserve">
17/5/2017: fixed from 2008</t>
        </r>
      </text>
    </comment>
    <comment ref="K22" authorId="1">
      <text>
        <r>
          <rPr>
            <b/>
            <sz val="9"/>
            <color indexed="81"/>
            <rFont val="Tahoma"/>
            <family val="2"/>
          </rPr>
          <t>LA:</t>
        </r>
        <r>
          <rPr>
            <sz val="9"/>
            <color indexed="81"/>
            <rFont val="Tahoma"/>
            <family val="2"/>
          </rPr>
          <t xml:space="preserve">
Assume approximate aphid size 400 um x 150 um</t>
        </r>
      </text>
    </comment>
    <comment ref="L22" authorId="1">
      <text>
        <r>
          <rPr>
            <b/>
            <sz val="9"/>
            <color indexed="81"/>
            <rFont val="Tahoma"/>
            <family val="2"/>
          </rPr>
          <t>LA:</t>
        </r>
        <r>
          <rPr>
            <sz val="9"/>
            <color indexed="81"/>
            <rFont val="Tahoma"/>
            <family val="2"/>
          </rPr>
          <t xml:space="preserve">
100 per field *4 fields</t>
        </r>
      </text>
    </comment>
    <comment ref="O22" authorId="1">
      <text>
        <r>
          <rPr>
            <b/>
            <sz val="9"/>
            <color indexed="81"/>
            <rFont val="Tahoma"/>
            <family val="2"/>
          </rPr>
          <t>LA:</t>
        </r>
        <r>
          <rPr>
            <sz val="9"/>
            <color indexed="81"/>
            <rFont val="Tahoma"/>
            <family val="2"/>
          </rPr>
          <t xml:space="preserve">
assume 20 mins collecting 100 aphids in a field</t>
        </r>
      </text>
    </comment>
    <comment ref="P22" authorId="1">
      <text>
        <r>
          <rPr>
            <b/>
            <sz val="9"/>
            <color indexed="81"/>
            <rFont val="Tahoma"/>
            <family val="2"/>
          </rPr>
          <t>LA:</t>
        </r>
        <r>
          <rPr>
            <sz val="9"/>
            <color indexed="81"/>
            <rFont val="Tahoma"/>
            <family val="2"/>
          </rPr>
          <t xml:space="preserve">
weekly sampling
</t>
        </r>
      </text>
    </comment>
    <comment ref="K23" authorId="0">
      <text>
        <r>
          <rPr>
            <b/>
            <sz val="9"/>
            <color indexed="81"/>
            <rFont val="Calibri"/>
            <family val="2"/>
          </rPr>
          <t>Lyndon Estes:</t>
        </r>
        <r>
          <rPr>
            <sz val="9"/>
            <color indexed="81"/>
            <rFont val="Calibri"/>
            <family val="2"/>
          </rPr>
          <t xml:space="preserve">
Per your comment and logic on n_sites, please revisit plot_res
Estimated dimension of a sinlge wheat shoot to be 4 ft x .25 ft. Could not find citeable source, but used a standard google search. </t>
        </r>
      </text>
    </comment>
    <comment ref="L23" authorId="3">
      <text>
        <r>
          <rPr>
            <b/>
            <sz val="9"/>
            <color indexed="81"/>
            <rFont val="Tahoma"/>
            <family val="2"/>
          </rPr>
          <t>Jason:</t>
        </r>
        <r>
          <rPr>
            <sz val="9"/>
            <color indexed="81"/>
            <rFont val="Tahoma"/>
            <family val="2"/>
          </rPr>
          <t xml:space="preserve">
I list 800 intentionally. There were 8 field sites, and at each field site 100 wheat shoots were sampled. 
LDE: Remember they were only sampling 20 per plot aon each occasion, so probably 20 different plants each time</t>
        </r>
      </text>
    </comment>
    <comment ref="N25" authorId="4">
      <text>
        <r>
          <rPr>
            <b/>
            <sz val="10"/>
            <color indexed="81"/>
            <rFont val="TimesNewRomanPSMT"/>
          </rPr>
          <t>Paul R. Elsen:</t>
        </r>
        <r>
          <rPr>
            <sz val="10"/>
            <color indexed="81"/>
            <rFont val="TimesNewRomanPSMT"/>
          </rPr>
          <t xml:space="preserve">
Study area is part of Gottingen in Lower Saxony, Germany. Survey sites are in a map in Supplementary Material. Found approximate locations of sites and bound with an MCP in GE Pro = 96,849.11 ha</t>
        </r>
      </text>
    </comment>
    <comment ref="N26" authorId="0">
      <text>
        <r>
          <rPr>
            <b/>
            <sz val="9"/>
            <color indexed="81"/>
            <rFont val="Arial"/>
            <family val="2"/>
          </rPr>
          <t>Lyndon Estes:</t>
        </r>
        <r>
          <rPr>
            <sz val="9"/>
            <color indexed="81"/>
            <rFont val="Arial"/>
            <family val="2"/>
          </rPr>
          <t xml:space="preserve">
estimated polygon in google maps (my maps, gagic et al 2011)</t>
        </r>
      </text>
    </comment>
    <comment ref="R27" authorId="5">
      <text>
        <r>
          <rPr>
            <sz val="10"/>
            <color rgb="FF000000"/>
            <rFont val="Arial"/>
            <family val="2"/>
          </rPr>
          <t xml:space="preserve">June and July
</t>
        </r>
      </text>
    </comment>
    <comment ref="F28" authorId="0">
      <text>
        <r>
          <rPr>
            <b/>
            <sz val="9"/>
            <color indexed="81"/>
            <rFont val="Calibri"/>
            <family val="2"/>
          </rPr>
          <t>Lyndon Estes:</t>
        </r>
        <r>
          <rPr>
            <sz val="9"/>
            <color indexed="81"/>
            <rFont val="Calibri"/>
            <family val="2"/>
          </rPr>
          <t xml:space="preserve">
17/5/2017: fixed from previous</t>
        </r>
      </text>
    </comment>
    <comment ref="K28" authorId="2">
      <text>
        <r>
          <rPr>
            <sz val="9"/>
            <color indexed="81"/>
            <rFont val="Tahoma"/>
            <family val="2"/>
          </rPr>
          <t>LA - Average of 450 and 500 (m^2) Plots. Both resolutions were used, but unclear language or references to how many of specific resolution plots were used.</t>
        </r>
      </text>
    </comment>
    <comment ref="L28" authorId="1">
      <text>
        <r>
          <rPr>
            <b/>
            <sz val="9"/>
            <color indexed="81"/>
            <rFont val="Tahoma"/>
            <family val="2"/>
          </rPr>
          <t>LA:</t>
        </r>
        <r>
          <rPr>
            <sz val="9"/>
            <color indexed="81"/>
            <rFont val="Tahoma"/>
            <family val="2"/>
          </rPr>
          <t xml:space="preserve">
34 plots</t>
        </r>
      </text>
    </comment>
    <comment ref="O28" authorId="1">
      <text>
        <r>
          <rPr>
            <b/>
            <sz val="9"/>
            <color indexed="81"/>
            <rFont val="Tahoma"/>
            <family val="2"/>
          </rPr>
          <t>LA:</t>
        </r>
        <r>
          <rPr>
            <sz val="9"/>
            <color indexed="81"/>
            <rFont val="Tahoma"/>
            <family val="2"/>
          </rPr>
          <t xml:space="preserve">
.5 hr per site including ultrasonic survey of the insects</t>
        </r>
      </text>
    </comment>
    <comment ref="P28" authorId="1">
      <text>
        <r>
          <rPr>
            <b/>
            <sz val="9"/>
            <color indexed="81"/>
            <rFont val="Tahoma"/>
            <family val="2"/>
          </rPr>
          <t>LA:</t>
        </r>
        <r>
          <rPr>
            <sz val="9"/>
            <color indexed="81"/>
            <rFont val="Tahoma"/>
            <family val="2"/>
          </rPr>
          <t xml:space="preserve">
Assume two visits at least a month apart ~31 days</t>
        </r>
      </text>
    </comment>
    <comment ref="Q28" authorId="0">
      <text>
        <r>
          <rPr>
            <b/>
            <sz val="9"/>
            <color indexed="81"/>
            <rFont val="Calibri"/>
            <family val="2"/>
          </rPr>
          <t>Lyndon Estes:</t>
        </r>
        <r>
          <rPr>
            <sz val="9"/>
            <color indexed="81"/>
            <rFont val="Calibri"/>
            <family val="2"/>
          </rPr>
          <t xml:space="preserve">
This looks still like mixing of spatial and temporal replicates?
Fixed - sampled twice in Aug &amp; Sep (2006)</t>
        </r>
      </text>
    </comment>
    <comment ref="R28" authorId="1">
      <text>
        <r>
          <rPr>
            <b/>
            <sz val="9"/>
            <color indexed="81"/>
            <rFont val="Tahoma"/>
            <family val="2"/>
          </rPr>
          <t>LA:</t>
        </r>
        <r>
          <rPr>
            <sz val="9"/>
            <color indexed="81"/>
            <rFont val="Tahoma"/>
            <family val="2"/>
          </rPr>
          <t xml:space="preserve">
Aug to Sep (2006)</t>
        </r>
      </text>
    </comment>
    <comment ref="K29" authorId="3">
      <text>
        <r>
          <rPr>
            <b/>
            <sz val="9"/>
            <color indexed="81"/>
            <rFont val="Tahoma"/>
            <family val="2"/>
          </rPr>
          <t>Jason:</t>
        </r>
        <r>
          <rPr>
            <sz val="9"/>
            <color indexed="81"/>
            <rFont val="Tahoma"/>
            <family val="2"/>
          </rPr>
          <t xml:space="preserve">
Average taken (450+500/2)
</t>
        </r>
      </text>
    </comment>
    <comment ref="N31" authorId="4">
      <text>
        <r>
          <rPr>
            <b/>
            <sz val="10"/>
            <color indexed="81"/>
            <rFont val="TimesNewRomanPSMT"/>
          </rPr>
          <t>Paul R. Elsen:</t>
        </r>
        <r>
          <rPr>
            <sz val="10"/>
            <color indexed="81"/>
            <rFont val="TimesNewRomanPSMT"/>
          </rPr>
          <t xml:space="preserve">
Two study areas depicted in Fig 1. Used GE Pro to draw MCP around floodplains:
1. Rosslau: 272.34 ha
2. Klieken (harder to delineate): 574.56 ha
Total = 846.9 ha</t>
        </r>
      </text>
    </comment>
    <comment ref="N32" authorId="0">
      <text>
        <r>
          <rPr>
            <b/>
            <sz val="9"/>
            <color indexed="81"/>
            <rFont val="Arial"/>
            <family val="2"/>
          </rPr>
          <t>Lyndon Estes:</t>
        </r>
        <r>
          <rPr>
            <sz val="9"/>
            <color indexed="81"/>
            <rFont val="Arial"/>
            <family val="2"/>
          </rPr>
          <t xml:space="preserve">
measured in my maps, converted from sq. miles to ha
</t>
        </r>
      </text>
    </comment>
    <comment ref="F34" authorId="0">
      <text>
        <r>
          <rPr>
            <b/>
            <sz val="9"/>
            <color indexed="81"/>
            <rFont val="Calibri"/>
            <family val="2"/>
          </rPr>
          <t>Lyndon Estes:</t>
        </r>
        <r>
          <rPr>
            <sz val="9"/>
            <color indexed="81"/>
            <rFont val="Calibri"/>
            <family val="2"/>
          </rPr>
          <t xml:space="preserve">
17/5/2017: fixed from 1933</t>
        </r>
      </text>
    </comment>
    <comment ref="O34" authorId="1">
      <text>
        <r>
          <rPr>
            <b/>
            <sz val="9"/>
            <color indexed="81"/>
            <rFont val="Tahoma"/>
            <family val="2"/>
          </rPr>
          <t>LA:</t>
        </r>
        <r>
          <rPr>
            <sz val="9"/>
            <color indexed="81"/>
            <rFont val="Tahoma"/>
            <family val="2"/>
          </rPr>
          <t xml:space="preserve">
Assume roughly 30 seconds to measure sward height</t>
        </r>
      </text>
    </comment>
    <comment ref="Q34" authorId="0">
      <text>
        <r>
          <rPr>
            <b/>
            <sz val="9"/>
            <color indexed="81"/>
            <rFont val="Calibri"/>
            <family val="2"/>
          </rPr>
          <t>Lyndon Estes:</t>
        </r>
        <r>
          <rPr>
            <sz val="9"/>
            <color indexed="81"/>
            <rFont val="Calibri"/>
            <family val="2"/>
          </rPr>
          <t xml:space="preserve">
this looks multiplied by plot_res
Fixed - 10 repeat samples</t>
        </r>
      </text>
    </comment>
    <comment ref="F35" authorId="6">
      <text>
        <r>
          <rPr>
            <b/>
            <sz val="10"/>
            <color indexed="81"/>
            <rFont val="Calibri"/>
            <family val="2"/>
          </rPr>
          <t>Microsoft Office User:</t>
        </r>
        <r>
          <rPr>
            <sz val="10"/>
            <color indexed="81"/>
            <rFont val="Calibri"/>
            <family val="2"/>
          </rPr>
          <t xml:space="preserve">
Filled in year on 1 Dec 2017</t>
        </r>
      </text>
    </comment>
    <comment ref="F38" authorId="6">
      <text>
        <r>
          <rPr>
            <b/>
            <sz val="10"/>
            <color indexed="81"/>
            <rFont val="Calibri"/>
            <family val="2"/>
          </rPr>
          <t>Microsoft Office User:</t>
        </r>
        <r>
          <rPr>
            <sz val="10"/>
            <color indexed="81"/>
            <rFont val="Calibri"/>
            <family val="2"/>
          </rPr>
          <t xml:space="preserve">
Filled in year on 1 Dec 2017</t>
        </r>
      </text>
    </comment>
    <comment ref="F40" authorId="0">
      <text>
        <r>
          <rPr>
            <b/>
            <sz val="9"/>
            <color indexed="81"/>
            <rFont val="Calibri"/>
            <family val="2"/>
          </rPr>
          <t>Lyndon Estes:</t>
        </r>
        <r>
          <rPr>
            <sz val="9"/>
            <color indexed="81"/>
            <rFont val="Calibri"/>
            <family val="2"/>
          </rPr>
          <t xml:space="preserve">
17/5/2017: fixed from 2006</t>
        </r>
      </text>
    </comment>
    <comment ref="O40" authorId="2">
      <text>
        <r>
          <rPr>
            <b/>
            <sz val="9"/>
            <color indexed="81"/>
            <rFont val="Tahoma"/>
            <family val="2"/>
          </rPr>
          <t>LA - Assuming it takes the team of divers 3 hours to observe and record the data at a single site.</t>
        </r>
      </text>
    </comment>
    <comment ref="P40" authorId="2">
      <text>
        <r>
          <rPr>
            <b/>
            <sz val="9"/>
            <color indexed="81"/>
            <rFont val="Tahoma"/>
            <family val="2"/>
          </rPr>
          <t xml:space="preserve">Every year sampling was done between Feb and May, so time between each sample should be June 1st and January 31st. I calculated the time between each sample period individually for two marine areas and obtained the average. Then I averged the averages of both areas. See sheet 1.
</t>
        </r>
      </text>
    </comment>
    <comment ref="Q40" authorId="0">
      <text>
        <r>
          <rPr>
            <b/>
            <sz val="9"/>
            <color indexed="81"/>
            <rFont val="Calibri"/>
            <family val="2"/>
          </rPr>
          <t>Lyndon Estes:</t>
        </r>
        <r>
          <rPr>
            <sz val="9"/>
            <color indexed="81"/>
            <rFont val="Calibri"/>
            <family val="2"/>
          </rPr>
          <t xml:space="preserve">
This looks still like mixing of spatial and temporal replicates?
Fixed - 25 sampling events</t>
        </r>
      </text>
    </comment>
    <comment ref="R40" authorId="2">
      <text>
        <r>
          <rPr>
            <b/>
            <sz val="9"/>
            <color indexed="81"/>
            <rFont val="Tahoma"/>
            <family val="2"/>
          </rPr>
          <t>LA - Start date 2/1/1977 to 5/31/2005.</t>
        </r>
      </text>
    </comment>
    <comment ref="N43" authorId="4">
      <text>
        <r>
          <rPr>
            <b/>
            <sz val="10"/>
            <color indexed="81"/>
            <rFont val="TimesNewRomanPSMT"/>
          </rPr>
          <t>Paul R. Elsen:</t>
        </r>
        <r>
          <rPr>
            <sz val="10"/>
            <color indexed="81"/>
            <rFont val="TimesNewRomanPSMT"/>
          </rPr>
          <t xml:space="preserve">
Two study areas, Tawharanui Marine Park (given as 350 ha) and Mimiwhangata (given as 2000 ha). But sampling was also outside of the two reserves, as shown in Fig. 1. Assumed that the effective extent encompasses the entire reserves + the outside sides at distance from shore equal to the reserves edge distance from shore. Found sites in GE Pro, drew MCPs around all transects and lobster survey points, totaled below:
1. Tawharanui MP: 350 + 278.32 (west) + 793.18 (east/south) = 1421.5 ha
2. Mimiwhangata MP: 2000 + 826.59 (west) + 866.05 (east/south) = 3692.64 ha
Total = 5114.14 ha</t>
        </r>
      </text>
    </comment>
    <comment ref="N44" authorId="0">
      <text>
        <r>
          <rPr>
            <b/>
            <sz val="9"/>
            <color indexed="81"/>
            <rFont val="Arial"/>
            <family val="2"/>
          </rPr>
          <t>Lyndon Estes:</t>
        </r>
        <r>
          <rPr>
            <sz val="9"/>
            <color indexed="81"/>
            <rFont val="Arial"/>
            <family val="2"/>
          </rPr>
          <t xml:space="preserve">
Estimated from My Maps. </t>
        </r>
      </text>
    </comment>
    <comment ref="Q44" authorId="0">
      <text>
        <r>
          <rPr>
            <b/>
            <sz val="9"/>
            <color indexed="81"/>
            <rFont val="Arial"/>
            <family val="2"/>
          </rPr>
          <t>Lyndon Estes:</t>
        </r>
        <r>
          <rPr>
            <sz val="9"/>
            <color indexed="81"/>
            <rFont val="Arial"/>
            <family val="2"/>
          </rPr>
          <t xml:space="preserve">
Assume samples take place over day, one sample per year</t>
        </r>
      </text>
    </comment>
    <comment ref="M45" authorId="5">
      <text>
        <r>
          <rPr>
            <sz val="10"/>
            <color rgb="FF000000"/>
            <rFont val="Arial"/>
            <family val="2"/>
          </rPr>
          <t>Lyndon Estes:
Note that I fixed this, because it seems you forgot to convert to ha.  It was 500*22 in the original sheet.  Please let me know if I am assuming incorrectly</t>
        </r>
      </text>
    </comment>
    <comment ref="M46" authorId="5">
      <text>
        <r>
          <rPr>
            <sz val="10"/>
            <color rgb="FF000000"/>
            <rFont val="Arial"/>
            <family val="2"/>
          </rPr>
          <t>Lyndon Estes:
Note that I fixed this, because it seems you forgot to convert to ha.  It was 500*22 in the original sheet.  Please let me know if I am assuming incorrectly</t>
        </r>
      </text>
    </comment>
    <comment ref="O46" authorId="5">
      <text>
        <r>
          <rPr>
            <sz val="10"/>
            <color rgb="FF000000"/>
            <rFont val="Arial"/>
            <family val="2"/>
          </rPr>
          <t>I added an entry for this paper since I realize upon rereading it that I was confused about their sampling design.
	-Tim Treuer</t>
        </r>
      </text>
    </comment>
    <comment ref="F47" authorId="6">
      <text>
        <r>
          <rPr>
            <b/>
            <sz val="10"/>
            <color indexed="81"/>
            <rFont val="Calibri"/>
            <family val="2"/>
          </rPr>
          <t>Microsoft Office User:</t>
        </r>
        <r>
          <rPr>
            <sz val="10"/>
            <color indexed="81"/>
            <rFont val="Calibri"/>
            <family val="2"/>
          </rPr>
          <t xml:space="preserve">
Filled in year on 1 Dec 2017</t>
        </r>
      </text>
    </comment>
    <comment ref="F48" authorId="6">
      <text>
        <r>
          <rPr>
            <b/>
            <sz val="10"/>
            <color indexed="81"/>
            <rFont val="Calibri"/>
            <family val="2"/>
          </rPr>
          <t>Microsoft Office User:</t>
        </r>
        <r>
          <rPr>
            <sz val="10"/>
            <color indexed="81"/>
            <rFont val="Calibri"/>
            <family val="2"/>
          </rPr>
          <t xml:space="preserve">
Filled in year on 1 Dec 2017</t>
        </r>
      </text>
    </comment>
    <comment ref="F50" authorId="6">
      <text>
        <r>
          <rPr>
            <b/>
            <sz val="10"/>
            <color indexed="81"/>
            <rFont val="Calibri"/>
            <family val="2"/>
          </rPr>
          <t>Microsoft Office User:</t>
        </r>
        <r>
          <rPr>
            <sz val="10"/>
            <color indexed="81"/>
            <rFont val="Calibri"/>
            <family val="2"/>
          </rPr>
          <t xml:space="preserve">
Filled in year on 1 Dec 2017</t>
        </r>
      </text>
    </comment>
    <comment ref="F51" authorId="6">
      <text>
        <r>
          <rPr>
            <b/>
            <sz val="10"/>
            <color indexed="81"/>
            <rFont val="Calibri"/>
            <family val="2"/>
          </rPr>
          <t>Microsoft Office User:</t>
        </r>
        <r>
          <rPr>
            <sz val="10"/>
            <color indexed="81"/>
            <rFont val="Calibri"/>
            <family val="2"/>
          </rPr>
          <t xml:space="preserve">
Filled in year on 1 Dec 2017</t>
        </r>
      </text>
    </comment>
    <comment ref="F53" authorId="6">
      <text>
        <r>
          <rPr>
            <b/>
            <sz val="10"/>
            <color indexed="81"/>
            <rFont val="Calibri"/>
            <family val="2"/>
          </rPr>
          <t>Microsoft Office User:</t>
        </r>
        <r>
          <rPr>
            <sz val="10"/>
            <color indexed="81"/>
            <rFont val="Calibri"/>
            <family val="2"/>
          </rPr>
          <t xml:space="preserve">
Filled in year on 1 Dec 2017</t>
        </r>
      </text>
    </comment>
    <comment ref="F54" authorId="6">
      <text>
        <r>
          <rPr>
            <b/>
            <sz val="10"/>
            <color indexed="81"/>
            <rFont val="Calibri"/>
            <family val="2"/>
          </rPr>
          <t>Microsoft Office User:</t>
        </r>
        <r>
          <rPr>
            <sz val="10"/>
            <color indexed="81"/>
            <rFont val="Calibri"/>
            <family val="2"/>
          </rPr>
          <t xml:space="preserve">
Filled in year on 1 Dec 2017</t>
        </r>
      </text>
    </comment>
    <comment ref="F59" authorId="6">
      <text>
        <r>
          <rPr>
            <b/>
            <sz val="10"/>
            <color indexed="81"/>
            <rFont val="Calibri"/>
            <family val="2"/>
          </rPr>
          <t>Microsoft Office User:</t>
        </r>
        <r>
          <rPr>
            <sz val="10"/>
            <color indexed="81"/>
            <rFont val="Calibri"/>
            <family val="2"/>
          </rPr>
          <t xml:space="preserve">
Filled in year on 1 Dec 2017</t>
        </r>
      </text>
    </comment>
    <comment ref="F65" authorId="6">
      <text>
        <r>
          <rPr>
            <b/>
            <sz val="10"/>
            <color indexed="81"/>
            <rFont val="Calibri"/>
            <family val="2"/>
          </rPr>
          <t>Microsoft Office User:</t>
        </r>
        <r>
          <rPr>
            <sz val="10"/>
            <color indexed="81"/>
            <rFont val="Calibri"/>
            <family val="2"/>
          </rPr>
          <t xml:space="preserve">
Filled in year on 1 Dec 2017</t>
        </r>
      </text>
    </comment>
    <comment ref="F66" authorId="6">
      <text>
        <r>
          <rPr>
            <b/>
            <sz val="10"/>
            <color indexed="81"/>
            <rFont val="Calibri"/>
            <family val="2"/>
          </rPr>
          <t>Microsoft Office User:</t>
        </r>
        <r>
          <rPr>
            <sz val="10"/>
            <color indexed="81"/>
            <rFont val="Calibri"/>
            <family val="2"/>
          </rPr>
          <t xml:space="preserve">
Filled in year on 1 Dec 2017</t>
        </r>
      </text>
    </comment>
    <comment ref="F71" authorId="6">
      <text>
        <r>
          <rPr>
            <b/>
            <sz val="10"/>
            <color indexed="81"/>
            <rFont val="Calibri"/>
            <family val="2"/>
          </rPr>
          <t>Microsoft Office User:</t>
        </r>
        <r>
          <rPr>
            <sz val="10"/>
            <color indexed="81"/>
            <rFont val="Calibri"/>
            <family val="2"/>
          </rPr>
          <t xml:space="preserve">
Filled in year on 1 Dec 2017</t>
        </r>
      </text>
    </comment>
    <comment ref="F72" authorId="6">
      <text>
        <r>
          <rPr>
            <b/>
            <sz val="10"/>
            <color indexed="81"/>
            <rFont val="Calibri"/>
            <family val="2"/>
          </rPr>
          <t>Microsoft Office User:</t>
        </r>
        <r>
          <rPr>
            <sz val="10"/>
            <color indexed="81"/>
            <rFont val="Calibri"/>
            <family val="2"/>
          </rPr>
          <t xml:space="preserve">
Filled in year on 1 Dec 2017</t>
        </r>
      </text>
    </comment>
    <comment ref="F77" authorId="6">
      <text>
        <r>
          <rPr>
            <b/>
            <sz val="10"/>
            <color indexed="81"/>
            <rFont val="Calibri"/>
            <family val="2"/>
          </rPr>
          <t>Microsoft Office User:</t>
        </r>
        <r>
          <rPr>
            <sz val="10"/>
            <color indexed="81"/>
            <rFont val="Calibri"/>
            <family val="2"/>
          </rPr>
          <t xml:space="preserve">
Filled in year on 1 Dec 2017</t>
        </r>
      </text>
    </comment>
    <comment ref="F78" authorId="6">
      <text>
        <r>
          <rPr>
            <b/>
            <sz val="10"/>
            <color indexed="81"/>
            <rFont val="Calibri"/>
            <family val="2"/>
          </rPr>
          <t>Microsoft Office User:</t>
        </r>
        <r>
          <rPr>
            <sz val="10"/>
            <color indexed="81"/>
            <rFont val="Calibri"/>
            <family val="2"/>
          </rPr>
          <t xml:space="preserve">
Filled in year on 1 Dec 2017</t>
        </r>
      </text>
    </comment>
    <comment ref="F83" authorId="6">
      <text>
        <r>
          <rPr>
            <b/>
            <sz val="10"/>
            <color indexed="81"/>
            <rFont val="Calibri"/>
            <family val="2"/>
          </rPr>
          <t>Microsoft Office User:</t>
        </r>
        <r>
          <rPr>
            <sz val="10"/>
            <color indexed="81"/>
            <rFont val="Calibri"/>
            <family val="2"/>
          </rPr>
          <t xml:space="preserve">
Filled in year on 1 Dec 2017</t>
        </r>
      </text>
    </comment>
    <comment ref="F84" authorId="6">
      <text>
        <r>
          <rPr>
            <b/>
            <sz val="10"/>
            <color indexed="81"/>
            <rFont val="Calibri"/>
            <family val="2"/>
          </rPr>
          <t>Microsoft Office User:</t>
        </r>
        <r>
          <rPr>
            <sz val="10"/>
            <color indexed="81"/>
            <rFont val="Calibri"/>
            <family val="2"/>
          </rPr>
          <t xml:space="preserve">
Filled in year on 1 Dec 2017</t>
        </r>
      </text>
    </comment>
    <comment ref="F89" authorId="0">
      <text>
        <r>
          <rPr>
            <b/>
            <sz val="9"/>
            <color indexed="81"/>
            <rFont val="Calibri"/>
            <family val="2"/>
          </rPr>
          <t>Lyndon Estes:</t>
        </r>
        <r>
          <rPr>
            <sz val="9"/>
            <color indexed="81"/>
            <rFont val="Calibri"/>
            <family val="2"/>
          </rPr>
          <t xml:space="preserve">
17/5/2017: fixed from 7000 BC</t>
        </r>
      </text>
    </comment>
    <comment ref="P89" authorId="1">
      <text>
        <r>
          <rPr>
            <b/>
            <sz val="9"/>
            <color indexed="81"/>
            <rFont val="Tahoma"/>
            <family val="2"/>
          </rPr>
          <t>LA:</t>
        </r>
        <r>
          <rPr>
            <sz val="9"/>
            <color indexed="81"/>
            <rFont val="Tahoma"/>
            <family val="2"/>
          </rPr>
          <t xml:space="preserve">
Assume mean 375-year sample window as time between</t>
        </r>
      </text>
    </comment>
    <comment ref="Q89" authorId="1">
      <text>
        <r>
          <rPr>
            <b/>
            <sz val="9"/>
            <color indexed="81"/>
            <rFont val="Tahoma"/>
            <family val="2"/>
          </rPr>
          <t>LA:</t>
        </r>
        <r>
          <rPr>
            <sz val="9"/>
            <color indexed="81"/>
            <rFont val="Tahoma"/>
            <family val="2"/>
          </rPr>
          <t xml:space="preserve">
From the paper ~ 9000 years as study duration</t>
        </r>
      </text>
    </comment>
    <comment ref="N94" authorId="4">
      <text>
        <r>
          <rPr>
            <b/>
            <sz val="10"/>
            <color indexed="81"/>
            <rFont val="TimesNewRomanPSMT"/>
          </rPr>
          <t>Paul R. Elsen:</t>
        </r>
        <r>
          <rPr>
            <sz val="10"/>
            <color indexed="81"/>
            <rFont val="TimesNewRomanPSMT"/>
          </rPr>
          <t xml:space="preserve">
Using coordinate delineations in paper, identified all European countries that were wholly in bounds. Got those areas from Wikipedia (see new tab). Then, used GE Pro to outline partial countries, added total MCP separately for grand total.</t>
        </r>
      </text>
    </comment>
    <comment ref="Q94" authorId="0">
      <text>
        <r>
          <rPr>
            <b/>
            <sz val="9"/>
            <color indexed="81"/>
            <rFont val="Arial"/>
            <family val="2"/>
          </rPr>
          <t>Lyndon Estes:</t>
        </r>
        <r>
          <rPr>
            <sz val="9"/>
            <color indexed="81"/>
            <rFont val="Arial"/>
            <family val="2"/>
          </rPr>
          <t xml:space="preserve">
Could you double-check this against the comments in the slack post, please?
Updated this value to 4800 years * 365 days of sampling</t>
        </r>
      </text>
    </comment>
    <comment ref="Q95" authorId="0">
      <text>
        <r>
          <rPr>
            <b/>
            <sz val="9"/>
            <color indexed="81"/>
            <rFont val="Arial"/>
            <family val="2"/>
          </rPr>
          <t xml:space="preserve">Lyndon Estes:
</t>
        </r>
        <r>
          <rPr>
            <sz val="9"/>
            <color indexed="81"/>
            <rFont val="Arial"/>
            <family val="2"/>
          </rPr>
          <t xml:space="preserve">Changed this from 4800*365 as it was previously (before 8/1/17) because they seem to have done last 9000 years
</t>
        </r>
      </text>
    </comment>
    <comment ref="K96" authorId="5">
      <text>
        <r>
          <rPr>
            <sz val="10"/>
            <color rgb="FF000000"/>
            <rFont val="Arial"/>
            <family val="2"/>
          </rPr>
          <t>Lyndon Estes:
This looks as if you were trying to estimate effective area, rather than actually observed area. Is this correct, or is this because of this being one of the first you attemped?  If you did not continue to sample this way, can you re-evaluate and fix according to the approach you used in your main analysis?</t>
        </r>
      </text>
    </comment>
    <comment ref="F97" authorId="6">
      <text>
        <r>
          <rPr>
            <b/>
            <sz val="10"/>
            <color indexed="81"/>
            <rFont val="Calibri"/>
            <family val="2"/>
          </rPr>
          <t>Microsoft Office User:</t>
        </r>
        <r>
          <rPr>
            <sz val="10"/>
            <color indexed="81"/>
            <rFont val="Calibri"/>
            <family val="2"/>
          </rPr>
          <t xml:space="preserve">
Filled in year on 1 Dec 2017</t>
        </r>
      </text>
    </comment>
    <comment ref="F98" authorId="6">
      <text>
        <r>
          <rPr>
            <b/>
            <sz val="10"/>
            <color indexed="81"/>
            <rFont val="Calibri"/>
            <family val="2"/>
          </rPr>
          <t>Microsoft Office User:</t>
        </r>
        <r>
          <rPr>
            <sz val="10"/>
            <color indexed="81"/>
            <rFont val="Calibri"/>
            <family val="2"/>
          </rPr>
          <t xml:space="preserve">
Filled in year on 1 Dec 2017</t>
        </r>
      </text>
    </comment>
    <comment ref="F103" authorId="0">
      <text>
        <r>
          <rPr>
            <b/>
            <sz val="9"/>
            <color indexed="81"/>
            <rFont val="Calibri"/>
            <family val="2"/>
          </rPr>
          <t>Lyndon Estes:</t>
        </r>
        <r>
          <rPr>
            <sz val="9"/>
            <color indexed="81"/>
            <rFont val="Calibri"/>
            <family val="2"/>
          </rPr>
          <t xml:space="preserve">
17/5/2017: fixed from 2004</t>
        </r>
      </text>
    </comment>
    <comment ref="K103" authorId="2">
      <text>
        <r>
          <rPr>
            <b/>
            <sz val="9"/>
            <color indexed="81"/>
            <rFont val="Tahoma"/>
            <family val="2"/>
          </rPr>
          <t xml:space="preserve">LA - Should the default 5 ha or 50,000 m^2 resolution be used? Different unclear resolution used for ground-dwelling beetles. 
So assume that approx. 100 m radius as plot_res
</t>
        </r>
      </text>
    </comment>
    <comment ref="O103" authorId="1">
      <text>
        <r>
          <rPr>
            <b/>
            <sz val="9"/>
            <color indexed="81"/>
            <rFont val="Tahoma"/>
            <family val="2"/>
          </rPr>
          <t>LA:</t>
        </r>
        <r>
          <rPr>
            <sz val="9"/>
            <color indexed="81"/>
            <rFont val="Tahoma"/>
            <family val="2"/>
          </rPr>
          <t xml:space="preserve">
Assume 15 mins samp duration</t>
        </r>
      </text>
    </comment>
    <comment ref="P103" authorId="2">
      <text>
        <r>
          <rPr>
            <b/>
            <sz val="9"/>
            <color indexed="81"/>
            <rFont val="Tahoma"/>
            <family val="2"/>
          </rPr>
          <t>LA - number of days between Aug-17-04 to Jun-7-05.</t>
        </r>
      </text>
    </comment>
    <comment ref="Q103" authorId="0">
      <text>
        <r>
          <rPr>
            <b/>
            <sz val="9"/>
            <color indexed="81"/>
            <rFont val="Calibri"/>
            <family val="2"/>
          </rPr>
          <t>Lyndon Estes:</t>
        </r>
        <r>
          <rPr>
            <sz val="9"/>
            <color indexed="81"/>
            <rFont val="Calibri"/>
            <family val="2"/>
          </rPr>
          <t xml:space="preserve">
This looks still like mixing of spatial and temporal replicates?
Fixed - sampled twice in 2004 &amp; 2005</t>
        </r>
      </text>
    </comment>
    <comment ref="F104" authorId="0">
      <text>
        <r>
          <rPr>
            <b/>
            <sz val="9"/>
            <color indexed="81"/>
            <rFont val="Calibri"/>
            <family val="2"/>
          </rPr>
          <t>Lyndon Estes:</t>
        </r>
        <r>
          <rPr>
            <sz val="9"/>
            <color indexed="81"/>
            <rFont val="Calibri"/>
            <family val="2"/>
          </rPr>
          <t xml:space="preserve">
17/5/2017: fixed from 2004</t>
        </r>
      </text>
    </comment>
    <comment ref="K104" authorId="2">
      <text>
        <r>
          <rPr>
            <b/>
            <sz val="9"/>
            <color indexed="81"/>
            <rFont val="Tahoma"/>
            <family val="2"/>
          </rPr>
          <t>LA - Assuming the 10' count survey done within circle with 100 meter radius.</t>
        </r>
      </text>
    </comment>
    <comment ref="O104" authorId="1">
      <text>
        <r>
          <rPr>
            <b/>
            <sz val="9"/>
            <color indexed="81"/>
            <rFont val="Tahoma"/>
            <family val="2"/>
          </rPr>
          <t>LA:</t>
        </r>
        <r>
          <rPr>
            <sz val="9"/>
            <color indexed="81"/>
            <rFont val="Tahoma"/>
            <family val="2"/>
          </rPr>
          <t xml:space="preserve">
10 min</t>
        </r>
      </text>
    </comment>
    <comment ref="P104" authorId="2">
      <text>
        <r>
          <rPr>
            <b/>
            <sz val="9"/>
            <color indexed="81"/>
            <rFont val="Tahoma"/>
            <family val="2"/>
          </rPr>
          <t xml:space="preserve">LA - Days between 7/9/04 to 5/31/05.
</t>
        </r>
      </text>
    </comment>
    <comment ref="Q104" authorId="0">
      <text>
        <r>
          <rPr>
            <b/>
            <sz val="9"/>
            <color indexed="81"/>
            <rFont val="Calibri"/>
            <family val="2"/>
          </rPr>
          <t>Lyndon Estes:</t>
        </r>
        <r>
          <rPr>
            <sz val="9"/>
            <color indexed="81"/>
            <rFont val="Calibri"/>
            <family val="2"/>
          </rPr>
          <t xml:space="preserve">
This looks still like mixing of spatial and temporal replicates?
Fixed - sampled 4 times during the study span &amp; additional sampled twice at each location</t>
        </r>
      </text>
    </comment>
    <comment ref="R104" authorId="2">
      <text>
        <r>
          <rPr>
            <b/>
            <sz val="9"/>
            <color indexed="81"/>
            <rFont val="Tahoma"/>
            <family val="2"/>
          </rPr>
          <t xml:space="preserve">LA - From 6/11/04 to 6/25/05
</t>
        </r>
      </text>
    </comment>
    <comment ref="F105" authorId="0">
      <text>
        <r>
          <rPr>
            <b/>
            <sz val="9"/>
            <color indexed="81"/>
            <rFont val="Calibri"/>
            <family val="2"/>
          </rPr>
          <t>Lyndon Estes:</t>
        </r>
        <r>
          <rPr>
            <sz val="9"/>
            <color indexed="81"/>
            <rFont val="Calibri"/>
            <family val="2"/>
          </rPr>
          <t xml:space="preserve">
17/5/2017: fixed from 2004</t>
        </r>
      </text>
    </comment>
    <comment ref="L105" authorId="1">
      <text>
        <r>
          <rPr>
            <b/>
            <sz val="9"/>
            <color indexed="81"/>
            <rFont val="Tahoma"/>
            <family val="2"/>
          </rPr>
          <t>LA:</t>
        </r>
        <r>
          <rPr>
            <sz val="9"/>
            <color indexed="81"/>
            <rFont val="Tahoma"/>
            <family val="2"/>
          </rPr>
          <t xml:space="preserve">
3 plots in each stand x 108 stands</t>
        </r>
      </text>
    </comment>
    <comment ref="O105" authorId="1">
      <text>
        <r>
          <rPr>
            <b/>
            <sz val="9"/>
            <color indexed="81"/>
            <rFont val="Tahoma"/>
            <family val="2"/>
          </rPr>
          <t>LA:</t>
        </r>
        <r>
          <rPr>
            <sz val="9"/>
            <color indexed="81"/>
            <rFont val="Tahoma"/>
            <family val="2"/>
          </rPr>
          <t xml:space="preserve">
assume 1 hr per stand</t>
        </r>
      </text>
    </comment>
    <comment ref="Q105" authorId="0">
      <text>
        <r>
          <rPr>
            <b/>
            <sz val="9"/>
            <color indexed="81"/>
            <rFont val="Calibri"/>
            <family val="2"/>
          </rPr>
          <t>Lyndon Estes:</t>
        </r>
        <r>
          <rPr>
            <sz val="9"/>
            <color indexed="81"/>
            <rFont val="Calibri"/>
            <family val="2"/>
          </rPr>
          <t xml:space="preserve">
This looks still like mixing of spatial and temporal replicates?
Fixed - assume sampled once</t>
        </r>
      </text>
    </comment>
    <comment ref="R105" authorId="1">
      <text>
        <r>
          <rPr>
            <b/>
            <sz val="9"/>
            <color indexed="81"/>
            <rFont val="Tahoma"/>
            <family val="2"/>
          </rPr>
          <t>LA:</t>
        </r>
        <r>
          <rPr>
            <sz val="9"/>
            <color indexed="81"/>
            <rFont val="Tahoma"/>
            <family val="2"/>
          </rPr>
          <t xml:space="preserve">
unclear assume study duration between 2004 to 2005</t>
        </r>
      </text>
    </comment>
    <comment ref="F106" authorId="0">
      <text>
        <r>
          <rPr>
            <b/>
            <sz val="9"/>
            <color indexed="81"/>
            <rFont val="Calibri"/>
            <family val="2"/>
          </rPr>
          <t>Lyndon Estes:</t>
        </r>
        <r>
          <rPr>
            <sz val="9"/>
            <color indexed="81"/>
            <rFont val="Calibri"/>
            <family val="2"/>
          </rPr>
          <t xml:space="preserve">
17/5/2017: fixed from 2004</t>
        </r>
      </text>
    </comment>
    <comment ref="L106" authorId="1">
      <text>
        <r>
          <rPr>
            <b/>
            <sz val="9"/>
            <color indexed="81"/>
            <rFont val="Tahoma"/>
            <family val="2"/>
          </rPr>
          <t>LA:</t>
        </r>
        <r>
          <rPr>
            <sz val="9"/>
            <color indexed="81"/>
            <rFont val="Tahoma"/>
            <family val="2"/>
          </rPr>
          <t xml:space="preserve">
6 subplots per stand</t>
        </r>
      </text>
    </comment>
    <comment ref="O106" authorId="1">
      <text>
        <r>
          <rPr>
            <b/>
            <sz val="9"/>
            <color indexed="81"/>
            <rFont val="Tahoma"/>
            <family val="2"/>
          </rPr>
          <t>LA:</t>
        </r>
        <r>
          <rPr>
            <sz val="9"/>
            <color indexed="81"/>
            <rFont val="Tahoma"/>
            <family val="2"/>
          </rPr>
          <t xml:space="preserve">
assume 15 mins</t>
        </r>
      </text>
    </comment>
    <comment ref="Q106" authorId="0">
      <text>
        <r>
          <rPr>
            <b/>
            <sz val="9"/>
            <color indexed="81"/>
            <rFont val="Calibri"/>
            <family val="2"/>
          </rPr>
          <t>Lyndon Estes:</t>
        </r>
        <r>
          <rPr>
            <sz val="9"/>
            <color indexed="81"/>
            <rFont val="Calibri"/>
            <family val="2"/>
          </rPr>
          <t xml:space="preserve">
This looks still like mixing of spatial and temporal replicates?</t>
        </r>
      </text>
    </comment>
    <comment ref="F107" authorId="0">
      <text>
        <r>
          <rPr>
            <b/>
            <sz val="9"/>
            <color indexed="81"/>
            <rFont val="Calibri"/>
            <family val="2"/>
          </rPr>
          <t>Lyndon Estes:</t>
        </r>
        <r>
          <rPr>
            <sz val="9"/>
            <color indexed="81"/>
            <rFont val="Calibri"/>
            <family val="2"/>
          </rPr>
          <t xml:space="preserve">
17/5/2017: fixed from 2004</t>
        </r>
      </text>
    </comment>
    <comment ref="L107" authorId="1">
      <text>
        <r>
          <rPr>
            <b/>
            <sz val="9"/>
            <color indexed="81"/>
            <rFont val="Tahoma"/>
            <family val="2"/>
          </rPr>
          <t>LA:</t>
        </r>
        <r>
          <rPr>
            <sz val="9"/>
            <color indexed="81"/>
            <rFont val="Tahoma"/>
            <family val="2"/>
          </rPr>
          <t xml:space="preserve">
four quadrats in center plot per each stand</t>
        </r>
      </text>
    </comment>
    <comment ref="O107" authorId="1">
      <text>
        <r>
          <rPr>
            <b/>
            <sz val="9"/>
            <color indexed="81"/>
            <rFont val="Tahoma"/>
            <family val="2"/>
          </rPr>
          <t>LA:</t>
        </r>
        <r>
          <rPr>
            <sz val="9"/>
            <color indexed="81"/>
            <rFont val="Tahoma"/>
            <family val="2"/>
          </rPr>
          <t xml:space="preserve">
Assume 10 mins</t>
        </r>
      </text>
    </comment>
    <comment ref="Q107" authorId="0">
      <text>
        <r>
          <rPr>
            <b/>
            <sz val="9"/>
            <color indexed="81"/>
            <rFont val="Calibri"/>
            <family val="2"/>
          </rPr>
          <t>Lyndon Estes:</t>
        </r>
        <r>
          <rPr>
            <sz val="9"/>
            <color indexed="81"/>
            <rFont val="Calibri"/>
            <family val="2"/>
          </rPr>
          <t xml:space="preserve">
This looks still like mixing of spatial and temporal replicates?</t>
        </r>
      </text>
    </comment>
    <comment ref="K108" authorId="3">
      <text>
        <r>
          <rPr>
            <b/>
            <sz val="9"/>
            <color indexed="81"/>
            <rFont val="Tahoma"/>
            <family val="2"/>
          </rPr>
          <t>Jason:</t>
        </r>
        <r>
          <rPr>
            <sz val="9"/>
            <color indexed="81"/>
            <rFont val="Tahoma"/>
            <family val="2"/>
          </rPr>
          <t xml:space="preserve">
Assuming each trap is 1m x 1m</t>
        </r>
      </text>
    </comment>
    <comment ref="O108" authorId="3">
      <text>
        <r>
          <rPr>
            <b/>
            <sz val="9"/>
            <color indexed="81"/>
            <rFont val="Tahoma"/>
            <family val="2"/>
          </rPr>
          <t>Jason:</t>
        </r>
        <r>
          <rPr>
            <sz val="9"/>
            <color indexed="81"/>
            <rFont val="Tahoma"/>
            <family val="2"/>
          </rPr>
          <t xml:space="preserve">
assuming an 8 hour day </t>
        </r>
      </text>
    </comment>
    <comment ref="K109" authorId="3">
      <text>
        <r>
          <rPr>
            <b/>
            <sz val="9"/>
            <color indexed="81"/>
            <rFont val="Tahoma"/>
            <family val="2"/>
          </rPr>
          <t>Jason:</t>
        </r>
        <r>
          <rPr>
            <sz val="9"/>
            <color indexed="81"/>
            <rFont val="Tahoma"/>
            <family val="2"/>
          </rPr>
          <t xml:space="preserve">
Assuming each trap is .5 x .5</t>
        </r>
      </text>
    </comment>
    <comment ref="L109" authorId="3">
      <text>
        <r>
          <rPr>
            <b/>
            <sz val="9"/>
            <color indexed="81"/>
            <rFont val="Tahoma"/>
            <family val="2"/>
          </rPr>
          <t>Jason:</t>
        </r>
        <r>
          <rPr>
            <sz val="9"/>
            <color indexed="81"/>
            <rFont val="Tahoma"/>
            <family val="2"/>
          </rPr>
          <t xml:space="preserve">
4 pitfall traps per site
</t>
        </r>
      </text>
    </comment>
    <comment ref="K110" authorId="3">
      <text>
        <r>
          <rPr>
            <b/>
            <sz val="9"/>
            <color indexed="81"/>
            <rFont val="Tahoma"/>
            <family val="2"/>
          </rPr>
          <t>Jason:</t>
        </r>
        <r>
          <rPr>
            <sz val="9"/>
            <color indexed="81"/>
            <rFont val="Tahoma"/>
            <family val="2"/>
          </rPr>
          <t xml:space="preserve">
Assuming 10ft radius</t>
        </r>
      </text>
    </comment>
    <comment ref="L111" authorId="3">
      <text>
        <r>
          <rPr>
            <b/>
            <sz val="9"/>
            <color indexed="81"/>
            <rFont val="Tahoma"/>
            <family val="2"/>
          </rPr>
          <t>Jason:</t>
        </r>
        <r>
          <rPr>
            <sz val="9"/>
            <color indexed="81"/>
            <rFont val="Tahoma"/>
            <family val="2"/>
          </rPr>
          <t xml:space="preserve">
3 400m^2 plots per 108 sites</t>
        </r>
      </text>
    </comment>
    <comment ref="O111" authorId="3">
      <text>
        <r>
          <rPr>
            <b/>
            <sz val="9"/>
            <color indexed="81"/>
            <rFont val="Tahoma"/>
            <family val="2"/>
          </rPr>
          <t>Jason:</t>
        </r>
        <r>
          <rPr>
            <sz val="9"/>
            <color indexed="81"/>
            <rFont val="Tahoma"/>
            <family val="2"/>
          </rPr>
          <t xml:space="preserve">
assumed
</t>
        </r>
      </text>
    </comment>
    <comment ref="R111" authorId="3">
      <text>
        <r>
          <rPr>
            <b/>
            <sz val="9"/>
            <color indexed="81"/>
            <rFont val="Tahoma"/>
            <family val="2"/>
          </rPr>
          <t>Jason:</t>
        </r>
        <r>
          <rPr>
            <sz val="9"/>
            <color indexed="81"/>
            <rFont val="Tahoma"/>
            <family val="2"/>
          </rPr>
          <t xml:space="preserve">
Best assumption made. Know that study took 2 years at most but was longer than 379 days. </t>
        </r>
      </text>
    </comment>
    <comment ref="L112" authorId="3">
      <text>
        <r>
          <rPr>
            <b/>
            <sz val="9"/>
            <color indexed="81"/>
            <rFont val="Tahoma"/>
            <family val="2"/>
          </rPr>
          <t>Jason:</t>
        </r>
        <r>
          <rPr>
            <sz val="9"/>
            <color indexed="81"/>
            <rFont val="Tahoma"/>
            <family val="2"/>
          </rPr>
          <t xml:space="preserve">
6 perpendicular sunplots per stand</t>
        </r>
      </text>
    </comment>
    <comment ref="O112" authorId="3">
      <text>
        <r>
          <rPr>
            <b/>
            <sz val="9"/>
            <color indexed="81"/>
            <rFont val="Tahoma"/>
            <family val="2"/>
          </rPr>
          <t>Jason:</t>
        </r>
        <r>
          <rPr>
            <sz val="9"/>
            <color indexed="81"/>
            <rFont val="Tahoma"/>
            <family val="2"/>
          </rPr>
          <t xml:space="preserve">
assumed</t>
        </r>
      </text>
    </comment>
    <comment ref="O113" authorId="3">
      <text>
        <r>
          <rPr>
            <b/>
            <sz val="9"/>
            <color indexed="81"/>
            <rFont val="Tahoma"/>
            <family val="2"/>
          </rPr>
          <t>Jason:</t>
        </r>
        <r>
          <rPr>
            <sz val="9"/>
            <color indexed="81"/>
            <rFont val="Tahoma"/>
            <family val="2"/>
          </rPr>
          <t xml:space="preserve">
assumed</t>
        </r>
      </text>
    </comment>
    <comment ref="L114" authorId="3">
      <text>
        <r>
          <rPr>
            <b/>
            <sz val="9"/>
            <color indexed="81"/>
            <rFont val="Tahoma"/>
            <family val="2"/>
          </rPr>
          <t>Jason:</t>
        </r>
        <r>
          <rPr>
            <sz val="9"/>
            <color indexed="81"/>
            <rFont val="Tahoma"/>
            <family val="2"/>
          </rPr>
          <t xml:space="preserve">
four 1x1m quadrats placed in each of the 108 plot
</t>
        </r>
      </text>
    </comment>
    <comment ref="O114" authorId="3">
      <text>
        <r>
          <rPr>
            <b/>
            <sz val="9"/>
            <color indexed="81"/>
            <rFont val="Tahoma"/>
            <family val="2"/>
          </rPr>
          <t>Jason:</t>
        </r>
        <r>
          <rPr>
            <sz val="9"/>
            <color indexed="81"/>
            <rFont val="Tahoma"/>
            <family val="2"/>
          </rPr>
          <t xml:space="preserve">
assumed</t>
        </r>
      </text>
    </comment>
    <comment ref="N123" authorId="4">
      <text>
        <r>
          <rPr>
            <b/>
            <sz val="10"/>
            <color indexed="81"/>
            <rFont val="TimesNewRomanPSMT"/>
          </rPr>
          <t>Paul R. Elsen:</t>
        </r>
        <r>
          <rPr>
            <sz val="10"/>
            <color indexed="81"/>
            <rFont val="TimesNewRomanPSMT"/>
          </rPr>
          <t xml:space="preserve">
Study region is boreal forest of the Cote-Nord region of Quebec, Canada. Sampling sites are shown in Fig 1. Used GE Pro to draw MCP around all points = 1372053.85 ha</t>
        </r>
      </text>
    </comment>
    <comment ref="R123" authorId="7">
      <text>
        <r>
          <rPr>
            <b/>
            <sz val="9"/>
            <color indexed="81"/>
            <rFont val="Arial"/>
            <family val="2"/>
          </rPr>
          <t>Paul Elsen:</t>
        </r>
        <r>
          <rPr>
            <sz val="9"/>
            <color indexed="81"/>
            <rFont val="Arial"/>
            <family val="2"/>
          </rPr>
          <t xml:space="preserve">
from Jun 2 2004 to Aug 15 2005
</t>
        </r>
        <r>
          <rPr>
            <b/>
            <sz val="9"/>
            <color indexed="81"/>
            <rFont val="Arial"/>
            <family val="2"/>
          </rPr>
          <t>PE 4/21/17:</t>
        </r>
        <r>
          <rPr>
            <sz val="9"/>
            <color indexed="81"/>
            <rFont val="Arial"/>
            <family val="2"/>
          </rPr>
          <t xml:space="preserve"> Updated to act_dur (once-off)</t>
        </r>
      </text>
    </comment>
    <comment ref="R124" authorId="7">
      <text>
        <r>
          <rPr>
            <b/>
            <sz val="9"/>
            <color indexed="81"/>
            <rFont val="Arial"/>
            <family val="2"/>
          </rPr>
          <t>Paul Elsen:</t>
        </r>
        <r>
          <rPr>
            <sz val="9"/>
            <color indexed="81"/>
            <rFont val="Arial"/>
            <family val="2"/>
          </rPr>
          <t xml:space="preserve">
as above</t>
        </r>
      </text>
    </comment>
    <comment ref="N127" authorId="0">
      <text>
        <r>
          <rPr>
            <b/>
            <sz val="9"/>
            <color indexed="81"/>
            <rFont val="Arial"/>
            <family val="2"/>
          </rPr>
          <t>Lyndon Estes:</t>
        </r>
        <r>
          <rPr>
            <sz val="9"/>
            <color indexed="81"/>
            <rFont val="Arial"/>
            <family val="2"/>
          </rPr>
          <t xml:space="preserve">
Outlined two polygons in Figure 1 of paper (my maps). Have to assume all plots were collected through range</t>
        </r>
      </text>
    </comment>
    <comment ref="R127" authorId="0">
      <text>
        <r>
          <rPr>
            <b/>
            <sz val="9"/>
            <color indexed="81"/>
            <rFont val="Arial"/>
            <family val="2"/>
          </rPr>
          <t>Lyndon Estes:</t>
        </r>
        <r>
          <rPr>
            <sz val="9"/>
            <color indexed="81"/>
            <rFont val="Arial"/>
            <family val="2"/>
          </rPr>
          <t xml:space="preserve">
Changed from DATE(2005, 8, 15)-DATE(2004, 6, 2)
to reflect new understanding of effective_duration</t>
        </r>
      </text>
    </comment>
    <comment ref="N128" authorId="0">
      <text>
        <r>
          <rPr>
            <b/>
            <sz val="9"/>
            <color indexed="81"/>
            <rFont val="Arial"/>
            <family val="2"/>
          </rPr>
          <t>Lyndon Estes:</t>
        </r>
        <r>
          <rPr>
            <sz val="9"/>
            <color indexed="81"/>
            <rFont val="Arial"/>
            <family val="2"/>
          </rPr>
          <t xml:space="preserve">
Outlined two polygons in Figure 1 of paper (my maps). Have to assume all plots were collected through range</t>
        </r>
      </text>
    </comment>
    <comment ref="R128" authorId="0">
      <text>
        <r>
          <rPr>
            <b/>
            <sz val="9"/>
            <color indexed="81"/>
            <rFont val="Arial"/>
            <family val="2"/>
          </rPr>
          <t>Lyndon Estes:</t>
        </r>
        <r>
          <rPr>
            <sz val="9"/>
            <color indexed="81"/>
            <rFont val="Arial"/>
            <family val="2"/>
          </rPr>
          <t xml:space="preserve">
Changed from DATE(2005, 8, 15)-DATE(2004, 6, 2)
to reflect new understanding of effective_duration</t>
        </r>
      </text>
    </comment>
    <comment ref="N129" authorId="0">
      <text>
        <r>
          <rPr>
            <b/>
            <sz val="9"/>
            <color indexed="81"/>
            <rFont val="Arial"/>
            <family val="2"/>
          </rPr>
          <t>Lyndon Estes:</t>
        </r>
        <r>
          <rPr>
            <sz val="9"/>
            <color indexed="81"/>
            <rFont val="Arial"/>
            <family val="2"/>
          </rPr>
          <t xml:space="preserve">
Outlined two polygons in Figure 1 of paper (my maps). Have to assume all plots were collected through range</t>
        </r>
      </text>
    </comment>
    <comment ref="R129" authorId="0">
      <text>
        <r>
          <rPr>
            <b/>
            <sz val="9"/>
            <color indexed="81"/>
            <rFont val="Arial"/>
            <family val="2"/>
          </rPr>
          <t>Lyndon Estes:</t>
        </r>
        <r>
          <rPr>
            <sz val="9"/>
            <color indexed="81"/>
            <rFont val="Arial"/>
            <family val="2"/>
          </rPr>
          <t xml:space="preserve">
Changed from DATE(2005, 6, 25)-DATE(2004, 6, 11) to reflect new understanding of effective_duration</t>
        </r>
      </text>
    </comment>
    <comment ref="N130" authorId="0">
      <text>
        <r>
          <rPr>
            <b/>
            <sz val="9"/>
            <color indexed="81"/>
            <rFont val="Arial"/>
            <family val="2"/>
          </rPr>
          <t>Lyndon Estes:</t>
        </r>
        <r>
          <rPr>
            <sz val="9"/>
            <color indexed="81"/>
            <rFont val="Arial"/>
            <family val="2"/>
          </rPr>
          <t xml:space="preserve">
Outlined two polygons in Figure 1 of paper (my maps). Have to assume all plots were collected through range</t>
        </r>
      </text>
    </comment>
    <comment ref="R132" authorId="5">
      <text>
        <r>
          <rPr>
            <sz val="10"/>
            <color rgb="FF000000"/>
            <rFont val="Arial"/>
            <family val="2"/>
          </rPr>
          <t>study span not indicated; assumed same as beetle sampling.
	-Tim Treuer</t>
        </r>
      </text>
    </comment>
    <comment ref="R133" authorId="5">
      <text>
        <r>
          <rPr>
            <sz val="10"/>
            <color rgb="FF000000"/>
            <rFont val="Arial"/>
            <family val="2"/>
          </rPr>
          <t>study span not indicated; assumed same as beetle sampling.
	-Tim Treuer</t>
        </r>
      </text>
    </comment>
    <comment ref="R134" authorId="5">
      <text>
        <r>
          <rPr>
            <sz val="10"/>
            <color rgb="FF000000"/>
            <rFont val="Arial"/>
            <family val="2"/>
          </rPr>
          <t>study span not indicated; assumed same as beetle sampling.
	-Tim Treuer</t>
        </r>
      </text>
    </comment>
    <comment ref="O135" authorId="5">
      <text>
        <r>
          <rPr>
            <sz val="10"/>
            <color rgb="FF000000"/>
            <rFont val="Arial"/>
            <family val="2"/>
          </rPr>
          <t>poor description of beetle sampling. Assumed each pit fall or malaise trap was unreplicated and set up for 72 hours.
	-Tim Treuer</t>
        </r>
      </text>
    </comment>
    <comment ref="F137" authorId="6">
      <text>
        <r>
          <rPr>
            <b/>
            <sz val="10"/>
            <color indexed="81"/>
            <rFont val="Calibri"/>
            <family val="2"/>
          </rPr>
          <t>Microsoft Office User:</t>
        </r>
        <r>
          <rPr>
            <sz val="10"/>
            <color indexed="81"/>
            <rFont val="Calibri"/>
            <family val="2"/>
          </rPr>
          <t xml:space="preserve">
Filled in year on 1 Dec 2017</t>
        </r>
      </text>
    </comment>
    <comment ref="F138" authorId="6">
      <text>
        <r>
          <rPr>
            <b/>
            <sz val="10"/>
            <color indexed="81"/>
            <rFont val="Calibri"/>
            <family val="2"/>
          </rPr>
          <t>Microsoft Office User:</t>
        </r>
        <r>
          <rPr>
            <sz val="10"/>
            <color indexed="81"/>
            <rFont val="Calibri"/>
            <family val="2"/>
          </rPr>
          <t xml:space="preserve">
Filled in year on 1 Dec 2017</t>
        </r>
      </text>
    </comment>
    <comment ref="F143" authorId="6">
      <text>
        <r>
          <rPr>
            <b/>
            <sz val="10"/>
            <color indexed="81"/>
            <rFont val="Calibri"/>
            <family val="2"/>
          </rPr>
          <t>Microsoft Office User:</t>
        </r>
        <r>
          <rPr>
            <sz val="10"/>
            <color indexed="81"/>
            <rFont val="Calibri"/>
            <family val="2"/>
          </rPr>
          <t xml:space="preserve">
Filled in year on 1 Dec 2017</t>
        </r>
      </text>
    </comment>
    <comment ref="F144" authorId="6">
      <text>
        <r>
          <rPr>
            <b/>
            <sz val="10"/>
            <color indexed="81"/>
            <rFont val="Calibri"/>
            <family val="2"/>
          </rPr>
          <t>Microsoft Office User:</t>
        </r>
        <r>
          <rPr>
            <sz val="10"/>
            <color indexed="81"/>
            <rFont val="Calibri"/>
            <family val="2"/>
          </rPr>
          <t xml:space="preserve">
Filled in year on 1 Dec 2017</t>
        </r>
      </text>
    </comment>
    <comment ref="F149" authorId="6">
      <text>
        <r>
          <rPr>
            <b/>
            <sz val="10"/>
            <color indexed="81"/>
            <rFont val="Calibri"/>
            <family val="2"/>
          </rPr>
          <t>Microsoft Office User:</t>
        </r>
        <r>
          <rPr>
            <sz val="10"/>
            <color indexed="81"/>
            <rFont val="Calibri"/>
            <family val="2"/>
          </rPr>
          <t xml:space="preserve">
Filled in year on 1 Dec 2017</t>
        </r>
      </text>
    </comment>
    <comment ref="N154" authorId="4">
      <text>
        <r>
          <rPr>
            <b/>
            <sz val="10"/>
            <color indexed="81"/>
            <rFont val="TimesNewRomanPSMT"/>
          </rPr>
          <t>Paul R. Elsen:</t>
        </r>
        <r>
          <rPr>
            <sz val="10"/>
            <color indexed="81"/>
            <rFont val="TimesNewRomanPSMT"/>
          </rPr>
          <t xml:space="preserve">
Study site is valley above Villar d'Arene in central French Alps; study reports area at 1292 ha</t>
        </r>
      </text>
    </comment>
    <comment ref="N156" authorId="0">
      <text>
        <r>
          <rPr>
            <b/>
            <sz val="9"/>
            <color indexed="81"/>
            <rFont val="Arial"/>
            <family val="2"/>
          </rPr>
          <t>Lyndon Estes:</t>
        </r>
        <r>
          <rPr>
            <sz val="9"/>
            <color indexed="81"/>
            <rFont val="Arial"/>
            <family val="2"/>
          </rPr>
          <t xml:space="preserve">
No maps given anywhere, so just have to estimate based on total study area value they give, which is certainly much larger</t>
        </r>
      </text>
    </comment>
    <comment ref="Q156" authorId="0">
      <text>
        <r>
          <rPr>
            <b/>
            <sz val="9"/>
            <color indexed="81"/>
            <rFont val="Arial"/>
            <family val="2"/>
          </rPr>
          <t>Lyndon Estes:</t>
        </r>
        <r>
          <rPr>
            <sz val="9"/>
            <color indexed="81"/>
            <rFont val="Arial"/>
            <family val="2"/>
          </rPr>
          <t xml:space="preserve">
assume may through september, 1 day per sample--they don't specify time period. 
10/4/2017:
Revisited and changed from original estimate of 5, because looks like I miscounted weeks, because they said sward height measured once a week in growing season.  Assume May 1- end September, 20 weeks, 20 minute effort</t>
        </r>
      </text>
    </comment>
    <comment ref="R156" authorId="0">
      <text>
        <r>
          <rPr>
            <b/>
            <sz val="9"/>
            <color indexed="81"/>
            <rFont val="Arial"/>
            <family val="2"/>
          </rPr>
          <t>Lyndon Estes:</t>
        </r>
        <r>
          <rPr>
            <sz val="9"/>
            <color indexed="81"/>
            <rFont val="Arial"/>
            <family val="2"/>
          </rPr>
          <t xml:space="preserve">
Assume May - September</t>
        </r>
      </text>
    </comment>
    <comment ref="N157" authorId="0">
      <text>
        <r>
          <rPr>
            <b/>
            <sz val="9"/>
            <color indexed="81"/>
            <rFont val="Arial"/>
            <family val="2"/>
          </rPr>
          <t>Lyndon Estes:</t>
        </r>
        <r>
          <rPr>
            <sz val="9"/>
            <color indexed="81"/>
            <rFont val="Arial"/>
            <family val="2"/>
          </rPr>
          <t xml:space="preserve">
No maps given anywhere, so just have to estimate based on total study area value they give, which is certainly much larger</t>
        </r>
      </text>
    </comment>
    <comment ref="N158" authorId="0">
      <text>
        <r>
          <rPr>
            <b/>
            <sz val="9"/>
            <color indexed="81"/>
            <rFont val="Arial"/>
            <family val="2"/>
          </rPr>
          <t>Lyndon Estes:</t>
        </r>
        <r>
          <rPr>
            <sz val="9"/>
            <color indexed="81"/>
            <rFont val="Arial"/>
            <family val="2"/>
          </rPr>
          <t xml:space="preserve">
No maps given anywhere, so just have to estimate based on total study area value they give, which is certainly much larger</t>
        </r>
      </text>
    </comment>
    <comment ref="N159" authorId="0">
      <text>
        <r>
          <rPr>
            <b/>
            <sz val="9"/>
            <color indexed="81"/>
            <rFont val="Arial"/>
            <family val="2"/>
          </rPr>
          <t>Lyndon Estes:</t>
        </r>
        <r>
          <rPr>
            <sz val="9"/>
            <color indexed="81"/>
            <rFont val="Arial"/>
            <family val="2"/>
          </rPr>
          <t xml:space="preserve">
No maps given anywhere, so just have to estimate based on total study area value they give, which is certainly much larger</t>
        </r>
      </text>
    </comment>
    <comment ref="F161" authorId="0">
      <text>
        <r>
          <rPr>
            <b/>
            <sz val="9"/>
            <color indexed="81"/>
            <rFont val="Calibri"/>
            <family val="2"/>
          </rPr>
          <t>Lyndon Estes:</t>
        </r>
        <r>
          <rPr>
            <sz val="9"/>
            <color indexed="81"/>
            <rFont val="Calibri"/>
            <family val="2"/>
          </rPr>
          <t xml:space="preserve">
17/5/2017: fixed from 2007</t>
        </r>
      </text>
    </comment>
    <comment ref="F162" authorId="6">
      <text>
        <r>
          <rPr>
            <b/>
            <sz val="10"/>
            <color indexed="81"/>
            <rFont val="Calibri"/>
            <family val="2"/>
          </rPr>
          <t>Microsoft Office User:</t>
        </r>
        <r>
          <rPr>
            <sz val="10"/>
            <color indexed="81"/>
            <rFont val="Calibri"/>
            <family val="2"/>
          </rPr>
          <t xml:space="preserve">
Filled in year on 1 Dec 2017</t>
        </r>
      </text>
    </comment>
    <comment ref="AD163" authorId="0">
      <text>
        <r>
          <rPr>
            <b/>
            <sz val="9"/>
            <color indexed="81"/>
            <rFont val="Arial"/>
            <family val="2"/>
          </rPr>
          <t>Lyndon Estes:</t>
        </r>
        <r>
          <rPr>
            <sz val="9"/>
            <color indexed="81"/>
            <rFont val="Arial"/>
            <family val="2"/>
          </rPr>
          <t xml:space="preserve">
can you annotate these please, so I can tell which feature you are assessing?  This will help with head to head calibration assessment</t>
        </r>
      </text>
    </comment>
    <comment ref="N169" authorId="4">
      <text>
        <r>
          <rPr>
            <b/>
            <sz val="10"/>
            <color indexed="81"/>
            <rFont val="TimesNewRomanPSMT"/>
          </rPr>
          <t>Paul R. Elsen:</t>
        </r>
        <r>
          <rPr>
            <sz val="10"/>
            <color indexed="81"/>
            <rFont val="TimesNewRomanPSMT"/>
          </rPr>
          <t xml:space="preserve">
Study conducted in Woods Lake Watershed, Herkimer County, NY. Methods references previous study of liming application in the region, forming the basis of this study (Driscoll et al. 1996; doi:10.1007/BF02187137). In that study, there is a map of the survey region and the area is given as 207 ha.</t>
        </r>
      </text>
    </comment>
    <comment ref="N175" authorId="0">
      <text>
        <r>
          <rPr>
            <b/>
            <sz val="9"/>
            <color indexed="81"/>
            <rFont val="Arial"/>
            <family val="2"/>
          </rPr>
          <t>Lyndon Estes:</t>
        </r>
        <r>
          <rPr>
            <sz val="9"/>
            <color indexed="81"/>
            <rFont val="Arial"/>
            <family val="2"/>
          </rPr>
          <t xml:space="preserve">
Total watershed area from Table 2 in Driscoll et al 1996. No plot boundaries provided. Have to assume that full catchment was covered</t>
        </r>
      </text>
    </comment>
    <comment ref="N176" authorId="0">
      <text>
        <r>
          <rPr>
            <b/>
            <sz val="9"/>
            <color indexed="81"/>
            <rFont val="Arial"/>
            <family val="2"/>
          </rPr>
          <t>Lyndon Estes:</t>
        </r>
        <r>
          <rPr>
            <sz val="9"/>
            <color indexed="81"/>
            <rFont val="Arial"/>
            <family val="2"/>
          </rPr>
          <t xml:space="preserve">
Total watershed area from Table 2 in Driscoll et al 1996. No plot boundaries provided</t>
        </r>
      </text>
    </comment>
    <comment ref="N177" authorId="0">
      <text>
        <r>
          <rPr>
            <b/>
            <sz val="9"/>
            <color indexed="81"/>
            <rFont val="Arial"/>
            <family val="2"/>
          </rPr>
          <t>Lyndon Estes:</t>
        </r>
        <r>
          <rPr>
            <sz val="9"/>
            <color indexed="81"/>
            <rFont val="Arial"/>
            <family val="2"/>
          </rPr>
          <t xml:space="preserve">
Total watershed area from Table 2 in Driscoll et al 1996. No plot boundaries provided. Have to assume that full catchment was covered</t>
        </r>
      </text>
    </comment>
    <comment ref="N178" authorId="0">
      <text>
        <r>
          <rPr>
            <b/>
            <sz val="9"/>
            <color indexed="81"/>
            <rFont val="Arial"/>
            <family val="2"/>
          </rPr>
          <t>Lyndon Estes:</t>
        </r>
        <r>
          <rPr>
            <sz val="9"/>
            <color indexed="81"/>
            <rFont val="Arial"/>
            <family val="2"/>
          </rPr>
          <t xml:space="preserve">
Total watershed area from Table 2 in Driscoll et al 1996. No plot boundaries provided. Have to assume that full catchment was covered</t>
        </r>
      </text>
    </comment>
    <comment ref="N179" authorId="0">
      <text>
        <r>
          <rPr>
            <b/>
            <sz val="9"/>
            <color indexed="81"/>
            <rFont val="Arial"/>
            <family val="2"/>
          </rPr>
          <t>Lyndon Estes:</t>
        </r>
        <r>
          <rPr>
            <sz val="9"/>
            <color indexed="81"/>
            <rFont val="Arial"/>
            <family val="2"/>
          </rPr>
          <t xml:space="preserve">
Total watershed area from Table 2 in Driscoll et al 1996. No plot boundaries provided. Have to assume that full catchment was covered</t>
        </r>
      </text>
    </comment>
    <comment ref="N180" authorId="0">
      <text>
        <r>
          <rPr>
            <b/>
            <sz val="9"/>
            <color indexed="81"/>
            <rFont val="Arial"/>
            <family val="2"/>
          </rPr>
          <t>Lyndon Estes:</t>
        </r>
        <r>
          <rPr>
            <sz val="9"/>
            <color indexed="81"/>
            <rFont val="Arial"/>
            <family val="2"/>
          </rPr>
          <t xml:space="preserve">
Total watershed area from Table 2 in Driscoll et al 1996. No plot boundaries provided. Have to assume that full catchment was covered</t>
        </r>
      </text>
    </comment>
    <comment ref="N181" authorId="0">
      <text>
        <r>
          <rPr>
            <b/>
            <sz val="9"/>
            <color indexed="81"/>
            <rFont val="Arial"/>
            <family val="2"/>
          </rPr>
          <t>Lyndon Estes:</t>
        </r>
        <r>
          <rPr>
            <sz val="9"/>
            <color indexed="81"/>
            <rFont val="Arial"/>
            <family val="2"/>
          </rPr>
          <t xml:space="preserve">
Total watershed area from Table 2 in Driscoll et al 1996. No plot boundaries provided. Have to assume that full catchment was covered</t>
        </r>
      </text>
    </comment>
    <comment ref="O183" authorId="5">
      <text>
        <r>
          <rPr>
            <sz val="10"/>
            <color rgb="FF000000"/>
            <rFont val="Arial"/>
            <family val="2"/>
          </rPr>
          <t>redid this paper, splitting into additional entry for leaf litter, forest floor collections, and then edited soil core entry heavily
	-Tim Treuer</t>
        </r>
      </text>
    </comment>
  </commentList>
</comments>
</file>

<file path=xl/sharedStrings.xml><?xml version="1.0" encoding="utf-8"?>
<sst xmlns="http://schemas.openxmlformats.org/spreadsheetml/2006/main" count="2343" uniqueCount="237">
  <si>
    <t>observer</t>
  </si>
  <si>
    <t>DOI</t>
  </si>
  <si>
    <t>inout</t>
  </si>
  <si>
    <t>study_year</t>
  </si>
  <si>
    <t>study_type</t>
  </si>
  <si>
    <t>country_region</t>
  </si>
  <si>
    <t>subject_matter</t>
  </si>
  <si>
    <t>plot_res</t>
  </si>
  <si>
    <t>n_sites</t>
  </si>
  <si>
    <t>t_btwn_samp</t>
  </si>
  <si>
    <t>comp1</t>
  </si>
  <si>
    <t>comp2</t>
  </si>
  <si>
    <t>comp3</t>
  </si>
  <si>
    <t>struc1</t>
  </si>
  <si>
    <t>struc2</t>
  </si>
  <si>
    <t>struc3</t>
  </si>
  <si>
    <t>func1</t>
  </si>
  <si>
    <t>func2</t>
  </si>
  <si>
    <t>func3</t>
  </si>
  <si>
    <t>tax_breadth</t>
  </si>
  <si>
    <t>DOI_data_source</t>
  </si>
  <si>
    <t>notes</t>
  </si>
  <si>
    <t>elsen</t>
  </si>
  <si>
    <t>10.1016/j.ecolecon.2012.02.027</t>
  </si>
  <si>
    <t>NA</t>
  </si>
  <si>
    <t>excluded</t>
  </si>
  <si>
    <t>10.1016/j.agee.2011.07.015</t>
  </si>
  <si>
    <t>field/direct observation</t>
  </si>
  <si>
    <t>Germany</t>
  </si>
  <si>
    <t>effects of flooding and land-use on orthoptera</t>
  </si>
  <si>
    <t>10.1016/j.ecolecon.2007.10.006</t>
  </si>
  <si>
    <t>10.1111/geb.12090</t>
  </si>
  <si>
    <t>paleo-reconstruction</t>
  </si>
  <si>
    <t>Europe</t>
  </si>
  <si>
    <t>spatio-temporal patterns and drivers of historic European fire activity</t>
  </si>
  <si>
    <t>10.1016/j.agee.2013.11.021</t>
  </si>
  <si>
    <t>10.1007/s00442-012-2366-0</t>
  </si>
  <si>
    <t>impacts of agricultural intensification on aphid-parasitoid food webs</t>
  </si>
  <si>
    <t>10.1016/j.biocon.2006.04.001</t>
  </si>
  <si>
    <t>New Zealand</t>
  </si>
  <si>
    <t>effects of protection on spiny lobster abundance</t>
  </si>
  <si>
    <t>10.1098/rspb.2004.2833</t>
  </si>
  <si>
    <t>10.1098/rspb.2006.3696</t>
  </si>
  <si>
    <t>10.1890/13-0274.1</t>
  </si>
  <si>
    <t>New York, US</t>
  </si>
  <si>
    <t>effects of liming on nutrients</t>
  </si>
  <si>
    <t>dbh measurements of trees</t>
  </si>
  <si>
    <t>litterfall sampling May 2009 - May 2010</t>
  </si>
  <si>
    <t>forest floor sampling 2007 and 2010</t>
  </si>
  <si>
    <t>soil sampling 2007</t>
  </si>
  <si>
    <t>soil sampling 2008</t>
  </si>
  <si>
    <t>depth probe september 2010</t>
  </si>
  <si>
    <t>10.1098/rsbl.2007.0388</t>
  </si>
  <si>
    <t>10.1111/j.1365-2745.2008.01387.x</t>
  </si>
  <si>
    <t>10.1111/j.1472-4642.2012.00927.x</t>
  </si>
  <si>
    <t>10.1890/06-0750.1</t>
  </si>
  <si>
    <t>France</t>
  </si>
  <si>
    <t>ecosystem services sensitivity to land-use change</t>
  </si>
  <si>
    <t>aboveground biomass</t>
  </si>
  <si>
    <t>sward height</t>
  </si>
  <si>
    <t>10.1093/beheco/arr109</t>
  </si>
  <si>
    <t>10.1111/j.1466-8238.2009.00454.x</t>
  </si>
  <si>
    <t>Quebec, Canada</t>
  </si>
  <si>
    <t>influence of fine-scale habitat on nestedness of beetle and bird assemblages</t>
  </si>
  <si>
    <t>flying beetles; trap size Schmitz 1984 A passive aerial barrier trap suitable for sampling flying bark beetles. USDA Intermountain Forest and Range Experiment Station</t>
  </si>
  <si>
    <t>ground-dwelling beetles</t>
  </si>
  <si>
    <t>breeding birds</t>
  </si>
  <si>
    <t>vegetation structure</t>
  </si>
  <si>
    <t>10.1007/s00442-005-0338-3</t>
  </si>
  <si>
    <t>Chile</t>
  </si>
  <si>
    <t>effects of fragmentation on insectivory</t>
  </si>
  <si>
    <t>foraging intensity of insectivorous birds</t>
  </si>
  <si>
    <t>10.1093/beheco/arh010</t>
  </si>
  <si>
    <t>10.1007/s00442-010-1713-2</t>
  </si>
  <si>
    <t>Norway</t>
  </si>
  <si>
    <t>costs associated with development in lynx</t>
  </si>
  <si>
    <t>treated individual lynx as plot, estimated size</t>
  </si>
  <si>
    <t>10.1111/j.1600-0706.2012.21044.x</t>
  </si>
  <si>
    <t>estes</t>
  </si>
  <si>
    <t>Commentary</t>
  </si>
  <si>
    <t>traits in relation to disturbance</t>
  </si>
  <si>
    <t>I included the environmental data here by noting the structural features that were sampled</t>
  </si>
  <si>
    <t>fire regime drivers</t>
  </si>
  <si>
    <t xml:space="preserve">Multiple data sources, not well-documented. Sufficiently derived from these to justify not treating published sources as providing main scale data. </t>
  </si>
  <si>
    <t>community structure under agricultural intensification</t>
  </si>
  <si>
    <t>lobster demography under different protection levels</t>
  </si>
  <si>
    <t>US (New York)</t>
  </si>
  <si>
    <t>functional effects of liming</t>
  </si>
  <si>
    <t>Study marginal for inclusion, because experimental. However, observational in nature because after long-term</t>
  </si>
  <si>
    <t>2007 and 2010 Organic layer treatment: 3 year separation of treatments for organic layer</t>
  </si>
  <si>
    <t>2008 Organic layer treatment: 30 day separation</t>
  </si>
  <si>
    <t>2007 mineral soil samples</t>
  </si>
  <si>
    <t>2008 mineral soil treatment: separated by 30 days</t>
  </si>
  <si>
    <t>2010 depth probe</t>
  </si>
  <si>
    <t>plant functional types in relation to land use and ecosystem service provision</t>
  </si>
  <si>
    <t>Sward height samples</t>
  </si>
  <si>
    <t>ISBN 3 7281 2940 2; Doi:10.1111/jvs.12022</t>
  </si>
  <si>
    <t>Point quadrat surveys</t>
  </si>
  <si>
    <t>biomass unmown</t>
  </si>
  <si>
    <t>biomass mown</t>
  </si>
  <si>
    <t>Canada (Quebec)</t>
  </si>
  <si>
    <t>community ecology and nestedness</t>
  </si>
  <si>
    <t>Flying beetle sample: note that each period sampling lasted nearly two months (2/6-17/8 &amp; 7/6-15/8)</t>
  </si>
  <si>
    <t>Ground beetle sample: note as above</t>
  </si>
  <si>
    <t>Bird counts: 2 replicates (2 weeks apart) included in each season for each plot, but it sounds as if each plot was only samples once (i.e. not in both seasons)</t>
  </si>
  <si>
    <t>Forest structure sample</t>
  </si>
  <si>
    <t>food web interactions in fragmented forests</t>
  </si>
  <si>
    <t>Avian diversity/richness counts</t>
  </si>
  <si>
    <t>Forgaing intensity samples</t>
  </si>
  <si>
    <t>fitness and maturity time for lynx</t>
  </si>
  <si>
    <t>Here I assumed the study unit is the lynx, so sample area is based on that.</t>
  </si>
  <si>
    <t>ahmed</t>
  </si>
  <si>
    <t>CÃ´te-Nord, QuÃ©bec, Canada</t>
  </si>
  <si>
    <t xml:space="preserve">Variation in nestedness and idosyncracies in birds and beetles communities </t>
  </si>
  <si>
    <t>-</t>
  </si>
  <si>
    <t>BEETLE ASSEMBLAGE. Usage of plot resolution unclear</t>
  </si>
  <si>
    <t>BIRD ASSEMBLAGE.</t>
  </si>
  <si>
    <t>VEGETATION ASSEMBLAGE: sample duration, t_btwn_samples and study span not clearly indicated, so I used values form beetle assemblage and manually defined where necessary. Multiple resolutions within these plots such as sapling count using two 40 m^2 subplots and thickness of ground lichen using four 1x1 m quadrats.</t>
  </si>
  <si>
    <t>Sapling count</t>
  </si>
  <si>
    <t>Thickness of ground lichens</t>
  </si>
  <si>
    <t>Sachsen-Anhalt,  Germany</t>
  </si>
  <si>
    <t>Study of Orthoptera traits along a land use and flood disturbance gradient</t>
  </si>
  <si>
    <t>Average plot resolution was used because in study 450 m^2 and 500 m^2 plots were used. It was not indicated which plots were 450 and 500. Time between samples was approximated to be 25 days. It took roughly 4 days to sample each site and sample was done roughly a month apart. Study span was not indicated, so I included the time it took for sampling i.e. two months (61 days). I believe there is no compositional information included but I am not certain if land use and flood disturbance gradients can be classified as composition.</t>
  </si>
  <si>
    <t>GÃ¶ttingen, Germany</t>
  </si>
  <si>
    <t>Study of agriculture intensification and ecosystem functioning</t>
  </si>
  <si>
    <t>Costal Maulino forest, Chile</t>
  </si>
  <si>
    <t>Effect on density of insectivorous predators triggered by forest fragmentation</t>
  </si>
  <si>
    <t>Avian richness &amp; abundance</t>
  </si>
  <si>
    <t>Avian foraging intensity.</t>
  </si>
  <si>
    <t>Avian insectivory</t>
  </si>
  <si>
    <t>South-east Germany</t>
  </si>
  <si>
    <t>Soil chemical properties, swardheight and plant species composition in three cut alluvial meadowafter decades-long fertilizer application</t>
  </si>
  <si>
    <t>Paleo-reconstruction</t>
  </si>
  <si>
    <t>Reconstruction of spatio-temporal patterns of fire activity in Europe during the Holocene and its potential drivers</t>
  </si>
  <si>
    <t xml:space="preserve">I used 4cm-radius after reviewing a few papers on extracting charcoal core samples. The paper does not include or mention sample area, time between sampling, &amp; study duration, so default 1 day values were used. </t>
  </si>
  <si>
    <t>Data about sample harvest sites not given, but duration of the harvest present. No supplemental material available either. Discuss need to include or exclude?</t>
  </si>
  <si>
    <t xml:space="preserve">Five observations included (two from an external source). Included in the article are: plot numbers for the observations, sampling dates and one unclear reference to a plot resolution.  </t>
  </si>
  <si>
    <t>North-east New Zealand (Tawharanui Marine Park and Mimiwahangata Marine Park)</t>
  </si>
  <si>
    <t>Lobster population trends in protected vs non-protected areas</t>
  </si>
  <si>
    <t>See Sheet 1 for calculations.</t>
  </si>
  <si>
    <t>Chang</t>
  </si>
  <si>
    <t>field</t>
  </si>
  <si>
    <t>Orthoptera disturbance response</t>
  </si>
  <si>
    <t>Charcol</t>
  </si>
  <si>
    <t>Aphids</t>
  </si>
  <si>
    <t>Long term lobster abundance</t>
  </si>
  <si>
    <t>Canada</t>
  </si>
  <si>
    <t>Ground Beetle assemblage</t>
  </si>
  <si>
    <t>Flying Beetle assemblage</t>
  </si>
  <si>
    <t>http://www.metla.fi/silvafennica/full/sf45/sf455937.pdf</t>
  </si>
  <si>
    <t>Bird assemblage</t>
  </si>
  <si>
    <t>Tree DBH/Tree Species &gt; 9cm</t>
  </si>
  <si>
    <t>Tree DBH/Tree Species &lt; 9cm</t>
  </si>
  <si>
    <t>Woody Debris &gt;10cm</t>
  </si>
  <si>
    <t>Ground Lichen Thickness</t>
  </si>
  <si>
    <t>Parus major social behavior</t>
  </si>
  <si>
    <t>Choi</t>
  </si>
  <si>
    <t>Model</t>
  </si>
  <si>
    <t>Paleo-Reconstruction</t>
  </si>
  <si>
    <t>Holocene Fire Activity</t>
  </si>
  <si>
    <t>Experiment</t>
  </si>
  <si>
    <t>Field Study</t>
  </si>
  <si>
    <t>Agriculture, parasite food webs</t>
  </si>
  <si>
    <t>Lab Experiment</t>
  </si>
  <si>
    <t>Lobster fisheries, Marine Protected zone</t>
  </si>
  <si>
    <t>USA</t>
  </si>
  <si>
    <t>Liming of forest soils</t>
  </si>
  <si>
    <t>Insectivorous birds and insects</t>
  </si>
  <si>
    <t>Direct Observation</t>
  </si>
  <si>
    <t>maturation and fitness</t>
  </si>
  <si>
    <t>Functional trait modeling</t>
  </si>
  <si>
    <t>Community assemblages</t>
  </si>
  <si>
    <t>Treur</t>
  </si>
  <si>
    <t>Holocene fire regimes</t>
  </si>
  <si>
    <t>wheat-aphid-parasitoids-hyperparasitoids</t>
  </si>
  <si>
    <t>Spiny lobsters</t>
  </si>
  <si>
    <t>New York</t>
  </si>
  <si>
    <t>soil depth; only control plots included</t>
  </si>
  <si>
    <t>Quebec</t>
  </si>
  <si>
    <t>birds</t>
  </si>
  <si>
    <t>lichens</t>
  </si>
  <si>
    <t>saplings</t>
  </si>
  <si>
    <t>assumed saplings were not identified to species</t>
  </si>
  <si>
    <t>woody vegetation</t>
  </si>
  <si>
    <t>trees &gt;9cm, coarse woody debris, canopy closure, canopy height</t>
  </si>
  <si>
    <t>ground beetles</t>
  </si>
  <si>
    <t>flying beetles</t>
  </si>
  <si>
    <t>birds, insectivory in fragments</t>
  </si>
  <si>
    <t>insectivory focal observations</t>
  </si>
  <si>
    <t>feature</t>
  </si>
  <si>
    <t>Avian richness and abundance in circular sampling plots</t>
  </si>
  <si>
    <t>Avian foraging intensity in 30 m circular plots</t>
  </si>
  <si>
    <t>Individual lynxes</t>
  </si>
  <si>
    <t>Measure individual wheat shoots</t>
  </si>
  <si>
    <t>Each permanent transect at the 19 sites</t>
  </si>
  <si>
    <t>It was difficult to judge temporal scale\measure charcoal cores</t>
  </si>
  <si>
    <t>multidirectional flight intercept trap</t>
  </si>
  <si>
    <t>Pitfall traps</t>
  </si>
  <si>
    <t>Bird point counts</t>
  </si>
  <si>
    <t>Stand characteristics in 400m^2 circular plots</t>
  </si>
  <si>
    <t>Sapling monitoring</t>
  </si>
  <si>
    <t>Canopy height with clinometer</t>
  </si>
  <si>
    <t>canopy closure with densiometer</t>
  </si>
  <si>
    <t>Sward height</t>
  </si>
  <si>
    <t>Spring litter</t>
  </si>
  <si>
    <t>Legume relative abundance</t>
  </si>
  <si>
    <t>vegetation plots with DBH measurements and other measures</t>
  </si>
  <si>
    <t>Littertraps</t>
  </si>
  <si>
    <t>Soil measurements for soil depth</t>
  </si>
  <si>
    <t>Soil cores</t>
  </si>
  <si>
    <t>Tulip bulb corer for N mineralization</t>
  </si>
  <si>
    <t>Random forest floor depth measurements.</t>
  </si>
  <si>
    <t>st</t>
  </si>
  <si>
    <t>Avian richness and abundance</t>
  </si>
  <si>
    <t>Avian Foraging Intensity</t>
  </si>
  <si>
    <t>n</t>
  </si>
  <si>
    <t>y</t>
  </si>
  <si>
    <t>Litter throughfall</t>
  </si>
  <si>
    <t xml:space="preserve">10.1016/j.biocon.2006.04.001 </t>
  </si>
  <si>
    <t>Forest trees</t>
  </si>
  <si>
    <t>leaf litter</t>
  </si>
  <si>
    <t>forest floor</t>
  </si>
  <si>
    <t>soil</t>
  </si>
  <si>
    <t>point-counts; eff_extent calculated by averaging fragment size and multiplying by number of fragments then adding area of Reserve, then assuming effective area of plantions sampled was equal to the area of intact forest sampled, proportional to the reduced number of plots in the plantations (15 as opposed to 20).</t>
  </si>
  <si>
    <t>eff_extent estimated off minimum convex polygon of all field sites</t>
  </si>
  <si>
    <t>assumed samp_duration = 1 hour; for eff_extent assumed 200m wide multiplied by path length between sites, two separate paths for two locations</t>
  </si>
  <si>
    <t>assumed samp_duration = 1 hour</t>
  </si>
  <si>
    <t>assumed 5cm radius cores</t>
  </si>
  <si>
    <t>eff_extent scaled by number of plots sampled divided by total number of plots</t>
  </si>
  <si>
    <t>trees; only control plots included</t>
  </si>
  <si>
    <t>leaf litter; only control plots included</t>
  </si>
  <si>
    <t>only control plots included</t>
  </si>
  <si>
    <t>act_ext</t>
  </si>
  <si>
    <t>eff_ext</t>
  </si>
  <si>
    <t>samp_dur</t>
  </si>
  <si>
    <t>act_dur</t>
  </si>
  <si>
    <t>eff_dur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</si>
</sst>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
    <numFmt numFmtId="165" formatCode="#,##0.0000000"/>
    <numFmt numFmtId="166" formatCode="#,##0.00000"/>
  </numFmts>
  <fonts count="32" x14ac:knownFonts="1">
    <font>
      <sz val="12"/>
      <color theme="1"/>
      <name val="Calibri"/>
      <family val="2"/>
      <scheme val="minor"/>
    </font>
    <font>
      <sz val="12"/>
      <color rgb="FFFF0000"/>
      <name val="Calibri"/>
      <family val="2"/>
      <scheme val="minor"/>
    </font>
    <font>
      <sz val="12"/>
      <color theme="6"/>
      <name val="Calibri"/>
      <family val="2"/>
      <scheme val="minor"/>
    </font>
    <font>
      <sz val="12"/>
      <color theme="5" tint="0.39997558519241921"/>
      <name val="Calibri"/>
      <family val="2"/>
      <scheme val="minor"/>
    </font>
    <font>
      <sz val="12"/>
      <color theme="3" tint="0.59999389629810485"/>
      <name val="Calibri"/>
      <family val="2"/>
      <scheme val="minor"/>
    </font>
    <font>
      <sz val="12"/>
      <color theme="2" tint="-0.499984740745262"/>
      <name val="Calibri"/>
      <family val="2"/>
      <scheme val="minor"/>
    </font>
    <font>
      <sz val="12"/>
      <color theme="3" tint="-0.249977111117893"/>
      <name val="Calibri"/>
      <family val="2"/>
      <scheme val="minor"/>
    </font>
    <font>
      <sz val="12"/>
      <color theme="7" tint="-0.249977111117893"/>
      <name val="Calibri"/>
      <family val="2"/>
      <scheme val="minor"/>
    </font>
    <font>
      <sz val="12"/>
      <color theme="3" tint="0.39997558519241921"/>
      <name val="Calibri"/>
      <family val="2"/>
      <scheme val="minor"/>
    </font>
    <font>
      <sz val="12"/>
      <color theme="9" tint="0.39997558519241921"/>
      <name val="Calibri"/>
      <family val="2"/>
      <scheme val="minor"/>
    </font>
    <font>
      <sz val="12"/>
      <color theme="6" tint="-0.499984740745262"/>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b/>
      <sz val="12"/>
      <color rgb="FF0000FF"/>
      <name val="Calibri"/>
      <family val="2"/>
      <scheme val="minor"/>
    </font>
    <font>
      <sz val="10"/>
      <color rgb="FF000000"/>
      <name val="Arial"/>
      <family val="2"/>
    </font>
    <font>
      <u/>
      <sz val="10"/>
      <color rgb="FF000000"/>
      <name val="Arial"/>
      <family val="2"/>
    </font>
    <font>
      <sz val="11"/>
      <name val="Calibri"/>
      <family val="2"/>
    </font>
    <font>
      <b/>
      <sz val="9"/>
      <color indexed="81"/>
      <name val="Tahoma"/>
      <family val="2"/>
    </font>
    <font>
      <sz val="9"/>
      <color indexed="81"/>
      <name val="Tahoma"/>
      <family val="2"/>
    </font>
    <font>
      <b/>
      <sz val="9"/>
      <color indexed="81"/>
      <name val="Arial"/>
      <family val="2"/>
    </font>
    <font>
      <sz val="9"/>
      <color indexed="81"/>
      <name val="Arial"/>
      <family val="2"/>
    </font>
    <font>
      <sz val="10"/>
      <name val="Arial"/>
      <family val="2"/>
    </font>
    <font>
      <sz val="10"/>
      <color indexed="8"/>
      <name val="Arial"/>
      <family val="2"/>
    </font>
    <font>
      <sz val="10"/>
      <color rgb="FFFFFF00"/>
      <name val="Arial"/>
      <family val="2"/>
    </font>
    <font>
      <b/>
      <sz val="10"/>
      <color indexed="81"/>
      <name val="TimesNewRomanPSMT"/>
    </font>
    <font>
      <sz val="10"/>
      <color indexed="81"/>
      <name val="TimesNewRomanPSMT"/>
    </font>
    <font>
      <sz val="12"/>
      <color rgb="FFFFFF00"/>
      <name val="Calibri"/>
      <family val="2"/>
      <scheme val="minor"/>
    </font>
    <font>
      <sz val="12"/>
      <color rgb="FF538DD5"/>
      <name val="Calibri"/>
      <family val="2"/>
      <scheme val="minor"/>
    </font>
    <font>
      <sz val="10"/>
      <color indexed="81"/>
      <name val="Calibri"/>
      <family val="2"/>
    </font>
    <font>
      <b/>
      <sz val="10"/>
      <color indexed="81"/>
      <name val="Calibri"/>
      <family val="2"/>
    </font>
  </fonts>
  <fills count="1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66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rgb="FFFFFF00"/>
      </patternFill>
    </fill>
    <fill>
      <patternFill patternType="solid">
        <fgColor theme="8" tint="-0.249977111117893"/>
        <bgColor indexed="64"/>
      </patternFill>
    </fill>
    <fill>
      <patternFill patternType="solid">
        <fgColor rgb="FF93C47D"/>
        <bgColor rgb="FF93C47D"/>
      </patternFill>
    </fill>
    <fill>
      <patternFill patternType="solid">
        <fgColor theme="5" tint="0.39997558519241921"/>
        <bgColor indexed="64"/>
      </patternFill>
    </fill>
    <fill>
      <patternFill patternType="solid">
        <fgColor rgb="FFDA9694"/>
        <bgColor rgb="FF000000"/>
      </patternFill>
    </fill>
  </fills>
  <borders count="6">
    <border>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auto="1"/>
      </left>
      <right style="thin">
        <color auto="1"/>
      </right>
      <top/>
      <bottom style="thin">
        <color auto="1"/>
      </bottom>
      <diagonal/>
    </border>
    <border>
      <left/>
      <right/>
      <top style="medium">
        <color auto="1"/>
      </top>
      <bottom/>
      <diagonal/>
    </border>
  </borders>
  <cellStyleXfs count="10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92">
    <xf numFmtId="0" fontId="0" fillId="0" borderId="0" xfId="0"/>
    <xf numFmtId="1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0" applyFont="1"/>
    <xf numFmtId="1" fontId="0" fillId="0" borderId="0" xfId="0" applyNumberFormat="1"/>
    <xf numFmtId="0" fontId="15" fillId="0" borderId="0" xfId="0" applyFont="1"/>
    <xf numFmtId="0" fontId="16" fillId="0" borderId="0" xfId="0" applyFont="1" applyFill="1" applyBorder="1" applyAlignment="1">
      <alignment wrapText="1"/>
    </xf>
    <xf numFmtId="0" fontId="0" fillId="0" borderId="1" xfId="0" applyBorder="1"/>
    <xf numFmtId="0" fontId="16" fillId="0" borderId="0" xfId="0" applyFont="1" applyFill="1" applyBorder="1" applyAlignment="1"/>
    <xf numFmtId="0" fontId="16" fillId="0" borderId="0" xfId="0" applyFont="1" applyFill="1" applyBorder="1"/>
    <xf numFmtId="0" fontId="0" fillId="0" borderId="0" xfId="0" applyFont="1" applyFill="1"/>
    <xf numFmtId="0" fontId="0" fillId="0" borderId="1" xfId="0" applyFont="1" applyFill="1" applyBorder="1"/>
    <xf numFmtId="0" fontId="16" fillId="0" borderId="0" xfId="0" applyFont="1" applyFill="1"/>
    <xf numFmtId="164" fontId="16" fillId="0" borderId="0" xfId="0" applyNumberFormat="1" applyFont="1" applyFill="1"/>
    <xf numFmtId="0" fontId="16" fillId="0" borderId="0" xfId="0" applyFont="1" applyFill="1" applyAlignment="1"/>
    <xf numFmtId="0" fontId="16" fillId="0" borderId="0" xfId="0" applyFont="1" applyFill="1" applyAlignment="1">
      <alignment horizontal="left"/>
    </xf>
    <xf numFmtId="0" fontId="16" fillId="0" borderId="0" xfId="0" applyFont="1" applyFill="1" applyAlignment="1">
      <alignment wrapText="1"/>
    </xf>
    <xf numFmtId="0" fontId="0" fillId="0" borderId="0" xfId="0" applyFont="1" applyFill="1" applyAlignment="1">
      <alignment wrapText="1"/>
    </xf>
    <xf numFmtId="0" fontId="17" fillId="0" borderId="0" xfId="0" applyFont="1" applyFill="1" applyAlignment="1">
      <alignment wrapText="1"/>
    </xf>
    <xf numFmtId="0" fontId="18" fillId="0" borderId="0" xfId="0" applyFont="1" applyFill="1" applyBorder="1"/>
    <xf numFmtId="0" fontId="0" fillId="0" borderId="0" xfId="0" applyFont="1" applyFill="1" applyAlignment="1"/>
    <xf numFmtId="0" fontId="23" fillId="2" borderId="0" xfId="0" applyFont="1" applyFill="1" applyBorder="1"/>
    <xf numFmtId="0" fontId="0" fillId="0" borderId="0" xfId="0" applyFont="1" applyFill="1" applyBorder="1" applyAlignment="1"/>
    <xf numFmtId="0" fontId="23" fillId="4" borderId="0" xfId="0" applyFont="1" applyFill="1" applyBorder="1" applyAlignment="1"/>
    <xf numFmtId="0" fontId="0" fillId="2" borderId="0" xfId="0" applyFill="1" applyAlignment="1"/>
    <xf numFmtId="0" fontId="0" fillId="2" borderId="0" xfId="0" applyFont="1" applyFill="1" applyBorder="1" applyAlignment="1"/>
    <xf numFmtId="1" fontId="0" fillId="5" borderId="0" xfId="0" applyNumberFormat="1" applyFill="1"/>
    <xf numFmtId="0" fontId="0" fillId="0" borderId="0" xfId="0" applyFill="1" applyBorder="1" applyAlignment="1">
      <alignment horizontal="center" vertical="center"/>
    </xf>
    <xf numFmtId="0" fontId="0" fillId="9" borderId="0" xfId="0" applyFill="1"/>
    <xf numFmtId="0" fontId="0" fillId="0" borderId="4" xfId="0" applyFill="1" applyBorder="1" applyAlignment="1">
      <alignment horizontal="left" vertical="center"/>
    </xf>
    <xf numFmtId="0" fontId="0" fillId="10" borderId="0" xfId="0" applyFill="1"/>
    <xf numFmtId="0" fontId="0" fillId="0" borderId="5" xfId="0" applyBorder="1"/>
    <xf numFmtId="0" fontId="0" fillId="0" borderId="0" xfId="0" applyBorder="1"/>
    <xf numFmtId="0" fontId="0" fillId="9" borderId="0" xfId="0" applyFill="1" applyBorder="1"/>
    <xf numFmtId="0" fontId="0" fillId="2" borderId="0" xfId="0" applyFill="1" applyBorder="1"/>
    <xf numFmtId="0" fontId="23" fillId="11" borderId="0" xfId="0" applyFont="1" applyFill="1" applyBorder="1" applyAlignment="1"/>
    <xf numFmtId="0" fontId="0" fillId="11" borderId="0" xfId="0" applyFont="1" applyFill="1" applyBorder="1" applyAlignment="1"/>
    <xf numFmtId="0" fontId="23" fillId="2" borderId="0" xfId="0" applyFont="1" applyFill="1" applyBorder="1" applyAlignment="1"/>
    <xf numFmtId="0" fontId="0" fillId="12" borderId="0" xfId="0" applyFont="1" applyFill="1" applyBorder="1" applyAlignment="1"/>
    <xf numFmtId="166" fontId="0" fillId="2" borderId="0" xfId="0" applyNumberFormat="1" applyFont="1" applyFill="1" applyBorder="1" applyAlignment="1"/>
    <xf numFmtId="3" fontId="0" fillId="2" borderId="0" xfId="0" applyNumberFormat="1" applyFont="1" applyFill="1" applyBorder="1" applyAlignment="1"/>
    <xf numFmtId="0" fontId="0" fillId="0" borderId="0" xfId="0" applyFont="1" applyAlignment="1"/>
    <xf numFmtId="3" fontId="0" fillId="0" borderId="0" xfId="0" applyNumberFormat="1" applyFont="1" applyFill="1" applyBorder="1" applyAlignment="1"/>
    <xf numFmtId="3" fontId="23" fillId="0" borderId="0" xfId="0" applyNumberFormat="1" applyFont="1" applyFill="1" applyBorder="1" applyAlignment="1"/>
    <xf numFmtId="164" fontId="0" fillId="11" borderId="0" xfId="0" applyNumberFormat="1" applyFont="1" applyFill="1" applyBorder="1" applyAlignment="1"/>
    <xf numFmtId="0" fontId="0" fillId="0" borderId="0" xfId="0" applyFont="1" applyFill="1" applyBorder="1"/>
    <xf numFmtId="0" fontId="23" fillId="0" borderId="0" xfId="0" applyFont="1" applyFill="1" applyBorder="1"/>
    <xf numFmtId="0" fontId="23" fillId="12" borderId="0" xfId="0" applyFont="1" applyFill="1" applyBorder="1"/>
    <xf numFmtId="0" fontId="23" fillId="12" borderId="0" xfId="0" applyFont="1" applyFill="1" applyBorder="1" applyAlignment="1">
      <alignment wrapText="1"/>
    </xf>
    <xf numFmtId="0" fontId="0" fillId="12" borderId="0" xfId="0" applyFill="1" applyBorder="1"/>
    <xf numFmtId="0" fontId="23" fillId="0" borderId="0" xfId="0" applyFont="1" applyAlignment="1">
      <alignment wrapText="1"/>
    </xf>
    <xf numFmtId="164" fontId="23" fillId="0" borderId="0" xfId="0" applyNumberFormat="1" applyFont="1" applyAlignment="1">
      <alignment wrapText="1"/>
    </xf>
    <xf numFmtId="0" fontId="23" fillId="13" borderId="0" xfId="0" applyFont="1" applyFill="1" applyAlignment="1">
      <alignment wrapText="1"/>
    </xf>
    <xf numFmtId="165" fontId="23" fillId="0" borderId="0" xfId="0" applyNumberFormat="1" applyFont="1" applyAlignment="1">
      <alignment wrapText="1"/>
    </xf>
    <xf numFmtId="0" fontId="23" fillId="0" borderId="0" xfId="0" applyFont="1"/>
    <xf numFmtId="3" fontId="23" fillId="0" borderId="0" xfId="0" applyNumberFormat="1" applyFont="1" applyAlignment="1">
      <alignment wrapText="1"/>
    </xf>
    <xf numFmtId="0" fontId="23" fillId="0" borderId="0" xfId="0" applyFont="1" applyAlignment="1"/>
    <xf numFmtId="0" fontId="23" fillId="13" borderId="0" xfId="0" applyFont="1" applyFill="1" applyAlignment="1"/>
    <xf numFmtId="0" fontId="23" fillId="0" borderId="0" xfId="0" applyFont="1" applyFill="1" applyBorder="1" applyAlignment="1">
      <alignment wrapText="1"/>
    </xf>
    <xf numFmtId="0" fontId="23" fillId="0" borderId="0" xfId="0" applyFont="1" applyFill="1" applyAlignment="1">
      <alignment wrapText="1"/>
    </xf>
    <xf numFmtId="0" fontId="25" fillId="14" borderId="0" xfId="0" applyFont="1" applyFill="1" applyBorder="1" applyAlignment="1"/>
    <xf numFmtId="0" fontId="25" fillId="14" borderId="0" xfId="0" applyFont="1" applyFill="1" applyBorder="1"/>
    <xf numFmtId="0" fontId="25" fillId="15" borderId="0" xfId="0" applyFont="1" applyFill="1" applyAlignment="1">
      <alignment wrapText="1"/>
    </xf>
    <xf numFmtId="0" fontId="25" fillId="15" borderId="0" xfId="0" applyFont="1" applyFill="1" applyBorder="1" applyAlignment="1">
      <alignment wrapText="1"/>
    </xf>
    <xf numFmtId="0" fontId="28" fillId="14" borderId="0" xfId="0" applyFont="1" applyFill="1"/>
    <xf numFmtId="0" fontId="0" fillId="0" borderId="2" xfId="0" applyBorder="1"/>
    <xf numFmtId="0" fontId="0" fillId="0" borderId="3" xfId="0" applyBorder="1"/>
    <xf numFmtId="0" fontId="16" fillId="7" borderId="0" xfId="0" applyFont="1" applyFill="1" applyBorder="1"/>
    <xf numFmtId="0" fontId="16" fillId="6" borderId="0" xfId="0" applyFont="1" applyFill="1" applyBorder="1" applyAlignment="1"/>
    <xf numFmtId="0" fontId="25" fillId="8" borderId="0" xfId="0" applyFont="1" applyFill="1" applyBorder="1"/>
    <xf numFmtId="11" fontId="0" fillId="0" borderId="0" xfId="0" applyNumberFormat="1" applyBorder="1"/>
    <xf numFmtId="0" fontId="23" fillId="0" borderId="3" xfId="0" applyFont="1" applyBorder="1" applyAlignment="1">
      <alignment wrapText="1"/>
    </xf>
    <xf numFmtId="0" fontId="23" fillId="0" borderId="2" xfId="0" applyFont="1" applyBorder="1" applyAlignment="1">
      <alignment wrapText="1"/>
    </xf>
    <xf numFmtId="0" fontId="23" fillId="12" borderId="1" xfId="0" applyFont="1" applyFill="1" applyBorder="1"/>
    <xf numFmtId="3" fontId="0" fillId="0" borderId="2" xfId="0" applyNumberFormat="1" applyFont="1" applyFill="1" applyBorder="1" applyAlignment="1"/>
    <xf numFmtId="0" fontId="0" fillId="2" borderId="3" xfId="0" applyFill="1" applyBorder="1"/>
    <xf numFmtId="0" fontId="0" fillId="0" borderId="2" xfId="0" applyFont="1" applyFill="1" applyBorder="1" applyAlignment="1"/>
    <xf numFmtId="0" fontId="23" fillId="13" borderId="2" xfId="0" applyFont="1" applyFill="1" applyBorder="1" applyAlignment="1">
      <alignment wrapText="1"/>
    </xf>
    <xf numFmtId="0" fontId="23" fillId="0" borderId="3" xfId="0" applyFont="1" applyBorder="1" applyAlignment="1"/>
    <xf numFmtId="0" fontId="23" fillId="3" borderId="1" xfId="0" applyFont="1" applyFill="1" applyBorder="1" applyAlignment="1"/>
    <xf numFmtId="0" fontId="23" fillId="0" borderId="2" xfId="0" applyFont="1" applyBorder="1" applyAlignment="1"/>
    <xf numFmtId="0" fontId="23" fillId="4" borderId="1" xfId="0" applyFont="1" applyFill="1" applyBorder="1" applyAlignment="1"/>
    <xf numFmtId="0" fontId="8" fillId="16" borderId="0" xfId="0" applyFont="1" applyFill="1"/>
    <xf numFmtId="0" fontId="29" fillId="17" borderId="0" xfId="0" applyFont="1" applyFill="1"/>
  </cellXfs>
  <cellStyles count="105">
    <cellStyle name="Excel Built-in Normal" xfId="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9" builtinId="9" hidden="1"/>
    <cellStyle name="Followed Hyperlink" xfId="51"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8" builtinId="8" hidden="1"/>
    <cellStyle name="Hyperlink" xfId="50" builtinId="8" hidden="1"/>
    <cellStyle name="Hyperlink" xfId="5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etla.fi/silvafennica/full/sf45/sf455937.pdf"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5"/>
  <sheetViews>
    <sheetView tabSelected="1" topLeftCell="A2" workbookViewId="0">
      <pane ySplit="760" topLeftCell="A138" activePane="bottomLeft"/>
      <selection activeCell="A2" sqref="A2:AE185"/>
      <selection pane="bottomLeft" activeCell="H159" sqref="H159"/>
    </sheetView>
  </sheetViews>
  <sheetFormatPr baseColWidth="10" defaultRowHeight="16" x14ac:dyDescent="0.2"/>
  <cols>
    <col min="2" max="2" width="8.5" customWidth="1"/>
    <col min="3" max="3" width="26.6640625" customWidth="1"/>
    <col min="4" max="4" width="7.1640625" customWidth="1"/>
    <col min="5" max="5" width="8.83203125" customWidth="1"/>
    <col min="7" max="7" width="5.83203125" customWidth="1"/>
    <col min="8" max="8" width="19.5" customWidth="1"/>
    <col min="10" max="10" width="13.83203125" customWidth="1"/>
    <col min="11" max="11" width="11.6640625" customWidth="1"/>
    <col min="12" max="12" width="9.83203125" customWidth="1"/>
    <col min="13" max="13" width="13.5" customWidth="1"/>
    <col min="14" max="14" width="11.83203125" customWidth="1"/>
    <col min="15" max="15" width="12" customWidth="1"/>
    <col min="16" max="16" width="13" customWidth="1"/>
    <col min="17" max="17" width="11.33203125" customWidth="1"/>
    <col min="18" max="18" width="16.1640625" customWidth="1"/>
  </cols>
  <sheetData>
    <row r="1" spans="1:30" x14ac:dyDescent="0.2">
      <c r="B1" t="s">
        <v>0</v>
      </c>
      <c r="C1" t="s">
        <v>1</v>
      </c>
      <c r="D1" t="s">
        <v>2</v>
      </c>
      <c r="E1" t="s">
        <v>189</v>
      </c>
      <c r="F1" t="s">
        <v>3</v>
      </c>
      <c r="G1" t="s">
        <v>212</v>
      </c>
      <c r="H1" t="s">
        <v>4</v>
      </c>
      <c r="I1" t="s">
        <v>5</v>
      </c>
      <c r="J1" t="s">
        <v>6</v>
      </c>
      <c r="K1" t="s">
        <v>7</v>
      </c>
      <c r="L1" t="s">
        <v>8</v>
      </c>
      <c r="M1" t="s">
        <v>232</v>
      </c>
      <c r="N1" t="s">
        <v>233</v>
      </c>
      <c r="O1" t="s">
        <v>234</v>
      </c>
      <c r="P1" t="s">
        <v>9</v>
      </c>
      <c r="Q1" t="s">
        <v>235</v>
      </c>
      <c r="R1" t="s">
        <v>236</v>
      </c>
      <c r="S1" t="s">
        <v>10</v>
      </c>
      <c r="T1" t="s">
        <v>11</v>
      </c>
      <c r="U1" t="s">
        <v>12</v>
      </c>
      <c r="V1" t="s">
        <v>13</v>
      </c>
      <c r="W1" t="s">
        <v>14</v>
      </c>
      <c r="X1" t="s">
        <v>15</v>
      </c>
      <c r="Y1" t="s">
        <v>16</v>
      </c>
      <c r="Z1" t="s">
        <v>17</v>
      </c>
      <c r="AA1" t="s">
        <v>18</v>
      </c>
      <c r="AB1" t="s">
        <v>19</v>
      </c>
      <c r="AC1" t="s">
        <v>20</v>
      </c>
      <c r="AD1" t="s">
        <v>21</v>
      </c>
    </row>
    <row r="2" spans="1:30" x14ac:dyDescent="0.2">
      <c r="A2">
        <v>75</v>
      </c>
      <c r="B2" t="s">
        <v>111</v>
      </c>
      <c r="C2" s="2" t="s">
        <v>68</v>
      </c>
      <c r="D2">
        <v>1</v>
      </c>
      <c r="E2" s="12">
        <v>1</v>
      </c>
      <c r="F2" s="72">
        <v>2006</v>
      </c>
      <c r="G2">
        <v>1</v>
      </c>
      <c r="H2" t="s">
        <v>27</v>
      </c>
      <c r="I2" t="s">
        <v>125</v>
      </c>
      <c r="J2" t="s">
        <v>126</v>
      </c>
      <c r="K2" s="35">
        <f>(PI()*(50)^2)</f>
        <v>7853.981633974483</v>
      </c>
      <c r="L2">
        <f>20+15+15</f>
        <v>50</v>
      </c>
      <c r="M2">
        <f>(K2*L2)/10000</f>
        <v>39.269908169872416</v>
      </c>
      <c r="O2" s="36">
        <f>5/(60*24)</f>
        <v>3.472222222222222E-3</v>
      </c>
      <c r="P2">
        <f>77/3</f>
        <v>25.666666666666668</v>
      </c>
      <c r="Q2" s="36">
        <f>O2*(3*2)</f>
        <v>2.0833333333333332E-2</v>
      </c>
      <c r="R2">
        <v>77</v>
      </c>
      <c r="T2" s="37"/>
      <c r="U2" s="37">
        <v>1</v>
      </c>
      <c r="V2" s="37"/>
      <c r="W2" s="37">
        <v>1</v>
      </c>
      <c r="X2" s="37"/>
      <c r="Y2" s="37"/>
      <c r="Z2" s="37">
        <v>1</v>
      </c>
      <c r="AA2" s="37"/>
      <c r="AB2">
        <v>2</v>
      </c>
      <c r="AC2" t="s">
        <v>24</v>
      </c>
      <c r="AD2" t="s">
        <v>127</v>
      </c>
    </row>
    <row r="3" spans="1:30" x14ac:dyDescent="0.2">
      <c r="A3">
        <v>76</v>
      </c>
      <c r="B3" t="s">
        <v>111</v>
      </c>
      <c r="C3" s="2" t="s">
        <v>68</v>
      </c>
      <c r="D3">
        <v>1</v>
      </c>
      <c r="E3" s="12">
        <v>2</v>
      </c>
      <c r="F3" s="72">
        <v>2006</v>
      </c>
      <c r="G3">
        <v>1</v>
      </c>
      <c r="H3" t="s">
        <v>27</v>
      </c>
      <c r="I3" t="s">
        <v>125</v>
      </c>
      <c r="J3" t="s">
        <v>126</v>
      </c>
      <c r="K3">
        <f>(PI()*(30)^2)</f>
        <v>2827.4333882308138</v>
      </c>
      <c r="L3">
        <f>240+180+180</f>
        <v>600</v>
      </c>
      <c r="M3">
        <f>(K3*L3)/10000</f>
        <v>169.64600329384882</v>
      </c>
      <c r="O3">
        <f>5/(60*24)</f>
        <v>3.472222222222222E-3</v>
      </c>
      <c r="P3" s="36">
        <f>AVERAGE((14/6)+(14/6))</f>
        <v>4.666666666666667</v>
      </c>
      <c r="Q3">
        <f>(3000/60)/24</f>
        <v>2.0833333333333335</v>
      </c>
      <c r="R3">
        <v>77</v>
      </c>
      <c r="U3">
        <v>1</v>
      </c>
      <c r="Y3">
        <v>1</v>
      </c>
      <c r="AB3">
        <v>2</v>
      </c>
      <c r="AC3" t="s">
        <v>24</v>
      </c>
      <c r="AD3" t="s">
        <v>128</v>
      </c>
    </row>
    <row r="4" spans="1:30" x14ac:dyDescent="0.2">
      <c r="A4">
        <v>77</v>
      </c>
      <c r="B4" t="s">
        <v>111</v>
      </c>
      <c r="C4" s="2" t="s">
        <v>68</v>
      </c>
      <c r="D4">
        <v>1</v>
      </c>
      <c r="E4" s="12">
        <v>3</v>
      </c>
      <c r="F4" s="72">
        <v>2006</v>
      </c>
      <c r="G4">
        <v>1</v>
      </c>
      <c r="H4" t="s">
        <v>27</v>
      </c>
      <c r="I4" t="s">
        <v>125</v>
      </c>
      <c r="J4" t="s">
        <v>126</v>
      </c>
      <c r="K4" s="36">
        <f>(PI()*(0.02)^2)</f>
        <v>1.2566370614359172E-3</v>
      </c>
      <c r="L4">
        <f>(40*3)/15</f>
        <v>8</v>
      </c>
      <c r="M4">
        <f>(K4*L4)/10000</f>
        <v>1.0053096491487338E-6</v>
      </c>
      <c r="O4">
        <v>1</v>
      </c>
      <c r="P4">
        <v>0</v>
      </c>
      <c r="Q4">
        <v>1</v>
      </c>
      <c r="R4">
        <v>77</v>
      </c>
      <c r="S4">
        <v>1</v>
      </c>
      <c r="V4">
        <v>1</v>
      </c>
      <c r="Y4">
        <v>1</v>
      </c>
      <c r="AB4">
        <v>1</v>
      </c>
      <c r="AC4" t="s">
        <v>24</v>
      </c>
      <c r="AD4" t="s">
        <v>129</v>
      </c>
    </row>
    <row r="5" spans="1:30" x14ac:dyDescent="0.2">
      <c r="A5">
        <v>115</v>
      </c>
      <c r="B5" t="s">
        <v>140</v>
      </c>
      <c r="C5" s="2" t="s">
        <v>68</v>
      </c>
      <c r="D5">
        <v>1</v>
      </c>
      <c r="E5" s="12">
        <v>1</v>
      </c>
      <c r="F5" s="72">
        <v>2006</v>
      </c>
      <c r="G5">
        <v>1</v>
      </c>
      <c r="H5" t="s">
        <v>141</v>
      </c>
      <c r="I5" t="s">
        <v>69</v>
      </c>
      <c r="J5" t="s">
        <v>213</v>
      </c>
      <c r="K5">
        <v>7853.98</v>
      </c>
      <c r="L5">
        <v>50</v>
      </c>
      <c r="M5">
        <f>(K5*L5)/10000</f>
        <v>39.2699</v>
      </c>
      <c r="O5">
        <v>2.0833299999999999E-2</v>
      </c>
      <c r="P5">
        <f>(30*4)/3</f>
        <v>40</v>
      </c>
      <c r="Q5">
        <f>(((30*30)+(20*30))/60)/24</f>
        <v>1.0416666666666667</v>
      </c>
      <c r="R5">
        <f>30*4</f>
        <v>120</v>
      </c>
      <c r="U5">
        <v>1</v>
      </c>
      <c r="Y5">
        <v>1</v>
      </c>
      <c r="AB5">
        <v>3</v>
      </c>
      <c r="AD5" s="14"/>
    </row>
    <row r="6" spans="1:30" x14ac:dyDescent="0.2">
      <c r="A6">
        <v>116</v>
      </c>
      <c r="B6" t="s">
        <v>140</v>
      </c>
      <c r="C6" s="2" t="s">
        <v>68</v>
      </c>
      <c r="D6">
        <v>1</v>
      </c>
      <c r="E6" s="34">
        <v>2</v>
      </c>
      <c r="F6" s="72">
        <v>2006</v>
      </c>
      <c r="G6" s="40">
        <v>1</v>
      </c>
      <c r="H6" s="40" t="s">
        <v>141</v>
      </c>
      <c r="I6" s="40" t="s">
        <v>69</v>
      </c>
      <c r="J6" s="40" t="s">
        <v>214</v>
      </c>
      <c r="K6" s="40">
        <v>2827.43</v>
      </c>
      <c r="L6" s="40">
        <f>240+180+180</f>
        <v>600</v>
      </c>
      <c r="M6" s="40">
        <f>(K6*L6)/10000</f>
        <v>169.64580000000001</v>
      </c>
      <c r="N6" s="40"/>
      <c r="O6" s="16">
        <f>((3000/60)/24)/(240+180+180)</f>
        <v>3.4722222222222225E-3</v>
      </c>
      <c r="P6" s="40">
        <f>(30*4)/3</f>
        <v>40</v>
      </c>
      <c r="Q6" s="40">
        <f>(3000/60)/24</f>
        <v>2.0833333333333335</v>
      </c>
      <c r="R6" s="40">
        <v>120</v>
      </c>
      <c r="S6" s="40"/>
      <c r="T6" s="40"/>
      <c r="U6" s="40">
        <v>1</v>
      </c>
      <c r="V6" s="40"/>
      <c r="W6" s="40"/>
      <c r="X6" s="40"/>
      <c r="Y6" s="40">
        <v>1</v>
      </c>
      <c r="Z6" s="40"/>
      <c r="AA6" s="40"/>
      <c r="AB6" s="40">
        <v>3</v>
      </c>
      <c r="AC6" s="40"/>
      <c r="AD6" s="14"/>
    </row>
    <row r="7" spans="1:30" x14ac:dyDescent="0.2">
      <c r="A7">
        <v>137</v>
      </c>
      <c r="B7" t="s">
        <v>156</v>
      </c>
      <c r="C7" s="2" t="s">
        <v>68</v>
      </c>
      <c r="D7">
        <v>1</v>
      </c>
      <c r="E7" s="12">
        <v>1</v>
      </c>
      <c r="F7">
        <v>2006</v>
      </c>
      <c r="G7">
        <v>1</v>
      </c>
      <c r="H7" t="s">
        <v>161</v>
      </c>
      <c r="I7" t="s">
        <v>69</v>
      </c>
      <c r="J7" t="s">
        <v>167</v>
      </c>
      <c r="K7">
        <v>7853.9816339744802</v>
      </c>
      <c r="L7">
        <v>50</v>
      </c>
      <c r="M7">
        <v>39.269908169872402</v>
      </c>
      <c r="O7" t="s">
        <v>24</v>
      </c>
      <c r="P7">
        <v>30</v>
      </c>
      <c r="Q7">
        <v>6.25E-2</v>
      </c>
      <c r="R7" t="s">
        <v>24</v>
      </c>
      <c r="S7" t="s">
        <v>24</v>
      </c>
      <c r="T7" t="s">
        <v>24</v>
      </c>
      <c r="U7" t="s">
        <v>24</v>
      </c>
      <c r="V7" t="s">
        <v>24</v>
      </c>
      <c r="W7" t="s">
        <v>24</v>
      </c>
      <c r="X7" t="s">
        <v>24</v>
      </c>
      <c r="Y7" t="s">
        <v>24</v>
      </c>
      <c r="Z7" t="s">
        <v>24</v>
      </c>
      <c r="AA7" t="s">
        <v>24</v>
      </c>
      <c r="AB7">
        <v>2</v>
      </c>
      <c r="AC7" t="s">
        <v>24</v>
      </c>
      <c r="AD7" s="30" t="s">
        <v>190</v>
      </c>
    </row>
    <row r="8" spans="1:30" ht="17" thickBot="1" x14ac:dyDescent="0.25">
      <c r="A8">
        <v>138</v>
      </c>
      <c r="B8" t="s">
        <v>156</v>
      </c>
      <c r="C8" s="2" t="s">
        <v>68</v>
      </c>
      <c r="D8">
        <v>1</v>
      </c>
      <c r="E8" s="12">
        <v>2</v>
      </c>
      <c r="F8">
        <v>2006</v>
      </c>
      <c r="G8">
        <v>1</v>
      </c>
      <c r="H8" t="s">
        <v>161</v>
      </c>
      <c r="I8" t="s">
        <v>69</v>
      </c>
      <c r="J8" t="s">
        <v>167</v>
      </c>
      <c r="K8">
        <v>2827.4333882308101</v>
      </c>
      <c r="L8">
        <v>600</v>
      </c>
      <c r="M8">
        <v>169.64600329384899</v>
      </c>
      <c r="O8" t="s">
        <v>24</v>
      </c>
      <c r="P8">
        <v>1</v>
      </c>
      <c r="Q8">
        <v>3.125E-2</v>
      </c>
      <c r="R8" t="s">
        <v>24</v>
      </c>
      <c r="S8" t="s">
        <v>24</v>
      </c>
      <c r="T8" t="s">
        <v>24</v>
      </c>
      <c r="U8" t="s">
        <v>24</v>
      </c>
      <c r="V8" t="s">
        <v>24</v>
      </c>
      <c r="W8" t="s">
        <v>24</v>
      </c>
      <c r="X8" t="s">
        <v>24</v>
      </c>
      <c r="Y8" t="s">
        <v>24</v>
      </c>
      <c r="Z8" t="s">
        <v>24</v>
      </c>
      <c r="AA8" t="s">
        <v>24</v>
      </c>
      <c r="AB8">
        <v>1</v>
      </c>
      <c r="AC8" t="s">
        <v>24</v>
      </c>
      <c r="AD8" s="30" t="s">
        <v>191</v>
      </c>
    </row>
    <row r="9" spans="1:30" x14ac:dyDescent="0.2">
      <c r="A9">
        <v>26</v>
      </c>
      <c r="B9" t="s">
        <v>22</v>
      </c>
      <c r="C9" s="2" t="s">
        <v>68</v>
      </c>
      <c r="D9">
        <v>1</v>
      </c>
      <c r="E9" s="12">
        <v>1</v>
      </c>
      <c r="F9">
        <v>2006</v>
      </c>
      <c r="G9">
        <v>1</v>
      </c>
      <c r="H9" t="s">
        <v>27</v>
      </c>
      <c r="I9" t="s">
        <v>69</v>
      </c>
      <c r="J9" t="s">
        <v>70</v>
      </c>
      <c r="K9" s="39">
        <v>7853.9816339744802</v>
      </c>
      <c r="L9" s="39">
        <v>50</v>
      </c>
      <c r="M9" s="39">
        <v>39.269908169872402</v>
      </c>
      <c r="N9" s="54">
        <v>600</v>
      </c>
      <c r="O9">
        <v>3.4722222222222199E-3</v>
      </c>
      <c r="P9">
        <v>1.52</v>
      </c>
      <c r="Q9">
        <v>2.0833333333333301E-2</v>
      </c>
      <c r="R9" s="39">
        <v>76</v>
      </c>
      <c r="S9" s="39" t="s">
        <v>24</v>
      </c>
      <c r="T9" s="39" t="s">
        <v>24</v>
      </c>
      <c r="U9" s="39">
        <v>1</v>
      </c>
      <c r="V9" s="39">
        <v>1</v>
      </c>
      <c r="W9" s="39" t="s">
        <v>24</v>
      </c>
      <c r="X9" s="39" t="s">
        <v>24</v>
      </c>
      <c r="Y9" s="39" t="s">
        <v>24</v>
      </c>
      <c r="Z9" s="39" t="s">
        <v>24</v>
      </c>
      <c r="AA9" s="39" t="s">
        <v>24</v>
      </c>
      <c r="AB9">
        <v>1</v>
      </c>
      <c r="AC9" t="s">
        <v>24</v>
      </c>
      <c r="AD9" t="s">
        <v>66</v>
      </c>
    </row>
    <row r="10" spans="1:30" x14ac:dyDescent="0.2">
      <c r="A10">
        <v>27</v>
      </c>
      <c r="B10" t="s">
        <v>22</v>
      </c>
      <c r="C10" s="2" t="s">
        <v>68</v>
      </c>
      <c r="D10">
        <v>1</v>
      </c>
      <c r="E10" s="12">
        <v>2</v>
      </c>
      <c r="F10">
        <v>2006</v>
      </c>
      <c r="G10">
        <v>1</v>
      </c>
      <c r="H10" t="s">
        <v>27</v>
      </c>
      <c r="I10" t="s">
        <v>69</v>
      </c>
      <c r="J10" t="s">
        <v>70</v>
      </c>
      <c r="K10">
        <v>2827.4333882308101</v>
      </c>
      <c r="L10">
        <v>600</v>
      </c>
      <c r="M10">
        <v>169.64600329384899</v>
      </c>
      <c r="N10" s="54">
        <v>600</v>
      </c>
      <c r="O10">
        <v>3.4722222222222203E-2</v>
      </c>
      <c r="P10">
        <v>0.12666666666666701</v>
      </c>
      <c r="Q10">
        <v>0.3125</v>
      </c>
      <c r="R10">
        <v>76</v>
      </c>
      <c r="S10" t="s">
        <v>24</v>
      </c>
      <c r="T10" t="s">
        <v>24</v>
      </c>
      <c r="U10" t="s">
        <v>24</v>
      </c>
      <c r="V10" t="s">
        <v>24</v>
      </c>
      <c r="W10" t="s">
        <v>24</v>
      </c>
      <c r="X10" t="s">
        <v>24</v>
      </c>
      <c r="Y10">
        <v>1</v>
      </c>
      <c r="Z10" t="s">
        <v>24</v>
      </c>
      <c r="AA10" t="s">
        <v>24</v>
      </c>
      <c r="AB10">
        <v>1</v>
      </c>
      <c r="AC10" t="s">
        <v>24</v>
      </c>
      <c r="AD10" t="s">
        <v>71</v>
      </c>
    </row>
    <row r="11" spans="1:30" x14ac:dyDescent="0.2">
      <c r="A11">
        <v>58</v>
      </c>
      <c r="B11" t="s">
        <v>78</v>
      </c>
      <c r="C11" s="2" t="s">
        <v>68</v>
      </c>
      <c r="D11">
        <v>1</v>
      </c>
      <c r="E11" s="12">
        <v>1</v>
      </c>
      <c r="F11">
        <v>2006</v>
      </c>
      <c r="G11">
        <v>1</v>
      </c>
      <c r="H11" t="s">
        <v>27</v>
      </c>
      <c r="I11" t="s">
        <v>69</v>
      </c>
      <c r="J11" t="s">
        <v>106</v>
      </c>
      <c r="K11">
        <v>7853.9816339744802</v>
      </c>
      <c r="L11">
        <v>50</v>
      </c>
      <c r="M11">
        <v>39.269908169872402</v>
      </c>
      <c r="N11" s="50">
        <v>600</v>
      </c>
      <c r="O11" t="s">
        <v>24</v>
      </c>
      <c r="P11">
        <v>25.6666666666667</v>
      </c>
      <c r="Q11">
        <v>2.0833333333333301E-2</v>
      </c>
      <c r="R11" s="30">
        <f>15+31+30+31</f>
        <v>107</v>
      </c>
      <c r="S11" t="s">
        <v>24</v>
      </c>
      <c r="T11" t="s">
        <v>24</v>
      </c>
      <c r="U11" t="s">
        <v>24</v>
      </c>
      <c r="V11" t="s">
        <v>24</v>
      </c>
      <c r="W11" t="s">
        <v>24</v>
      </c>
      <c r="X11" t="s">
        <v>24</v>
      </c>
      <c r="Y11" t="s">
        <v>24</v>
      </c>
      <c r="Z11" t="s">
        <v>24</v>
      </c>
      <c r="AA11" t="s">
        <v>24</v>
      </c>
      <c r="AB11">
        <v>2</v>
      </c>
      <c r="AC11" t="s">
        <v>24</v>
      </c>
      <c r="AD11" t="s">
        <v>107</v>
      </c>
    </row>
    <row r="12" spans="1:30" x14ac:dyDescent="0.2">
      <c r="A12">
        <v>59</v>
      </c>
      <c r="B12" t="s">
        <v>78</v>
      </c>
      <c r="C12" s="2" t="s">
        <v>68</v>
      </c>
      <c r="D12">
        <v>1</v>
      </c>
      <c r="E12" s="12">
        <v>2</v>
      </c>
      <c r="F12">
        <v>2006</v>
      </c>
      <c r="G12">
        <v>1</v>
      </c>
      <c r="H12" t="s">
        <v>27</v>
      </c>
      <c r="I12" t="s">
        <v>69</v>
      </c>
      <c r="J12" t="s">
        <v>106</v>
      </c>
      <c r="K12">
        <v>2827.4333882308101</v>
      </c>
      <c r="L12">
        <v>600</v>
      </c>
      <c r="M12">
        <v>169.64600329384899</v>
      </c>
      <c r="N12" s="50">
        <v>600</v>
      </c>
      <c r="O12" t="s">
        <v>24</v>
      </c>
      <c r="P12">
        <v>4.1666666666666699E-2</v>
      </c>
      <c r="Q12">
        <v>3.125E-2</v>
      </c>
      <c r="R12" s="30">
        <v>0.5</v>
      </c>
      <c r="S12" t="s">
        <v>24</v>
      </c>
      <c r="T12" t="s">
        <v>24</v>
      </c>
      <c r="U12" t="s">
        <v>24</v>
      </c>
      <c r="V12" t="s">
        <v>24</v>
      </c>
      <c r="W12" t="s">
        <v>24</v>
      </c>
      <c r="X12" t="s">
        <v>24</v>
      </c>
      <c r="Y12" t="s">
        <v>24</v>
      </c>
      <c r="Z12" t="s">
        <v>24</v>
      </c>
      <c r="AA12" t="s">
        <v>24</v>
      </c>
      <c r="AB12">
        <v>1</v>
      </c>
      <c r="AC12" t="s">
        <v>24</v>
      </c>
      <c r="AD12" t="s">
        <v>108</v>
      </c>
    </row>
    <row r="13" spans="1:30" x14ac:dyDescent="0.2">
      <c r="A13">
        <v>178</v>
      </c>
      <c r="B13" t="s">
        <v>172</v>
      </c>
      <c r="C13" s="2" t="s">
        <v>68</v>
      </c>
      <c r="D13">
        <v>1</v>
      </c>
      <c r="E13" s="12">
        <v>1</v>
      </c>
      <c r="F13">
        <v>2006</v>
      </c>
      <c r="G13">
        <v>1</v>
      </c>
      <c r="H13" s="58" t="s">
        <v>27</v>
      </c>
      <c r="I13" s="58" t="s">
        <v>69</v>
      </c>
      <c r="J13" s="58" t="s">
        <v>187</v>
      </c>
      <c r="K13" s="58">
        <f>3.14159*50*50</f>
        <v>7853.9749999999995</v>
      </c>
      <c r="L13" s="58">
        <v>50</v>
      </c>
      <c r="M13" s="58">
        <f>L13*K13/10000</f>
        <v>39.269874999999999</v>
      </c>
      <c r="N13" s="58">
        <f>145*35/20+10*2.75</f>
        <v>281.25</v>
      </c>
      <c r="O13" s="58"/>
      <c r="P13" s="58">
        <f>90/6</f>
        <v>15</v>
      </c>
      <c r="Q13" s="58">
        <f>6*5/24/60</f>
        <v>2.0833333333333332E-2</v>
      </c>
      <c r="R13" s="66">
        <f>15+31+30+31</f>
        <v>107</v>
      </c>
      <c r="S13" s="58">
        <v>1</v>
      </c>
      <c r="T13" s="58">
        <v>1</v>
      </c>
      <c r="U13" s="58">
        <v>1</v>
      </c>
      <c r="V13" s="58">
        <v>1</v>
      </c>
      <c r="W13" s="58">
        <v>0</v>
      </c>
      <c r="X13" s="58">
        <v>0</v>
      </c>
      <c r="Y13" s="58">
        <v>0</v>
      </c>
      <c r="Z13" s="58">
        <v>0</v>
      </c>
      <c r="AA13" s="58">
        <v>0</v>
      </c>
      <c r="AB13" s="58">
        <v>1</v>
      </c>
      <c r="AC13" t="s">
        <v>24</v>
      </c>
      <c r="AD13" s="64" t="s">
        <v>223</v>
      </c>
    </row>
    <row r="14" spans="1:30" x14ac:dyDescent="0.2">
      <c r="A14">
        <v>179</v>
      </c>
      <c r="B14" t="s">
        <v>172</v>
      </c>
      <c r="C14" s="2" t="s">
        <v>68</v>
      </c>
      <c r="D14">
        <v>1</v>
      </c>
      <c r="E14" s="12">
        <v>2</v>
      </c>
      <c r="F14">
        <v>2006</v>
      </c>
      <c r="G14">
        <v>1</v>
      </c>
      <c r="H14" s="58" t="s">
        <v>27</v>
      </c>
      <c r="I14" s="58" t="s">
        <v>69</v>
      </c>
      <c r="J14" s="58" t="s">
        <v>187</v>
      </c>
      <c r="K14" s="58">
        <f>3.14159*30*30</f>
        <v>2827.431</v>
      </c>
      <c r="L14" s="58">
        <v>67</v>
      </c>
      <c r="M14" s="58">
        <f>L14*K14/10000</f>
        <v>18.943787700000001</v>
      </c>
      <c r="N14" s="58">
        <f>145*35/20+10*2.75</f>
        <v>281.25</v>
      </c>
      <c r="O14" s="58"/>
      <c r="P14" s="58">
        <f>1/6</f>
        <v>0.16666666666666666</v>
      </c>
      <c r="Q14" s="58">
        <f>3000/24/60/67</f>
        <v>3.109452736318408E-2</v>
      </c>
      <c r="R14" s="66">
        <f>15+31+30+31</f>
        <v>107</v>
      </c>
      <c r="S14" s="58">
        <v>1</v>
      </c>
      <c r="T14" s="58">
        <v>1</v>
      </c>
      <c r="U14" s="58">
        <v>1</v>
      </c>
      <c r="V14" s="58">
        <v>1</v>
      </c>
      <c r="W14" s="58">
        <v>0</v>
      </c>
      <c r="X14" s="58">
        <v>0</v>
      </c>
      <c r="Y14" s="58">
        <v>1</v>
      </c>
      <c r="Z14" s="58">
        <v>0</v>
      </c>
      <c r="AA14" s="58">
        <v>0</v>
      </c>
      <c r="AB14" s="58">
        <v>1</v>
      </c>
      <c r="AC14" t="s">
        <v>24</v>
      </c>
      <c r="AD14" s="64" t="s">
        <v>188</v>
      </c>
    </row>
    <row r="15" spans="1:30" x14ac:dyDescent="0.2">
      <c r="A15">
        <v>84</v>
      </c>
      <c r="B15" t="s">
        <v>111</v>
      </c>
      <c r="C15" s="3" t="s">
        <v>73</v>
      </c>
      <c r="D15">
        <v>0</v>
      </c>
      <c r="E15" s="12">
        <v>99</v>
      </c>
      <c r="F15" s="90">
        <v>2010</v>
      </c>
      <c r="H15" t="s">
        <v>24</v>
      </c>
      <c r="I15" t="s">
        <v>24</v>
      </c>
      <c r="J15" t="s">
        <v>24</v>
      </c>
      <c r="K15" s="38"/>
      <c r="L15" s="38"/>
      <c r="M15" s="38"/>
      <c r="N15" s="38"/>
      <c r="O15" s="38"/>
      <c r="P15" s="38"/>
      <c r="Q15" s="38"/>
      <c r="R15" s="38"/>
      <c r="S15" s="38"/>
      <c r="T15" s="38"/>
      <c r="U15" s="38"/>
      <c r="V15" s="38"/>
      <c r="W15" s="38"/>
      <c r="X15" s="38"/>
      <c r="Y15" s="38"/>
      <c r="Z15" s="38"/>
      <c r="AA15" s="38"/>
      <c r="AB15" t="s">
        <v>24</v>
      </c>
      <c r="AC15" t="s">
        <v>24</v>
      </c>
      <c r="AD15" t="s">
        <v>135</v>
      </c>
    </row>
    <row r="16" spans="1:30" x14ac:dyDescent="0.2">
      <c r="A16">
        <v>119</v>
      </c>
      <c r="B16" t="s">
        <v>140</v>
      </c>
      <c r="C16" s="3" t="s">
        <v>73</v>
      </c>
      <c r="D16">
        <v>0</v>
      </c>
      <c r="E16" s="12">
        <v>99</v>
      </c>
      <c r="F16" s="90">
        <v>2010</v>
      </c>
      <c r="G16" s="17"/>
      <c r="H16" s="17"/>
      <c r="I16" s="17"/>
      <c r="J16" s="17"/>
      <c r="K16" s="20"/>
      <c r="L16" s="20"/>
      <c r="M16" s="20"/>
      <c r="N16" s="20"/>
      <c r="O16" s="20"/>
      <c r="P16" s="20"/>
      <c r="Q16" s="20"/>
      <c r="R16" s="20"/>
      <c r="S16" s="20"/>
      <c r="T16" s="20"/>
      <c r="U16" s="20"/>
      <c r="V16" s="20"/>
      <c r="W16" s="20"/>
      <c r="X16" s="20"/>
      <c r="Y16" s="20"/>
      <c r="Z16" s="20"/>
      <c r="AA16" s="20"/>
      <c r="AB16" s="20"/>
      <c r="AC16" s="17"/>
      <c r="AD16" s="17"/>
    </row>
    <row r="17" spans="1:30" x14ac:dyDescent="0.2">
      <c r="A17">
        <v>139</v>
      </c>
      <c r="B17" t="s">
        <v>156</v>
      </c>
      <c r="C17" s="3" t="s">
        <v>73</v>
      </c>
      <c r="D17">
        <v>1</v>
      </c>
      <c r="E17" s="12">
        <v>1</v>
      </c>
      <c r="F17">
        <v>2010</v>
      </c>
      <c r="G17">
        <v>1</v>
      </c>
      <c r="H17" t="s">
        <v>168</v>
      </c>
      <c r="I17" t="s">
        <v>74</v>
      </c>
      <c r="J17" t="s">
        <v>169</v>
      </c>
      <c r="K17">
        <v>1</v>
      </c>
      <c r="L17">
        <v>276</v>
      </c>
      <c r="M17">
        <v>2.76E-2</v>
      </c>
      <c r="O17" t="s">
        <v>24</v>
      </c>
      <c r="P17">
        <v>0</v>
      </c>
      <c r="Q17">
        <v>138</v>
      </c>
      <c r="R17" t="s">
        <v>24</v>
      </c>
      <c r="S17" t="s">
        <v>24</v>
      </c>
      <c r="T17" t="s">
        <v>24</v>
      </c>
      <c r="U17" t="s">
        <v>24</v>
      </c>
      <c r="V17" t="s">
        <v>24</v>
      </c>
      <c r="W17" t="s">
        <v>24</v>
      </c>
      <c r="X17" t="s">
        <v>24</v>
      </c>
      <c r="Y17" t="s">
        <v>24</v>
      </c>
      <c r="Z17" t="s">
        <v>24</v>
      </c>
      <c r="AA17" t="s">
        <v>24</v>
      </c>
      <c r="AB17">
        <v>0</v>
      </c>
      <c r="AC17" t="s">
        <v>24</v>
      </c>
      <c r="AD17" s="30" t="s">
        <v>192</v>
      </c>
    </row>
    <row r="18" spans="1:30" x14ac:dyDescent="0.2">
      <c r="A18">
        <v>29</v>
      </c>
      <c r="B18" t="s">
        <v>22</v>
      </c>
      <c r="C18" s="3" t="s">
        <v>73</v>
      </c>
      <c r="D18">
        <v>1</v>
      </c>
      <c r="E18" s="12">
        <v>1</v>
      </c>
      <c r="F18">
        <v>2010</v>
      </c>
      <c r="G18" s="40">
        <v>1</v>
      </c>
      <c r="H18" s="40" t="s">
        <v>27</v>
      </c>
      <c r="I18" s="40" t="s">
        <v>74</v>
      </c>
      <c r="J18" s="40" t="s">
        <v>75</v>
      </c>
      <c r="K18" s="40">
        <v>0.25</v>
      </c>
      <c r="L18" s="40">
        <v>276</v>
      </c>
      <c r="M18" s="40">
        <v>6.8999999999999999E-3</v>
      </c>
      <c r="N18" s="53">
        <v>19144020.300000001</v>
      </c>
      <c r="O18" s="40">
        <v>1</v>
      </c>
      <c r="P18" s="40">
        <v>0</v>
      </c>
      <c r="Q18" s="42">
        <v>1</v>
      </c>
      <c r="R18" s="69">
        <f>Q18</f>
        <v>1</v>
      </c>
      <c r="S18" s="40" t="s">
        <v>24</v>
      </c>
      <c r="T18" s="40" t="s">
        <v>24</v>
      </c>
      <c r="U18" s="40" t="s">
        <v>24</v>
      </c>
      <c r="V18" s="40" t="s">
        <v>24</v>
      </c>
      <c r="W18" s="40" t="s">
        <v>24</v>
      </c>
      <c r="X18" s="40" t="s">
        <v>24</v>
      </c>
      <c r="Y18" s="40">
        <v>1</v>
      </c>
      <c r="Z18" s="40" t="s">
        <v>24</v>
      </c>
      <c r="AA18" s="40" t="s">
        <v>24</v>
      </c>
      <c r="AB18" s="40">
        <v>0</v>
      </c>
      <c r="AC18" s="40" t="s">
        <v>24</v>
      </c>
      <c r="AD18" s="40" t="s">
        <v>76</v>
      </c>
    </row>
    <row r="19" spans="1:30" x14ac:dyDescent="0.2">
      <c r="A19">
        <v>61</v>
      </c>
      <c r="B19" t="s">
        <v>78</v>
      </c>
      <c r="C19" s="3" t="s">
        <v>73</v>
      </c>
      <c r="D19">
        <v>1</v>
      </c>
      <c r="E19" s="12">
        <v>1</v>
      </c>
      <c r="F19">
        <v>2010</v>
      </c>
      <c r="G19">
        <v>1</v>
      </c>
      <c r="H19" t="s">
        <v>27</v>
      </c>
      <c r="I19" t="s">
        <v>74</v>
      </c>
      <c r="J19" t="s">
        <v>109</v>
      </c>
      <c r="K19">
        <v>0.1</v>
      </c>
      <c r="L19">
        <v>276</v>
      </c>
      <c r="M19">
        <v>2.7599999999999999E-3</v>
      </c>
      <c r="N19" s="51">
        <v>38517800</v>
      </c>
      <c r="O19" t="s">
        <v>24</v>
      </c>
      <c r="P19">
        <v>0</v>
      </c>
      <c r="Q19" s="45">
        <v>1</v>
      </c>
      <c r="R19" s="68">
        <v>1</v>
      </c>
      <c r="S19" t="s">
        <v>24</v>
      </c>
      <c r="T19" t="s">
        <v>24</v>
      </c>
      <c r="U19" t="s">
        <v>24</v>
      </c>
      <c r="V19" t="s">
        <v>24</v>
      </c>
      <c r="W19" t="s">
        <v>24</v>
      </c>
      <c r="X19" t="s">
        <v>24</v>
      </c>
      <c r="Y19" t="s">
        <v>24</v>
      </c>
      <c r="Z19" t="s">
        <v>24</v>
      </c>
      <c r="AA19" t="s">
        <v>24</v>
      </c>
      <c r="AB19">
        <v>0</v>
      </c>
      <c r="AC19" t="s">
        <v>24</v>
      </c>
      <c r="AD19" t="s">
        <v>110</v>
      </c>
    </row>
    <row r="20" spans="1:30" x14ac:dyDescent="0.2">
      <c r="A20">
        <v>181</v>
      </c>
      <c r="B20" t="s">
        <v>172</v>
      </c>
      <c r="C20" s="3" t="s">
        <v>73</v>
      </c>
      <c r="D20">
        <v>0</v>
      </c>
      <c r="E20" s="12">
        <v>99</v>
      </c>
      <c r="F20">
        <v>2010</v>
      </c>
      <c r="H20" s="58"/>
      <c r="I20" s="58"/>
      <c r="J20" s="58"/>
      <c r="K20" s="58"/>
      <c r="L20" s="58"/>
      <c r="M20" s="58"/>
      <c r="N20" s="58"/>
      <c r="O20" s="58"/>
      <c r="P20" s="58"/>
      <c r="Q20" s="58"/>
      <c r="R20" s="67"/>
      <c r="S20" s="58"/>
      <c r="T20" s="58"/>
      <c r="U20" s="58"/>
      <c r="V20" s="58"/>
      <c r="W20" s="58"/>
      <c r="X20" s="58"/>
      <c r="Y20" s="58"/>
      <c r="Z20" s="58"/>
      <c r="AA20" s="58"/>
      <c r="AB20" s="58"/>
      <c r="AC20" t="s">
        <v>24</v>
      </c>
      <c r="AD20" s="64"/>
    </row>
    <row r="21" spans="1:30" x14ac:dyDescent="0.2">
      <c r="A21">
        <v>74</v>
      </c>
      <c r="B21" t="s">
        <v>111</v>
      </c>
      <c r="C21" s="4" t="s">
        <v>36</v>
      </c>
      <c r="D21">
        <v>1</v>
      </c>
      <c r="E21" s="12">
        <v>1</v>
      </c>
      <c r="F21" s="72">
        <v>2012</v>
      </c>
      <c r="G21">
        <v>1</v>
      </c>
      <c r="H21" t="s">
        <v>27</v>
      </c>
      <c r="I21" t="s">
        <v>123</v>
      </c>
      <c r="J21" t="s">
        <v>124</v>
      </c>
      <c r="K21" s="36">
        <f>(0.782*0.0254)</f>
        <v>1.98628E-2</v>
      </c>
      <c r="L21" s="36">
        <f>4*(100)</f>
        <v>400</v>
      </c>
      <c r="M21" s="36">
        <f>(K21*L21)/10000</f>
        <v>7.9451200000000004E-4</v>
      </c>
      <c r="N21" s="36"/>
      <c r="O21" s="36">
        <f>10/(60*24)</f>
        <v>6.9444444444444441E-3</v>
      </c>
      <c r="P21">
        <v>7</v>
      </c>
      <c r="Q21" s="36">
        <f>O21*((30+31)/7)</f>
        <v>6.0515873015873009E-2</v>
      </c>
      <c r="R21" s="36">
        <f>30+31</f>
        <v>61</v>
      </c>
      <c r="T21">
        <v>1</v>
      </c>
      <c r="V21">
        <v>1</v>
      </c>
      <c r="Z21">
        <v>1</v>
      </c>
      <c r="AB21">
        <v>2</v>
      </c>
      <c r="AC21" t="s">
        <v>24</v>
      </c>
      <c r="AD21" t="s">
        <v>24</v>
      </c>
    </row>
    <row r="22" spans="1:30" x14ac:dyDescent="0.2">
      <c r="A22">
        <v>74</v>
      </c>
      <c r="B22" t="s">
        <v>111</v>
      </c>
      <c r="C22" s="4" t="s">
        <v>36</v>
      </c>
      <c r="D22">
        <v>1</v>
      </c>
      <c r="E22" s="12">
        <v>2</v>
      </c>
      <c r="F22" s="72">
        <v>2012</v>
      </c>
      <c r="G22">
        <v>1</v>
      </c>
      <c r="H22" t="s">
        <v>27</v>
      </c>
      <c r="I22" t="s">
        <v>123</v>
      </c>
      <c r="J22" t="s">
        <v>124</v>
      </c>
      <c r="K22" s="36">
        <f>0.0004*0.00015</f>
        <v>5.9999999999999995E-8</v>
      </c>
      <c r="L22" s="36">
        <f>4*(100)</f>
        <v>400</v>
      </c>
      <c r="M22" s="36">
        <f>(K22*L22)/10000</f>
        <v>2.3999999999999996E-9</v>
      </c>
      <c r="N22" s="36"/>
      <c r="O22" s="36">
        <f>20/(60*24)</f>
        <v>1.3888888888888888E-2</v>
      </c>
      <c r="P22">
        <v>7</v>
      </c>
      <c r="Q22" s="36">
        <f>O22*((30+31)/7)</f>
        <v>0.12103174603174602</v>
      </c>
      <c r="R22" s="36">
        <f>30+31</f>
        <v>61</v>
      </c>
      <c r="T22">
        <v>1</v>
      </c>
      <c r="V22">
        <v>1</v>
      </c>
      <c r="Z22">
        <v>1</v>
      </c>
    </row>
    <row r="23" spans="1:30" x14ac:dyDescent="0.2">
      <c r="A23">
        <v>96</v>
      </c>
      <c r="B23" t="s">
        <v>140</v>
      </c>
      <c r="C23" s="4" t="s">
        <v>36</v>
      </c>
      <c r="D23">
        <v>1</v>
      </c>
      <c r="E23" s="12">
        <v>1</v>
      </c>
      <c r="F23" s="16">
        <v>2012</v>
      </c>
      <c r="G23" s="16">
        <v>1</v>
      </c>
      <c r="H23" s="16" t="s">
        <v>141</v>
      </c>
      <c r="I23" s="16" t="s">
        <v>28</v>
      </c>
      <c r="J23" s="16" t="s">
        <v>144</v>
      </c>
      <c r="K23" s="75">
        <v>5.7988225000000001E-3</v>
      </c>
      <c r="L23" s="76">
        <v>800</v>
      </c>
      <c r="M23" s="77">
        <f>K23*800/10000</f>
        <v>4.6390580000000003E-4</v>
      </c>
      <c r="N23" s="77"/>
      <c r="O23" s="16">
        <v>0.5</v>
      </c>
      <c r="P23" s="16">
        <v>7</v>
      </c>
      <c r="Q23" s="16">
        <v>400</v>
      </c>
      <c r="R23" s="16">
        <v>30</v>
      </c>
      <c r="S23" s="16"/>
      <c r="T23" s="16"/>
      <c r="U23" s="16">
        <v>1</v>
      </c>
      <c r="V23" s="16">
        <v>1</v>
      </c>
      <c r="W23" s="16"/>
      <c r="X23" s="16"/>
      <c r="Y23" s="16"/>
      <c r="Z23" s="16"/>
      <c r="AA23" s="16"/>
      <c r="AB23" s="16">
        <v>3</v>
      </c>
      <c r="AC23" s="17"/>
      <c r="AD23" s="17"/>
    </row>
    <row r="24" spans="1:30" x14ac:dyDescent="0.2">
      <c r="A24">
        <v>126</v>
      </c>
      <c r="B24" t="s">
        <v>156</v>
      </c>
      <c r="C24" s="4" t="s">
        <v>36</v>
      </c>
      <c r="D24">
        <v>1</v>
      </c>
      <c r="E24" s="12">
        <v>1</v>
      </c>
      <c r="F24">
        <v>2012</v>
      </c>
      <c r="G24">
        <v>1</v>
      </c>
      <c r="H24" t="s">
        <v>161</v>
      </c>
      <c r="I24" t="s">
        <v>28</v>
      </c>
      <c r="J24" t="s">
        <v>162</v>
      </c>
      <c r="K24">
        <v>0.01</v>
      </c>
      <c r="L24">
        <v>100</v>
      </c>
      <c r="M24" s="1">
        <v>1E-4</v>
      </c>
      <c r="N24" s="1"/>
      <c r="O24" t="s">
        <v>24</v>
      </c>
      <c r="P24">
        <v>7</v>
      </c>
      <c r="Q24">
        <v>28</v>
      </c>
      <c r="R24" t="s">
        <v>24</v>
      </c>
      <c r="S24" t="s">
        <v>24</v>
      </c>
      <c r="T24" t="s">
        <v>24</v>
      </c>
      <c r="U24" t="s">
        <v>24</v>
      </c>
      <c r="V24" t="s">
        <v>24</v>
      </c>
      <c r="W24" t="s">
        <v>24</v>
      </c>
      <c r="X24" t="s">
        <v>24</v>
      </c>
      <c r="Y24" t="s">
        <v>24</v>
      </c>
      <c r="Z24" t="s">
        <v>24</v>
      </c>
      <c r="AA24" t="s">
        <v>24</v>
      </c>
      <c r="AB24">
        <v>2</v>
      </c>
      <c r="AC24" t="s">
        <v>24</v>
      </c>
      <c r="AD24" s="30" t="s">
        <v>193</v>
      </c>
    </row>
    <row r="25" spans="1:30" x14ac:dyDescent="0.2">
      <c r="A25">
        <v>6</v>
      </c>
      <c r="B25" t="s">
        <v>22</v>
      </c>
      <c r="C25" s="4" t="s">
        <v>36</v>
      </c>
      <c r="D25">
        <v>1</v>
      </c>
      <c r="E25" s="12">
        <v>1</v>
      </c>
      <c r="F25">
        <v>2012</v>
      </c>
      <c r="G25">
        <v>1</v>
      </c>
      <c r="H25" t="s">
        <v>27</v>
      </c>
      <c r="I25" t="s">
        <v>28</v>
      </c>
      <c r="J25" t="s">
        <v>37</v>
      </c>
      <c r="K25">
        <v>1.0134149581950001E-2</v>
      </c>
      <c r="L25">
        <v>40</v>
      </c>
      <c r="M25" s="1">
        <v>4.0536598327799801E-5</v>
      </c>
      <c r="N25" s="54">
        <v>96849.11</v>
      </c>
      <c r="O25">
        <v>0.13888888888888901</v>
      </c>
      <c r="P25">
        <v>7</v>
      </c>
      <c r="Q25">
        <v>5.5555555555555598</v>
      </c>
      <c r="R25">
        <v>28</v>
      </c>
      <c r="S25" t="s">
        <v>24</v>
      </c>
      <c r="T25" t="s">
        <v>24</v>
      </c>
      <c r="U25">
        <v>1</v>
      </c>
      <c r="V25" t="s">
        <v>24</v>
      </c>
      <c r="W25" t="s">
        <v>24</v>
      </c>
      <c r="X25" t="s">
        <v>24</v>
      </c>
      <c r="Y25" t="s">
        <v>24</v>
      </c>
      <c r="Z25" t="s">
        <v>24</v>
      </c>
      <c r="AA25">
        <v>1</v>
      </c>
      <c r="AB25">
        <v>1</v>
      </c>
      <c r="AC25" t="s">
        <v>24</v>
      </c>
      <c r="AD25" t="s">
        <v>24</v>
      </c>
    </row>
    <row r="26" spans="1:30" x14ac:dyDescent="0.2">
      <c r="A26">
        <v>36</v>
      </c>
      <c r="B26" t="s">
        <v>78</v>
      </c>
      <c r="C26" s="4" t="s">
        <v>36</v>
      </c>
      <c r="D26">
        <v>1</v>
      </c>
      <c r="E26" s="12">
        <v>1</v>
      </c>
      <c r="F26">
        <v>2012</v>
      </c>
      <c r="G26">
        <v>1</v>
      </c>
      <c r="H26" t="s">
        <v>27</v>
      </c>
      <c r="I26" t="s">
        <v>28</v>
      </c>
      <c r="J26" t="s">
        <v>84</v>
      </c>
      <c r="K26" s="40">
        <v>3.92699081698724E-2</v>
      </c>
      <c r="L26" s="40">
        <v>40</v>
      </c>
      <c r="M26" s="40">
        <v>1.5707963267949001E-4</v>
      </c>
      <c r="N26" s="50">
        <v>25650</v>
      </c>
      <c r="O26" s="40" t="s">
        <v>24</v>
      </c>
      <c r="P26" s="40">
        <v>7</v>
      </c>
      <c r="Q26" s="40">
        <v>4</v>
      </c>
      <c r="R26" s="30">
        <f>7*4</f>
        <v>28</v>
      </c>
      <c r="S26" s="40" t="s">
        <v>24</v>
      </c>
      <c r="T26" s="40" t="s">
        <v>24</v>
      </c>
      <c r="U26" s="40" t="s">
        <v>24</v>
      </c>
      <c r="V26" s="40" t="s">
        <v>24</v>
      </c>
      <c r="W26" s="40" t="s">
        <v>24</v>
      </c>
      <c r="X26" s="40" t="s">
        <v>24</v>
      </c>
      <c r="Y26" s="40" t="s">
        <v>24</v>
      </c>
      <c r="Z26" s="40" t="s">
        <v>24</v>
      </c>
      <c r="AA26" s="40" t="s">
        <v>24</v>
      </c>
      <c r="AB26" s="40">
        <v>2</v>
      </c>
      <c r="AC26" t="s">
        <v>24</v>
      </c>
      <c r="AD26" t="s">
        <v>24</v>
      </c>
    </row>
    <row r="27" spans="1:30" x14ac:dyDescent="0.2">
      <c r="A27">
        <v>161</v>
      </c>
      <c r="B27" t="s">
        <v>172</v>
      </c>
      <c r="C27" s="4" t="s">
        <v>36</v>
      </c>
      <c r="D27">
        <v>1</v>
      </c>
      <c r="E27" s="12">
        <v>1</v>
      </c>
      <c r="F27">
        <v>2012</v>
      </c>
      <c r="G27">
        <v>1</v>
      </c>
      <c r="H27" s="58" t="s">
        <v>27</v>
      </c>
      <c r="I27" s="58" t="s">
        <v>28</v>
      </c>
      <c r="J27" s="58" t="s">
        <v>174</v>
      </c>
      <c r="K27" s="58">
        <f>3.14159*0.0001*100</f>
        <v>3.1415899999999997E-2</v>
      </c>
      <c r="L27" s="58">
        <v>8</v>
      </c>
      <c r="M27" s="58">
        <f>K27*L27</f>
        <v>0.25132719999999997</v>
      </c>
      <c r="N27" s="58">
        <v>20000</v>
      </c>
      <c r="O27" s="70">
        <f>6/24</f>
        <v>0.25</v>
      </c>
      <c r="P27" s="70">
        <v>7</v>
      </c>
      <c r="Q27" s="70">
        <f>O27*4</f>
        <v>1</v>
      </c>
      <c r="R27" s="71">
        <v>61</v>
      </c>
      <c r="S27" s="58">
        <v>1</v>
      </c>
      <c r="T27" s="58">
        <v>1</v>
      </c>
      <c r="U27" s="58">
        <v>1</v>
      </c>
      <c r="V27" s="58">
        <v>1</v>
      </c>
      <c r="W27" s="58">
        <v>0</v>
      </c>
      <c r="X27" s="58">
        <v>0</v>
      </c>
      <c r="Y27" s="58">
        <v>1</v>
      </c>
      <c r="Z27" s="58">
        <v>1</v>
      </c>
      <c r="AA27" s="58">
        <v>1</v>
      </c>
      <c r="AB27" s="58">
        <v>2</v>
      </c>
      <c r="AC27" t="s">
        <v>24</v>
      </c>
      <c r="AD27" s="64" t="s">
        <v>224</v>
      </c>
    </row>
    <row r="28" spans="1:30" x14ac:dyDescent="0.2">
      <c r="A28">
        <v>73</v>
      </c>
      <c r="B28" t="s">
        <v>111</v>
      </c>
      <c r="C28" s="5" t="s">
        <v>26</v>
      </c>
      <c r="D28">
        <v>1</v>
      </c>
      <c r="E28" s="12">
        <v>1</v>
      </c>
      <c r="F28" s="72">
        <v>2011</v>
      </c>
      <c r="G28">
        <v>1</v>
      </c>
      <c r="H28" t="s">
        <v>27</v>
      </c>
      <c r="I28" t="s">
        <v>120</v>
      </c>
      <c r="J28" t="s">
        <v>121</v>
      </c>
      <c r="K28">
        <v>475</v>
      </c>
      <c r="L28">
        <v>34</v>
      </c>
      <c r="M28">
        <f>(K28*L28)/10000</f>
        <v>1.615</v>
      </c>
      <c r="O28" s="36">
        <f>0.5/24</f>
        <v>2.0833333333333332E-2</v>
      </c>
      <c r="P28" s="36">
        <v>31</v>
      </c>
      <c r="Q28" s="36">
        <f>O28*2</f>
        <v>4.1666666666666664E-2</v>
      </c>
      <c r="R28">
        <v>61</v>
      </c>
      <c r="S28">
        <v>1</v>
      </c>
      <c r="AB28">
        <v>2</v>
      </c>
      <c r="AC28" t="s">
        <v>114</v>
      </c>
      <c r="AD28" t="s">
        <v>122</v>
      </c>
    </row>
    <row r="29" spans="1:30" x14ac:dyDescent="0.2">
      <c r="A29">
        <v>90</v>
      </c>
      <c r="B29" t="s">
        <v>140</v>
      </c>
      <c r="C29" s="5" t="s">
        <v>26</v>
      </c>
      <c r="D29">
        <v>1</v>
      </c>
      <c r="E29" s="12">
        <v>1</v>
      </c>
      <c r="F29" s="17">
        <v>2011</v>
      </c>
      <c r="G29" s="17">
        <v>1</v>
      </c>
      <c r="H29" s="17" t="s">
        <v>141</v>
      </c>
      <c r="I29" s="17" t="s">
        <v>28</v>
      </c>
      <c r="J29" s="17" t="s">
        <v>142</v>
      </c>
      <c r="K29" s="17">
        <v>475</v>
      </c>
      <c r="L29" s="17">
        <v>34</v>
      </c>
      <c r="M29" s="16">
        <v>1.1615</v>
      </c>
      <c r="N29" s="16"/>
      <c r="O29" s="16">
        <v>0.5</v>
      </c>
      <c r="P29" s="16">
        <v>15</v>
      </c>
      <c r="Q29" s="16" t="str">
        <f>(O29&amp;L29)</f>
        <v>0.534</v>
      </c>
      <c r="R29" s="16">
        <v>60</v>
      </c>
      <c r="S29" s="16"/>
      <c r="T29" s="16"/>
      <c r="U29" s="16">
        <v>1</v>
      </c>
      <c r="V29" s="16"/>
      <c r="W29" s="16"/>
      <c r="X29" s="16"/>
      <c r="Y29" s="16">
        <v>1</v>
      </c>
      <c r="Z29" s="16"/>
      <c r="AA29" s="16"/>
      <c r="AB29" s="16">
        <v>3</v>
      </c>
      <c r="AC29" s="17"/>
      <c r="AD29" s="17"/>
    </row>
    <row r="30" spans="1:30" x14ac:dyDescent="0.2">
      <c r="A30">
        <v>122</v>
      </c>
      <c r="B30" t="s">
        <v>156</v>
      </c>
      <c r="C30" s="5" t="s">
        <v>26</v>
      </c>
      <c r="D30">
        <v>0</v>
      </c>
      <c r="E30" s="12">
        <v>99</v>
      </c>
      <c r="F30">
        <v>2011</v>
      </c>
      <c r="G30" s="15"/>
      <c r="H30" s="15" t="s">
        <v>157</v>
      </c>
      <c r="I30" s="15" t="s">
        <v>24</v>
      </c>
      <c r="J30" s="15" t="s">
        <v>24</v>
      </c>
      <c r="K30" s="15" t="s">
        <v>24</v>
      </c>
      <c r="L30" s="15" t="s">
        <v>24</v>
      </c>
      <c r="M30" s="15" t="s">
        <v>24</v>
      </c>
      <c r="N30" s="15"/>
      <c r="O30" s="15" t="s">
        <v>24</v>
      </c>
      <c r="P30" s="15" t="s">
        <v>24</v>
      </c>
      <c r="Q30" s="15" t="s">
        <v>24</v>
      </c>
      <c r="R30" s="15" t="s">
        <v>24</v>
      </c>
      <c r="S30" s="15" t="s">
        <v>24</v>
      </c>
      <c r="T30" s="15" t="s">
        <v>24</v>
      </c>
      <c r="U30" s="15" t="s">
        <v>24</v>
      </c>
      <c r="V30" s="15" t="s">
        <v>24</v>
      </c>
      <c r="W30" s="15" t="s">
        <v>24</v>
      </c>
      <c r="X30" s="15" t="s">
        <v>24</v>
      </c>
      <c r="Y30" s="15" t="s">
        <v>24</v>
      </c>
      <c r="Z30" s="15" t="s">
        <v>24</v>
      </c>
      <c r="AA30" s="15" t="s">
        <v>24</v>
      </c>
      <c r="AB30" s="15" t="s">
        <v>24</v>
      </c>
      <c r="AC30" s="15" t="s">
        <v>24</v>
      </c>
      <c r="AD30" s="87"/>
    </row>
    <row r="31" spans="1:30" x14ac:dyDescent="0.2">
      <c r="A31">
        <v>2</v>
      </c>
      <c r="B31" t="s">
        <v>22</v>
      </c>
      <c r="C31" s="5" t="s">
        <v>26</v>
      </c>
      <c r="D31">
        <v>1</v>
      </c>
      <c r="E31" s="12">
        <v>1</v>
      </c>
      <c r="F31" s="73">
        <v>2011</v>
      </c>
      <c r="G31" s="73">
        <v>1</v>
      </c>
      <c r="H31" s="73" t="s">
        <v>27</v>
      </c>
      <c r="I31" s="73" t="s">
        <v>28</v>
      </c>
      <c r="J31" s="73" t="s">
        <v>29</v>
      </c>
      <c r="K31">
        <v>450</v>
      </c>
      <c r="L31">
        <v>34</v>
      </c>
      <c r="M31">
        <v>1.53</v>
      </c>
      <c r="N31" s="54">
        <v>846.9</v>
      </c>
      <c r="O31">
        <v>0.5</v>
      </c>
      <c r="P31">
        <v>30</v>
      </c>
      <c r="Q31">
        <v>1</v>
      </c>
      <c r="R31">
        <v>61</v>
      </c>
      <c r="S31">
        <v>0</v>
      </c>
      <c r="T31">
        <v>0</v>
      </c>
      <c r="U31">
        <v>1</v>
      </c>
      <c r="V31">
        <v>0</v>
      </c>
      <c r="W31">
        <v>1</v>
      </c>
      <c r="X31" t="s">
        <v>24</v>
      </c>
      <c r="Y31" t="s">
        <v>24</v>
      </c>
      <c r="Z31">
        <v>1</v>
      </c>
      <c r="AA31" t="s">
        <v>24</v>
      </c>
      <c r="AB31">
        <v>1</v>
      </c>
      <c r="AC31" s="73" t="s">
        <v>24</v>
      </c>
      <c r="AD31" s="73" t="s">
        <v>24</v>
      </c>
    </row>
    <row r="32" spans="1:30" x14ac:dyDescent="0.2">
      <c r="A32">
        <v>32</v>
      </c>
      <c r="B32" t="s">
        <v>78</v>
      </c>
      <c r="C32" s="5" t="s">
        <v>26</v>
      </c>
      <c r="D32">
        <v>1</v>
      </c>
      <c r="E32" s="12">
        <v>1</v>
      </c>
      <c r="F32" s="40">
        <v>2011</v>
      </c>
      <c r="G32" s="40">
        <v>1</v>
      </c>
      <c r="H32" s="40" t="s">
        <v>27</v>
      </c>
      <c r="I32" s="40" t="s">
        <v>28</v>
      </c>
      <c r="J32" s="40" t="s">
        <v>80</v>
      </c>
      <c r="K32" s="73">
        <v>450</v>
      </c>
      <c r="L32" s="73">
        <v>34</v>
      </c>
      <c r="M32" s="73">
        <v>1.53</v>
      </c>
      <c r="N32" s="82">
        <v>1028.22603</v>
      </c>
      <c r="O32" s="73" t="s">
        <v>24</v>
      </c>
      <c r="P32" s="73">
        <v>30</v>
      </c>
      <c r="Q32" s="73">
        <v>2</v>
      </c>
      <c r="R32" s="84">
        <f>(DATE(2006, 9,1)-DATE(2006, 8, 1))</f>
        <v>31</v>
      </c>
      <c r="S32" s="73" t="s">
        <v>24</v>
      </c>
      <c r="T32" s="73" t="s">
        <v>24</v>
      </c>
      <c r="U32" s="73" t="s">
        <v>24</v>
      </c>
      <c r="V32" s="73" t="s">
        <v>24</v>
      </c>
      <c r="W32" s="73" t="s">
        <v>24</v>
      </c>
      <c r="X32" s="73" t="s">
        <v>24</v>
      </c>
      <c r="Y32" s="73" t="s">
        <v>24</v>
      </c>
      <c r="Z32" s="73" t="s">
        <v>24</v>
      </c>
      <c r="AA32" s="73" t="s">
        <v>24</v>
      </c>
      <c r="AB32" s="73">
        <v>1</v>
      </c>
      <c r="AC32" s="40" t="s">
        <v>24</v>
      </c>
      <c r="AD32" s="40" t="s">
        <v>81</v>
      </c>
    </row>
    <row r="33" spans="1:30" x14ac:dyDescent="0.2">
      <c r="A33">
        <v>157</v>
      </c>
      <c r="B33" t="s">
        <v>172</v>
      </c>
      <c r="C33" s="5" t="s">
        <v>26</v>
      </c>
      <c r="D33">
        <v>0</v>
      </c>
      <c r="E33" s="12">
        <v>99</v>
      </c>
      <c r="F33" s="74">
        <v>2011</v>
      </c>
      <c r="G33" s="74"/>
      <c r="H33" s="79"/>
      <c r="I33" s="79"/>
      <c r="J33" s="79"/>
      <c r="K33" s="58"/>
      <c r="L33" s="58"/>
      <c r="M33" s="58"/>
      <c r="N33" s="58"/>
      <c r="O33" s="62"/>
      <c r="P33" s="62"/>
      <c r="Q33" s="58"/>
      <c r="R33" s="58"/>
      <c r="S33" s="58"/>
      <c r="T33" s="58"/>
      <c r="U33" s="58"/>
      <c r="V33" s="58"/>
      <c r="W33" s="58"/>
      <c r="X33" s="58"/>
      <c r="Y33" s="58"/>
      <c r="Z33" s="58"/>
      <c r="AA33" s="58"/>
      <c r="AB33" s="58"/>
      <c r="AC33" s="74" t="s">
        <v>24</v>
      </c>
      <c r="AD33" s="86"/>
    </row>
    <row r="34" spans="1:30" x14ac:dyDescent="0.2">
      <c r="A34">
        <v>80</v>
      </c>
      <c r="B34" t="s">
        <v>111</v>
      </c>
      <c r="C34" s="6" t="s">
        <v>35</v>
      </c>
      <c r="D34">
        <v>1</v>
      </c>
      <c r="E34" s="12">
        <v>1</v>
      </c>
      <c r="F34" s="72">
        <v>2014</v>
      </c>
      <c r="G34">
        <v>1</v>
      </c>
      <c r="H34" t="s">
        <v>27</v>
      </c>
      <c r="I34" t="s">
        <v>130</v>
      </c>
      <c r="J34" t="s">
        <v>131</v>
      </c>
      <c r="K34" s="74">
        <f>2.5*5</f>
        <v>12.5</v>
      </c>
      <c r="L34" s="74">
        <v>6</v>
      </c>
      <c r="M34" s="74">
        <f>(K34*L34)/10000</f>
        <v>7.4999999999999997E-3</v>
      </c>
      <c r="N34" s="74"/>
      <c r="O34" s="83">
        <f>(30/60)/(60*24)</f>
        <v>3.4722222222222224E-4</v>
      </c>
      <c r="P34" s="83">
        <v>0</v>
      </c>
      <c r="Q34" s="83">
        <f>O34*10</f>
        <v>3.4722222222222225E-3</v>
      </c>
      <c r="R34" s="74">
        <v>27393</v>
      </c>
      <c r="S34" s="74"/>
      <c r="T34" s="74"/>
      <c r="U34" s="74">
        <v>1</v>
      </c>
      <c r="V34" s="74"/>
      <c r="W34" s="74">
        <v>1</v>
      </c>
      <c r="X34" s="74"/>
      <c r="Y34" s="74"/>
      <c r="Z34" s="74"/>
      <c r="AA34" s="74"/>
      <c r="AB34" s="74">
        <v>2</v>
      </c>
      <c r="AC34" t="s">
        <v>24</v>
      </c>
      <c r="AD34" t="s">
        <v>24</v>
      </c>
    </row>
    <row r="35" spans="1:30" x14ac:dyDescent="0.2">
      <c r="A35">
        <v>95</v>
      </c>
      <c r="B35" t="s">
        <v>140</v>
      </c>
      <c r="C35" s="6" t="s">
        <v>35</v>
      </c>
      <c r="D35">
        <v>0</v>
      </c>
      <c r="E35" s="12">
        <v>99</v>
      </c>
      <c r="F35" s="90">
        <v>2014</v>
      </c>
      <c r="G35" s="19"/>
      <c r="H35" s="19"/>
      <c r="I35" s="19"/>
      <c r="J35" s="19"/>
      <c r="K35" s="17"/>
      <c r="L35" s="17"/>
      <c r="M35" s="17"/>
      <c r="N35" s="17"/>
      <c r="O35" s="17"/>
      <c r="P35" s="17"/>
      <c r="Q35" s="17"/>
      <c r="R35" s="17"/>
      <c r="S35" s="17"/>
      <c r="T35" s="17"/>
      <c r="U35" s="17"/>
      <c r="V35" s="17"/>
      <c r="W35" s="17"/>
      <c r="X35" s="17"/>
      <c r="Y35" s="17"/>
      <c r="Z35" s="17"/>
      <c r="AA35" s="17"/>
      <c r="AB35" s="17"/>
      <c r="AC35" s="19"/>
      <c r="AD35" s="19"/>
    </row>
    <row r="36" spans="1:30" x14ac:dyDescent="0.2">
      <c r="A36">
        <v>125</v>
      </c>
      <c r="B36" t="s">
        <v>156</v>
      </c>
      <c r="C36" s="6" t="s">
        <v>35</v>
      </c>
      <c r="D36">
        <v>0</v>
      </c>
      <c r="E36" s="12">
        <v>99</v>
      </c>
      <c r="F36" s="15">
        <v>2014</v>
      </c>
      <c r="G36" s="15"/>
      <c r="H36" s="15" t="s">
        <v>160</v>
      </c>
      <c r="I36" s="15" t="s">
        <v>24</v>
      </c>
      <c r="J36" s="15" t="s">
        <v>24</v>
      </c>
      <c r="K36" s="15" t="s">
        <v>24</v>
      </c>
      <c r="L36" s="15" t="s">
        <v>24</v>
      </c>
      <c r="M36" s="15" t="s">
        <v>24</v>
      </c>
      <c r="N36" s="15"/>
      <c r="O36" s="15" t="s">
        <v>24</v>
      </c>
      <c r="P36" s="15" t="s">
        <v>24</v>
      </c>
      <c r="Q36" s="15" t="s">
        <v>24</v>
      </c>
      <c r="R36" s="15" t="s">
        <v>24</v>
      </c>
      <c r="S36" s="15" t="s">
        <v>24</v>
      </c>
      <c r="T36" s="15" t="s">
        <v>24</v>
      </c>
      <c r="U36" s="15" t="s">
        <v>24</v>
      </c>
      <c r="V36" s="15" t="s">
        <v>24</v>
      </c>
      <c r="W36" s="15" t="s">
        <v>24</v>
      </c>
      <c r="X36" s="15" t="s">
        <v>24</v>
      </c>
      <c r="Y36" s="15" t="s">
        <v>24</v>
      </c>
      <c r="Z36" s="15" t="s">
        <v>24</v>
      </c>
      <c r="AA36" s="15" t="s">
        <v>24</v>
      </c>
      <c r="AB36" s="15" t="s">
        <v>24</v>
      </c>
      <c r="AC36" s="15" t="s">
        <v>24</v>
      </c>
      <c r="AD36" s="89"/>
    </row>
    <row r="37" spans="1:30" x14ac:dyDescent="0.2">
      <c r="A37">
        <v>5</v>
      </c>
      <c r="B37" t="s">
        <v>22</v>
      </c>
      <c r="C37" s="6" t="s">
        <v>35</v>
      </c>
      <c r="D37">
        <v>0</v>
      </c>
      <c r="E37" s="12">
        <v>99</v>
      </c>
      <c r="F37">
        <v>2014</v>
      </c>
      <c r="H37" t="s">
        <v>24</v>
      </c>
      <c r="I37" t="s">
        <v>24</v>
      </c>
      <c r="J37" t="s">
        <v>24</v>
      </c>
      <c r="K37" s="15" t="s">
        <v>24</v>
      </c>
      <c r="L37" s="15" t="s">
        <v>24</v>
      </c>
      <c r="M37" s="15" t="s">
        <v>24</v>
      </c>
      <c r="N37" s="81"/>
      <c r="O37" s="15" t="s">
        <v>24</v>
      </c>
      <c r="P37" s="15" t="s">
        <v>24</v>
      </c>
      <c r="Q37" s="15" t="s">
        <v>24</v>
      </c>
      <c r="R37" s="15" t="s">
        <v>24</v>
      </c>
      <c r="S37" s="15" t="s">
        <v>24</v>
      </c>
      <c r="T37" s="15" t="s">
        <v>24</v>
      </c>
      <c r="U37" s="15" t="s">
        <v>24</v>
      </c>
      <c r="V37" s="15" t="s">
        <v>24</v>
      </c>
      <c r="W37" s="15" t="s">
        <v>24</v>
      </c>
      <c r="X37" s="15" t="s">
        <v>24</v>
      </c>
      <c r="Y37" s="15" t="s">
        <v>24</v>
      </c>
      <c r="Z37" s="15" t="s">
        <v>24</v>
      </c>
      <c r="AA37" s="15" t="s">
        <v>24</v>
      </c>
      <c r="AB37" s="15" t="s">
        <v>24</v>
      </c>
      <c r="AC37" t="s">
        <v>24</v>
      </c>
      <c r="AD37" t="s">
        <v>24</v>
      </c>
    </row>
    <row r="38" spans="1:30" x14ac:dyDescent="0.2">
      <c r="A38">
        <v>35</v>
      </c>
      <c r="B38" t="s">
        <v>78</v>
      </c>
      <c r="C38" s="6" t="s">
        <v>35</v>
      </c>
      <c r="D38">
        <v>0</v>
      </c>
      <c r="E38" s="12">
        <v>99</v>
      </c>
      <c r="F38" s="90">
        <v>2014</v>
      </c>
      <c r="G38" s="40"/>
      <c r="H38" s="40" t="s">
        <v>24</v>
      </c>
      <c r="I38" s="40" t="s">
        <v>24</v>
      </c>
      <c r="J38" s="40" t="s">
        <v>24</v>
      </c>
      <c r="K38" s="40" t="s">
        <v>24</v>
      </c>
      <c r="L38" s="40" t="s">
        <v>24</v>
      </c>
      <c r="M38" s="40" t="s">
        <v>24</v>
      </c>
      <c r="N38" s="52"/>
      <c r="O38" s="40" t="s">
        <v>24</v>
      </c>
      <c r="P38" s="40" t="s">
        <v>24</v>
      </c>
      <c r="Q38" s="40" t="s">
        <v>24</v>
      </c>
      <c r="R38" s="44"/>
      <c r="S38" s="40" t="s">
        <v>24</v>
      </c>
      <c r="T38" s="40" t="s">
        <v>24</v>
      </c>
      <c r="U38" s="40" t="s">
        <v>24</v>
      </c>
      <c r="V38" s="40" t="s">
        <v>24</v>
      </c>
      <c r="W38" s="40" t="s">
        <v>24</v>
      </c>
      <c r="X38" s="40" t="s">
        <v>24</v>
      </c>
      <c r="Y38" s="40" t="s">
        <v>24</v>
      </c>
      <c r="Z38" s="40" t="s">
        <v>24</v>
      </c>
      <c r="AA38" s="40" t="s">
        <v>24</v>
      </c>
      <c r="AB38" s="40" t="s">
        <v>24</v>
      </c>
      <c r="AC38" s="40" t="s">
        <v>24</v>
      </c>
      <c r="AD38" s="40" t="s">
        <v>24</v>
      </c>
    </row>
    <row r="39" spans="1:30" x14ac:dyDescent="0.2">
      <c r="A39">
        <v>160</v>
      </c>
      <c r="B39" t="s">
        <v>172</v>
      </c>
      <c r="C39" s="6" t="s">
        <v>35</v>
      </c>
      <c r="D39">
        <v>0</v>
      </c>
      <c r="E39" s="12">
        <v>99</v>
      </c>
      <c r="F39">
        <v>2014</v>
      </c>
      <c r="H39" s="58"/>
      <c r="I39" s="58"/>
      <c r="J39" s="58"/>
      <c r="K39" s="58"/>
      <c r="L39" s="58"/>
      <c r="M39" s="59"/>
      <c r="N39" s="59"/>
      <c r="O39" s="58"/>
      <c r="P39" s="58"/>
      <c r="Q39" s="58"/>
      <c r="R39" s="58"/>
      <c r="S39" s="58"/>
      <c r="T39" s="58"/>
      <c r="U39" s="58"/>
      <c r="V39" s="58"/>
      <c r="W39" s="58"/>
      <c r="X39" s="58"/>
      <c r="Y39" s="58"/>
      <c r="Z39" s="58"/>
      <c r="AA39" s="58"/>
      <c r="AB39" s="58"/>
      <c r="AC39" t="s">
        <v>24</v>
      </c>
      <c r="AD39" s="64"/>
    </row>
    <row r="40" spans="1:30" x14ac:dyDescent="0.2">
      <c r="A40">
        <v>88</v>
      </c>
      <c r="B40" t="s">
        <v>111</v>
      </c>
      <c r="C40" s="8" t="s">
        <v>38</v>
      </c>
      <c r="D40">
        <v>1</v>
      </c>
      <c r="E40" s="12">
        <v>1</v>
      </c>
      <c r="F40" s="72">
        <v>2006</v>
      </c>
      <c r="G40">
        <v>1</v>
      </c>
      <c r="H40" t="s">
        <v>27</v>
      </c>
      <c r="I40" t="s">
        <v>137</v>
      </c>
      <c r="J40" t="s">
        <v>138</v>
      </c>
      <c r="K40" s="40">
        <v>500</v>
      </c>
      <c r="L40" s="40">
        <v>19</v>
      </c>
      <c r="M40" s="40">
        <f>(K40*L40)/10000</f>
        <v>0.95</v>
      </c>
      <c r="N40" s="40"/>
      <c r="O40" s="40">
        <f>3/24</f>
        <v>0.125</v>
      </c>
      <c r="P40" s="40">
        <v>769.77499999999998</v>
      </c>
      <c r="Q40" s="41">
        <f>O40*(25)</f>
        <v>3.125</v>
      </c>
      <c r="R40" s="40">
        <v>10346</v>
      </c>
      <c r="S40" s="40"/>
      <c r="T40" s="40"/>
      <c r="U40" s="40">
        <v>1</v>
      </c>
      <c r="V40" s="40">
        <v>1</v>
      </c>
      <c r="W40" s="40"/>
      <c r="X40" s="40"/>
      <c r="Y40" s="40"/>
      <c r="Z40" s="40"/>
      <c r="AA40" s="40"/>
      <c r="AB40">
        <v>0</v>
      </c>
      <c r="AC40" t="s">
        <v>24</v>
      </c>
      <c r="AD40" t="s">
        <v>139</v>
      </c>
    </row>
    <row r="41" spans="1:30" x14ac:dyDescent="0.2">
      <c r="A41">
        <v>97</v>
      </c>
      <c r="B41" t="s">
        <v>140</v>
      </c>
      <c r="C41" s="8" t="s">
        <v>38</v>
      </c>
      <c r="D41">
        <v>1</v>
      </c>
      <c r="E41" s="12">
        <v>1</v>
      </c>
      <c r="F41" s="17">
        <v>2006</v>
      </c>
      <c r="G41" s="17">
        <v>1</v>
      </c>
      <c r="H41" s="17" t="s">
        <v>141</v>
      </c>
      <c r="I41" s="17" t="s">
        <v>39</v>
      </c>
      <c r="J41" s="17" t="s">
        <v>145</v>
      </c>
      <c r="K41" s="17">
        <v>500</v>
      </c>
      <c r="L41" s="17">
        <v>19</v>
      </c>
      <c r="M41" s="17">
        <v>0.95</v>
      </c>
      <c r="N41" s="17"/>
      <c r="O41" s="17">
        <v>1</v>
      </c>
      <c r="P41" s="17">
        <v>365</v>
      </c>
      <c r="Q41" s="17">
        <v>19</v>
      </c>
      <c r="R41" s="17">
        <v>10220</v>
      </c>
      <c r="S41" s="17"/>
      <c r="T41" s="17"/>
      <c r="U41" s="17">
        <v>1</v>
      </c>
      <c r="V41" s="17">
        <v>1</v>
      </c>
      <c r="W41" s="17"/>
      <c r="X41" s="17"/>
      <c r="Y41" s="17">
        <v>1</v>
      </c>
      <c r="Z41" s="17"/>
      <c r="AA41" s="17"/>
      <c r="AB41" s="16">
        <v>3</v>
      </c>
      <c r="AC41" s="17"/>
      <c r="AD41" s="17"/>
    </row>
    <row r="42" spans="1:30" x14ac:dyDescent="0.2">
      <c r="A42">
        <v>129</v>
      </c>
      <c r="B42" t="s">
        <v>156</v>
      </c>
      <c r="C42" s="8" t="s">
        <v>38</v>
      </c>
      <c r="D42">
        <v>1</v>
      </c>
      <c r="E42" s="12">
        <v>1</v>
      </c>
      <c r="F42">
        <v>2006</v>
      </c>
      <c r="G42">
        <v>1</v>
      </c>
      <c r="H42" t="s">
        <v>161</v>
      </c>
      <c r="I42" t="s">
        <v>39</v>
      </c>
      <c r="J42" t="s">
        <v>164</v>
      </c>
      <c r="K42">
        <v>500</v>
      </c>
      <c r="L42">
        <v>19</v>
      </c>
      <c r="M42">
        <v>0.95</v>
      </c>
      <c r="O42" t="s">
        <v>24</v>
      </c>
      <c r="P42">
        <v>714</v>
      </c>
      <c r="Q42">
        <v>25</v>
      </c>
      <c r="R42" t="s">
        <v>24</v>
      </c>
      <c r="S42" t="s">
        <v>24</v>
      </c>
      <c r="T42" t="s">
        <v>24</v>
      </c>
      <c r="U42" t="s">
        <v>24</v>
      </c>
      <c r="V42" t="s">
        <v>24</v>
      </c>
      <c r="W42" t="s">
        <v>24</v>
      </c>
      <c r="X42" t="s">
        <v>24</v>
      </c>
      <c r="Y42" t="s">
        <v>24</v>
      </c>
      <c r="Z42" t="s">
        <v>24</v>
      </c>
      <c r="AA42" t="s">
        <v>24</v>
      </c>
      <c r="AB42">
        <v>0</v>
      </c>
      <c r="AC42" t="s">
        <v>24</v>
      </c>
      <c r="AD42" s="30" t="s">
        <v>194</v>
      </c>
    </row>
    <row r="43" spans="1:30" x14ac:dyDescent="0.2">
      <c r="A43">
        <v>7</v>
      </c>
      <c r="B43" t="s">
        <v>22</v>
      </c>
      <c r="C43" s="8" t="s">
        <v>38</v>
      </c>
      <c r="D43">
        <v>1</v>
      </c>
      <c r="E43" s="12">
        <v>1</v>
      </c>
      <c r="F43">
        <v>2006</v>
      </c>
      <c r="G43">
        <v>1</v>
      </c>
      <c r="H43" t="s">
        <v>27</v>
      </c>
      <c r="I43" t="s">
        <v>39</v>
      </c>
      <c r="J43" t="s">
        <v>40</v>
      </c>
      <c r="K43">
        <v>500</v>
      </c>
      <c r="L43">
        <v>19</v>
      </c>
      <c r="M43">
        <v>0.95</v>
      </c>
      <c r="N43" s="54">
        <v>5114.1400000000003</v>
      </c>
      <c r="O43">
        <v>0.131944444444444</v>
      </c>
      <c r="P43">
        <v>890.37900000000002</v>
      </c>
      <c r="Q43">
        <v>25</v>
      </c>
      <c r="R43">
        <v>10220</v>
      </c>
      <c r="S43" t="s">
        <v>24</v>
      </c>
      <c r="T43" t="s">
        <v>24</v>
      </c>
      <c r="U43">
        <v>1</v>
      </c>
      <c r="V43">
        <v>1</v>
      </c>
      <c r="W43" t="s">
        <v>24</v>
      </c>
      <c r="X43" t="s">
        <v>24</v>
      </c>
      <c r="Y43" t="s">
        <v>24</v>
      </c>
      <c r="Z43" t="s">
        <v>24</v>
      </c>
      <c r="AA43" t="s">
        <v>24</v>
      </c>
      <c r="AB43">
        <v>0</v>
      </c>
      <c r="AC43" t="s">
        <v>24</v>
      </c>
      <c r="AD43" t="s">
        <v>24</v>
      </c>
    </row>
    <row r="44" spans="1:30" x14ac:dyDescent="0.2">
      <c r="A44">
        <v>37</v>
      </c>
      <c r="B44" t="s">
        <v>78</v>
      </c>
      <c r="C44" s="8" t="s">
        <v>38</v>
      </c>
      <c r="D44">
        <v>1</v>
      </c>
      <c r="E44" s="12">
        <v>1</v>
      </c>
      <c r="F44">
        <v>2006</v>
      </c>
      <c r="G44">
        <v>1</v>
      </c>
      <c r="H44" t="s">
        <v>27</v>
      </c>
      <c r="I44" t="s">
        <v>39</v>
      </c>
      <c r="J44" t="s">
        <v>85</v>
      </c>
      <c r="K44">
        <v>500</v>
      </c>
      <c r="L44">
        <v>19</v>
      </c>
      <c r="M44">
        <v>0.95</v>
      </c>
      <c r="N44" s="50">
        <v>1204</v>
      </c>
      <c r="O44" t="s">
        <v>24</v>
      </c>
      <c r="P44">
        <v>929.1</v>
      </c>
      <c r="Q44" s="30">
        <f>12</f>
        <v>12</v>
      </c>
      <c r="R44" s="30">
        <f>(2005-1977+1)*365</f>
        <v>10585</v>
      </c>
      <c r="S44" t="s">
        <v>24</v>
      </c>
      <c r="T44" t="s">
        <v>24</v>
      </c>
      <c r="U44" t="s">
        <v>24</v>
      </c>
      <c r="V44" t="s">
        <v>24</v>
      </c>
      <c r="W44" t="s">
        <v>24</v>
      </c>
      <c r="X44" t="s">
        <v>24</v>
      </c>
      <c r="Y44" t="s">
        <v>24</v>
      </c>
      <c r="Z44" t="s">
        <v>24</v>
      </c>
      <c r="AA44" t="s">
        <v>24</v>
      </c>
      <c r="AB44">
        <v>0</v>
      </c>
      <c r="AC44" t="s">
        <v>24</v>
      </c>
      <c r="AD44" t="s">
        <v>24</v>
      </c>
    </row>
    <row r="45" spans="1:30" x14ac:dyDescent="0.2">
      <c r="A45">
        <v>162</v>
      </c>
      <c r="B45" t="s">
        <v>172</v>
      </c>
      <c r="C45" s="8" t="s">
        <v>38</v>
      </c>
      <c r="D45">
        <v>1</v>
      </c>
      <c r="E45" s="12">
        <v>1</v>
      </c>
      <c r="F45" s="73">
        <v>2006</v>
      </c>
      <c r="G45" s="73">
        <v>1</v>
      </c>
      <c r="H45" s="80" t="s">
        <v>27</v>
      </c>
      <c r="I45" s="80" t="s">
        <v>39</v>
      </c>
      <c r="J45" s="80" t="s">
        <v>175</v>
      </c>
      <c r="K45" s="58">
        <v>500</v>
      </c>
      <c r="L45" s="60">
        <v>19</v>
      </c>
      <c r="M45" s="60">
        <f>(500*19)/10000</f>
        <v>0.95</v>
      </c>
      <c r="N45" s="58">
        <f>(200*6000/10000)+(200*11000/10000)</f>
        <v>340</v>
      </c>
      <c r="O45" s="60">
        <f>1/24</f>
        <v>4.1666666666666664E-2</v>
      </c>
      <c r="P45" s="60">
        <f>28/12.5*365</f>
        <v>817.6</v>
      </c>
      <c r="Q45" s="60">
        <v>1</v>
      </c>
      <c r="R45" s="60">
        <f>28*365</f>
        <v>10220</v>
      </c>
      <c r="S45" s="58">
        <v>1</v>
      </c>
      <c r="T45" s="58">
        <v>0</v>
      </c>
      <c r="U45" s="58">
        <v>0</v>
      </c>
      <c r="V45" s="58">
        <v>1</v>
      </c>
      <c r="W45" s="58">
        <v>0</v>
      </c>
      <c r="X45" s="58">
        <v>0</v>
      </c>
      <c r="Y45" s="58">
        <v>0</v>
      </c>
      <c r="Z45" s="58">
        <v>0</v>
      </c>
      <c r="AA45" s="58">
        <v>0</v>
      </c>
      <c r="AB45" s="58">
        <v>0</v>
      </c>
      <c r="AC45" s="73" t="s">
        <v>24</v>
      </c>
      <c r="AD45" s="88" t="s">
        <v>225</v>
      </c>
    </row>
    <row r="46" spans="1:30" x14ac:dyDescent="0.2">
      <c r="B46" t="s">
        <v>172</v>
      </c>
      <c r="C46" s="7" t="s">
        <v>218</v>
      </c>
      <c r="D46">
        <v>1</v>
      </c>
      <c r="E46" s="12">
        <v>2</v>
      </c>
      <c r="F46">
        <v>2006</v>
      </c>
      <c r="G46">
        <v>1</v>
      </c>
      <c r="H46" s="60" t="s">
        <v>27</v>
      </c>
      <c r="I46" s="60" t="s">
        <v>39</v>
      </c>
      <c r="J46" s="60" t="s">
        <v>175</v>
      </c>
      <c r="K46" s="60">
        <v>500</v>
      </c>
      <c r="L46" s="60">
        <v>45</v>
      </c>
      <c r="M46" s="60">
        <f>(500*45)/10000</f>
        <v>2.25</v>
      </c>
      <c r="N46" s="60">
        <f>16700*200/10000</f>
        <v>334</v>
      </c>
      <c r="O46" s="60">
        <f>1/24</f>
        <v>4.1666666666666664E-2</v>
      </c>
      <c r="P46" s="60">
        <v>0</v>
      </c>
      <c r="Q46" s="60">
        <f>1/24</f>
        <v>4.1666666666666664E-2</v>
      </c>
      <c r="R46" s="71">
        <f>Q46</f>
        <v>4.1666666666666664E-2</v>
      </c>
      <c r="S46" s="85">
        <v>1</v>
      </c>
      <c r="T46" s="85">
        <v>0</v>
      </c>
      <c r="U46" s="85">
        <v>0</v>
      </c>
      <c r="V46" s="85">
        <v>1</v>
      </c>
      <c r="W46" s="85">
        <v>0</v>
      </c>
      <c r="X46" s="85">
        <v>0</v>
      </c>
      <c r="Y46" s="85">
        <v>0</v>
      </c>
      <c r="Z46" s="85">
        <v>0</v>
      </c>
      <c r="AA46" s="85">
        <v>0</v>
      </c>
      <c r="AB46" s="85">
        <v>0</v>
      </c>
      <c r="AD46" s="65" t="s">
        <v>226</v>
      </c>
    </row>
    <row r="47" spans="1:30" x14ac:dyDescent="0.2">
      <c r="A47">
        <v>87</v>
      </c>
      <c r="B47" t="s">
        <v>111</v>
      </c>
      <c r="C47" s="9" t="s">
        <v>30</v>
      </c>
      <c r="D47">
        <v>0</v>
      </c>
      <c r="E47" s="12">
        <v>99</v>
      </c>
      <c r="F47" s="90">
        <v>2008</v>
      </c>
      <c r="H47" t="s">
        <v>24</v>
      </c>
      <c r="I47" t="s">
        <v>24</v>
      </c>
      <c r="J47" t="s">
        <v>24</v>
      </c>
      <c r="K47" s="38"/>
      <c r="L47" s="38"/>
      <c r="M47" s="38"/>
      <c r="N47" s="38"/>
      <c r="O47" s="38"/>
      <c r="P47" s="38"/>
      <c r="Q47" s="38"/>
      <c r="R47" s="38"/>
      <c r="S47" s="38"/>
      <c r="T47" s="38"/>
      <c r="U47" s="38"/>
      <c r="V47" s="38"/>
      <c r="W47" s="38"/>
      <c r="X47" s="38"/>
      <c r="Y47" s="38"/>
      <c r="Z47" s="38"/>
      <c r="AA47" s="38"/>
      <c r="AB47" t="s">
        <v>24</v>
      </c>
      <c r="AC47" t="s">
        <v>24</v>
      </c>
      <c r="AD47" t="s">
        <v>24</v>
      </c>
    </row>
    <row r="48" spans="1:30" ht="15" customHeight="1" x14ac:dyDescent="0.2">
      <c r="A48">
        <v>91</v>
      </c>
      <c r="B48" t="s">
        <v>140</v>
      </c>
      <c r="C48" s="9" t="s">
        <v>30</v>
      </c>
      <c r="D48">
        <v>0</v>
      </c>
      <c r="E48" s="12">
        <v>99</v>
      </c>
      <c r="F48" s="90">
        <v>2008</v>
      </c>
      <c r="G48" s="53"/>
      <c r="H48" s="53"/>
      <c r="I48" s="53"/>
      <c r="J48" s="53"/>
      <c r="K48" s="17"/>
      <c r="L48" s="17"/>
      <c r="M48" s="17"/>
      <c r="N48" s="17"/>
      <c r="O48" s="17"/>
      <c r="P48" s="17"/>
      <c r="Q48" s="17"/>
      <c r="R48" s="17"/>
      <c r="S48" s="17"/>
      <c r="T48" s="17"/>
      <c r="U48" s="17"/>
      <c r="V48" s="17"/>
      <c r="W48" s="17"/>
      <c r="X48" s="17"/>
      <c r="Y48" s="17"/>
      <c r="Z48" s="17"/>
      <c r="AA48" s="17"/>
      <c r="AB48" s="17"/>
      <c r="AC48" s="53"/>
      <c r="AD48" s="53"/>
    </row>
    <row r="49" spans="1:30" x14ac:dyDescent="0.2">
      <c r="A49">
        <v>123</v>
      </c>
      <c r="B49" t="s">
        <v>156</v>
      </c>
      <c r="C49" s="9" t="s">
        <v>30</v>
      </c>
      <c r="D49">
        <v>0</v>
      </c>
      <c r="E49" s="12">
        <v>99</v>
      </c>
      <c r="F49">
        <v>2008</v>
      </c>
      <c r="H49" t="s">
        <v>79</v>
      </c>
      <c r="I49" t="s">
        <v>24</v>
      </c>
      <c r="J49" t="s">
        <v>24</v>
      </c>
      <c r="K49" t="s">
        <v>24</v>
      </c>
      <c r="L49" t="s">
        <v>24</v>
      </c>
      <c r="M49" t="s">
        <v>24</v>
      </c>
      <c r="O49" t="s">
        <v>24</v>
      </c>
      <c r="P49" t="s">
        <v>24</v>
      </c>
      <c r="Q49" t="s">
        <v>24</v>
      </c>
      <c r="R49" t="s">
        <v>24</v>
      </c>
      <c r="S49" t="s">
        <v>24</v>
      </c>
      <c r="T49" t="s">
        <v>24</v>
      </c>
      <c r="U49" t="s">
        <v>24</v>
      </c>
      <c r="V49" t="s">
        <v>24</v>
      </c>
      <c r="W49" t="s">
        <v>24</v>
      </c>
      <c r="X49" t="s">
        <v>24</v>
      </c>
      <c r="Y49" t="s">
        <v>24</v>
      </c>
      <c r="Z49" t="s">
        <v>24</v>
      </c>
      <c r="AA49" t="s">
        <v>24</v>
      </c>
      <c r="AB49" t="s">
        <v>24</v>
      </c>
      <c r="AC49" t="s">
        <v>24</v>
      </c>
      <c r="AD49" s="31"/>
    </row>
    <row r="50" spans="1:30" x14ac:dyDescent="0.2">
      <c r="A50">
        <v>3</v>
      </c>
      <c r="B50" t="s">
        <v>22</v>
      </c>
      <c r="C50" s="9" t="s">
        <v>30</v>
      </c>
      <c r="D50">
        <v>0</v>
      </c>
      <c r="E50" s="12">
        <v>99</v>
      </c>
      <c r="F50" s="90">
        <v>2008</v>
      </c>
      <c r="H50" t="s">
        <v>24</v>
      </c>
      <c r="I50" t="s">
        <v>24</v>
      </c>
      <c r="J50" t="s">
        <v>24</v>
      </c>
      <c r="K50" t="s">
        <v>24</v>
      </c>
      <c r="L50" t="s">
        <v>24</v>
      </c>
      <c r="M50" t="s">
        <v>24</v>
      </c>
      <c r="N50" s="55"/>
      <c r="O50" t="s">
        <v>24</v>
      </c>
      <c r="P50" t="s">
        <v>24</v>
      </c>
      <c r="Q50" t="s">
        <v>24</v>
      </c>
      <c r="R50" t="s">
        <v>24</v>
      </c>
      <c r="S50" t="s">
        <v>24</v>
      </c>
      <c r="T50" t="s">
        <v>24</v>
      </c>
      <c r="U50" t="s">
        <v>24</v>
      </c>
      <c r="V50" t="s">
        <v>24</v>
      </c>
      <c r="W50" t="s">
        <v>24</v>
      </c>
      <c r="X50" t="s">
        <v>24</v>
      </c>
      <c r="Y50" t="s">
        <v>24</v>
      </c>
      <c r="Z50" t="s">
        <v>24</v>
      </c>
      <c r="AA50" t="s">
        <v>24</v>
      </c>
      <c r="AB50" t="s">
        <v>24</v>
      </c>
      <c r="AC50" t="s">
        <v>24</v>
      </c>
      <c r="AD50" t="s">
        <v>25</v>
      </c>
    </row>
    <row r="51" spans="1:30" x14ac:dyDescent="0.2">
      <c r="A51">
        <v>33</v>
      </c>
      <c r="B51" t="s">
        <v>78</v>
      </c>
      <c r="C51" s="9" t="s">
        <v>30</v>
      </c>
      <c r="D51">
        <v>0</v>
      </c>
      <c r="E51" s="12">
        <v>99</v>
      </c>
      <c r="F51" s="90">
        <v>2008</v>
      </c>
      <c r="G51" s="74"/>
      <c r="H51" s="74" t="s">
        <v>24</v>
      </c>
      <c r="I51" s="74" t="s">
        <v>24</v>
      </c>
      <c r="J51" s="74" t="s">
        <v>24</v>
      </c>
      <c r="K51" s="40" t="s">
        <v>24</v>
      </c>
      <c r="L51" s="40" t="s">
        <v>24</v>
      </c>
      <c r="M51" s="40" t="s">
        <v>24</v>
      </c>
      <c r="N51" s="43"/>
      <c r="O51" s="40" t="s">
        <v>24</v>
      </c>
      <c r="P51" s="40" t="s">
        <v>24</v>
      </c>
      <c r="Q51" s="40" t="s">
        <v>24</v>
      </c>
      <c r="R51" s="43"/>
      <c r="S51" s="40" t="s">
        <v>24</v>
      </c>
      <c r="T51" s="40" t="s">
        <v>24</v>
      </c>
      <c r="U51" s="40" t="s">
        <v>24</v>
      </c>
      <c r="V51" s="40" t="s">
        <v>24</v>
      </c>
      <c r="W51" s="40" t="s">
        <v>24</v>
      </c>
      <c r="X51" s="40" t="s">
        <v>24</v>
      </c>
      <c r="Y51" s="40" t="s">
        <v>24</v>
      </c>
      <c r="Z51" s="40" t="s">
        <v>24</v>
      </c>
      <c r="AA51" s="40" t="s">
        <v>24</v>
      </c>
      <c r="AB51" s="40" t="s">
        <v>24</v>
      </c>
      <c r="AC51" s="74" t="s">
        <v>24</v>
      </c>
      <c r="AD51" s="74" t="s">
        <v>24</v>
      </c>
    </row>
    <row r="52" spans="1:30" x14ac:dyDescent="0.2">
      <c r="A52">
        <v>158</v>
      </c>
      <c r="B52" t="s">
        <v>172</v>
      </c>
      <c r="C52" s="9" t="s">
        <v>30</v>
      </c>
      <c r="D52">
        <v>0</v>
      </c>
      <c r="E52" s="12">
        <v>99</v>
      </c>
      <c r="F52">
        <v>2008</v>
      </c>
      <c r="H52" s="58"/>
      <c r="I52" s="58"/>
      <c r="J52" s="58"/>
      <c r="K52" s="79"/>
      <c r="L52" s="79"/>
      <c r="M52" s="79"/>
      <c r="N52" s="58"/>
      <c r="O52" s="58"/>
      <c r="P52" s="79"/>
      <c r="Q52" s="79"/>
      <c r="R52" s="58"/>
      <c r="S52" s="79"/>
      <c r="T52" s="79"/>
      <c r="U52" s="79"/>
      <c r="V52" s="79"/>
      <c r="W52" s="79"/>
      <c r="X52" s="79"/>
      <c r="Y52" s="79"/>
      <c r="Z52" s="79"/>
      <c r="AA52" s="79"/>
      <c r="AB52" s="79"/>
      <c r="AC52" t="s">
        <v>24</v>
      </c>
      <c r="AD52" s="88"/>
    </row>
    <row r="53" spans="1:30" x14ac:dyDescent="0.2">
      <c r="A53">
        <v>63</v>
      </c>
      <c r="B53" t="s">
        <v>111</v>
      </c>
      <c r="C53" s="7" t="s">
        <v>23</v>
      </c>
      <c r="D53">
        <v>0</v>
      </c>
      <c r="E53" s="12">
        <v>99</v>
      </c>
      <c r="F53" s="90">
        <v>2012</v>
      </c>
      <c r="H53" t="s">
        <v>24</v>
      </c>
      <c r="I53" t="s">
        <v>24</v>
      </c>
      <c r="J53" t="s">
        <v>24</v>
      </c>
      <c r="K53" s="38"/>
      <c r="L53" s="38"/>
      <c r="M53" s="38"/>
      <c r="N53" s="38"/>
      <c r="O53" s="38"/>
      <c r="P53" s="38"/>
      <c r="Q53" s="38"/>
      <c r="R53" s="38"/>
      <c r="S53" s="38"/>
      <c r="T53" s="38"/>
      <c r="U53" s="38"/>
      <c r="V53" s="38"/>
      <c r="W53" s="38"/>
      <c r="X53" s="38"/>
      <c r="Y53" s="38"/>
      <c r="Z53" s="38"/>
      <c r="AA53" s="38"/>
      <c r="AB53" t="s">
        <v>24</v>
      </c>
      <c r="AC53" t="s">
        <v>24</v>
      </c>
      <c r="AD53" t="s">
        <v>24</v>
      </c>
    </row>
    <row r="54" spans="1:30" x14ac:dyDescent="0.2">
      <c r="A54">
        <v>89</v>
      </c>
      <c r="B54" t="s">
        <v>140</v>
      </c>
      <c r="C54" s="7" t="s">
        <v>23</v>
      </c>
      <c r="D54">
        <v>0</v>
      </c>
      <c r="E54" s="12">
        <v>99</v>
      </c>
      <c r="F54" s="90">
        <v>2012</v>
      </c>
      <c r="G54" s="20"/>
      <c r="H54" s="20"/>
      <c r="I54" s="21"/>
      <c r="J54" s="20"/>
      <c r="K54" s="17"/>
      <c r="L54" s="17"/>
      <c r="M54" s="17"/>
      <c r="N54" s="17"/>
      <c r="O54" s="17"/>
      <c r="P54" s="17"/>
      <c r="Q54" s="17"/>
      <c r="R54" s="17"/>
      <c r="S54" s="17"/>
      <c r="T54" s="17"/>
      <c r="U54" s="17"/>
      <c r="V54" s="17"/>
      <c r="W54" s="17"/>
      <c r="X54" s="17"/>
      <c r="Y54" s="17"/>
      <c r="Z54" s="17"/>
      <c r="AA54" s="17"/>
      <c r="AB54" s="17"/>
      <c r="AC54" s="20"/>
      <c r="AD54" s="20"/>
    </row>
    <row r="55" spans="1:30" x14ac:dyDescent="0.2">
      <c r="A55">
        <v>121</v>
      </c>
      <c r="B55" t="s">
        <v>156</v>
      </c>
      <c r="C55" s="7" t="s">
        <v>23</v>
      </c>
      <c r="D55">
        <v>0</v>
      </c>
      <c r="E55" s="12">
        <v>99</v>
      </c>
      <c r="F55">
        <v>2012</v>
      </c>
      <c r="H55" t="s">
        <v>79</v>
      </c>
      <c r="I55" t="s">
        <v>24</v>
      </c>
      <c r="J55" t="s">
        <v>24</v>
      </c>
      <c r="K55" t="s">
        <v>24</v>
      </c>
      <c r="L55" t="s">
        <v>24</v>
      </c>
      <c r="M55" t="s">
        <v>24</v>
      </c>
      <c r="O55" t="s">
        <v>24</v>
      </c>
      <c r="P55" t="s">
        <v>24</v>
      </c>
      <c r="Q55" t="s">
        <v>24</v>
      </c>
      <c r="R55" t="s">
        <v>24</v>
      </c>
      <c r="S55" t="s">
        <v>24</v>
      </c>
      <c r="T55" t="s">
        <v>24</v>
      </c>
      <c r="U55" t="s">
        <v>24</v>
      </c>
      <c r="V55" t="s">
        <v>24</v>
      </c>
      <c r="W55" t="s">
        <v>24</v>
      </c>
      <c r="X55" t="s">
        <v>24</v>
      </c>
      <c r="Y55" t="s">
        <v>24</v>
      </c>
      <c r="Z55" t="s">
        <v>24</v>
      </c>
      <c r="AA55" t="s">
        <v>24</v>
      </c>
      <c r="AB55" t="s">
        <v>24</v>
      </c>
      <c r="AC55" t="s">
        <v>24</v>
      </c>
      <c r="AD55" s="31"/>
    </row>
    <row r="56" spans="1:30" x14ac:dyDescent="0.2">
      <c r="A56">
        <v>1</v>
      </c>
      <c r="B56" t="s">
        <v>22</v>
      </c>
      <c r="C56" s="7" t="s">
        <v>23</v>
      </c>
      <c r="D56">
        <v>0</v>
      </c>
      <c r="E56" s="12">
        <v>99</v>
      </c>
      <c r="F56">
        <v>2012</v>
      </c>
      <c r="H56" t="s">
        <v>24</v>
      </c>
      <c r="I56" t="s">
        <v>24</v>
      </c>
      <c r="J56" t="s">
        <v>24</v>
      </c>
      <c r="K56" t="s">
        <v>24</v>
      </c>
      <c r="L56" t="s">
        <v>24</v>
      </c>
      <c r="M56" t="s">
        <v>24</v>
      </c>
      <c r="N56" s="55"/>
      <c r="O56" t="s">
        <v>24</v>
      </c>
      <c r="P56" t="s">
        <v>24</v>
      </c>
      <c r="Q56" t="s">
        <v>24</v>
      </c>
      <c r="R56" t="s">
        <v>24</v>
      </c>
      <c r="S56" t="s">
        <v>24</v>
      </c>
      <c r="T56" s="40" t="s">
        <v>24</v>
      </c>
      <c r="U56" s="40" t="s">
        <v>24</v>
      </c>
      <c r="V56" s="40" t="s">
        <v>24</v>
      </c>
      <c r="W56" s="40" t="s">
        <v>24</v>
      </c>
      <c r="X56" s="40" t="s">
        <v>24</v>
      </c>
      <c r="Y56" s="40" t="s">
        <v>24</v>
      </c>
      <c r="Z56" s="40" t="s">
        <v>24</v>
      </c>
      <c r="AA56" s="40" t="s">
        <v>24</v>
      </c>
      <c r="AB56" t="s">
        <v>24</v>
      </c>
      <c r="AC56" t="s">
        <v>24</v>
      </c>
      <c r="AD56" t="s">
        <v>25</v>
      </c>
    </row>
    <row r="57" spans="1:30" x14ac:dyDescent="0.2">
      <c r="A57">
        <v>31</v>
      </c>
      <c r="B57" t="s">
        <v>78</v>
      </c>
      <c r="C57" s="7" t="s">
        <v>23</v>
      </c>
      <c r="D57">
        <v>0</v>
      </c>
      <c r="E57" s="12">
        <v>99</v>
      </c>
      <c r="F57">
        <v>2012</v>
      </c>
      <c r="H57" t="s">
        <v>79</v>
      </c>
      <c r="I57" t="s">
        <v>24</v>
      </c>
      <c r="J57" t="s">
        <v>24</v>
      </c>
      <c r="K57" s="40" t="s">
        <v>24</v>
      </c>
      <c r="L57" s="40" t="s">
        <v>24</v>
      </c>
      <c r="M57" s="40" t="s">
        <v>24</v>
      </c>
      <c r="N57" s="43"/>
      <c r="O57" s="40" t="s">
        <v>24</v>
      </c>
      <c r="P57" s="40" t="s">
        <v>24</v>
      </c>
      <c r="Q57" s="40" t="s">
        <v>24</v>
      </c>
      <c r="R57" s="43"/>
      <c r="S57" s="40" t="s">
        <v>24</v>
      </c>
      <c r="T57" s="40" t="s">
        <v>24</v>
      </c>
      <c r="U57" s="40" t="s">
        <v>24</v>
      </c>
      <c r="V57" s="40" t="s">
        <v>24</v>
      </c>
      <c r="W57" s="40" t="s">
        <v>24</v>
      </c>
      <c r="X57" s="40" t="s">
        <v>24</v>
      </c>
      <c r="Y57" s="40" t="s">
        <v>24</v>
      </c>
      <c r="Z57" s="40" t="s">
        <v>24</v>
      </c>
      <c r="AA57" s="40" t="s">
        <v>24</v>
      </c>
      <c r="AB57" s="40" t="s">
        <v>24</v>
      </c>
      <c r="AC57" t="s">
        <v>24</v>
      </c>
      <c r="AD57" t="s">
        <v>24</v>
      </c>
    </row>
    <row r="58" spans="1:30" x14ac:dyDescent="0.2">
      <c r="A58">
        <v>156</v>
      </c>
      <c r="B58" t="s">
        <v>172</v>
      </c>
      <c r="C58" s="7" t="s">
        <v>23</v>
      </c>
      <c r="D58">
        <v>0</v>
      </c>
      <c r="E58" s="12">
        <v>99</v>
      </c>
      <c r="F58">
        <v>2012</v>
      </c>
      <c r="H58" s="58"/>
      <c r="I58" s="58"/>
      <c r="J58" s="58"/>
      <c r="K58" s="58"/>
      <c r="L58" s="58"/>
      <c r="M58" s="58"/>
      <c r="N58" s="58"/>
      <c r="O58" s="58"/>
      <c r="P58" s="58"/>
      <c r="Q58" s="58"/>
      <c r="R58" s="58"/>
      <c r="S58" s="58"/>
      <c r="T58" s="58"/>
      <c r="U58" s="58"/>
      <c r="V58" s="58"/>
      <c r="W58" s="58"/>
      <c r="X58" s="58"/>
      <c r="Y58" s="58"/>
      <c r="Z58" s="58"/>
      <c r="AA58" s="58"/>
      <c r="AB58" s="58"/>
      <c r="AC58" t="s">
        <v>24</v>
      </c>
      <c r="AD58" s="64"/>
    </row>
    <row r="59" spans="1:30" x14ac:dyDescent="0.2">
      <c r="A59">
        <v>79</v>
      </c>
      <c r="B59" t="s">
        <v>111</v>
      </c>
      <c r="C59" s="10" t="s">
        <v>72</v>
      </c>
      <c r="D59">
        <v>0</v>
      </c>
      <c r="E59" s="12">
        <v>99</v>
      </c>
      <c r="F59" s="90">
        <v>2004</v>
      </c>
      <c r="H59" t="s">
        <v>114</v>
      </c>
      <c r="I59" t="s">
        <v>114</v>
      </c>
      <c r="J59" t="s">
        <v>114</v>
      </c>
      <c r="K59" s="38" t="s">
        <v>114</v>
      </c>
      <c r="L59" s="38" t="s">
        <v>114</v>
      </c>
      <c r="M59" s="38" t="s">
        <v>114</v>
      </c>
      <c r="N59" s="38"/>
      <c r="O59" s="38" t="s">
        <v>114</v>
      </c>
      <c r="P59" s="38" t="s">
        <v>114</v>
      </c>
      <c r="Q59" s="38" t="s">
        <v>114</v>
      </c>
      <c r="R59" s="38" t="s">
        <v>114</v>
      </c>
      <c r="S59" s="38"/>
      <c r="T59" s="38"/>
      <c r="U59" s="38"/>
      <c r="V59" s="38"/>
      <c r="W59" s="38"/>
      <c r="X59" s="38"/>
      <c r="Y59" s="38"/>
      <c r="Z59" s="38"/>
      <c r="AA59" s="38"/>
      <c r="AB59" t="s">
        <v>24</v>
      </c>
      <c r="AC59" t="s">
        <v>114</v>
      </c>
      <c r="AD59" t="s">
        <v>114</v>
      </c>
    </row>
    <row r="60" spans="1:30" x14ac:dyDescent="0.2">
      <c r="A60">
        <v>118</v>
      </c>
      <c r="B60" t="s">
        <v>140</v>
      </c>
      <c r="C60" s="10" t="s">
        <v>72</v>
      </c>
      <c r="D60">
        <v>0</v>
      </c>
      <c r="E60" s="12">
        <v>99</v>
      </c>
      <c r="F60" s="22">
        <v>2004</v>
      </c>
      <c r="G60" s="22">
        <v>1</v>
      </c>
      <c r="H60" s="22" t="s">
        <v>141</v>
      </c>
      <c r="I60" s="22" t="s">
        <v>74</v>
      </c>
      <c r="J60" s="23" t="s">
        <v>155</v>
      </c>
      <c r="K60" s="17"/>
      <c r="L60" s="17"/>
      <c r="M60" s="17"/>
      <c r="N60" s="17"/>
      <c r="O60" s="17"/>
      <c r="P60" s="17"/>
      <c r="Q60" s="17"/>
      <c r="R60" s="17"/>
      <c r="S60" s="17"/>
      <c r="T60" s="17"/>
      <c r="U60" s="17"/>
      <c r="V60" s="17"/>
      <c r="W60" s="17"/>
      <c r="X60" s="17"/>
      <c r="Y60" s="17"/>
      <c r="Z60" s="17"/>
      <c r="AA60" s="17"/>
      <c r="AB60" s="17"/>
      <c r="AC60" s="20"/>
      <c r="AD60" s="22"/>
    </row>
    <row r="61" spans="1:30" x14ac:dyDescent="0.2">
      <c r="A61">
        <v>140</v>
      </c>
      <c r="B61" t="s">
        <v>156</v>
      </c>
      <c r="C61" s="10" t="s">
        <v>72</v>
      </c>
      <c r="D61">
        <v>0</v>
      </c>
      <c r="E61" s="12">
        <v>99</v>
      </c>
      <c r="F61">
        <v>2004</v>
      </c>
      <c r="H61" t="s">
        <v>160</v>
      </c>
      <c r="I61" t="s">
        <v>24</v>
      </c>
      <c r="J61" t="s">
        <v>24</v>
      </c>
      <c r="K61" t="s">
        <v>24</v>
      </c>
      <c r="L61" t="s">
        <v>24</v>
      </c>
      <c r="M61" t="s">
        <v>24</v>
      </c>
      <c r="O61" t="s">
        <v>24</v>
      </c>
      <c r="P61" t="s">
        <v>24</v>
      </c>
      <c r="Q61" t="s">
        <v>24</v>
      </c>
      <c r="R61" t="s">
        <v>24</v>
      </c>
      <c r="S61" t="s">
        <v>24</v>
      </c>
      <c r="T61" t="s">
        <v>24</v>
      </c>
      <c r="U61" t="s">
        <v>24</v>
      </c>
      <c r="V61" t="s">
        <v>24</v>
      </c>
      <c r="W61" t="s">
        <v>24</v>
      </c>
      <c r="X61" t="s">
        <v>24</v>
      </c>
      <c r="Y61" t="s">
        <v>24</v>
      </c>
      <c r="Z61" t="s">
        <v>24</v>
      </c>
      <c r="AA61" t="s">
        <v>24</v>
      </c>
      <c r="AB61" t="s">
        <v>24</v>
      </c>
      <c r="AC61" t="s">
        <v>24</v>
      </c>
      <c r="AD61" s="31"/>
    </row>
    <row r="62" spans="1:30" x14ac:dyDescent="0.2">
      <c r="A62">
        <v>28</v>
      </c>
      <c r="B62" t="s">
        <v>22</v>
      </c>
      <c r="C62" s="10" t="s">
        <v>72</v>
      </c>
      <c r="D62">
        <v>0</v>
      </c>
      <c r="E62" s="12">
        <v>99</v>
      </c>
      <c r="F62">
        <v>2004</v>
      </c>
      <c r="H62" t="s">
        <v>24</v>
      </c>
      <c r="I62" t="s">
        <v>24</v>
      </c>
      <c r="J62" t="s">
        <v>24</v>
      </c>
      <c r="K62" t="s">
        <v>24</v>
      </c>
      <c r="L62" t="s">
        <v>24</v>
      </c>
      <c r="M62" t="s">
        <v>24</v>
      </c>
      <c r="N62" s="56"/>
      <c r="O62" t="s">
        <v>24</v>
      </c>
      <c r="P62" t="s">
        <v>24</v>
      </c>
      <c r="Q62" t="s">
        <v>24</v>
      </c>
      <c r="R62" t="s">
        <v>24</v>
      </c>
      <c r="S62" t="s">
        <v>24</v>
      </c>
      <c r="T62" t="s">
        <v>24</v>
      </c>
      <c r="U62" t="s">
        <v>24</v>
      </c>
      <c r="V62" t="s">
        <v>24</v>
      </c>
      <c r="W62" t="s">
        <v>24</v>
      </c>
      <c r="X62" t="s">
        <v>24</v>
      </c>
      <c r="Y62" t="s">
        <v>24</v>
      </c>
      <c r="Z62" t="s">
        <v>24</v>
      </c>
      <c r="AA62" t="s">
        <v>24</v>
      </c>
      <c r="AB62" t="s">
        <v>24</v>
      </c>
      <c r="AC62" t="s">
        <v>24</v>
      </c>
      <c r="AD62" t="s">
        <v>25</v>
      </c>
    </row>
    <row r="63" spans="1:30" x14ac:dyDescent="0.2">
      <c r="A63">
        <v>60</v>
      </c>
      <c r="B63" t="s">
        <v>78</v>
      </c>
      <c r="C63" s="10" t="s">
        <v>72</v>
      </c>
      <c r="D63">
        <v>0</v>
      </c>
      <c r="E63" s="12">
        <v>99</v>
      </c>
      <c r="F63">
        <v>2004</v>
      </c>
      <c r="H63" t="s">
        <v>24</v>
      </c>
      <c r="I63" t="s">
        <v>24</v>
      </c>
      <c r="J63" t="s">
        <v>24</v>
      </c>
      <c r="K63" t="s">
        <v>24</v>
      </c>
      <c r="L63" t="s">
        <v>24</v>
      </c>
      <c r="M63" t="s">
        <v>24</v>
      </c>
      <c r="N63" s="43"/>
      <c r="O63" t="s">
        <v>24</v>
      </c>
      <c r="P63" t="s">
        <v>24</v>
      </c>
      <c r="Q63" t="s">
        <v>24</v>
      </c>
      <c r="R63" s="43"/>
      <c r="S63" t="s">
        <v>24</v>
      </c>
      <c r="T63" t="s">
        <v>24</v>
      </c>
      <c r="U63" t="s">
        <v>24</v>
      </c>
      <c r="V63" t="s">
        <v>24</v>
      </c>
      <c r="W63" t="s">
        <v>24</v>
      </c>
      <c r="X63" t="s">
        <v>24</v>
      </c>
      <c r="Y63" t="s">
        <v>24</v>
      </c>
      <c r="Z63" t="s">
        <v>24</v>
      </c>
      <c r="AA63" t="s">
        <v>24</v>
      </c>
      <c r="AB63" t="s">
        <v>24</v>
      </c>
      <c r="AC63" t="s">
        <v>24</v>
      </c>
      <c r="AD63" t="s">
        <v>24</v>
      </c>
    </row>
    <row r="64" spans="1:30" x14ac:dyDescent="0.2">
      <c r="A64">
        <v>180</v>
      </c>
      <c r="B64" t="s">
        <v>172</v>
      </c>
      <c r="C64" s="10" t="s">
        <v>72</v>
      </c>
      <c r="D64">
        <v>0</v>
      </c>
      <c r="E64" s="12">
        <v>99</v>
      </c>
      <c r="F64">
        <v>2004</v>
      </c>
      <c r="H64" s="58"/>
      <c r="I64" s="58"/>
      <c r="J64" s="58"/>
      <c r="K64" s="58"/>
      <c r="L64" s="58"/>
      <c r="M64" s="58"/>
      <c r="N64" s="58"/>
      <c r="O64" s="58"/>
      <c r="P64" s="58"/>
      <c r="Q64" s="58"/>
      <c r="R64" s="58"/>
      <c r="S64" s="58"/>
      <c r="T64" s="58"/>
      <c r="U64" s="58"/>
      <c r="V64" s="58"/>
      <c r="W64" s="58"/>
      <c r="X64" s="58"/>
      <c r="Y64" s="58"/>
      <c r="Z64" s="58"/>
      <c r="AA64" s="58"/>
      <c r="AB64" s="58"/>
      <c r="AC64" t="s">
        <v>24</v>
      </c>
      <c r="AD64" s="64"/>
    </row>
    <row r="65" spans="1:30" x14ac:dyDescent="0.2">
      <c r="A65">
        <v>65</v>
      </c>
      <c r="B65" t="s">
        <v>111</v>
      </c>
      <c r="C65" s="11" t="s">
        <v>60</v>
      </c>
      <c r="D65">
        <v>0</v>
      </c>
      <c r="E65" s="12">
        <v>99</v>
      </c>
      <c r="F65" s="91">
        <v>2011</v>
      </c>
      <c r="H65" t="s">
        <v>24</v>
      </c>
      <c r="I65" t="s">
        <v>24</v>
      </c>
      <c r="J65" t="s">
        <v>24</v>
      </c>
      <c r="K65" s="38"/>
      <c r="L65" s="38"/>
      <c r="M65" s="38"/>
      <c r="N65" s="38"/>
      <c r="O65" s="38"/>
      <c r="P65" s="38"/>
      <c r="Q65" s="38"/>
      <c r="R65" s="38"/>
      <c r="S65" s="38"/>
      <c r="T65" s="38"/>
      <c r="U65" s="38"/>
      <c r="V65" s="38"/>
      <c r="W65" s="38"/>
      <c r="X65" s="38"/>
      <c r="Y65" s="38"/>
      <c r="Z65" s="38"/>
      <c r="AA65" s="38"/>
      <c r="AB65" t="s">
        <v>24</v>
      </c>
      <c r="AC65" t="s">
        <v>24</v>
      </c>
      <c r="AD65" t="s">
        <v>24</v>
      </c>
    </row>
    <row r="66" spans="1:30" x14ac:dyDescent="0.2">
      <c r="A66">
        <v>105</v>
      </c>
      <c r="B66" t="s">
        <v>140</v>
      </c>
      <c r="C66" s="11" t="s">
        <v>60</v>
      </c>
      <c r="D66">
        <v>0</v>
      </c>
      <c r="E66" s="12">
        <v>99</v>
      </c>
      <c r="F66" s="91">
        <v>2011</v>
      </c>
      <c r="G66" s="18"/>
      <c r="H66" s="18"/>
      <c r="I66" s="18"/>
      <c r="J66" s="18"/>
      <c r="K66" s="20"/>
      <c r="L66" s="20"/>
      <c r="M66" s="20"/>
      <c r="N66" s="20"/>
      <c r="O66" s="20"/>
      <c r="P66" s="20"/>
      <c r="Q66" s="20"/>
      <c r="R66" s="20"/>
      <c r="S66" s="20"/>
      <c r="T66" s="20"/>
      <c r="U66" s="20"/>
      <c r="V66" s="20"/>
      <c r="W66" s="20"/>
      <c r="X66" s="20"/>
      <c r="Y66" s="20"/>
      <c r="Z66" s="20"/>
      <c r="AA66" s="20"/>
      <c r="AB66" s="20"/>
      <c r="AC66" s="18"/>
      <c r="AD66" s="18"/>
    </row>
    <row r="67" spans="1:30" x14ac:dyDescent="0.2">
      <c r="A67">
        <v>142</v>
      </c>
      <c r="B67" t="s">
        <v>156</v>
      </c>
      <c r="C67" s="11" t="s">
        <v>60</v>
      </c>
      <c r="D67">
        <v>0</v>
      </c>
      <c r="E67" s="12">
        <v>99</v>
      </c>
      <c r="F67">
        <v>2011</v>
      </c>
      <c r="H67" t="s">
        <v>79</v>
      </c>
      <c r="I67" t="s">
        <v>24</v>
      </c>
      <c r="J67" t="s">
        <v>24</v>
      </c>
      <c r="K67" t="s">
        <v>24</v>
      </c>
      <c r="L67" t="s">
        <v>24</v>
      </c>
      <c r="M67" t="s">
        <v>24</v>
      </c>
      <c r="O67" t="s">
        <v>24</v>
      </c>
      <c r="P67" t="s">
        <v>24</v>
      </c>
      <c r="Q67" t="s">
        <v>24</v>
      </c>
      <c r="R67" t="s">
        <v>24</v>
      </c>
      <c r="S67" t="s">
        <v>24</v>
      </c>
      <c r="T67" t="s">
        <v>24</v>
      </c>
      <c r="U67" t="s">
        <v>24</v>
      </c>
      <c r="V67" t="s">
        <v>24</v>
      </c>
      <c r="W67" t="s">
        <v>24</v>
      </c>
      <c r="X67" t="s">
        <v>24</v>
      </c>
      <c r="Y67" t="s">
        <v>24</v>
      </c>
      <c r="Z67" t="s">
        <v>24</v>
      </c>
      <c r="AA67" t="s">
        <v>24</v>
      </c>
      <c r="AB67" t="s">
        <v>24</v>
      </c>
      <c r="AC67" t="s">
        <v>24</v>
      </c>
      <c r="AD67" s="31"/>
    </row>
    <row r="68" spans="1:30" x14ac:dyDescent="0.2">
      <c r="A68">
        <v>21</v>
      </c>
      <c r="B68" t="s">
        <v>22</v>
      </c>
      <c r="C68" s="11" t="s">
        <v>60</v>
      </c>
      <c r="D68">
        <v>0</v>
      </c>
      <c r="E68" s="12">
        <v>99</v>
      </c>
      <c r="F68">
        <v>2011</v>
      </c>
      <c r="H68" t="s">
        <v>24</v>
      </c>
      <c r="I68" t="s">
        <v>24</v>
      </c>
      <c r="J68" t="s">
        <v>24</v>
      </c>
      <c r="K68" t="s">
        <v>24</v>
      </c>
      <c r="L68" t="s">
        <v>24</v>
      </c>
      <c r="M68" t="s">
        <v>24</v>
      </c>
      <c r="N68" s="55"/>
      <c r="O68" t="s">
        <v>24</v>
      </c>
      <c r="P68" t="s">
        <v>24</v>
      </c>
      <c r="Q68" t="s">
        <v>24</v>
      </c>
      <c r="R68" t="s">
        <v>24</v>
      </c>
      <c r="S68" t="s">
        <v>24</v>
      </c>
      <c r="T68" t="s">
        <v>24</v>
      </c>
      <c r="U68" t="s">
        <v>24</v>
      </c>
      <c r="V68" t="s">
        <v>24</v>
      </c>
      <c r="W68" t="s">
        <v>24</v>
      </c>
      <c r="X68" t="s">
        <v>24</v>
      </c>
      <c r="Y68" t="s">
        <v>24</v>
      </c>
      <c r="Z68" t="s">
        <v>24</v>
      </c>
      <c r="AA68" t="s">
        <v>24</v>
      </c>
      <c r="AB68" t="s">
        <v>24</v>
      </c>
      <c r="AC68" t="s">
        <v>24</v>
      </c>
      <c r="AD68" t="s">
        <v>24</v>
      </c>
    </row>
    <row r="69" spans="1:30" x14ac:dyDescent="0.2">
      <c r="A69">
        <v>53</v>
      </c>
      <c r="B69" t="s">
        <v>78</v>
      </c>
      <c r="C69" s="11" t="s">
        <v>60</v>
      </c>
      <c r="D69">
        <v>0</v>
      </c>
      <c r="E69" s="12">
        <v>99</v>
      </c>
      <c r="F69">
        <v>2011</v>
      </c>
      <c r="H69" t="s">
        <v>24</v>
      </c>
      <c r="I69" t="s">
        <v>24</v>
      </c>
      <c r="J69" t="s">
        <v>24</v>
      </c>
      <c r="K69" t="s">
        <v>24</v>
      </c>
      <c r="L69" t="s">
        <v>24</v>
      </c>
      <c r="M69" t="s">
        <v>24</v>
      </c>
      <c r="N69" s="44"/>
      <c r="O69" t="s">
        <v>24</v>
      </c>
      <c r="P69" t="s">
        <v>24</v>
      </c>
      <c r="Q69" t="s">
        <v>24</v>
      </c>
      <c r="R69" s="44"/>
      <c r="S69" t="s">
        <v>24</v>
      </c>
      <c r="T69" t="s">
        <v>24</v>
      </c>
      <c r="U69" t="s">
        <v>24</v>
      </c>
      <c r="V69" t="s">
        <v>24</v>
      </c>
      <c r="W69" t="s">
        <v>24</v>
      </c>
      <c r="X69" t="s">
        <v>24</v>
      </c>
      <c r="Y69" t="s">
        <v>24</v>
      </c>
      <c r="Z69" t="s">
        <v>24</v>
      </c>
      <c r="AA69" t="s">
        <v>24</v>
      </c>
      <c r="AB69" t="s">
        <v>24</v>
      </c>
      <c r="AC69" t="s">
        <v>24</v>
      </c>
      <c r="AD69" t="s">
        <v>24</v>
      </c>
    </row>
    <row r="70" spans="1:30" x14ac:dyDescent="0.2">
      <c r="A70">
        <v>171</v>
      </c>
      <c r="B70" t="s">
        <v>172</v>
      </c>
      <c r="C70" s="11" t="s">
        <v>60</v>
      </c>
      <c r="D70">
        <v>0</v>
      </c>
      <c r="E70" s="12">
        <v>99</v>
      </c>
      <c r="F70">
        <v>2011</v>
      </c>
      <c r="H70" s="58"/>
      <c r="I70" s="58"/>
      <c r="J70" s="58"/>
      <c r="K70" s="58"/>
      <c r="L70" s="58"/>
      <c r="M70" s="58"/>
      <c r="N70" s="58"/>
      <c r="O70" s="58"/>
      <c r="P70" s="58"/>
      <c r="Q70" s="58"/>
      <c r="R70" s="58"/>
      <c r="S70" s="58"/>
      <c r="T70" s="58"/>
      <c r="U70" s="58"/>
      <c r="V70" s="58"/>
      <c r="W70" s="58"/>
      <c r="X70" s="58"/>
      <c r="Y70" s="58"/>
      <c r="Z70" s="58"/>
      <c r="AA70" s="58"/>
      <c r="AB70" s="58"/>
      <c r="AC70" t="s">
        <v>24</v>
      </c>
      <c r="AD70" s="64"/>
    </row>
    <row r="71" spans="1:30" x14ac:dyDescent="0.2">
      <c r="A71">
        <v>64</v>
      </c>
      <c r="B71" t="s">
        <v>111</v>
      </c>
      <c r="C71" t="s">
        <v>52</v>
      </c>
      <c r="D71">
        <v>0</v>
      </c>
      <c r="E71" s="12">
        <v>99</v>
      </c>
      <c r="F71" s="91">
        <v>2007</v>
      </c>
      <c r="H71" t="s">
        <v>24</v>
      </c>
      <c r="I71" t="s">
        <v>24</v>
      </c>
      <c r="J71" t="s">
        <v>24</v>
      </c>
      <c r="K71" s="38"/>
      <c r="L71" s="38"/>
      <c r="M71" s="38"/>
      <c r="N71" s="38"/>
      <c r="O71" s="38"/>
      <c r="P71" s="38"/>
      <c r="Q71" s="38"/>
      <c r="R71" s="38"/>
      <c r="S71" s="38"/>
      <c r="T71" s="38"/>
      <c r="U71" s="38"/>
      <c r="V71" s="38"/>
      <c r="W71" s="38"/>
      <c r="X71" s="38"/>
      <c r="Y71" s="38"/>
      <c r="Z71" s="38"/>
      <c r="AA71" s="38"/>
      <c r="AB71" t="s">
        <v>24</v>
      </c>
      <c r="AC71" t="s">
        <v>24</v>
      </c>
      <c r="AD71" t="s">
        <v>24</v>
      </c>
    </row>
    <row r="72" spans="1:30" x14ac:dyDescent="0.2">
      <c r="A72">
        <v>101</v>
      </c>
      <c r="B72" t="s">
        <v>140</v>
      </c>
      <c r="C72" t="s">
        <v>52</v>
      </c>
      <c r="D72">
        <v>0</v>
      </c>
      <c r="E72" s="12">
        <v>99</v>
      </c>
      <c r="F72" s="91">
        <v>2007</v>
      </c>
      <c r="G72" s="18"/>
      <c r="H72" s="18"/>
      <c r="I72" s="18"/>
      <c r="J72" s="18"/>
      <c r="K72" s="17"/>
      <c r="L72" s="17"/>
      <c r="M72" s="17"/>
      <c r="N72" s="17"/>
      <c r="O72" s="20"/>
      <c r="P72" s="17"/>
      <c r="Q72" s="17"/>
      <c r="R72" s="20"/>
      <c r="S72" s="17"/>
      <c r="T72" s="17"/>
      <c r="U72" s="17"/>
      <c r="V72" s="17"/>
      <c r="W72" s="17"/>
      <c r="X72" s="17"/>
      <c r="Y72" s="17"/>
      <c r="Z72" s="17"/>
      <c r="AA72" s="17"/>
      <c r="AB72" s="17"/>
      <c r="AC72" s="18"/>
      <c r="AD72" s="18"/>
    </row>
    <row r="73" spans="1:30" x14ac:dyDescent="0.2">
      <c r="A73">
        <v>136</v>
      </c>
      <c r="B73" t="s">
        <v>156</v>
      </c>
      <c r="C73" t="s">
        <v>52</v>
      </c>
      <c r="D73">
        <v>0</v>
      </c>
      <c r="E73" s="12">
        <v>99</v>
      </c>
      <c r="F73">
        <v>2007</v>
      </c>
      <c r="H73" t="s">
        <v>160</v>
      </c>
      <c r="I73" t="s">
        <v>24</v>
      </c>
      <c r="J73" t="s">
        <v>24</v>
      </c>
      <c r="K73" t="s">
        <v>24</v>
      </c>
      <c r="L73" t="s">
        <v>24</v>
      </c>
      <c r="M73" t="s">
        <v>24</v>
      </c>
      <c r="O73" t="s">
        <v>24</v>
      </c>
      <c r="P73" t="s">
        <v>24</v>
      </c>
      <c r="Q73" t="s">
        <v>24</v>
      </c>
      <c r="R73" t="s">
        <v>24</v>
      </c>
      <c r="S73" t="s">
        <v>24</v>
      </c>
      <c r="T73" t="s">
        <v>24</v>
      </c>
      <c r="U73" t="s">
        <v>24</v>
      </c>
      <c r="V73" t="s">
        <v>24</v>
      </c>
      <c r="W73" t="s">
        <v>24</v>
      </c>
      <c r="X73" t="s">
        <v>24</v>
      </c>
      <c r="Y73" t="s">
        <v>24</v>
      </c>
      <c r="Z73" t="s">
        <v>24</v>
      </c>
      <c r="AA73" t="s">
        <v>24</v>
      </c>
      <c r="AB73" t="s">
        <v>24</v>
      </c>
      <c r="AC73" t="s">
        <v>24</v>
      </c>
      <c r="AD73" s="31"/>
    </row>
    <row r="74" spans="1:30" x14ac:dyDescent="0.2">
      <c r="A74">
        <v>16</v>
      </c>
      <c r="B74" t="s">
        <v>22</v>
      </c>
      <c r="C74" t="s">
        <v>52</v>
      </c>
      <c r="D74">
        <v>0</v>
      </c>
      <c r="E74" s="12">
        <v>99</v>
      </c>
      <c r="F74">
        <v>2007</v>
      </c>
      <c r="H74" t="s">
        <v>24</v>
      </c>
      <c r="I74" t="s">
        <v>24</v>
      </c>
      <c r="J74" t="s">
        <v>24</v>
      </c>
      <c r="K74" t="s">
        <v>24</v>
      </c>
      <c r="L74" t="s">
        <v>24</v>
      </c>
      <c r="M74" t="s">
        <v>24</v>
      </c>
      <c r="N74" s="57"/>
      <c r="O74" t="s">
        <v>24</v>
      </c>
      <c r="P74" t="s">
        <v>24</v>
      </c>
      <c r="Q74" t="s">
        <v>24</v>
      </c>
      <c r="R74" t="s">
        <v>24</v>
      </c>
      <c r="S74" t="s">
        <v>24</v>
      </c>
      <c r="T74" t="s">
        <v>24</v>
      </c>
      <c r="U74" t="s">
        <v>24</v>
      </c>
      <c r="V74" t="s">
        <v>24</v>
      </c>
      <c r="W74" t="s">
        <v>24</v>
      </c>
      <c r="X74" t="s">
        <v>24</v>
      </c>
      <c r="Y74" t="s">
        <v>24</v>
      </c>
      <c r="Z74" t="s">
        <v>24</v>
      </c>
      <c r="AA74" t="s">
        <v>24</v>
      </c>
      <c r="AB74" t="s">
        <v>24</v>
      </c>
      <c r="AC74" t="s">
        <v>24</v>
      </c>
      <c r="AD74" t="s">
        <v>25</v>
      </c>
    </row>
    <row r="75" spans="1:30" x14ac:dyDescent="0.2">
      <c r="A75">
        <v>46</v>
      </c>
      <c r="B75" t="s">
        <v>78</v>
      </c>
      <c r="C75" t="s">
        <v>52</v>
      </c>
      <c r="D75">
        <v>0</v>
      </c>
      <c r="E75" s="12">
        <v>99</v>
      </c>
      <c r="F75">
        <v>2007</v>
      </c>
      <c r="H75" t="s">
        <v>24</v>
      </c>
      <c r="I75" t="s">
        <v>24</v>
      </c>
      <c r="J75" t="s">
        <v>24</v>
      </c>
      <c r="K75" t="s">
        <v>24</v>
      </c>
      <c r="L75" t="s">
        <v>24</v>
      </c>
      <c r="M75" t="s">
        <v>24</v>
      </c>
      <c r="N75" s="46"/>
      <c r="O75" t="s">
        <v>24</v>
      </c>
      <c r="P75" t="s">
        <v>24</v>
      </c>
      <c r="Q75" t="s">
        <v>24</v>
      </c>
      <c r="R75" s="46"/>
      <c r="S75" t="s">
        <v>24</v>
      </c>
      <c r="T75" t="s">
        <v>24</v>
      </c>
      <c r="U75" t="s">
        <v>24</v>
      </c>
      <c r="V75" t="s">
        <v>24</v>
      </c>
      <c r="W75" t="s">
        <v>24</v>
      </c>
      <c r="X75" t="s">
        <v>24</v>
      </c>
      <c r="Y75" t="s">
        <v>24</v>
      </c>
      <c r="Z75" t="s">
        <v>24</v>
      </c>
      <c r="AA75" t="s">
        <v>24</v>
      </c>
      <c r="AB75" t="s">
        <v>24</v>
      </c>
      <c r="AC75" t="s">
        <v>24</v>
      </c>
      <c r="AD75" t="s">
        <v>24</v>
      </c>
    </row>
    <row r="76" spans="1:30" x14ac:dyDescent="0.2">
      <c r="A76">
        <v>167</v>
      </c>
      <c r="B76" t="s">
        <v>172</v>
      </c>
      <c r="C76" t="s">
        <v>52</v>
      </c>
      <c r="D76">
        <v>0</v>
      </c>
      <c r="E76" s="12">
        <v>99</v>
      </c>
      <c r="F76">
        <v>2007</v>
      </c>
      <c r="H76" s="58"/>
      <c r="I76" s="58"/>
      <c r="J76" s="58"/>
      <c r="K76" s="58"/>
      <c r="L76" s="58"/>
      <c r="M76" s="58"/>
      <c r="N76" s="58"/>
      <c r="O76" s="58"/>
      <c r="P76" s="58"/>
      <c r="Q76" s="58"/>
      <c r="R76" s="58"/>
      <c r="S76" s="58"/>
      <c r="T76" s="58"/>
      <c r="U76" s="58"/>
      <c r="V76" s="58"/>
      <c r="W76" s="58"/>
      <c r="X76" s="58"/>
      <c r="Y76" s="58"/>
      <c r="Z76" s="58"/>
      <c r="AA76" s="58"/>
      <c r="AB76" s="58"/>
      <c r="AC76" t="s">
        <v>24</v>
      </c>
      <c r="AD76" s="64"/>
    </row>
    <row r="77" spans="1:30" x14ac:dyDescent="0.2">
      <c r="A77">
        <v>72</v>
      </c>
      <c r="B77" t="s">
        <v>111</v>
      </c>
      <c r="C77" s="11" t="s">
        <v>41</v>
      </c>
      <c r="D77">
        <v>0</v>
      </c>
      <c r="E77" s="12">
        <v>99</v>
      </c>
      <c r="F77" s="91">
        <v>2004</v>
      </c>
      <c r="H77" t="s">
        <v>24</v>
      </c>
      <c r="I77" t="s">
        <v>24</v>
      </c>
      <c r="J77" t="s">
        <v>24</v>
      </c>
      <c r="K77" s="38"/>
      <c r="L77" s="38"/>
      <c r="M77" s="38"/>
      <c r="N77" s="38"/>
      <c r="O77" s="38"/>
      <c r="P77" s="38"/>
      <c r="Q77" s="38"/>
      <c r="R77" s="38"/>
      <c r="S77" s="38"/>
      <c r="T77" s="38"/>
      <c r="U77" s="38"/>
      <c r="V77" s="38"/>
      <c r="W77" s="38"/>
      <c r="X77" s="38"/>
      <c r="Y77" s="38"/>
      <c r="Z77" s="38"/>
      <c r="AA77" s="38"/>
      <c r="AB77" t="s">
        <v>24</v>
      </c>
      <c r="AC77" t="s">
        <v>24</v>
      </c>
      <c r="AD77" t="s">
        <v>24</v>
      </c>
    </row>
    <row r="78" spans="1:30" x14ac:dyDescent="0.2">
      <c r="A78">
        <v>98</v>
      </c>
      <c r="B78" t="s">
        <v>140</v>
      </c>
      <c r="C78" s="11" t="s">
        <v>41</v>
      </c>
      <c r="D78">
        <v>0</v>
      </c>
      <c r="E78" s="12">
        <v>99</v>
      </c>
      <c r="F78" s="91">
        <v>2004</v>
      </c>
      <c r="G78" s="18"/>
      <c r="H78" s="18"/>
      <c r="I78" s="18"/>
      <c r="J78" s="18"/>
      <c r="K78" s="20"/>
      <c r="L78" s="20"/>
      <c r="M78" s="20"/>
      <c r="N78" s="20"/>
      <c r="O78" s="20"/>
      <c r="P78" s="20"/>
      <c r="Q78" s="20"/>
      <c r="R78" s="20"/>
      <c r="S78" s="20"/>
      <c r="T78" s="20"/>
      <c r="U78" s="20"/>
      <c r="V78" s="20"/>
      <c r="W78" s="20"/>
      <c r="X78" s="20"/>
      <c r="Y78" s="20"/>
      <c r="Z78" s="20"/>
      <c r="AA78" s="20"/>
      <c r="AB78" s="20"/>
      <c r="AC78" s="18"/>
      <c r="AD78" s="18"/>
    </row>
    <row r="79" spans="1:30" x14ac:dyDescent="0.2">
      <c r="A79">
        <v>127</v>
      </c>
      <c r="B79" t="s">
        <v>156</v>
      </c>
      <c r="C79" s="11" t="s">
        <v>41</v>
      </c>
      <c r="D79">
        <v>0</v>
      </c>
      <c r="E79" s="12">
        <v>99</v>
      </c>
      <c r="F79">
        <v>2004</v>
      </c>
      <c r="H79" t="s">
        <v>163</v>
      </c>
      <c r="I79" t="s">
        <v>24</v>
      </c>
      <c r="J79" t="s">
        <v>24</v>
      </c>
      <c r="K79" t="s">
        <v>24</v>
      </c>
      <c r="L79" t="s">
        <v>24</v>
      </c>
      <c r="M79" t="s">
        <v>24</v>
      </c>
      <c r="O79" t="s">
        <v>24</v>
      </c>
      <c r="P79" t="s">
        <v>24</v>
      </c>
      <c r="Q79" t="s">
        <v>24</v>
      </c>
      <c r="R79" t="s">
        <v>24</v>
      </c>
      <c r="S79" t="s">
        <v>24</v>
      </c>
      <c r="T79" t="s">
        <v>24</v>
      </c>
      <c r="U79" t="s">
        <v>24</v>
      </c>
      <c r="V79" t="s">
        <v>24</v>
      </c>
      <c r="W79" t="s">
        <v>24</v>
      </c>
      <c r="X79" t="s">
        <v>24</v>
      </c>
      <c r="Y79" t="s">
        <v>24</v>
      </c>
      <c r="Z79" t="s">
        <v>24</v>
      </c>
      <c r="AA79" t="s">
        <v>24</v>
      </c>
      <c r="AB79" t="s">
        <v>24</v>
      </c>
      <c r="AC79" t="s">
        <v>24</v>
      </c>
      <c r="AD79" s="31"/>
    </row>
    <row r="80" spans="1:30" x14ac:dyDescent="0.2">
      <c r="A80">
        <v>8</v>
      </c>
      <c r="B80" t="s">
        <v>22</v>
      </c>
      <c r="C80" s="11" t="s">
        <v>41</v>
      </c>
      <c r="D80">
        <v>0</v>
      </c>
      <c r="E80" s="12">
        <v>99</v>
      </c>
      <c r="F80">
        <v>2004</v>
      </c>
      <c r="H80" t="s">
        <v>24</v>
      </c>
      <c r="I80" t="s">
        <v>24</v>
      </c>
      <c r="J80" t="s">
        <v>24</v>
      </c>
      <c r="K80" s="40" t="s">
        <v>24</v>
      </c>
      <c r="L80" s="40" t="s">
        <v>24</v>
      </c>
      <c r="M80" s="40" t="s">
        <v>24</v>
      </c>
      <c r="N80" s="55"/>
      <c r="O80" t="s">
        <v>24</v>
      </c>
      <c r="P80" t="s">
        <v>24</v>
      </c>
      <c r="Q80" t="s">
        <v>24</v>
      </c>
      <c r="R80" s="40" t="s">
        <v>24</v>
      </c>
      <c r="S80" s="40" t="s">
        <v>24</v>
      </c>
      <c r="T80" s="40" t="s">
        <v>24</v>
      </c>
      <c r="U80" s="40" t="s">
        <v>24</v>
      </c>
      <c r="V80" s="40" t="s">
        <v>24</v>
      </c>
      <c r="W80" s="40" t="s">
        <v>24</v>
      </c>
      <c r="X80" s="40" t="s">
        <v>24</v>
      </c>
      <c r="Y80" s="40" t="s">
        <v>24</v>
      </c>
      <c r="Z80" s="40" t="s">
        <v>24</v>
      </c>
      <c r="AA80" s="40" t="s">
        <v>24</v>
      </c>
      <c r="AB80" t="s">
        <v>24</v>
      </c>
      <c r="AC80" t="s">
        <v>24</v>
      </c>
      <c r="AD80" t="s">
        <v>25</v>
      </c>
    </row>
    <row r="81" spans="1:30" x14ac:dyDescent="0.2">
      <c r="A81">
        <v>38</v>
      </c>
      <c r="B81" t="s">
        <v>78</v>
      </c>
      <c r="C81" s="11" t="s">
        <v>41</v>
      </c>
      <c r="D81">
        <v>0</v>
      </c>
      <c r="E81" s="12">
        <v>99</v>
      </c>
      <c r="F81">
        <v>2004</v>
      </c>
      <c r="H81" t="s">
        <v>24</v>
      </c>
      <c r="I81" t="s">
        <v>24</v>
      </c>
      <c r="J81" t="s">
        <v>24</v>
      </c>
      <c r="K81" t="s">
        <v>24</v>
      </c>
      <c r="L81" t="s">
        <v>24</v>
      </c>
      <c r="M81" t="s">
        <v>24</v>
      </c>
      <c r="N81" s="44"/>
      <c r="O81" t="s">
        <v>24</v>
      </c>
      <c r="P81" t="s">
        <v>24</v>
      </c>
      <c r="Q81" t="s">
        <v>24</v>
      </c>
      <c r="R81" s="44"/>
      <c r="S81" t="s">
        <v>24</v>
      </c>
      <c r="T81" t="s">
        <v>24</v>
      </c>
      <c r="U81" t="s">
        <v>24</v>
      </c>
      <c r="V81" t="s">
        <v>24</v>
      </c>
      <c r="W81" t="s">
        <v>24</v>
      </c>
      <c r="X81" t="s">
        <v>24</v>
      </c>
      <c r="Y81" t="s">
        <v>24</v>
      </c>
      <c r="Z81" t="s">
        <v>24</v>
      </c>
      <c r="AA81" t="s">
        <v>24</v>
      </c>
      <c r="AB81" t="s">
        <v>24</v>
      </c>
      <c r="AC81" t="s">
        <v>24</v>
      </c>
      <c r="AD81" t="s">
        <v>24</v>
      </c>
    </row>
    <row r="82" spans="1:30" x14ac:dyDescent="0.2">
      <c r="A82">
        <v>163</v>
      </c>
      <c r="B82" t="s">
        <v>172</v>
      </c>
      <c r="C82" s="11" t="s">
        <v>41</v>
      </c>
      <c r="D82">
        <v>0</v>
      </c>
      <c r="E82" s="12">
        <v>99</v>
      </c>
      <c r="F82">
        <v>2004</v>
      </c>
      <c r="H82" s="58"/>
      <c r="I82" s="58"/>
      <c r="J82" s="58"/>
      <c r="K82" s="58"/>
      <c r="L82" s="58"/>
      <c r="M82" s="58"/>
      <c r="N82" s="58"/>
      <c r="O82" s="58"/>
      <c r="P82" s="58"/>
      <c r="Q82" s="58"/>
      <c r="R82" s="58"/>
      <c r="S82" s="58"/>
      <c r="T82" s="58"/>
      <c r="U82" s="58"/>
      <c r="V82" s="58"/>
      <c r="W82" s="58"/>
      <c r="X82" s="58"/>
      <c r="Y82" s="58"/>
      <c r="Z82" s="58"/>
      <c r="AA82" s="58"/>
      <c r="AB82" s="58"/>
      <c r="AC82" t="s">
        <v>24</v>
      </c>
      <c r="AD82" s="64"/>
    </row>
    <row r="83" spans="1:30" x14ac:dyDescent="0.2">
      <c r="A83">
        <v>86</v>
      </c>
      <c r="B83" t="s">
        <v>111</v>
      </c>
      <c r="C83" t="s">
        <v>42</v>
      </c>
      <c r="D83">
        <v>0</v>
      </c>
      <c r="E83" s="12">
        <v>99</v>
      </c>
      <c r="F83" s="91">
        <v>2007</v>
      </c>
      <c r="H83" t="s">
        <v>24</v>
      </c>
      <c r="I83" t="s">
        <v>24</v>
      </c>
      <c r="J83" t="s">
        <v>24</v>
      </c>
      <c r="K83" s="38"/>
      <c r="L83" s="38"/>
      <c r="M83" s="38"/>
      <c r="N83" s="38"/>
      <c r="O83" s="38"/>
      <c r="P83" s="38"/>
      <c r="Q83" s="38"/>
      <c r="R83" s="38"/>
      <c r="S83" s="38"/>
      <c r="T83" s="38"/>
      <c r="U83" s="38"/>
      <c r="V83" s="38"/>
      <c r="W83" s="38"/>
      <c r="X83" s="38"/>
      <c r="Y83" s="38"/>
      <c r="Z83" s="38"/>
      <c r="AA83" s="38"/>
      <c r="AB83" t="s">
        <v>24</v>
      </c>
      <c r="AC83" t="s">
        <v>24</v>
      </c>
      <c r="AD83" t="s">
        <v>24</v>
      </c>
    </row>
    <row r="84" spans="1:30" x14ac:dyDescent="0.2">
      <c r="A84">
        <v>99</v>
      </c>
      <c r="B84" t="s">
        <v>140</v>
      </c>
      <c r="C84" t="s">
        <v>42</v>
      </c>
      <c r="D84">
        <v>0</v>
      </c>
      <c r="E84" s="12">
        <v>99</v>
      </c>
      <c r="F84" s="91">
        <v>2007</v>
      </c>
      <c r="G84" s="18"/>
      <c r="H84" s="18"/>
      <c r="I84" s="18"/>
      <c r="J84" s="18"/>
      <c r="K84" s="20"/>
      <c r="L84" s="20"/>
      <c r="M84" s="20"/>
      <c r="N84" s="20"/>
      <c r="O84" s="20"/>
      <c r="P84" s="20"/>
      <c r="Q84" s="20"/>
      <c r="R84" s="20"/>
      <c r="S84" s="20"/>
      <c r="T84" s="20"/>
      <c r="U84" s="20"/>
      <c r="V84" s="20"/>
      <c r="W84" s="20"/>
      <c r="X84" s="20"/>
      <c r="Y84" s="20"/>
      <c r="Z84" s="20"/>
      <c r="AA84" s="20"/>
      <c r="AB84" s="20"/>
      <c r="AC84" s="18"/>
      <c r="AD84" s="18"/>
    </row>
    <row r="85" spans="1:30" x14ac:dyDescent="0.2">
      <c r="A85">
        <v>128</v>
      </c>
      <c r="B85" t="s">
        <v>156</v>
      </c>
      <c r="C85" t="s">
        <v>42</v>
      </c>
      <c r="D85">
        <v>0</v>
      </c>
      <c r="E85" s="12">
        <v>99</v>
      </c>
      <c r="F85">
        <v>2007</v>
      </c>
      <c r="H85" t="s">
        <v>163</v>
      </c>
      <c r="I85" t="s">
        <v>24</v>
      </c>
      <c r="J85" t="s">
        <v>24</v>
      </c>
      <c r="K85" t="s">
        <v>24</v>
      </c>
      <c r="L85" t="s">
        <v>24</v>
      </c>
      <c r="M85" t="s">
        <v>24</v>
      </c>
      <c r="O85" t="s">
        <v>24</v>
      </c>
      <c r="P85" t="s">
        <v>24</v>
      </c>
      <c r="Q85" t="s">
        <v>24</v>
      </c>
      <c r="R85" t="s">
        <v>24</v>
      </c>
      <c r="S85" t="s">
        <v>24</v>
      </c>
      <c r="T85" t="s">
        <v>24</v>
      </c>
      <c r="U85" t="s">
        <v>24</v>
      </c>
      <c r="V85" t="s">
        <v>24</v>
      </c>
      <c r="W85" t="s">
        <v>24</v>
      </c>
      <c r="X85" t="s">
        <v>24</v>
      </c>
      <c r="Y85" t="s">
        <v>24</v>
      </c>
      <c r="Z85" t="s">
        <v>24</v>
      </c>
      <c r="AA85" t="s">
        <v>24</v>
      </c>
      <c r="AB85" t="s">
        <v>24</v>
      </c>
      <c r="AC85" t="s">
        <v>24</v>
      </c>
      <c r="AD85" s="31"/>
    </row>
    <row r="86" spans="1:30" x14ac:dyDescent="0.2">
      <c r="A86">
        <v>9</v>
      </c>
      <c r="B86" t="s">
        <v>22</v>
      </c>
      <c r="C86" t="s">
        <v>42</v>
      </c>
      <c r="D86">
        <v>0</v>
      </c>
      <c r="E86" s="12">
        <v>99</v>
      </c>
      <c r="F86">
        <v>2007</v>
      </c>
      <c r="H86" t="s">
        <v>24</v>
      </c>
      <c r="I86" t="s">
        <v>24</v>
      </c>
      <c r="J86" t="s">
        <v>24</v>
      </c>
      <c r="K86" t="s">
        <v>24</v>
      </c>
      <c r="L86" t="s">
        <v>24</v>
      </c>
      <c r="M86" t="s">
        <v>24</v>
      </c>
      <c r="N86" s="55"/>
      <c r="O86" t="s">
        <v>24</v>
      </c>
      <c r="P86" t="s">
        <v>24</v>
      </c>
      <c r="Q86" t="s">
        <v>24</v>
      </c>
      <c r="R86" t="s">
        <v>24</v>
      </c>
      <c r="S86" t="s">
        <v>24</v>
      </c>
      <c r="T86" t="s">
        <v>24</v>
      </c>
      <c r="U86" t="s">
        <v>24</v>
      </c>
      <c r="V86" t="s">
        <v>24</v>
      </c>
      <c r="W86" t="s">
        <v>24</v>
      </c>
      <c r="X86" t="s">
        <v>24</v>
      </c>
      <c r="Y86" t="s">
        <v>24</v>
      </c>
      <c r="Z86" t="s">
        <v>24</v>
      </c>
      <c r="AA86" t="s">
        <v>24</v>
      </c>
      <c r="AB86" t="s">
        <v>24</v>
      </c>
      <c r="AC86" t="s">
        <v>24</v>
      </c>
      <c r="AD86" t="s">
        <v>25</v>
      </c>
    </row>
    <row r="87" spans="1:30" x14ac:dyDescent="0.2">
      <c r="A87">
        <v>39</v>
      </c>
      <c r="B87" t="s">
        <v>78</v>
      </c>
      <c r="C87" t="s">
        <v>42</v>
      </c>
      <c r="D87">
        <v>0</v>
      </c>
      <c r="E87" s="12">
        <v>99</v>
      </c>
      <c r="F87">
        <v>2007</v>
      </c>
      <c r="H87" t="s">
        <v>24</v>
      </c>
      <c r="I87" t="s">
        <v>24</v>
      </c>
      <c r="J87" t="s">
        <v>24</v>
      </c>
      <c r="K87" t="s">
        <v>24</v>
      </c>
      <c r="L87" t="s">
        <v>24</v>
      </c>
      <c r="M87" t="s">
        <v>24</v>
      </c>
      <c r="N87" s="44"/>
      <c r="O87" t="s">
        <v>24</v>
      </c>
      <c r="P87" t="s">
        <v>24</v>
      </c>
      <c r="Q87" t="s">
        <v>24</v>
      </c>
      <c r="R87" s="44"/>
      <c r="S87" t="s">
        <v>24</v>
      </c>
      <c r="T87" t="s">
        <v>24</v>
      </c>
      <c r="U87" t="s">
        <v>24</v>
      </c>
      <c r="V87" t="s">
        <v>24</v>
      </c>
      <c r="W87" t="s">
        <v>24</v>
      </c>
      <c r="X87" t="s">
        <v>24</v>
      </c>
      <c r="Y87" t="s">
        <v>24</v>
      </c>
      <c r="Z87" t="s">
        <v>24</v>
      </c>
      <c r="AA87" t="s">
        <v>24</v>
      </c>
      <c r="AB87" t="s">
        <v>24</v>
      </c>
      <c r="AC87" t="s">
        <v>24</v>
      </c>
      <c r="AD87" t="s">
        <v>24</v>
      </c>
    </row>
    <row r="88" spans="1:30" x14ac:dyDescent="0.2">
      <c r="A88">
        <v>164</v>
      </c>
      <c r="B88" t="s">
        <v>172</v>
      </c>
      <c r="C88" t="s">
        <v>42</v>
      </c>
      <c r="D88">
        <v>0</v>
      </c>
      <c r="E88" s="12">
        <v>99</v>
      </c>
      <c r="F88">
        <v>2007</v>
      </c>
      <c r="H88" s="58"/>
      <c r="I88" s="58"/>
      <c r="J88" s="58"/>
      <c r="K88" s="58"/>
      <c r="L88" s="58"/>
      <c r="M88" s="58"/>
      <c r="N88" s="58"/>
      <c r="O88" s="58"/>
      <c r="P88" s="58"/>
      <c r="Q88" s="58"/>
      <c r="R88" s="58"/>
      <c r="S88" s="58"/>
      <c r="T88" s="58"/>
      <c r="U88" s="58"/>
      <c r="V88" s="58"/>
      <c r="W88" s="58"/>
      <c r="X88" s="58"/>
      <c r="Y88" s="58"/>
      <c r="Z88" s="58"/>
      <c r="AA88" s="58"/>
      <c r="AB88" s="58"/>
      <c r="AC88" t="s">
        <v>24</v>
      </c>
      <c r="AD88" s="64"/>
    </row>
    <row r="89" spans="1:30" x14ac:dyDescent="0.2">
      <c r="A89">
        <v>83</v>
      </c>
      <c r="B89" t="s">
        <v>111</v>
      </c>
      <c r="C89" s="11" t="s">
        <v>31</v>
      </c>
      <c r="D89">
        <v>1</v>
      </c>
      <c r="E89" s="12">
        <v>1</v>
      </c>
      <c r="F89" s="72">
        <v>2013</v>
      </c>
      <c r="G89">
        <v>2</v>
      </c>
      <c r="H89" t="s">
        <v>132</v>
      </c>
      <c r="I89" t="s">
        <v>33</v>
      </c>
      <c r="J89" t="s">
        <v>133</v>
      </c>
      <c r="K89">
        <f>PI()*(0.04^2)</f>
        <v>5.0265482457436689E-3</v>
      </c>
      <c r="L89">
        <v>156</v>
      </c>
      <c r="M89">
        <f>(K89*L89)/10000</f>
        <v>7.8414152633601232E-5</v>
      </c>
      <c r="O89">
        <v>1</v>
      </c>
      <c r="P89" s="36">
        <f>(AVERAGE(250,500)*365)</f>
        <v>136875</v>
      </c>
      <c r="Q89" s="36">
        <f>9000*365</f>
        <v>3285000</v>
      </c>
      <c r="R89">
        <v>3285000</v>
      </c>
      <c r="T89">
        <v>1</v>
      </c>
      <c r="W89">
        <v>1</v>
      </c>
      <c r="Y89">
        <v>1</v>
      </c>
      <c r="AB89">
        <v>0</v>
      </c>
      <c r="AC89" t="s">
        <v>24</v>
      </c>
      <c r="AD89" t="s">
        <v>134</v>
      </c>
    </row>
    <row r="90" spans="1:30" x14ac:dyDescent="0.2">
      <c r="A90">
        <v>92</v>
      </c>
      <c r="B90" t="s">
        <v>140</v>
      </c>
      <c r="C90" s="11" t="s">
        <v>31</v>
      </c>
      <c r="D90">
        <v>1</v>
      </c>
      <c r="E90" s="12">
        <v>1</v>
      </c>
      <c r="F90" s="14">
        <v>2013</v>
      </c>
      <c r="G90" s="14">
        <v>2</v>
      </c>
      <c r="H90" s="14" t="s">
        <v>32</v>
      </c>
      <c r="I90" s="14" t="s">
        <v>33</v>
      </c>
      <c r="J90" s="14" t="s">
        <v>143</v>
      </c>
      <c r="K90" s="14">
        <v>0.05</v>
      </c>
      <c r="L90" s="14">
        <v>156</v>
      </c>
      <c r="M90" s="14">
        <f>0.05*156/10000</f>
        <v>7.8000000000000009E-4</v>
      </c>
      <c r="N90" s="14"/>
      <c r="O90" s="14">
        <v>7</v>
      </c>
      <c r="P90" s="14">
        <v>7300</v>
      </c>
      <c r="Q90" s="14">
        <f>7*156</f>
        <v>1092</v>
      </c>
      <c r="R90" s="14">
        <f>365*9000</f>
        <v>3285000</v>
      </c>
      <c r="S90" s="14"/>
      <c r="T90" s="14"/>
      <c r="U90" s="14"/>
      <c r="V90" s="14">
        <v>1</v>
      </c>
      <c r="W90" s="14"/>
      <c r="X90" s="14"/>
      <c r="Y90" s="14">
        <v>1</v>
      </c>
      <c r="Z90" s="14"/>
      <c r="AA90" s="14"/>
      <c r="AB90" s="14">
        <v>0</v>
      </c>
      <c r="AC90" s="14"/>
      <c r="AD90" s="17"/>
    </row>
    <row r="91" spans="1:30" x14ac:dyDescent="0.2">
      <c r="A91">
        <v>93</v>
      </c>
      <c r="B91" t="s">
        <v>140</v>
      </c>
      <c r="C91" s="11" t="s">
        <v>31</v>
      </c>
      <c r="D91">
        <v>1</v>
      </c>
      <c r="E91" s="12">
        <v>1</v>
      </c>
      <c r="F91" s="24">
        <v>2013</v>
      </c>
      <c r="G91" s="24">
        <v>2</v>
      </c>
      <c r="H91" s="24" t="s">
        <v>32</v>
      </c>
      <c r="I91" s="24" t="s">
        <v>33</v>
      </c>
      <c r="J91" s="24" t="s">
        <v>143</v>
      </c>
      <c r="K91" s="14">
        <v>0.05</v>
      </c>
      <c r="L91" s="14">
        <v>156</v>
      </c>
      <c r="M91" s="14">
        <f>0.05*156/10000</f>
        <v>7.8000000000000009E-4</v>
      </c>
      <c r="N91" s="14"/>
      <c r="O91" s="14">
        <v>7</v>
      </c>
      <c r="P91" s="14">
        <v>91250</v>
      </c>
      <c r="Q91" s="14">
        <f>7*156</f>
        <v>1092</v>
      </c>
      <c r="R91" s="14">
        <f>365*9000</f>
        <v>3285000</v>
      </c>
      <c r="S91" s="14"/>
      <c r="T91" s="14"/>
      <c r="U91" s="14"/>
      <c r="V91" s="14">
        <v>1</v>
      </c>
      <c r="W91" s="14"/>
      <c r="X91" s="14"/>
      <c r="Y91" s="14">
        <v>1</v>
      </c>
      <c r="Z91" s="14"/>
      <c r="AA91" s="14"/>
      <c r="AB91" s="14">
        <v>0</v>
      </c>
      <c r="AC91" s="24"/>
      <c r="AD91" s="20"/>
    </row>
    <row r="92" spans="1:30" x14ac:dyDescent="0.2">
      <c r="A92">
        <v>94</v>
      </c>
      <c r="B92" t="s">
        <v>140</v>
      </c>
      <c r="C92" s="11" t="s">
        <v>31</v>
      </c>
      <c r="D92">
        <v>1</v>
      </c>
      <c r="E92" s="12">
        <v>1</v>
      </c>
      <c r="F92" s="14">
        <v>2013</v>
      </c>
      <c r="G92" s="14">
        <v>2</v>
      </c>
      <c r="H92" s="14" t="s">
        <v>32</v>
      </c>
      <c r="I92" s="14" t="s">
        <v>33</v>
      </c>
      <c r="J92" s="14" t="s">
        <v>143</v>
      </c>
      <c r="K92" s="14">
        <v>0.05</v>
      </c>
      <c r="L92" s="14">
        <v>156</v>
      </c>
      <c r="M92" s="14">
        <f>0.05*156/10000</f>
        <v>7.8000000000000009E-4</v>
      </c>
      <c r="N92" s="14"/>
      <c r="O92" s="14">
        <v>7</v>
      </c>
      <c r="P92" s="14">
        <v>182500</v>
      </c>
      <c r="Q92" s="14">
        <f>7*156</f>
        <v>1092</v>
      </c>
      <c r="R92" s="14">
        <f>365*9000</f>
        <v>3285000</v>
      </c>
      <c r="S92" s="14"/>
      <c r="T92" s="14"/>
      <c r="U92" s="14"/>
      <c r="V92" s="14">
        <v>1</v>
      </c>
      <c r="W92" s="14"/>
      <c r="X92" s="14"/>
      <c r="Y92" s="14">
        <v>1</v>
      </c>
      <c r="Z92" s="14"/>
      <c r="AA92" s="14"/>
      <c r="AB92" s="14">
        <v>0</v>
      </c>
      <c r="AC92" s="14"/>
      <c r="AD92" s="14"/>
    </row>
    <row r="93" spans="1:30" x14ac:dyDescent="0.2">
      <c r="A93">
        <v>124</v>
      </c>
      <c r="B93" t="s">
        <v>156</v>
      </c>
      <c r="C93" s="11" t="s">
        <v>31</v>
      </c>
      <c r="D93">
        <v>1</v>
      </c>
      <c r="E93" s="12">
        <v>1</v>
      </c>
      <c r="F93">
        <v>2013</v>
      </c>
      <c r="G93">
        <v>2</v>
      </c>
      <c r="H93" t="s">
        <v>158</v>
      </c>
      <c r="I93" t="s">
        <v>33</v>
      </c>
      <c r="J93" t="s">
        <v>159</v>
      </c>
      <c r="K93">
        <v>7.85398163397448E-3</v>
      </c>
      <c r="L93">
        <v>156</v>
      </c>
      <c r="M93">
        <v>1.22522113490002E-4</v>
      </c>
      <c r="O93" t="s">
        <v>24</v>
      </c>
      <c r="P93">
        <v>18262.5</v>
      </c>
      <c r="Q93">
        <v>3287250</v>
      </c>
      <c r="R93" t="s">
        <v>24</v>
      </c>
      <c r="S93" t="s">
        <v>24</v>
      </c>
      <c r="T93" t="s">
        <v>24</v>
      </c>
      <c r="U93" t="s">
        <v>24</v>
      </c>
      <c r="V93" t="s">
        <v>24</v>
      </c>
      <c r="W93" t="s">
        <v>24</v>
      </c>
      <c r="X93" t="s">
        <v>24</v>
      </c>
      <c r="Y93" t="s">
        <v>24</v>
      </c>
      <c r="Z93" t="s">
        <v>24</v>
      </c>
      <c r="AA93" t="s">
        <v>24</v>
      </c>
      <c r="AB93">
        <v>0</v>
      </c>
      <c r="AC93" t="s">
        <v>24</v>
      </c>
      <c r="AD93" s="30" t="s">
        <v>195</v>
      </c>
    </row>
    <row r="94" spans="1:30" x14ac:dyDescent="0.2">
      <c r="A94">
        <v>4</v>
      </c>
      <c r="B94" t="s">
        <v>22</v>
      </c>
      <c r="C94" s="11" t="s">
        <v>31</v>
      </c>
      <c r="D94">
        <v>1</v>
      </c>
      <c r="E94" s="12">
        <v>1</v>
      </c>
      <c r="F94">
        <v>2013</v>
      </c>
      <c r="G94">
        <v>2</v>
      </c>
      <c r="H94" t="s">
        <v>32</v>
      </c>
      <c r="I94" t="s">
        <v>33</v>
      </c>
      <c r="J94" t="s">
        <v>34</v>
      </c>
      <c r="K94">
        <v>7.85398163397448E-3</v>
      </c>
      <c r="L94">
        <v>156</v>
      </c>
      <c r="M94">
        <v>1.22522113490002E-4</v>
      </c>
      <c r="N94" s="54">
        <v>1371129196.368</v>
      </c>
      <c r="O94">
        <v>5.4166666666666703E-2</v>
      </c>
      <c r="P94">
        <v>91250</v>
      </c>
      <c r="Q94" s="29">
        <f>4800*365</f>
        <v>1752000</v>
      </c>
      <c r="R94">
        <v>1752000</v>
      </c>
      <c r="S94" t="s">
        <v>24</v>
      </c>
      <c r="T94" t="s">
        <v>24</v>
      </c>
      <c r="U94" t="s">
        <v>24</v>
      </c>
      <c r="V94" t="s">
        <v>24</v>
      </c>
      <c r="W94" t="s">
        <v>24</v>
      </c>
      <c r="X94" t="s">
        <v>24</v>
      </c>
      <c r="Y94">
        <v>1</v>
      </c>
      <c r="Z94" t="s">
        <v>24</v>
      </c>
      <c r="AA94" t="s">
        <v>24</v>
      </c>
      <c r="AB94">
        <v>0</v>
      </c>
      <c r="AC94" t="s">
        <v>24</v>
      </c>
      <c r="AD94" t="s">
        <v>24</v>
      </c>
    </row>
    <row r="95" spans="1:30" x14ac:dyDescent="0.2">
      <c r="A95">
        <v>34</v>
      </c>
      <c r="B95" t="s">
        <v>78</v>
      </c>
      <c r="C95" s="11" t="s">
        <v>31</v>
      </c>
      <c r="D95">
        <v>1</v>
      </c>
      <c r="E95" s="12">
        <v>1</v>
      </c>
      <c r="F95" s="40">
        <v>2013</v>
      </c>
      <c r="G95" s="40">
        <v>2</v>
      </c>
      <c r="H95" s="40" t="s">
        <v>32</v>
      </c>
      <c r="I95" s="40" t="s">
        <v>33</v>
      </c>
      <c r="J95" s="40" t="s">
        <v>82</v>
      </c>
      <c r="K95">
        <v>7.85398163397448E-3</v>
      </c>
      <c r="L95">
        <v>156</v>
      </c>
      <c r="M95">
        <v>1.22522113490002E-4</v>
      </c>
      <c r="N95" s="50">
        <v>438041000</v>
      </c>
      <c r="O95" t="s">
        <v>24</v>
      </c>
      <c r="P95">
        <v>91250</v>
      </c>
      <c r="Q95" s="33">
        <f>(9000-50)*365</f>
        <v>3266750</v>
      </c>
      <c r="R95" s="30">
        <f>Q95</f>
        <v>3266750</v>
      </c>
      <c r="S95">
        <v>0</v>
      </c>
      <c r="T95">
        <v>0</v>
      </c>
      <c r="U95">
        <v>0</v>
      </c>
      <c r="V95">
        <v>0</v>
      </c>
      <c r="W95">
        <v>0</v>
      </c>
      <c r="X95">
        <v>0</v>
      </c>
      <c r="Y95">
        <v>1</v>
      </c>
      <c r="Z95">
        <v>0</v>
      </c>
      <c r="AA95">
        <v>0</v>
      </c>
      <c r="AB95">
        <v>0</v>
      </c>
      <c r="AC95" s="40" t="s">
        <v>24</v>
      </c>
      <c r="AD95" s="40" t="s">
        <v>83</v>
      </c>
    </row>
    <row r="96" spans="1:30" x14ac:dyDescent="0.2">
      <c r="A96">
        <v>159</v>
      </c>
      <c r="B96" t="s">
        <v>172</v>
      </c>
      <c r="C96" s="11" t="s">
        <v>31</v>
      </c>
      <c r="D96">
        <v>1</v>
      </c>
      <c r="E96" s="12">
        <v>1</v>
      </c>
      <c r="F96">
        <v>2013</v>
      </c>
      <c r="G96">
        <v>2</v>
      </c>
      <c r="H96" s="58" t="s">
        <v>32</v>
      </c>
      <c r="I96" s="58" t="s">
        <v>33</v>
      </c>
      <c r="J96" s="58" t="s">
        <v>173</v>
      </c>
      <c r="K96" s="58">
        <f>PI()*0.05^2</f>
        <v>7.8539816339744835E-3</v>
      </c>
      <c r="L96" s="58">
        <v>156</v>
      </c>
      <c r="M96" s="61">
        <f>K96*L96/10000</f>
        <v>1.2252211349000195E-4</v>
      </c>
      <c r="N96" s="63">
        <v>790000000</v>
      </c>
      <c r="O96" s="58"/>
      <c r="P96" s="58">
        <f>50*365</f>
        <v>18250</v>
      </c>
      <c r="Q96" s="58">
        <f>9000*365</f>
        <v>3285000</v>
      </c>
      <c r="R96" s="66">
        <f>9000*365</f>
        <v>3285000</v>
      </c>
      <c r="S96" s="58">
        <v>0</v>
      </c>
      <c r="T96" s="58">
        <v>0</v>
      </c>
      <c r="U96" s="58">
        <v>0</v>
      </c>
      <c r="V96" s="58">
        <v>0</v>
      </c>
      <c r="W96" s="58">
        <v>0</v>
      </c>
      <c r="X96" s="58">
        <v>0</v>
      </c>
      <c r="Y96" s="58">
        <v>1</v>
      </c>
      <c r="Z96" s="58">
        <v>0</v>
      </c>
      <c r="AA96" s="58">
        <v>0</v>
      </c>
      <c r="AB96" s="58">
        <v>0</v>
      </c>
      <c r="AC96" t="s">
        <v>24</v>
      </c>
      <c r="AD96" s="64" t="s">
        <v>227</v>
      </c>
    </row>
    <row r="97" spans="1:30" x14ac:dyDescent="0.2">
      <c r="A97">
        <v>81</v>
      </c>
      <c r="B97" t="s">
        <v>111</v>
      </c>
      <c r="C97" t="s">
        <v>53</v>
      </c>
      <c r="D97">
        <v>0</v>
      </c>
      <c r="E97" s="12">
        <v>99</v>
      </c>
      <c r="F97" s="91">
        <v>2008</v>
      </c>
      <c r="H97" t="s">
        <v>24</v>
      </c>
      <c r="I97" t="s">
        <v>24</v>
      </c>
      <c r="J97" t="s">
        <v>24</v>
      </c>
      <c r="K97" s="38"/>
      <c r="L97" s="38"/>
      <c r="M97" s="38"/>
      <c r="N97" s="38"/>
      <c r="O97" s="38"/>
      <c r="P97" s="38"/>
      <c r="Q97" s="38"/>
      <c r="R97" s="38"/>
      <c r="S97" s="38"/>
      <c r="T97" s="38"/>
      <c r="U97" s="38"/>
      <c r="V97" s="38"/>
      <c r="W97" s="38"/>
      <c r="X97" s="38"/>
      <c r="Y97" s="38"/>
      <c r="Z97" s="38"/>
      <c r="AA97" s="38"/>
      <c r="AB97" t="s">
        <v>24</v>
      </c>
      <c r="AC97" t="s">
        <v>24</v>
      </c>
      <c r="AD97" t="s">
        <v>24</v>
      </c>
    </row>
    <row r="98" spans="1:30" x14ac:dyDescent="0.2">
      <c r="A98">
        <v>102</v>
      </c>
      <c r="B98" t="s">
        <v>140</v>
      </c>
      <c r="C98" t="s">
        <v>53</v>
      </c>
      <c r="D98">
        <v>0</v>
      </c>
      <c r="E98" s="12">
        <v>99</v>
      </c>
      <c r="F98" s="91">
        <v>2008</v>
      </c>
      <c r="G98" s="18"/>
      <c r="H98" s="18"/>
      <c r="I98" s="18"/>
      <c r="J98" s="18"/>
      <c r="K98" s="20"/>
      <c r="L98" s="20"/>
      <c r="M98" s="20"/>
      <c r="N98" s="20"/>
      <c r="O98" s="20"/>
      <c r="P98" s="20"/>
      <c r="Q98" s="20"/>
      <c r="R98" s="20"/>
      <c r="S98" s="17"/>
      <c r="T98" s="17"/>
      <c r="U98" s="17"/>
      <c r="V98" s="17"/>
      <c r="W98" s="17"/>
      <c r="X98" s="17"/>
      <c r="Y98" s="17"/>
      <c r="Z98" s="17"/>
      <c r="AA98" s="17"/>
      <c r="AB98" s="17"/>
      <c r="AC98" s="18"/>
      <c r="AD98" s="25"/>
    </row>
    <row r="99" spans="1:30" x14ac:dyDescent="0.2">
      <c r="A99">
        <v>144</v>
      </c>
      <c r="B99" t="s">
        <v>156</v>
      </c>
      <c r="C99" t="s">
        <v>53</v>
      </c>
      <c r="D99">
        <v>0</v>
      </c>
      <c r="E99" s="12">
        <v>99</v>
      </c>
      <c r="F99">
        <v>2008</v>
      </c>
      <c r="H99" t="s">
        <v>160</v>
      </c>
      <c r="I99" t="s">
        <v>24</v>
      </c>
      <c r="J99" t="s">
        <v>24</v>
      </c>
      <c r="K99" t="s">
        <v>24</v>
      </c>
      <c r="L99" t="s">
        <v>24</v>
      </c>
      <c r="M99" t="s">
        <v>24</v>
      </c>
      <c r="O99" t="s">
        <v>24</v>
      </c>
      <c r="P99" t="s">
        <v>24</v>
      </c>
      <c r="Q99" t="s">
        <v>24</v>
      </c>
      <c r="R99" t="s">
        <v>24</v>
      </c>
      <c r="S99" t="s">
        <v>24</v>
      </c>
      <c r="T99" t="s">
        <v>24</v>
      </c>
      <c r="U99" t="s">
        <v>24</v>
      </c>
      <c r="V99" t="s">
        <v>24</v>
      </c>
      <c r="W99" t="s">
        <v>24</v>
      </c>
      <c r="X99" t="s">
        <v>24</v>
      </c>
      <c r="Y99" t="s">
        <v>24</v>
      </c>
      <c r="Z99" t="s">
        <v>24</v>
      </c>
      <c r="AA99" t="s">
        <v>24</v>
      </c>
      <c r="AB99" t="s">
        <v>24</v>
      </c>
      <c r="AC99" t="s">
        <v>24</v>
      </c>
      <c r="AD99" s="31"/>
    </row>
    <row r="100" spans="1:30" x14ac:dyDescent="0.2">
      <c r="A100">
        <v>17</v>
      </c>
      <c r="B100" t="s">
        <v>22</v>
      </c>
      <c r="C100" t="s">
        <v>53</v>
      </c>
      <c r="D100">
        <v>0</v>
      </c>
      <c r="E100" s="12">
        <v>99</v>
      </c>
      <c r="F100">
        <v>2008</v>
      </c>
      <c r="H100" t="s">
        <v>24</v>
      </c>
      <c r="I100" t="s">
        <v>24</v>
      </c>
      <c r="J100" t="s">
        <v>24</v>
      </c>
      <c r="K100" t="s">
        <v>24</v>
      </c>
      <c r="L100" t="s">
        <v>24</v>
      </c>
      <c r="M100" t="s">
        <v>24</v>
      </c>
      <c r="N100" s="55"/>
      <c r="O100" t="s">
        <v>24</v>
      </c>
      <c r="P100" t="s">
        <v>24</v>
      </c>
      <c r="Q100" t="s">
        <v>24</v>
      </c>
      <c r="R100" t="s">
        <v>24</v>
      </c>
      <c r="S100" t="s">
        <v>24</v>
      </c>
      <c r="T100" t="s">
        <v>24</v>
      </c>
      <c r="U100" t="s">
        <v>24</v>
      </c>
      <c r="V100" t="s">
        <v>24</v>
      </c>
      <c r="W100" t="s">
        <v>24</v>
      </c>
      <c r="X100" t="s">
        <v>24</v>
      </c>
      <c r="Y100" t="s">
        <v>24</v>
      </c>
      <c r="Z100" t="s">
        <v>24</v>
      </c>
      <c r="AA100" t="s">
        <v>24</v>
      </c>
      <c r="AB100" t="s">
        <v>24</v>
      </c>
      <c r="AC100" t="s">
        <v>24</v>
      </c>
      <c r="AD100" t="s">
        <v>25</v>
      </c>
    </row>
    <row r="101" spans="1:30" x14ac:dyDescent="0.2">
      <c r="A101">
        <v>47</v>
      </c>
      <c r="B101" t="s">
        <v>78</v>
      </c>
      <c r="C101" t="s">
        <v>53</v>
      </c>
      <c r="D101">
        <v>0</v>
      </c>
      <c r="E101" s="12">
        <v>99</v>
      </c>
      <c r="F101">
        <v>2008</v>
      </c>
      <c r="H101" t="s">
        <v>24</v>
      </c>
      <c r="I101" t="s">
        <v>24</v>
      </c>
      <c r="J101" t="s">
        <v>24</v>
      </c>
      <c r="K101" t="s">
        <v>24</v>
      </c>
      <c r="L101" t="s">
        <v>24</v>
      </c>
      <c r="M101" t="s">
        <v>24</v>
      </c>
      <c r="N101" s="44"/>
      <c r="O101" t="s">
        <v>24</v>
      </c>
      <c r="P101" t="s">
        <v>24</v>
      </c>
      <c r="Q101" t="s">
        <v>24</v>
      </c>
      <c r="R101" s="44"/>
      <c r="S101" t="s">
        <v>24</v>
      </c>
      <c r="T101" t="s">
        <v>24</v>
      </c>
      <c r="U101" t="s">
        <v>24</v>
      </c>
      <c r="V101" t="s">
        <v>24</v>
      </c>
      <c r="W101" t="s">
        <v>24</v>
      </c>
      <c r="X101" t="s">
        <v>24</v>
      </c>
      <c r="Y101" t="s">
        <v>24</v>
      </c>
      <c r="Z101" t="s">
        <v>24</v>
      </c>
      <c r="AA101" t="s">
        <v>24</v>
      </c>
      <c r="AB101" t="s">
        <v>24</v>
      </c>
      <c r="AC101" t="s">
        <v>24</v>
      </c>
      <c r="AD101" t="s">
        <v>24</v>
      </c>
    </row>
    <row r="102" spans="1:30" x14ac:dyDescent="0.2">
      <c r="A102">
        <v>168</v>
      </c>
      <c r="B102" t="s">
        <v>172</v>
      </c>
      <c r="C102" t="s">
        <v>53</v>
      </c>
      <c r="D102">
        <v>0</v>
      </c>
      <c r="E102" s="12">
        <v>99</v>
      </c>
      <c r="F102">
        <v>2008</v>
      </c>
      <c r="H102" s="58"/>
      <c r="I102" s="58"/>
      <c r="J102" s="58"/>
      <c r="K102" s="58"/>
      <c r="L102" s="58"/>
      <c r="M102" s="58"/>
      <c r="N102" s="58"/>
      <c r="O102" s="58"/>
      <c r="P102" s="58"/>
      <c r="Q102" s="58"/>
      <c r="R102" s="67"/>
      <c r="S102" s="58"/>
      <c r="T102" s="58"/>
      <c r="U102" s="58"/>
      <c r="V102" s="58"/>
      <c r="W102" s="58"/>
      <c r="X102" s="58"/>
      <c r="Y102" s="58"/>
      <c r="Z102" s="58"/>
      <c r="AA102" s="58"/>
      <c r="AB102" s="58"/>
      <c r="AC102" t="s">
        <v>24</v>
      </c>
      <c r="AD102" s="64"/>
    </row>
    <row r="103" spans="1:30" x14ac:dyDescent="0.2">
      <c r="A103">
        <v>66</v>
      </c>
      <c r="B103" t="s">
        <v>111</v>
      </c>
      <c r="C103" t="s">
        <v>61</v>
      </c>
      <c r="D103">
        <v>1</v>
      </c>
      <c r="E103" s="12">
        <v>1</v>
      </c>
      <c r="F103" s="72">
        <v>2009</v>
      </c>
      <c r="G103">
        <v>1</v>
      </c>
      <c r="H103" t="s">
        <v>27</v>
      </c>
      <c r="I103" t="s">
        <v>112</v>
      </c>
      <c r="J103" t="s">
        <v>113</v>
      </c>
      <c r="K103" s="36">
        <f>(PI()*(100)^2)</f>
        <v>31415.926535897932</v>
      </c>
      <c r="L103">
        <f>44+43</f>
        <v>87</v>
      </c>
      <c r="M103">
        <f>(K103*L103)/10000</f>
        <v>273.31856086231198</v>
      </c>
      <c r="O103" s="36">
        <f>15/(60*24)</f>
        <v>1.0416666666666666E-2</v>
      </c>
      <c r="P103">
        <v>292</v>
      </c>
      <c r="Q103" s="36">
        <f>O103*2</f>
        <v>2.0833333333333332E-2</v>
      </c>
      <c r="R103">
        <v>439</v>
      </c>
      <c r="U103">
        <v>1</v>
      </c>
      <c r="W103">
        <v>1</v>
      </c>
      <c r="AB103">
        <v>2</v>
      </c>
      <c r="AC103" t="s">
        <v>114</v>
      </c>
      <c r="AD103" t="s">
        <v>115</v>
      </c>
    </row>
    <row r="104" spans="1:30" x14ac:dyDescent="0.2">
      <c r="A104">
        <v>67</v>
      </c>
      <c r="B104" t="s">
        <v>111</v>
      </c>
      <c r="C104" t="s">
        <v>61</v>
      </c>
      <c r="D104">
        <v>1</v>
      </c>
      <c r="E104" s="12">
        <v>3</v>
      </c>
      <c r="F104" s="72">
        <v>2009</v>
      </c>
      <c r="G104">
        <v>1</v>
      </c>
      <c r="H104" t="s">
        <v>27</v>
      </c>
      <c r="I104" t="s">
        <v>112</v>
      </c>
      <c r="J104" t="s">
        <v>113</v>
      </c>
      <c r="K104">
        <v>31416</v>
      </c>
      <c r="L104">
        <v>104</v>
      </c>
      <c r="M104">
        <f>(K104*L104)/10000</f>
        <v>326.72640000000001</v>
      </c>
      <c r="O104" s="36">
        <f>10/(60*24)</f>
        <v>6.9444444444444441E-3</v>
      </c>
      <c r="P104">
        <v>326</v>
      </c>
      <c r="Q104" s="36">
        <f>O104*(4*8)</f>
        <v>0.22222222222222221</v>
      </c>
      <c r="R104">
        <v>379</v>
      </c>
      <c r="U104">
        <v>1</v>
      </c>
      <c r="W104">
        <v>1</v>
      </c>
      <c r="AB104">
        <v>2</v>
      </c>
      <c r="AC104" t="s">
        <v>114</v>
      </c>
      <c r="AD104" t="s">
        <v>116</v>
      </c>
    </row>
    <row r="105" spans="1:30" x14ac:dyDescent="0.2">
      <c r="A105">
        <v>68</v>
      </c>
      <c r="B105" t="s">
        <v>111</v>
      </c>
      <c r="C105" t="s">
        <v>61</v>
      </c>
      <c r="D105">
        <v>1</v>
      </c>
      <c r="E105" s="12">
        <v>4</v>
      </c>
      <c r="F105" s="72">
        <v>2009</v>
      </c>
      <c r="G105">
        <v>1</v>
      </c>
      <c r="H105" t="s">
        <v>27</v>
      </c>
      <c r="I105" t="s">
        <v>112</v>
      </c>
      <c r="J105" t="s">
        <v>113</v>
      </c>
      <c r="K105">
        <v>400</v>
      </c>
      <c r="L105" s="36">
        <f>108*3</f>
        <v>324</v>
      </c>
      <c r="M105">
        <f>(K105*L105)/10000</f>
        <v>12.96</v>
      </c>
      <c r="O105" s="36">
        <f>1/24</f>
        <v>4.1666666666666664E-2</v>
      </c>
      <c r="P105">
        <v>0</v>
      </c>
      <c r="Q105" s="36">
        <f>O105*1</f>
        <v>4.1666666666666664E-2</v>
      </c>
      <c r="R105">
        <f>365*2</f>
        <v>730</v>
      </c>
      <c r="T105">
        <v>1</v>
      </c>
      <c r="X105">
        <v>1</v>
      </c>
      <c r="AB105">
        <v>1</v>
      </c>
      <c r="AC105" t="s">
        <v>114</v>
      </c>
      <c r="AD105" t="s">
        <v>117</v>
      </c>
    </row>
    <row r="106" spans="1:30" x14ac:dyDescent="0.2">
      <c r="A106">
        <v>69</v>
      </c>
      <c r="B106" t="s">
        <v>111</v>
      </c>
      <c r="C106" t="s">
        <v>61</v>
      </c>
      <c r="D106">
        <v>1</v>
      </c>
      <c r="E106" s="12">
        <v>5</v>
      </c>
      <c r="F106" s="72">
        <v>2009</v>
      </c>
      <c r="G106">
        <v>1</v>
      </c>
      <c r="H106" t="s">
        <v>27</v>
      </c>
      <c r="I106" t="s">
        <v>112</v>
      </c>
      <c r="J106" t="s">
        <v>113</v>
      </c>
      <c r="K106">
        <f>2*20</f>
        <v>40</v>
      </c>
      <c r="L106" s="36">
        <f>108*6</f>
        <v>648</v>
      </c>
      <c r="M106">
        <f>(K106*L106)/10000</f>
        <v>2.5920000000000001</v>
      </c>
      <c r="O106" s="36">
        <f>15/(60*24)</f>
        <v>1.0416666666666666E-2</v>
      </c>
      <c r="P106">
        <v>0</v>
      </c>
      <c r="Q106" s="36">
        <f>O106*1</f>
        <v>1.0416666666666666E-2</v>
      </c>
      <c r="R106">
        <f>730</f>
        <v>730</v>
      </c>
      <c r="T106">
        <v>1</v>
      </c>
      <c r="W106">
        <v>1</v>
      </c>
      <c r="AB106">
        <v>0</v>
      </c>
      <c r="AC106" t="s">
        <v>114</v>
      </c>
      <c r="AD106" t="s">
        <v>118</v>
      </c>
    </row>
    <row r="107" spans="1:30" x14ac:dyDescent="0.2">
      <c r="A107">
        <v>70</v>
      </c>
      <c r="B107" t="s">
        <v>111</v>
      </c>
      <c r="C107" t="s">
        <v>61</v>
      </c>
      <c r="D107">
        <v>1</v>
      </c>
      <c r="E107" s="12">
        <v>6</v>
      </c>
      <c r="F107" s="72">
        <v>2009</v>
      </c>
      <c r="G107">
        <v>1</v>
      </c>
      <c r="H107" t="s">
        <v>27</v>
      </c>
      <c r="I107" t="s">
        <v>112</v>
      </c>
      <c r="J107" t="s">
        <v>113</v>
      </c>
      <c r="K107">
        <v>1</v>
      </c>
      <c r="L107">
        <f>4*108</f>
        <v>432</v>
      </c>
      <c r="M107">
        <f>(K107*L107)/10000</f>
        <v>4.3200000000000002E-2</v>
      </c>
      <c r="O107" s="36">
        <f>10/(60*24)</f>
        <v>6.9444444444444441E-3</v>
      </c>
      <c r="P107">
        <v>0</v>
      </c>
      <c r="Q107" s="36">
        <f>O107*1</f>
        <v>6.9444444444444441E-3</v>
      </c>
      <c r="R107">
        <f>730</f>
        <v>730</v>
      </c>
      <c r="V107">
        <v>1</v>
      </c>
      <c r="AB107">
        <v>0</v>
      </c>
      <c r="AC107" t="s">
        <v>114</v>
      </c>
      <c r="AD107" t="s">
        <v>119</v>
      </c>
    </row>
    <row r="108" spans="1:30" x14ac:dyDescent="0.2">
      <c r="A108">
        <v>106</v>
      </c>
      <c r="B108" t="s">
        <v>140</v>
      </c>
      <c r="C108" t="s">
        <v>61</v>
      </c>
      <c r="D108">
        <v>1</v>
      </c>
      <c r="E108" s="12">
        <v>1</v>
      </c>
      <c r="F108" s="16">
        <v>2009</v>
      </c>
      <c r="G108" s="16">
        <v>1</v>
      </c>
      <c r="H108" s="16" t="s">
        <v>141</v>
      </c>
      <c r="I108" s="16" t="s">
        <v>146</v>
      </c>
      <c r="J108" s="16" t="s">
        <v>147</v>
      </c>
      <c r="K108" s="18">
        <v>1</v>
      </c>
      <c r="L108" s="18">
        <v>87</v>
      </c>
      <c r="M108" s="18">
        <f>(K108*L108)/10000</f>
        <v>8.6999999999999994E-3</v>
      </c>
      <c r="N108" s="18"/>
      <c r="O108" s="18">
        <f>8/24</f>
        <v>0.33333333333333331</v>
      </c>
      <c r="P108" s="18">
        <v>292</v>
      </c>
      <c r="Q108" s="18">
        <f>O108*L108</f>
        <v>29</v>
      </c>
      <c r="R108" s="18">
        <v>145</v>
      </c>
      <c r="S108" s="16"/>
      <c r="T108" s="16"/>
      <c r="U108" s="16">
        <v>1</v>
      </c>
      <c r="V108" s="16">
        <v>1</v>
      </c>
      <c r="W108" s="16"/>
      <c r="X108" s="16"/>
      <c r="Y108" s="16"/>
      <c r="Z108" s="16"/>
      <c r="AA108" s="16"/>
      <c r="AB108" s="16">
        <v>3</v>
      </c>
      <c r="AC108" s="17"/>
      <c r="AD108" s="14"/>
    </row>
    <row r="109" spans="1:30" x14ac:dyDescent="0.2">
      <c r="A109">
        <v>108</v>
      </c>
      <c r="B109" t="s">
        <v>140</v>
      </c>
      <c r="C109" t="s">
        <v>61</v>
      </c>
      <c r="D109">
        <v>1</v>
      </c>
      <c r="E109" s="12">
        <v>2</v>
      </c>
      <c r="F109" s="22">
        <v>2009</v>
      </c>
      <c r="G109" s="22">
        <v>1</v>
      </c>
      <c r="H109" s="22" t="s">
        <v>141</v>
      </c>
      <c r="I109" s="22" t="s">
        <v>146</v>
      </c>
      <c r="J109" s="22" t="s">
        <v>148</v>
      </c>
      <c r="K109" s="18">
        <v>0.25</v>
      </c>
      <c r="L109">
        <v>348</v>
      </c>
      <c r="M109">
        <f>(K109*L109)/10000</f>
        <v>8.6999999999999994E-3</v>
      </c>
      <c r="O109">
        <f>8/24</f>
        <v>0.33333333333333331</v>
      </c>
      <c r="P109">
        <v>292</v>
      </c>
      <c r="Q109">
        <f>O109*L109</f>
        <v>116</v>
      </c>
      <c r="R109">
        <v>145</v>
      </c>
      <c r="S109" s="22"/>
      <c r="T109" s="22"/>
      <c r="U109" s="22">
        <v>1</v>
      </c>
      <c r="V109" s="22">
        <v>1</v>
      </c>
      <c r="W109" s="22"/>
      <c r="X109" s="22"/>
      <c r="Y109" s="22"/>
      <c r="Z109" s="22"/>
      <c r="AA109" s="22"/>
      <c r="AB109" s="22">
        <v>3</v>
      </c>
      <c r="AC109" s="20"/>
      <c r="AD109" s="26" t="s">
        <v>149</v>
      </c>
    </row>
    <row r="110" spans="1:30" x14ac:dyDescent="0.2">
      <c r="A110">
        <v>110</v>
      </c>
      <c r="B110" t="s">
        <v>140</v>
      </c>
      <c r="C110" t="s">
        <v>61</v>
      </c>
      <c r="D110">
        <v>1</v>
      </c>
      <c r="E110" s="12">
        <v>3</v>
      </c>
      <c r="F110" s="22">
        <v>2009</v>
      </c>
      <c r="G110" s="22">
        <v>1</v>
      </c>
      <c r="H110" s="22" t="s">
        <v>141</v>
      </c>
      <c r="I110" s="22" t="s">
        <v>146</v>
      </c>
      <c r="J110" s="22" t="s">
        <v>150</v>
      </c>
      <c r="K110" s="22">
        <v>23.938991999999999</v>
      </c>
      <c r="L110" s="22">
        <v>104</v>
      </c>
      <c r="M110" s="20">
        <f>(K110*L110)/10000</f>
        <v>0.24896551679999998</v>
      </c>
      <c r="N110" s="20"/>
      <c r="O110" s="22">
        <f>6/24</f>
        <v>0.25</v>
      </c>
      <c r="P110" s="22">
        <v>326</v>
      </c>
      <c r="Q110" s="20">
        <f>O110*L110</f>
        <v>26</v>
      </c>
      <c r="R110" s="20">
        <v>379</v>
      </c>
      <c r="S110" s="20"/>
      <c r="T110" s="20"/>
      <c r="U110" s="20">
        <v>1</v>
      </c>
      <c r="V110" s="20">
        <v>1</v>
      </c>
      <c r="W110" s="20"/>
      <c r="X110" s="20"/>
      <c r="Y110" s="20"/>
      <c r="Z110" s="20"/>
      <c r="AA110" s="20"/>
      <c r="AB110" s="22">
        <v>3</v>
      </c>
      <c r="AC110" s="20"/>
      <c r="AD110" s="24"/>
    </row>
    <row r="111" spans="1:30" x14ac:dyDescent="0.2">
      <c r="A111">
        <v>111</v>
      </c>
      <c r="B111" t="s">
        <v>140</v>
      </c>
      <c r="C111" t="s">
        <v>61</v>
      </c>
      <c r="D111">
        <v>1</v>
      </c>
      <c r="E111" s="12">
        <v>4</v>
      </c>
      <c r="F111" s="22">
        <v>2009</v>
      </c>
      <c r="G111" s="22">
        <v>1</v>
      </c>
      <c r="H111" s="22" t="s">
        <v>141</v>
      </c>
      <c r="I111" s="22" t="s">
        <v>146</v>
      </c>
      <c r="J111" s="22" t="s">
        <v>151</v>
      </c>
      <c r="K111" s="22">
        <v>400</v>
      </c>
      <c r="L111" s="20">
        <f>3*108</f>
        <v>324</v>
      </c>
      <c r="M111" s="20">
        <f>(L111*K111)/10000</f>
        <v>12.96</v>
      </c>
      <c r="N111" s="20"/>
      <c r="O111" s="22">
        <f>8/24</f>
        <v>0.33333333333333331</v>
      </c>
      <c r="P111" s="22">
        <v>0</v>
      </c>
      <c r="Q111" s="20">
        <f>O111*L111</f>
        <v>108</v>
      </c>
      <c r="R111" s="22">
        <v>400</v>
      </c>
      <c r="S111" s="22"/>
      <c r="T111" s="22"/>
      <c r="U111" s="22">
        <v>1</v>
      </c>
      <c r="V111" s="22">
        <v>1</v>
      </c>
      <c r="W111" s="22"/>
      <c r="X111" s="22"/>
      <c r="Y111" s="22"/>
      <c r="Z111" s="22"/>
      <c r="AA111" s="22"/>
      <c r="AB111" s="22">
        <v>3</v>
      </c>
      <c r="AC111" s="20"/>
      <c r="AD111" s="24"/>
    </row>
    <row r="112" spans="1:30" x14ac:dyDescent="0.2">
      <c r="A112">
        <v>112</v>
      </c>
      <c r="B112" t="s">
        <v>140</v>
      </c>
      <c r="C112" t="s">
        <v>61</v>
      </c>
      <c r="D112">
        <v>1</v>
      </c>
      <c r="E112" s="12">
        <v>5</v>
      </c>
      <c r="F112" s="16">
        <v>2009</v>
      </c>
      <c r="G112" s="16">
        <v>1</v>
      </c>
      <c r="H112" s="16" t="s">
        <v>141</v>
      </c>
      <c r="I112" s="16" t="s">
        <v>146</v>
      </c>
      <c r="J112" s="16" t="s">
        <v>152</v>
      </c>
      <c r="K112" s="22">
        <v>40</v>
      </c>
      <c r="L112" s="22">
        <f>6*108</f>
        <v>648</v>
      </c>
      <c r="M112" s="20">
        <f>(L112*K112)/10000</f>
        <v>2.5920000000000001</v>
      </c>
      <c r="N112" s="20"/>
      <c r="O112" s="22">
        <f>8/24</f>
        <v>0.33333333333333331</v>
      </c>
      <c r="P112" s="22">
        <v>0</v>
      </c>
      <c r="Q112" s="20">
        <f>O112*L112</f>
        <v>216</v>
      </c>
      <c r="R112" s="22">
        <v>400</v>
      </c>
      <c r="S112" s="22"/>
      <c r="T112" s="22"/>
      <c r="U112" s="22">
        <v>1</v>
      </c>
      <c r="V112" s="22">
        <v>1</v>
      </c>
      <c r="W112" s="22"/>
      <c r="X112" s="22"/>
      <c r="Y112" s="22"/>
      <c r="Z112" s="22"/>
      <c r="AA112" s="22"/>
      <c r="AB112" s="22">
        <v>3</v>
      </c>
      <c r="AC112" s="17"/>
      <c r="AD112" s="14"/>
    </row>
    <row r="113" spans="1:30" x14ac:dyDescent="0.2">
      <c r="A113">
        <v>113</v>
      </c>
      <c r="B113" t="s">
        <v>140</v>
      </c>
      <c r="C113" t="s">
        <v>61</v>
      </c>
      <c r="D113">
        <v>1</v>
      </c>
      <c r="E113" s="12">
        <v>7</v>
      </c>
      <c r="F113" s="22">
        <v>2009</v>
      </c>
      <c r="G113" s="22">
        <v>1</v>
      </c>
      <c r="H113" s="22" t="s">
        <v>141</v>
      </c>
      <c r="I113" s="22" t="s">
        <v>146</v>
      </c>
      <c r="J113" s="22" t="s">
        <v>153</v>
      </c>
      <c r="K113" s="16">
        <v>10</v>
      </c>
      <c r="L113" s="16">
        <v>324</v>
      </c>
      <c r="M113" s="17">
        <f>(L113*K113)/10000</f>
        <v>0.32400000000000001</v>
      </c>
      <c r="N113" s="17"/>
      <c r="O113" s="22">
        <f>8/24</f>
        <v>0.33333333333333331</v>
      </c>
      <c r="P113" s="16">
        <v>0</v>
      </c>
      <c r="Q113" s="17">
        <f>(O113*L113)</f>
        <v>108</v>
      </c>
      <c r="R113" s="22">
        <v>400</v>
      </c>
      <c r="S113" s="16"/>
      <c r="T113" s="16"/>
      <c r="U113" s="16">
        <v>1</v>
      </c>
      <c r="V113" s="16">
        <v>1</v>
      </c>
      <c r="W113" s="16"/>
      <c r="X113" s="16"/>
      <c r="Y113" s="16"/>
      <c r="Z113" s="16"/>
      <c r="AA113" s="16"/>
      <c r="AB113" s="16">
        <v>3</v>
      </c>
      <c r="AC113" s="20"/>
      <c r="AD113" s="14"/>
    </row>
    <row r="114" spans="1:30" x14ac:dyDescent="0.2">
      <c r="A114">
        <v>114</v>
      </c>
      <c r="B114" t="s">
        <v>140</v>
      </c>
      <c r="C114" t="s">
        <v>61</v>
      </c>
      <c r="D114">
        <v>1</v>
      </c>
      <c r="E114" s="12">
        <v>6</v>
      </c>
      <c r="F114" s="16">
        <v>2009</v>
      </c>
      <c r="G114" s="16">
        <v>1</v>
      </c>
      <c r="H114" s="16" t="s">
        <v>141</v>
      </c>
      <c r="I114" s="16" t="s">
        <v>146</v>
      </c>
      <c r="J114" s="16" t="s">
        <v>154</v>
      </c>
      <c r="K114" s="16">
        <v>1</v>
      </c>
      <c r="L114" s="16">
        <f>4*108</f>
        <v>432</v>
      </c>
      <c r="M114" s="17">
        <f>(L114*K114)/10000</f>
        <v>4.3200000000000002E-2</v>
      </c>
      <c r="N114" s="17"/>
      <c r="O114" s="22">
        <f>8/24</f>
        <v>0.33333333333333331</v>
      </c>
      <c r="P114" s="16">
        <v>0</v>
      </c>
      <c r="Q114" s="27">
        <f>(O114*L114)</f>
        <v>144</v>
      </c>
      <c r="R114" s="22">
        <v>400</v>
      </c>
      <c r="S114" s="16"/>
      <c r="T114" s="16"/>
      <c r="U114" s="16">
        <v>1</v>
      </c>
      <c r="V114" s="16">
        <v>1</v>
      </c>
      <c r="W114" s="16"/>
      <c r="X114" s="16"/>
      <c r="Y114" s="16"/>
      <c r="Z114" s="16"/>
      <c r="AA114" s="16"/>
      <c r="AB114" s="16">
        <v>3</v>
      </c>
      <c r="AC114" s="17"/>
      <c r="AD114" s="14"/>
    </row>
    <row r="115" spans="1:30" x14ac:dyDescent="0.2">
      <c r="A115">
        <v>148</v>
      </c>
      <c r="B115" t="s">
        <v>156</v>
      </c>
      <c r="C115" t="s">
        <v>61</v>
      </c>
      <c r="D115">
        <v>1</v>
      </c>
      <c r="E115" s="12">
        <v>1</v>
      </c>
      <c r="F115">
        <v>2009</v>
      </c>
      <c r="G115">
        <v>1</v>
      </c>
      <c r="H115" t="s">
        <v>161</v>
      </c>
      <c r="I115" t="s">
        <v>146</v>
      </c>
      <c r="J115" t="s">
        <v>171</v>
      </c>
      <c r="K115">
        <v>4</v>
      </c>
      <c r="L115">
        <v>87</v>
      </c>
      <c r="M115">
        <v>3.4799999999999998E-2</v>
      </c>
      <c r="O115" t="s">
        <v>24</v>
      </c>
      <c r="P115">
        <v>294</v>
      </c>
      <c r="Q115">
        <v>145</v>
      </c>
      <c r="R115" t="s">
        <v>24</v>
      </c>
      <c r="S115" t="s">
        <v>24</v>
      </c>
      <c r="T115" t="s">
        <v>24</v>
      </c>
      <c r="U115" t="s">
        <v>24</v>
      </c>
      <c r="V115" t="s">
        <v>24</v>
      </c>
      <c r="W115" t="s">
        <v>24</v>
      </c>
      <c r="X115" t="s">
        <v>24</v>
      </c>
      <c r="Y115" t="s">
        <v>24</v>
      </c>
      <c r="Z115" t="s">
        <v>24</v>
      </c>
      <c r="AA115" t="s">
        <v>24</v>
      </c>
      <c r="AB115">
        <v>3</v>
      </c>
      <c r="AC115" t="s">
        <v>24</v>
      </c>
      <c r="AD115" s="32" t="s">
        <v>196</v>
      </c>
    </row>
    <row r="116" spans="1:30" x14ac:dyDescent="0.2">
      <c r="A116">
        <v>149</v>
      </c>
      <c r="B116" t="s">
        <v>156</v>
      </c>
      <c r="C116" t="s">
        <v>61</v>
      </c>
      <c r="D116">
        <v>1</v>
      </c>
      <c r="E116" s="12">
        <v>2</v>
      </c>
      <c r="F116">
        <v>2009</v>
      </c>
      <c r="G116">
        <v>1</v>
      </c>
      <c r="H116" t="s">
        <v>161</v>
      </c>
      <c r="I116" t="s">
        <v>146</v>
      </c>
      <c r="J116" t="s">
        <v>171</v>
      </c>
      <c r="K116">
        <v>2.8274333882308102E-3</v>
      </c>
      <c r="L116">
        <v>87</v>
      </c>
      <c r="M116" s="1">
        <v>2.4598670477608099E-5</v>
      </c>
      <c r="N116" s="1"/>
      <c r="O116" t="s">
        <v>24</v>
      </c>
      <c r="P116">
        <v>294</v>
      </c>
      <c r="Q116">
        <v>145</v>
      </c>
      <c r="R116" t="s">
        <v>24</v>
      </c>
      <c r="S116" t="s">
        <v>24</v>
      </c>
      <c r="T116" t="s">
        <v>24</v>
      </c>
      <c r="U116" t="s">
        <v>24</v>
      </c>
      <c r="V116" t="s">
        <v>24</v>
      </c>
      <c r="W116" t="s">
        <v>24</v>
      </c>
      <c r="X116" t="s">
        <v>24</v>
      </c>
      <c r="Y116" t="s">
        <v>24</v>
      </c>
      <c r="Z116" t="s">
        <v>24</v>
      </c>
      <c r="AA116" t="s">
        <v>24</v>
      </c>
      <c r="AB116">
        <v>3</v>
      </c>
      <c r="AC116" t="s">
        <v>24</v>
      </c>
      <c r="AD116" s="33" t="s">
        <v>197</v>
      </c>
    </row>
    <row r="117" spans="1:30" x14ac:dyDescent="0.2">
      <c r="A117">
        <v>150</v>
      </c>
      <c r="B117" t="s">
        <v>156</v>
      </c>
      <c r="C117" t="s">
        <v>61</v>
      </c>
      <c r="D117">
        <v>1</v>
      </c>
      <c r="E117" s="12">
        <v>3</v>
      </c>
      <c r="F117">
        <v>2009</v>
      </c>
      <c r="G117">
        <v>1</v>
      </c>
      <c r="H117" t="s">
        <v>161</v>
      </c>
      <c r="I117" t="s">
        <v>146</v>
      </c>
      <c r="J117" t="s">
        <v>171</v>
      </c>
      <c r="K117">
        <v>7853.9816339744802</v>
      </c>
      <c r="L117">
        <v>208</v>
      </c>
      <c r="M117">
        <v>163.362817986669</v>
      </c>
      <c r="O117" t="s">
        <v>24</v>
      </c>
      <c r="P117">
        <v>14</v>
      </c>
      <c r="Q117">
        <v>1.44444444444444</v>
      </c>
      <c r="R117" t="s">
        <v>24</v>
      </c>
      <c r="S117" t="s">
        <v>24</v>
      </c>
      <c r="T117" t="s">
        <v>24</v>
      </c>
      <c r="U117" t="s">
        <v>24</v>
      </c>
      <c r="V117" t="s">
        <v>24</v>
      </c>
      <c r="W117" t="s">
        <v>24</v>
      </c>
      <c r="X117" t="s">
        <v>24</v>
      </c>
      <c r="Y117" t="s">
        <v>24</v>
      </c>
      <c r="Z117" t="s">
        <v>24</v>
      </c>
      <c r="AA117" t="s">
        <v>24</v>
      </c>
      <c r="AB117">
        <v>3</v>
      </c>
      <c r="AC117" t="s">
        <v>24</v>
      </c>
      <c r="AD117" s="32" t="s">
        <v>198</v>
      </c>
    </row>
    <row r="118" spans="1:30" x14ac:dyDescent="0.2">
      <c r="A118">
        <v>151</v>
      </c>
      <c r="B118" t="s">
        <v>156</v>
      </c>
      <c r="C118" t="s">
        <v>61</v>
      </c>
      <c r="D118">
        <v>1</v>
      </c>
      <c r="E118" s="12">
        <v>4</v>
      </c>
      <c r="F118">
        <v>2009</v>
      </c>
      <c r="G118">
        <v>1</v>
      </c>
      <c r="H118" t="s">
        <v>161</v>
      </c>
      <c r="I118" t="s">
        <v>146</v>
      </c>
      <c r="J118" t="s">
        <v>171</v>
      </c>
      <c r="K118">
        <v>400</v>
      </c>
      <c r="L118">
        <v>324</v>
      </c>
      <c r="M118">
        <v>12.96</v>
      </c>
      <c r="O118" t="s">
        <v>24</v>
      </c>
      <c r="P118">
        <v>0</v>
      </c>
      <c r="Q118">
        <v>50</v>
      </c>
      <c r="R118" t="s">
        <v>24</v>
      </c>
      <c r="S118" t="s">
        <v>24</v>
      </c>
      <c r="T118" t="s">
        <v>24</v>
      </c>
      <c r="U118" t="s">
        <v>24</v>
      </c>
      <c r="V118" t="s">
        <v>24</v>
      </c>
      <c r="W118" t="s">
        <v>24</v>
      </c>
      <c r="X118" t="s">
        <v>24</v>
      </c>
      <c r="Y118" t="s">
        <v>24</v>
      </c>
      <c r="Z118" t="s">
        <v>24</v>
      </c>
      <c r="AA118" t="s">
        <v>24</v>
      </c>
      <c r="AB118">
        <v>3</v>
      </c>
      <c r="AC118" t="s">
        <v>24</v>
      </c>
      <c r="AD118" s="32" t="s">
        <v>199</v>
      </c>
    </row>
    <row r="119" spans="1:30" x14ac:dyDescent="0.2">
      <c r="A119">
        <v>152</v>
      </c>
      <c r="B119" t="s">
        <v>156</v>
      </c>
      <c r="C119" t="s">
        <v>61</v>
      </c>
      <c r="D119">
        <v>1</v>
      </c>
      <c r="E119" s="12">
        <v>5</v>
      </c>
      <c r="F119">
        <v>2009</v>
      </c>
      <c r="G119">
        <v>1</v>
      </c>
      <c r="H119" t="s">
        <v>161</v>
      </c>
      <c r="I119" t="s">
        <v>146</v>
      </c>
      <c r="J119" t="s">
        <v>171</v>
      </c>
      <c r="K119">
        <v>40</v>
      </c>
      <c r="L119">
        <v>648</v>
      </c>
      <c r="M119">
        <v>2.5920000000000001</v>
      </c>
      <c r="O119" t="s">
        <v>24</v>
      </c>
      <c r="P119">
        <v>0</v>
      </c>
      <c r="Q119">
        <v>20</v>
      </c>
      <c r="R119" t="s">
        <v>24</v>
      </c>
      <c r="S119" t="s">
        <v>24</v>
      </c>
      <c r="T119" t="s">
        <v>24</v>
      </c>
      <c r="U119" t="s">
        <v>24</v>
      </c>
      <c r="V119" t="s">
        <v>24</v>
      </c>
      <c r="W119" t="s">
        <v>24</v>
      </c>
      <c r="X119" t="s">
        <v>24</v>
      </c>
      <c r="Y119" t="s">
        <v>24</v>
      </c>
      <c r="Z119" t="s">
        <v>24</v>
      </c>
      <c r="AA119" t="s">
        <v>24</v>
      </c>
      <c r="AB119">
        <v>3</v>
      </c>
      <c r="AC119" t="s">
        <v>24</v>
      </c>
      <c r="AD119" s="32" t="s">
        <v>200</v>
      </c>
    </row>
    <row r="120" spans="1:30" x14ac:dyDescent="0.2">
      <c r="A120">
        <v>153</v>
      </c>
      <c r="B120" t="s">
        <v>156</v>
      </c>
      <c r="C120" t="s">
        <v>61</v>
      </c>
      <c r="D120">
        <v>1</v>
      </c>
      <c r="E120" s="12">
        <v>6</v>
      </c>
      <c r="F120">
        <v>2009</v>
      </c>
      <c r="G120">
        <v>1</v>
      </c>
      <c r="H120" t="s">
        <v>161</v>
      </c>
      <c r="I120" t="s">
        <v>146</v>
      </c>
      <c r="J120" t="s">
        <v>171</v>
      </c>
      <c r="K120">
        <v>1</v>
      </c>
      <c r="L120">
        <v>432</v>
      </c>
      <c r="M120">
        <v>4.3200000000000002E-2</v>
      </c>
      <c r="O120" t="s">
        <v>24</v>
      </c>
      <c r="P120">
        <v>0</v>
      </c>
      <c r="Q120">
        <v>1</v>
      </c>
      <c r="R120" t="s">
        <v>24</v>
      </c>
      <c r="S120" t="s">
        <v>24</v>
      </c>
      <c r="T120" t="s">
        <v>24</v>
      </c>
      <c r="U120" t="s">
        <v>24</v>
      </c>
      <c r="V120" t="s">
        <v>24</v>
      </c>
      <c r="W120" t="s">
        <v>24</v>
      </c>
      <c r="X120" t="s">
        <v>24</v>
      </c>
      <c r="Y120" t="s">
        <v>24</v>
      </c>
      <c r="Z120" t="s">
        <v>24</v>
      </c>
      <c r="AA120" t="s">
        <v>24</v>
      </c>
      <c r="AB120">
        <v>3</v>
      </c>
      <c r="AC120" t="s">
        <v>24</v>
      </c>
      <c r="AD120" s="32" t="s">
        <v>119</v>
      </c>
    </row>
    <row r="121" spans="1:30" x14ac:dyDescent="0.2">
      <c r="A121">
        <v>154</v>
      </c>
      <c r="B121" t="s">
        <v>156</v>
      </c>
      <c r="C121" t="s">
        <v>61</v>
      </c>
      <c r="D121">
        <v>1</v>
      </c>
      <c r="E121" s="12">
        <v>7</v>
      </c>
      <c r="F121">
        <v>2009</v>
      </c>
      <c r="G121">
        <v>1</v>
      </c>
      <c r="H121" t="s">
        <v>161</v>
      </c>
      <c r="I121" t="s">
        <v>146</v>
      </c>
      <c r="J121" t="s">
        <v>171</v>
      </c>
      <c r="K121">
        <v>1</v>
      </c>
      <c r="L121">
        <v>216</v>
      </c>
      <c r="M121">
        <v>2.1600000000000001E-2</v>
      </c>
      <c r="O121" t="s">
        <v>24</v>
      </c>
      <c r="P121">
        <v>0</v>
      </c>
      <c r="Q121">
        <v>1</v>
      </c>
      <c r="R121" t="s">
        <v>24</v>
      </c>
      <c r="S121" t="s">
        <v>24</v>
      </c>
      <c r="T121" t="s">
        <v>24</v>
      </c>
      <c r="U121" t="s">
        <v>24</v>
      </c>
      <c r="V121" t="s">
        <v>24</v>
      </c>
      <c r="W121" t="s">
        <v>24</v>
      </c>
      <c r="X121" t="s">
        <v>24</v>
      </c>
      <c r="Y121" t="s">
        <v>24</v>
      </c>
      <c r="Z121" t="s">
        <v>24</v>
      </c>
      <c r="AA121" t="s">
        <v>24</v>
      </c>
      <c r="AB121">
        <v>3</v>
      </c>
      <c r="AC121" t="s">
        <v>24</v>
      </c>
      <c r="AD121" s="33" t="s">
        <v>201</v>
      </c>
    </row>
    <row r="122" spans="1:30" x14ac:dyDescent="0.2">
      <c r="A122">
        <v>155</v>
      </c>
      <c r="B122" t="s">
        <v>156</v>
      </c>
      <c r="C122" t="s">
        <v>61</v>
      </c>
      <c r="D122">
        <v>1</v>
      </c>
      <c r="E122" s="12">
        <v>8</v>
      </c>
      <c r="F122">
        <v>2009</v>
      </c>
      <c r="G122">
        <v>1</v>
      </c>
      <c r="H122" t="s">
        <v>161</v>
      </c>
      <c r="I122" t="s">
        <v>146</v>
      </c>
      <c r="J122" t="s">
        <v>171</v>
      </c>
      <c r="K122">
        <v>0.5</v>
      </c>
      <c r="L122">
        <v>540</v>
      </c>
      <c r="M122">
        <v>2.7E-2</v>
      </c>
      <c r="O122" t="s">
        <v>24</v>
      </c>
      <c r="P122">
        <v>0</v>
      </c>
      <c r="Q122">
        <v>1</v>
      </c>
      <c r="R122" t="s">
        <v>24</v>
      </c>
      <c r="S122" t="s">
        <v>24</v>
      </c>
      <c r="T122" t="s">
        <v>24</v>
      </c>
      <c r="U122" t="s">
        <v>24</v>
      </c>
      <c r="V122" t="s">
        <v>24</v>
      </c>
      <c r="W122" t="s">
        <v>24</v>
      </c>
      <c r="X122" t="s">
        <v>24</v>
      </c>
      <c r="Y122" t="s">
        <v>24</v>
      </c>
      <c r="Z122" t="s">
        <v>24</v>
      </c>
      <c r="AA122" t="s">
        <v>24</v>
      </c>
      <c r="AB122">
        <v>3</v>
      </c>
      <c r="AC122" t="s">
        <v>24</v>
      </c>
      <c r="AD122" s="33" t="s">
        <v>202</v>
      </c>
    </row>
    <row r="123" spans="1:30" x14ac:dyDescent="0.2">
      <c r="A123">
        <v>22</v>
      </c>
      <c r="B123" t="s">
        <v>22</v>
      </c>
      <c r="C123" t="s">
        <v>61</v>
      </c>
      <c r="D123">
        <v>1</v>
      </c>
      <c r="E123" s="12">
        <v>1</v>
      </c>
      <c r="F123">
        <v>2009</v>
      </c>
      <c r="G123">
        <v>1</v>
      </c>
      <c r="H123" t="s">
        <v>27</v>
      </c>
      <c r="I123" t="s">
        <v>62</v>
      </c>
      <c r="J123" t="s">
        <v>63</v>
      </c>
      <c r="K123">
        <v>0.36</v>
      </c>
      <c r="L123">
        <v>87</v>
      </c>
      <c r="M123">
        <v>3.1319999999999998E-3</v>
      </c>
      <c r="N123" s="54">
        <v>1372053.85</v>
      </c>
      <c r="O123">
        <v>145</v>
      </c>
      <c r="P123">
        <v>0</v>
      </c>
      <c r="Q123">
        <v>145</v>
      </c>
      <c r="R123" s="69">
        <f>Q123</f>
        <v>145</v>
      </c>
      <c r="S123" t="s">
        <v>24</v>
      </c>
      <c r="T123" t="s">
        <v>24</v>
      </c>
      <c r="U123">
        <v>1</v>
      </c>
      <c r="V123">
        <v>1</v>
      </c>
      <c r="W123" t="s">
        <v>24</v>
      </c>
      <c r="X123" t="s">
        <v>24</v>
      </c>
      <c r="Y123" t="s">
        <v>24</v>
      </c>
      <c r="Z123" t="s">
        <v>24</v>
      </c>
      <c r="AA123" t="s">
        <v>24</v>
      </c>
      <c r="AB123">
        <v>2</v>
      </c>
      <c r="AC123" t="s">
        <v>24</v>
      </c>
      <c r="AD123" t="s">
        <v>64</v>
      </c>
    </row>
    <row r="124" spans="1:30" x14ac:dyDescent="0.2">
      <c r="A124">
        <v>23</v>
      </c>
      <c r="B124" t="s">
        <v>22</v>
      </c>
      <c r="C124" t="s">
        <v>61</v>
      </c>
      <c r="D124">
        <v>1</v>
      </c>
      <c r="E124" s="12">
        <v>2</v>
      </c>
      <c r="F124">
        <v>2009</v>
      </c>
      <c r="G124">
        <v>1</v>
      </c>
      <c r="H124" t="s">
        <v>27</v>
      </c>
      <c r="I124" t="s">
        <v>62</v>
      </c>
      <c r="J124" t="s">
        <v>63</v>
      </c>
      <c r="K124">
        <v>3.1415926535897899E-2</v>
      </c>
      <c r="L124">
        <v>348</v>
      </c>
      <c r="M124">
        <v>1.0932742434492501E-3</v>
      </c>
      <c r="N124" s="54">
        <v>1372053.85</v>
      </c>
      <c r="O124">
        <v>145</v>
      </c>
      <c r="P124">
        <v>0</v>
      </c>
      <c r="Q124">
        <v>145</v>
      </c>
      <c r="R124" s="69">
        <f>Q124</f>
        <v>145</v>
      </c>
      <c r="S124" t="s">
        <v>24</v>
      </c>
      <c r="T124" t="s">
        <v>24</v>
      </c>
      <c r="U124">
        <v>1</v>
      </c>
      <c r="V124">
        <v>1</v>
      </c>
      <c r="W124" t="s">
        <v>24</v>
      </c>
      <c r="X124" t="s">
        <v>24</v>
      </c>
      <c r="Y124" t="s">
        <v>24</v>
      </c>
      <c r="Z124" t="s">
        <v>24</v>
      </c>
      <c r="AA124" t="s">
        <v>24</v>
      </c>
      <c r="AB124">
        <v>2</v>
      </c>
      <c r="AC124" t="s">
        <v>24</v>
      </c>
      <c r="AD124" t="s">
        <v>65</v>
      </c>
    </row>
    <row r="125" spans="1:30" x14ac:dyDescent="0.2">
      <c r="A125">
        <v>24</v>
      </c>
      <c r="B125" t="s">
        <v>22</v>
      </c>
      <c r="C125" t="s">
        <v>61</v>
      </c>
      <c r="D125">
        <v>1</v>
      </c>
      <c r="E125" s="12">
        <v>3</v>
      </c>
      <c r="F125">
        <v>2009</v>
      </c>
      <c r="G125">
        <v>1</v>
      </c>
      <c r="H125" t="s">
        <v>27</v>
      </c>
      <c r="I125" t="s">
        <v>62</v>
      </c>
      <c r="J125" t="s">
        <v>63</v>
      </c>
      <c r="K125">
        <v>31415.926535897899</v>
      </c>
      <c r="L125">
        <v>104</v>
      </c>
      <c r="M125">
        <v>326.72563597333902</v>
      </c>
      <c r="N125" s="54">
        <v>1372053.85</v>
      </c>
      <c r="O125">
        <v>1.38888888888889E-2</v>
      </c>
      <c r="P125">
        <v>14</v>
      </c>
      <c r="Q125">
        <v>51</v>
      </c>
      <c r="R125">
        <v>379</v>
      </c>
      <c r="S125" t="s">
        <v>24</v>
      </c>
      <c r="T125" t="s">
        <v>24</v>
      </c>
      <c r="U125">
        <v>1</v>
      </c>
      <c r="V125">
        <v>1</v>
      </c>
      <c r="W125" t="s">
        <v>24</v>
      </c>
      <c r="X125" t="s">
        <v>24</v>
      </c>
      <c r="Y125" t="s">
        <v>24</v>
      </c>
      <c r="Z125" t="s">
        <v>24</v>
      </c>
      <c r="AA125" t="s">
        <v>24</v>
      </c>
      <c r="AB125">
        <v>2</v>
      </c>
      <c r="AC125" t="s">
        <v>24</v>
      </c>
      <c r="AD125" t="s">
        <v>66</v>
      </c>
    </row>
    <row r="126" spans="1:30" x14ac:dyDescent="0.2">
      <c r="A126">
        <v>25</v>
      </c>
      <c r="B126" t="s">
        <v>22</v>
      </c>
      <c r="C126" t="s">
        <v>61</v>
      </c>
      <c r="D126">
        <v>1</v>
      </c>
      <c r="E126" s="12">
        <v>4</v>
      </c>
      <c r="F126">
        <v>2009</v>
      </c>
      <c r="G126">
        <v>1</v>
      </c>
      <c r="H126" t="s">
        <v>27</v>
      </c>
      <c r="I126" t="s">
        <v>62</v>
      </c>
      <c r="J126" t="s">
        <v>63</v>
      </c>
      <c r="K126">
        <v>400</v>
      </c>
      <c r="L126">
        <v>324</v>
      </c>
      <c r="M126">
        <v>12.96</v>
      </c>
      <c r="N126" s="54">
        <v>1372053.85</v>
      </c>
      <c r="O126">
        <v>1</v>
      </c>
      <c r="P126">
        <v>4.0648148148148104</v>
      </c>
      <c r="Q126">
        <v>324</v>
      </c>
      <c r="R126">
        <v>439</v>
      </c>
      <c r="S126" t="s">
        <v>24</v>
      </c>
      <c r="T126" t="s">
        <v>24</v>
      </c>
      <c r="U126">
        <v>1</v>
      </c>
      <c r="V126" t="s">
        <v>24</v>
      </c>
      <c r="W126">
        <v>1</v>
      </c>
      <c r="X126" t="s">
        <v>24</v>
      </c>
      <c r="Y126" t="s">
        <v>24</v>
      </c>
      <c r="Z126" t="s">
        <v>24</v>
      </c>
      <c r="AA126" t="s">
        <v>24</v>
      </c>
      <c r="AB126">
        <v>2</v>
      </c>
      <c r="AC126" t="s">
        <v>24</v>
      </c>
      <c r="AD126" t="s">
        <v>67</v>
      </c>
    </row>
    <row r="127" spans="1:30" x14ac:dyDescent="0.2">
      <c r="A127">
        <v>54</v>
      </c>
      <c r="B127" t="s">
        <v>78</v>
      </c>
      <c r="C127" t="s">
        <v>61</v>
      </c>
      <c r="D127">
        <v>1</v>
      </c>
      <c r="E127" s="12">
        <v>1</v>
      </c>
      <c r="F127">
        <v>2009</v>
      </c>
      <c r="G127">
        <v>1</v>
      </c>
      <c r="H127" t="s">
        <v>27</v>
      </c>
      <c r="I127" t="s">
        <v>100</v>
      </c>
      <c r="J127" t="s">
        <v>101</v>
      </c>
      <c r="K127" s="1">
        <v>7.85398163397448E-5</v>
      </c>
      <c r="L127">
        <v>77</v>
      </c>
      <c r="M127" s="1">
        <v>6.0475658581603501E-7</v>
      </c>
      <c r="N127" s="50">
        <v>591600</v>
      </c>
      <c r="O127" t="s">
        <v>24</v>
      </c>
      <c r="P127">
        <v>0</v>
      </c>
      <c r="Q127">
        <v>72.5</v>
      </c>
      <c r="R127" s="68">
        <v>72.5</v>
      </c>
      <c r="S127" t="s">
        <v>24</v>
      </c>
      <c r="T127" t="s">
        <v>24</v>
      </c>
      <c r="U127" t="s">
        <v>24</v>
      </c>
      <c r="V127" t="s">
        <v>24</v>
      </c>
      <c r="W127" t="s">
        <v>24</v>
      </c>
      <c r="X127" t="s">
        <v>24</v>
      </c>
      <c r="Y127" t="s">
        <v>24</v>
      </c>
      <c r="Z127" t="s">
        <v>24</v>
      </c>
      <c r="AA127" t="s">
        <v>24</v>
      </c>
      <c r="AB127">
        <v>2</v>
      </c>
      <c r="AC127" t="s">
        <v>24</v>
      </c>
      <c r="AD127" t="s">
        <v>102</v>
      </c>
    </row>
    <row r="128" spans="1:30" x14ac:dyDescent="0.2">
      <c r="A128">
        <v>55</v>
      </c>
      <c r="B128" t="s">
        <v>78</v>
      </c>
      <c r="C128" t="s">
        <v>61</v>
      </c>
      <c r="D128">
        <v>1</v>
      </c>
      <c r="E128" s="12">
        <v>2</v>
      </c>
      <c r="F128">
        <v>2009</v>
      </c>
      <c r="G128">
        <v>1</v>
      </c>
      <c r="H128" t="s">
        <v>27</v>
      </c>
      <c r="I128" t="s">
        <v>100</v>
      </c>
      <c r="J128" t="s">
        <v>101</v>
      </c>
      <c r="K128" s="1">
        <v>7.85398163397448E-5</v>
      </c>
      <c r="L128">
        <v>308</v>
      </c>
      <c r="M128" s="1">
        <v>2.41902634326414E-6</v>
      </c>
      <c r="N128" s="50">
        <v>591600</v>
      </c>
      <c r="O128" t="s">
        <v>24</v>
      </c>
      <c r="P128">
        <v>0</v>
      </c>
      <c r="Q128">
        <v>72.5</v>
      </c>
      <c r="R128" s="68">
        <v>72.5</v>
      </c>
      <c r="S128" t="s">
        <v>24</v>
      </c>
      <c r="T128" t="s">
        <v>24</v>
      </c>
      <c r="U128" t="s">
        <v>24</v>
      </c>
      <c r="V128" t="s">
        <v>24</v>
      </c>
      <c r="W128" t="s">
        <v>24</v>
      </c>
      <c r="X128" t="s">
        <v>24</v>
      </c>
      <c r="Y128" t="s">
        <v>24</v>
      </c>
      <c r="Z128" t="s">
        <v>24</v>
      </c>
      <c r="AA128" t="s">
        <v>24</v>
      </c>
      <c r="AB128">
        <v>2</v>
      </c>
      <c r="AC128" t="s">
        <v>24</v>
      </c>
      <c r="AD128" t="s">
        <v>103</v>
      </c>
    </row>
    <row r="129" spans="1:31" x14ac:dyDescent="0.2">
      <c r="A129">
        <v>56</v>
      </c>
      <c r="B129" t="s">
        <v>78</v>
      </c>
      <c r="C129" t="s">
        <v>61</v>
      </c>
      <c r="D129">
        <v>1</v>
      </c>
      <c r="E129" s="12">
        <v>3</v>
      </c>
      <c r="F129">
        <v>2009</v>
      </c>
      <c r="G129">
        <v>1</v>
      </c>
      <c r="H129" t="s">
        <v>27</v>
      </c>
      <c r="I129" t="s">
        <v>100</v>
      </c>
      <c r="J129" t="s">
        <v>101</v>
      </c>
      <c r="K129">
        <v>31415.926535897899</v>
      </c>
      <c r="L129">
        <v>104</v>
      </c>
      <c r="M129">
        <v>326.72563597333902</v>
      </c>
      <c r="N129" s="50">
        <v>591600</v>
      </c>
      <c r="O129" t="s">
        <v>24</v>
      </c>
      <c r="P129">
        <v>14</v>
      </c>
      <c r="Q129">
        <v>2</v>
      </c>
      <c r="R129" s="68">
        <v>16</v>
      </c>
      <c r="S129" t="s">
        <v>24</v>
      </c>
      <c r="T129" t="s">
        <v>24</v>
      </c>
      <c r="U129" t="s">
        <v>24</v>
      </c>
      <c r="V129" t="s">
        <v>24</v>
      </c>
      <c r="W129" t="s">
        <v>24</v>
      </c>
      <c r="X129" t="s">
        <v>24</v>
      </c>
      <c r="Y129" t="s">
        <v>24</v>
      </c>
      <c r="Z129" t="s">
        <v>24</v>
      </c>
      <c r="AA129" t="s">
        <v>24</v>
      </c>
      <c r="AB129">
        <v>2</v>
      </c>
      <c r="AC129" t="s">
        <v>24</v>
      </c>
      <c r="AD129" t="s">
        <v>104</v>
      </c>
    </row>
    <row r="130" spans="1:31" x14ac:dyDescent="0.2">
      <c r="A130">
        <v>57</v>
      </c>
      <c r="B130" t="s">
        <v>78</v>
      </c>
      <c r="C130" t="s">
        <v>61</v>
      </c>
      <c r="D130">
        <v>1</v>
      </c>
      <c r="E130" s="12">
        <v>4</v>
      </c>
      <c r="F130">
        <v>2009</v>
      </c>
      <c r="G130">
        <v>1</v>
      </c>
      <c r="H130" t="s">
        <v>27</v>
      </c>
      <c r="I130" t="s">
        <v>100</v>
      </c>
      <c r="J130" t="s">
        <v>101</v>
      </c>
      <c r="K130">
        <v>400</v>
      </c>
      <c r="L130">
        <v>324</v>
      </c>
      <c r="M130">
        <v>12.96</v>
      </c>
      <c r="N130" s="50">
        <v>591600</v>
      </c>
      <c r="O130" t="s">
        <v>24</v>
      </c>
      <c r="P130">
        <v>0</v>
      </c>
      <c r="Q130">
        <v>1</v>
      </c>
      <c r="R130" s="30">
        <v>1</v>
      </c>
      <c r="S130" t="s">
        <v>24</v>
      </c>
      <c r="T130" t="s">
        <v>24</v>
      </c>
      <c r="U130" t="s">
        <v>24</v>
      </c>
      <c r="V130" t="s">
        <v>24</v>
      </c>
      <c r="W130" t="s">
        <v>24</v>
      </c>
      <c r="X130" t="s">
        <v>24</v>
      </c>
      <c r="Y130" t="s">
        <v>24</v>
      </c>
      <c r="Z130" t="s">
        <v>24</v>
      </c>
      <c r="AA130" t="s">
        <v>24</v>
      </c>
      <c r="AB130">
        <v>1</v>
      </c>
      <c r="AC130" t="s">
        <v>24</v>
      </c>
      <c r="AD130" t="s">
        <v>105</v>
      </c>
    </row>
    <row r="131" spans="1:31" x14ac:dyDescent="0.2">
      <c r="A131">
        <v>172</v>
      </c>
      <c r="B131" t="s">
        <v>172</v>
      </c>
      <c r="C131" t="s">
        <v>61</v>
      </c>
      <c r="D131">
        <v>1</v>
      </c>
      <c r="E131" s="12">
        <v>3</v>
      </c>
      <c r="F131">
        <v>2009</v>
      </c>
      <c r="G131">
        <v>1</v>
      </c>
      <c r="H131" s="58" t="s">
        <v>27</v>
      </c>
      <c r="I131" s="58" t="s">
        <v>178</v>
      </c>
      <c r="J131" s="58" t="s">
        <v>179</v>
      </c>
      <c r="K131" s="58">
        <f>PI()*100*100</f>
        <v>31415.926535897932</v>
      </c>
      <c r="L131" s="58">
        <v>104</v>
      </c>
      <c r="M131" s="58">
        <f>L131*K131/10000</f>
        <v>326.72563597333851</v>
      </c>
      <c r="N131" s="58">
        <f>1900000*104/108</f>
        <v>1829629.6296296297</v>
      </c>
      <c r="O131" s="70">
        <f>Q131/2</f>
        <v>6.9444444444444441E-3</v>
      </c>
      <c r="P131" s="70">
        <v>14</v>
      </c>
      <c r="Q131" s="70">
        <f>20/60/24</f>
        <v>1.3888888888888888E-2</v>
      </c>
      <c r="R131" s="71">
        <v>14</v>
      </c>
      <c r="S131" s="58">
        <v>1</v>
      </c>
      <c r="T131" s="58">
        <v>1</v>
      </c>
      <c r="U131" s="58">
        <v>1</v>
      </c>
      <c r="V131" s="58">
        <v>1</v>
      </c>
      <c r="W131" s="58">
        <v>0</v>
      </c>
      <c r="X131" s="58">
        <v>0</v>
      </c>
      <c r="Y131" s="58">
        <v>0</v>
      </c>
      <c r="Z131" s="58">
        <v>0</v>
      </c>
      <c r="AA131" s="58">
        <v>0</v>
      </c>
      <c r="AB131" s="58">
        <v>1</v>
      </c>
      <c r="AC131" t="s">
        <v>24</v>
      </c>
      <c r="AD131" s="64" t="s">
        <v>228</v>
      </c>
    </row>
    <row r="132" spans="1:31" x14ac:dyDescent="0.2">
      <c r="A132">
        <v>173</v>
      </c>
      <c r="B132" t="s">
        <v>172</v>
      </c>
      <c r="C132" t="s">
        <v>61</v>
      </c>
      <c r="D132">
        <v>1</v>
      </c>
      <c r="E132" s="12">
        <v>6</v>
      </c>
      <c r="F132">
        <v>2009</v>
      </c>
      <c r="G132">
        <v>1</v>
      </c>
      <c r="H132" s="58" t="s">
        <v>27</v>
      </c>
      <c r="I132" s="58" t="s">
        <v>178</v>
      </c>
      <c r="J132" s="58" t="s">
        <v>180</v>
      </c>
      <c r="K132" s="62">
        <v>1</v>
      </c>
      <c r="L132" s="58">
        <f>4*3*104</f>
        <v>1248</v>
      </c>
      <c r="M132" s="58">
        <f>1248/10000</f>
        <v>0.12479999999999999</v>
      </c>
      <c r="N132" s="58">
        <v>1900000</v>
      </c>
      <c r="O132" s="70">
        <f>5/60/24</f>
        <v>3.472222222222222E-3</v>
      </c>
      <c r="P132" s="70">
        <v>0</v>
      </c>
      <c r="Q132" s="70">
        <f>O132</f>
        <v>3.472222222222222E-3</v>
      </c>
      <c r="R132" s="71">
        <f>O132</f>
        <v>3.472222222222222E-3</v>
      </c>
      <c r="S132" s="58">
        <v>1</v>
      </c>
      <c r="T132" s="58">
        <v>0</v>
      </c>
      <c r="U132" s="58">
        <v>0</v>
      </c>
      <c r="V132" s="58">
        <v>1</v>
      </c>
      <c r="W132" s="58">
        <v>0</v>
      </c>
      <c r="X132" s="58">
        <v>0</v>
      </c>
      <c r="Y132" s="58">
        <v>0</v>
      </c>
      <c r="Z132" s="58">
        <v>0</v>
      </c>
      <c r="AA132" s="58">
        <v>0</v>
      </c>
      <c r="AB132" s="58">
        <v>0</v>
      </c>
      <c r="AC132" t="s">
        <v>24</v>
      </c>
      <c r="AD132" s="64"/>
    </row>
    <row r="133" spans="1:31" x14ac:dyDescent="0.2">
      <c r="A133">
        <v>174</v>
      </c>
      <c r="B133" t="s">
        <v>172</v>
      </c>
      <c r="C133" t="s">
        <v>61</v>
      </c>
      <c r="D133">
        <v>1</v>
      </c>
      <c r="E133" s="12">
        <v>5</v>
      </c>
      <c r="F133">
        <v>2009</v>
      </c>
      <c r="G133">
        <v>1</v>
      </c>
      <c r="H133" s="58" t="s">
        <v>27</v>
      </c>
      <c r="I133" s="58" t="s">
        <v>178</v>
      </c>
      <c r="J133" s="58" t="s">
        <v>181</v>
      </c>
      <c r="K133" s="62">
        <f>2*20</f>
        <v>40</v>
      </c>
      <c r="L133" s="58">
        <f>104*3*2</f>
        <v>624</v>
      </c>
      <c r="M133" s="58">
        <f>2*20*2*3*104/10000</f>
        <v>2.496</v>
      </c>
      <c r="N133" s="58">
        <v>1900000</v>
      </c>
      <c r="O133" s="70">
        <f>5/60/24</f>
        <v>3.472222222222222E-3</v>
      </c>
      <c r="P133" s="70">
        <v>0</v>
      </c>
      <c r="Q133" s="70">
        <f>O133</f>
        <v>3.472222222222222E-3</v>
      </c>
      <c r="R133" s="71">
        <f>O133</f>
        <v>3.472222222222222E-3</v>
      </c>
      <c r="S133" s="58">
        <v>1</v>
      </c>
      <c r="T133" s="58">
        <v>0</v>
      </c>
      <c r="U133" s="58">
        <v>0</v>
      </c>
      <c r="V133" s="58">
        <v>0</v>
      </c>
      <c r="W133" s="58">
        <v>0</v>
      </c>
      <c r="X133" s="58">
        <v>0</v>
      </c>
      <c r="Y133" s="58">
        <v>0</v>
      </c>
      <c r="Z133" s="58">
        <v>0</v>
      </c>
      <c r="AA133" s="58">
        <v>0</v>
      </c>
      <c r="AB133" s="58">
        <v>0</v>
      </c>
      <c r="AC133" t="s">
        <v>24</v>
      </c>
      <c r="AD133" s="64" t="s">
        <v>182</v>
      </c>
    </row>
    <row r="134" spans="1:31" x14ac:dyDescent="0.2">
      <c r="A134">
        <v>175</v>
      </c>
      <c r="B134" t="s">
        <v>172</v>
      </c>
      <c r="C134" t="s">
        <v>61</v>
      </c>
      <c r="D134">
        <v>1</v>
      </c>
      <c r="E134" s="12">
        <v>4</v>
      </c>
      <c r="F134">
        <v>2009</v>
      </c>
      <c r="G134">
        <v>1</v>
      </c>
      <c r="H134" s="58" t="s">
        <v>27</v>
      </c>
      <c r="I134" s="58" t="s">
        <v>178</v>
      </c>
      <c r="J134" s="58" t="s">
        <v>183</v>
      </c>
      <c r="K134" s="58">
        <v>400</v>
      </c>
      <c r="L134" s="58">
        <v>312</v>
      </c>
      <c r="M134" s="58">
        <f>L134*K134/10000</f>
        <v>12.48</v>
      </c>
      <c r="N134" s="58">
        <v>1900000</v>
      </c>
      <c r="O134" s="70">
        <f>6/24</f>
        <v>0.25</v>
      </c>
      <c r="P134" s="70">
        <v>0</v>
      </c>
      <c r="Q134" s="70">
        <f>O134</f>
        <v>0.25</v>
      </c>
      <c r="R134" s="71">
        <f>O134</f>
        <v>0.25</v>
      </c>
      <c r="S134" s="58">
        <v>1</v>
      </c>
      <c r="T134" s="58">
        <v>1</v>
      </c>
      <c r="U134" s="58">
        <v>1</v>
      </c>
      <c r="V134" s="58">
        <v>1</v>
      </c>
      <c r="W134" s="58">
        <v>1</v>
      </c>
      <c r="X134" s="58">
        <v>0</v>
      </c>
      <c r="Y134" s="58">
        <v>1</v>
      </c>
      <c r="Z134" s="58">
        <v>0</v>
      </c>
      <c r="AA134" s="58">
        <v>0</v>
      </c>
      <c r="AB134" s="58">
        <v>1</v>
      </c>
      <c r="AC134" t="s">
        <v>24</v>
      </c>
      <c r="AD134" s="64" t="s">
        <v>184</v>
      </c>
    </row>
    <row r="135" spans="1:31" x14ac:dyDescent="0.2">
      <c r="A135">
        <v>176</v>
      </c>
      <c r="B135" t="s">
        <v>172</v>
      </c>
      <c r="C135" t="s">
        <v>61</v>
      </c>
      <c r="D135">
        <v>1</v>
      </c>
      <c r="E135" s="12">
        <v>2</v>
      </c>
      <c r="F135">
        <v>2009</v>
      </c>
      <c r="G135">
        <v>1</v>
      </c>
      <c r="H135" s="58" t="s">
        <v>27</v>
      </c>
      <c r="I135" s="58" t="s">
        <v>178</v>
      </c>
      <c r="J135" s="58" t="s">
        <v>185</v>
      </c>
      <c r="K135" s="58">
        <v>98</v>
      </c>
      <c r="L135" s="58">
        <v>87</v>
      </c>
      <c r="M135" s="58">
        <f>L135*K135/10000</f>
        <v>0.85260000000000002</v>
      </c>
      <c r="N135" s="58">
        <f>1900000*87/108</f>
        <v>1530555.5555555555</v>
      </c>
      <c r="O135" s="70">
        <v>3</v>
      </c>
      <c r="P135" s="70">
        <v>0</v>
      </c>
      <c r="Q135" s="70">
        <v>3</v>
      </c>
      <c r="R135" s="71">
        <v>3</v>
      </c>
      <c r="S135" s="58">
        <v>1</v>
      </c>
      <c r="T135" s="58">
        <v>1</v>
      </c>
      <c r="U135" s="58">
        <v>1</v>
      </c>
      <c r="V135" s="58">
        <v>1</v>
      </c>
      <c r="W135" s="58">
        <v>0</v>
      </c>
      <c r="X135" s="58">
        <v>0</v>
      </c>
      <c r="Y135" s="58">
        <v>0</v>
      </c>
      <c r="Z135" s="58">
        <v>0</v>
      </c>
      <c r="AA135" s="58">
        <v>0</v>
      </c>
      <c r="AB135" s="58">
        <v>1</v>
      </c>
      <c r="AC135" t="s">
        <v>24</v>
      </c>
      <c r="AD135" s="64" t="s">
        <v>228</v>
      </c>
    </row>
    <row r="136" spans="1:31" x14ac:dyDescent="0.2">
      <c r="A136">
        <v>177</v>
      </c>
      <c r="B136" t="s">
        <v>172</v>
      </c>
      <c r="C136" t="s">
        <v>61</v>
      </c>
      <c r="D136">
        <v>1</v>
      </c>
      <c r="E136" s="12">
        <v>1</v>
      </c>
      <c r="F136">
        <v>2009</v>
      </c>
      <c r="G136">
        <v>1</v>
      </c>
      <c r="H136" s="58" t="s">
        <v>27</v>
      </c>
      <c r="I136" s="58" t="s">
        <v>178</v>
      </c>
      <c r="J136" s="58" t="s">
        <v>186</v>
      </c>
      <c r="K136" s="58">
        <f>3.14159*100*100</f>
        <v>31415.899999999998</v>
      </c>
      <c r="L136" s="58">
        <v>87</v>
      </c>
      <c r="M136" s="58">
        <f>L136*K136/10000</f>
        <v>273.31833</v>
      </c>
      <c r="N136" s="58">
        <f>1900000*87/108</f>
        <v>1530555.5555555555</v>
      </c>
      <c r="O136" s="70">
        <v>3</v>
      </c>
      <c r="P136" s="70">
        <v>0</v>
      </c>
      <c r="Q136" s="70">
        <v>3</v>
      </c>
      <c r="R136" s="71">
        <v>3</v>
      </c>
      <c r="S136" s="58">
        <v>1</v>
      </c>
      <c r="T136" s="58">
        <v>1</v>
      </c>
      <c r="U136" s="58">
        <v>1</v>
      </c>
      <c r="V136" s="58">
        <v>1</v>
      </c>
      <c r="W136" s="58">
        <v>0</v>
      </c>
      <c r="X136" s="58">
        <v>0</v>
      </c>
      <c r="Y136" s="58">
        <v>0</v>
      </c>
      <c r="Z136" s="58">
        <v>0</v>
      </c>
      <c r="AA136" s="58">
        <v>0</v>
      </c>
      <c r="AB136" s="58">
        <v>1</v>
      </c>
      <c r="AC136" t="s">
        <v>24</v>
      </c>
      <c r="AD136" s="64" t="s">
        <v>228</v>
      </c>
    </row>
    <row r="137" spans="1:31" x14ac:dyDescent="0.2">
      <c r="A137">
        <v>71</v>
      </c>
      <c r="B137" t="s">
        <v>111</v>
      </c>
      <c r="C137" s="11" t="s">
        <v>54</v>
      </c>
      <c r="D137">
        <v>0</v>
      </c>
      <c r="E137" s="12">
        <v>99</v>
      </c>
      <c r="F137" s="91">
        <v>2012</v>
      </c>
      <c r="H137" t="s">
        <v>24</v>
      </c>
      <c r="I137" t="s">
        <v>24</v>
      </c>
      <c r="J137" t="s">
        <v>24</v>
      </c>
      <c r="K137" s="38"/>
      <c r="L137" s="38"/>
      <c r="M137" s="38"/>
      <c r="N137" s="38"/>
      <c r="O137" s="38"/>
      <c r="P137" s="38"/>
      <c r="Q137" s="38"/>
      <c r="R137" s="38"/>
      <c r="S137" s="38"/>
      <c r="T137" s="38"/>
      <c r="U137" s="38"/>
      <c r="V137" s="38"/>
      <c r="W137" s="38"/>
      <c r="X137" s="38"/>
      <c r="Y137" s="38"/>
      <c r="Z137" s="38"/>
      <c r="AA137" s="38"/>
      <c r="AB137" t="s">
        <v>24</v>
      </c>
      <c r="AC137" t="s">
        <v>24</v>
      </c>
      <c r="AD137" t="s">
        <v>24</v>
      </c>
    </row>
    <row r="138" spans="1:31" x14ac:dyDescent="0.2">
      <c r="A138">
        <v>103</v>
      </c>
      <c r="B138" t="s">
        <v>140</v>
      </c>
      <c r="C138" s="11" t="s">
        <v>54</v>
      </c>
      <c r="D138">
        <v>0</v>
      </c>
      <c r="E138" s="12">
        <v>99</v>
      </c>
      <c r="F138" s="91">
        <v>2012</v>
      </c>
      <c r="G138" s="28"/>
      <c r="H138" s="28"/>
      <c r="I138" s="28"/>
      <c r="J138" s="28"/>
      <c r="K138" s="20"/>
      <c r="L138" s="20"/>
      <c r="M138" s="20"/>
      <c r="N138" s="20"/>
      <c r="O138" s="20"/>
      <c r="P138" s="20"/>
      <c r="Q138" s="20"/>
      <c r="R138" s="20"/>
      <c r="S138" s="20"/>
      <c r="T138" s="20"/>
      <c r="U138" s="20"/>
      <c r="V138" s="20"/>
      <c r="W138" s="20"/>
      <c r="X138" s="20"/>
      <c r="Y138" s="20"/>
      <c r="Z138" s="20"/>
      <c r="AA138" s="20"/>
      <c r="AB138" s="20"/>
      <c r="AC138" s="28"/>
      <c r="AD138" s="28"/>
      <c r="AE138" s="28"/>
    </row>
    <row r="139" spans="1:31" x14ac:dyDescent="0.2">
      <c r="A139">
        <v>141</v>
      </c>
      <c r="B139" t="s">
        <v>156</v>
      </c>
      <c r="C139" s="11" t="s">
        <v>54</v>
      </c>
      <c r="D139">
        <v>0</v>
      </c>
      <c r="E139" s="12">
        <v>99</v>
      </c>
      <c r="F139">
        <v>2012</v>
      </c>
      <c r="H139" t="s">
        <v>79</v>
      </c>
      <c r="I139" t="s">
        <v>24</v>
      </c>
      <c r="J139" t="s">
        <v>24</v>
      </c>
      <c r="K139" t="s">
        <v>24</v>
      </c>
      <c r="L139" t="s">
        <v>24</v>
      </c>
      <c r="M139" t="s">
        <v>24</v>
      </c>
      <c r="O139" t="s">
        <v>24</v>
      </c>
      <c r="P139" t="s">
        <v>24</v>
      </c>
      <c r="Q139" t="s">
        <v>24</v>
      </c>
      <c r="R139" t="s">
        <v>24</v>
      </c>
      <c r="S139" t="s">
        <v>24</v>
      </c>
      <c r="T139" t="s">
        <v>24</v>
      </c>
      <c r="U139" t="s">
        <v>24</v>
      </c>
      <c r="V139" t="s">
        <v>24</v>
      </c>
      <c r="W139" t="s">
        <v>24</v>
      </c>
      <c r="X139" t="s">
        <v>24</v>
      </c>
      <c r="Y139" t="s">
        <v>24</v>
      </c>
      <c r="Z139" t="s">
        <v>24</v>
      </c>
      <c r="AA139" t="s">
        <v>24</v>
      </c>
      <c r="AB139" t="s">
        <v>24</v>
      </c>
      <c r="AC139" t="s">
        <v>24</v>
      </c>
      <c r="AD139" s="31"/>
    </row>
    <row r="140" spans="1:31" x14ac:dyDescent="0.2">
      <c r="A140">
        <v>18</v>
      </c>
      <c r="B140" t="s">
        <v>22</v>
      </c>
      <c r="C140" s="11" t="s">
        <v>54</v>
      </c>
      <c r="D140">
        <v>0</v>
      </c>
      <c r="E140" s="12">
        <v>99</v>
      </c>
      <c r="F140">
        <v>2012</v>
      </c>
      <c r="H140" t="s">
        <v>24</v>
      </c>
      <c r="I140" t="s">
        <v>24</v>
      </c>
      <c r="J140" t="s">
        <v>24</v>
      </c>
      <c r="K140" t="s">
        <v>24</v>
      </c>
      <c r="L140" t="s">
        <v>24</v>
      </c>
      <c r="M140" t="s">
        <v>24</v>
      </c>
      <c r="N140" s="55"/>
      <c r="O140" t="s">
        <v>24</v>
      </c>
      <c r="P140" t="s">
        <v>24</v>
      </c>
      <c r="Q140" t="s">
        <v>24</v>
      </c>
      <c r="R140" t="s">
        <v>24</v>
      </c>
      <c r="S140" t="s">
        <v>24</v>
      </c>
      <c r="T140" t="s">
        <v>24</v>
      </c>
      <c r="U140" t="s">
        <v>24</v>
      </c>
      <c r="V140" t="s">
        <v>24</v>
      </c>
      <c r="W140" t="s">
        <v>24</v>
      </c>
      <c r="X140" t="s">
        <v>24</v>
      </c>
      <c r="Y140" t="s">
        <v>24</v>
      </c>
      <c r="Z140" t="s">
        <v>24</v>
      </c>
      <c r="AA140" t="s">
        <v>24</v>
      </c>
      <c r="AB140" t="s">
        <v>24</v>
      </c>
      <c r="AC140" t="s">
        <v>24</v>
      </c>
      <c r="AD140" t="s">
        <v>25</v>
      </c>
    </row>
    <row r="141" spans="1:31" x14ac:dyDescent="0.2">
      <c r="A141">
        <v>48</v>
      </c>
      <c r="B141" t="s">
        <v>78</v>
      </c>
      <c r="C141" s="11" t="s">
        <v>54</v>
      </c>
      <c r="D141">
        <v>0</v>
      </c>
      <c r="E141" s="12">
        <v>99</v>
      </c>
      <c r="F141">
        <v>2012</v>
      </c>
      <c r="H141" t="s">
        <v>24</v>
      </c>
      <c r="I141" t="s">
        <v>24</v>
      </c>
      <c r="J141" t="s">
        <v>24</v>
      </c>
      <c r="K141" t="s">
        <v>24</v>
      </c>
      <c r="L141" t="s">
        <v>24</v>
      </c>
      <c r="M141" t="s">
        <v>24</v>
      </c>
      <c r="N141" s="44"/>
      <c r="O141" t="s">
        <v>24</v>
      </c>
      <c r="P141" t="s">
        <v>24</v>
      </c>
      <c r="Q141" t="s">
        <v>24</v>
      </c>
      <c r="R141" s="44"/>
      <c r="S141" t="s">
        <v>24</v>
      </c>
      <c r="T141" t="s">
        <v>24</v>
      </c>
      <c r="U141" t="s">
        <v>24</v>
      </c>
      <c r="V141" t="s">
        <v>24</v>
      </c>
      <c r="W141" t="s">
        <v>24</v>
      </c>
      <c r="X141" t="s">
        <v>24</v>
      </c>
      <c r="Y141" t="s">
        <v>24</v>
      </c>
      <c r="Z141" t="s">
        <v>24</v>
      </c>
      <c r="AA141" t="s">
        <v>24</v>
      </c>
      <c r="AB141" t="s">
        <v>24</v>
      </c>
      <c r="AC141" t="s">
        <v>24</v>
      </c>
      <c r="AD141" t="s">
        <v>24</v>
      </c>
    </row>
    <row r="142" spans="1:31" x14ac:dyDescent="0.2">
      <c r="A142">
        <v>169</v>
      </c>
      <c r="B142" t="s">
        <v>172</v>
      </c>
      <c r="C142" s="11" t="s">
        <v>54</v>
      </c>
      <c r="D142">
        <v>0</v>
      </c>
      <c r="E142" s="12">
        <v>99</v>
      </c>
      <c r="F142">
        <v>2012</v>
      </c>
      <c r="H142" s="58"/>
      <c r="I142" s="58"/>
      <c r="J142" s="58"/>
      <c r="K142" s="58"/>
      <c r="L142" s="58"/>
      <c r="M142" s="58"/>
      <c r="N142" s="58"/>
      <c r="O142" s="58"/>
      <c r="P142" s="58"/>
      <c r="Q142" s="58"/>
      <c r="R142" s="58"/>
      <c r="S142" s="58"/>
      <c r="T142" s="58"/>
      <c r="U142" s="58"/>
      <c r="V142" s="58"/>
      <c r="W142" s="58"/>
      <c r="X142" s="58"/>
      <c r="Y142" s="58"/>
      <c r="Z142" s="58"/>
      <c r="AA142" s="58"/>
      <c r="AB142" s="58"/>
      <c r="AC142" t="s">
        <v>24</v>
      </c>
      <c r="AD142" s="64"/>
    </row>
    <row r="143" spans="1:31" x14ac:dyDescent="0.2">
      <c r="A143">
        <v>78</v>
      </c>
      <c r="B143" t="s">
        <v>111</v>
      </c>
      <c r="C143" t="s">
        <v>77</v>
      </c>
      <c r="D143">
        <v>0</v>
      </c>
      <c r="E143" s="12">
        <v>99</v>
      </c>
      <c r="F143" s="91">
        <v>2013</v>
      </c>
      <c r="H143" t="s">
        <v>114</v>
      </c>
      <c r="I143" t="s">
        <v>114</v>
      </c>
      <c r="J143" t="s">
        <v>114</v>
      </c>
      <c r="K143" s="38" t="s">
        <v>114</v>
      </c>
      <c r="L143" s="38" t="s">
        <v>114</v>
      </c>
      <c r="M143" s="38" t="s">
        <v>114</v>
      </c>
      <c r="N143" s="38"/>
      <c r="O143" s="38" t="s">
        <v>114</v>
      </c>
      <c r="P143" s="38" t="s">
        <v>114</v>
      </c>
      <c r="Q143" s="38"/>
      <c r="R143" s="38" t="s">
        <v>114</v>
      </c>
      <c r="S143" s="38"/>
      <c r="T143" s="38"/>
      <c r="U143" s="38"/>
      <c r="V143" s="38"/>
      <c r="W143" s="38"/>
      <c r="X143" s="38"/>
      <c r="Y143" s="38"/>
      <c r="Z143" s="38"/>
      <c r="AA143" s="38"/>
      <c r="AB143" t="s">
        <v>24</v>
      </c>
      <c r="AC143" t="s">
        <v>114</v>
      </c>
      <c r="AD143" t="s">
        <v>114</v>
      </c>
    </row>
    <row r="144" spans="1:31" x14ac:dyDescent="0.2">
      <c r="A144">
        <v>120</v>
      </c>
      <c r="B144" t="s">
        <v>140</v>
      </c>
      <c r="C144" t="s">
        <v>77</v>
      </c>
      <c r="D144">
        <v>0</v>
      </c>
      <c r="E144" s="12">
        <v>99</v>
      </c>
      <c r="F144" s="91">
        <v>2013</v>
      </c>
      <c r="G144" s="28"/>
      <c r="H144" s="28"/>
      <c r="I144" s="28"/>
      <c r="J144" s="28"/>
      <c r="K144" s="20"/>
      <c r="L144" s="20"/>
      <c r="M144" s="20"/>
      <c r="N144" s="20"/>
      <c r="O144" s="20"/>
      <c r="P144" s="20"/>
      <c r="Q144" s="20"/>
      <c r="R144" s="20"/>
      <c r="S144" s="20"/>
      <c r="T144" s="20"/>
      <c r="U144" s="20"/>
      <c r="V144" s="20"/>
      <c r="W144" s="20"/>
      <c r="X144" s="20"/>
      <c r="Y144" s="20"/>
      <c r="Z144" s="20"/>
      <c r="AA144" s="20"/>
      <c r="AB144" s="20"/>
      <c r="AC144" s="28"/>
      <c r="AD144" s="28"/>
      <c r="AE144" s="20"/>
    </row>
    <row r="145" spans="1:31" x14ac:dyDescent="0.2">
      <c r="A145">
        <v>143</v>
      </c>
      <c r="B145" t="s">
        <v>156</v>
      </c>
      <c r="C145" t="s">
        <v>77</v>
      </c>
      <c r="D145">
        <v>0</v>
      </c>
      <c r="E145" s="12">
        <v>99</v>
      </c>
      <c r="F145">
        <v>2013</v>
      </c>
      <c r="H145" t="s">
        <v>79</v>
      </c>
      <c r="I145" t="s">
        <v>24</v>
      </c>
      <c r="J145" t="s">
        <v>24</v>
      </c>
      <c r="K145" t="s">
        <v>24</v>
      </c>
      <c r="L145" t="s">
        <v>24</v>
      </c>
      <c r="M145" t="s">
        <v>24</v>
      </c>
      <c r="O145" t="s">
        <v>24</v>
      </c>
      <c r="P145" t="s">
        <v>24</v>
      </c>
      <c r="Q145" t="s">
        <v>24</v>
      </c>
      <c r="R145" t="s">
        <v>24</v>
      </c>
      <c r="S145" t="s">
        <v>24</v>
      </c>
      <c r="T145" t="s">
        <v>24</v>
      </c>
      <c r="U145" t="s">
        <v>24</v>
      </c>
      <c r="V145" t="s">
        <v>24</v>
      </c>
      <c r="W145" t="s">
        <v>24</v>
      </c>
      <c r="X145" t="s">
        <v>24</v>
      </c>
      <c r="Y145" t="s">
        <v>24</v>
      </c>
      <c r="Z145" t="s">
        <v>24</v>
      </c>
      <c r="AA145" t="s">
        <v>24</v>
      </c>
      <c r="AB145" t="s">
        <v>24</v>
      </c>
      <c r="AC145" t="s">
        <v>24</v>
      </c>
      <c r="AD145" s="31"/>
    </row>
    <row r="146" spans="1:31" x14ac:dyDescent="0.2">
      <c r="A146">
        <v>30</v>
      </c>
      <c r="B146" t="s">
        <v>22</v>
      </c>
      <c r="C146" t="s">
        <v>77</v>
      </c>
      <c r="D146">
        <v>0</v>
      </c>
      <c r="E146" s="12">
        <v>99</v>
      </c>
      <c r="F146" s="40">
        <v>2013</v>
      </c>
      <c r="G146" s="40"/>
      <c r="H146" s="40" t="s">
        <v>24</v>
      </c>
      <c r="I146" s="40" t="s">
        <v>24</v>
      </c>
      <c r="J146" s="40" t="s">
        <v>24</v>
      </c>
      <c r="K146" t="s">
        <v>24</v>
      </c>
      <c r="L146" t="s">
        <v>24</v>
      </c>
      <c r="M146" t="s">
        <v>24</v>
      </c>
      <c r="N146" s="57"/>
      <c r="O146" t="s">
        <v>24</v>
      </c>
      <c r="P146" t="s">
        <v>24</v>
      </c>
      <c r="Q146" t="s">
        <v>24</v>
      </c>
      <c r="R146" t="s">
        <v>24</v>
      </c>
      <c r="S146" t="s">
        <v>24</v>
      </c>
      <c r="T146" t="s">
        <v>24</v>
      </c>
      <c r="U146" t="s">
        <v>24</v>
      </c>
      <c r="V146" t="s">
        <v>24</v>
      </c>
      <c r="W146" t="s">
        <v>24</v>
      </c>
      <c r="X146" t="s">
        <v>24</v>
      </c>
      <c r="Y146" t="s">
        <v>24</v>
      </c>
      <c r="Z146" t="s">
        <v>24</v>
      </c>
      <c r="AA146" t="s">
        <v>24</v>
      </c>
      <c r="AB146" t="s">
        <v>24</v>
      </c>
      <c r="AC146" s="40" t="s">
        <v>24</v>
      </c>
      <c r="AD146" s="40" t="s">
        <v>25</v>
      </c>
    </row>
    <row r="147" spans="1:31" x14ac:dyDescent="0.2">
      <c r="A147">
        <v>62</v>
      </c>
      <c r="B147" t="s">
        <v>78</v>
      </c>
      <c r="C147" t="s">
        <v>77</v>
      </c>
      <c r="D147">
        <v>0</v>
      </c>
      <c r="E147" s="12">
        <v>99</v>
      </c>
      <c r="F147">
        <v>2013</v>
      </c>
      <c r="H147" t="s">
        <v>24</v>
      </c>
      <c r="I147" t="s">
        <v>24</v>
      </c>
      <c r="J147" t="s">
        <v>24</v>
      </c>
      <c r="K147" t="s">
        <v>24</v>
      </c>
      <c r="L147" t="s">
        <v>24</v>
      </c>
      <c r="M147" t="s">
        <v>24</v>
      </c>
      <c r="N147" s="43"/>
      <c r="O147" t="s">
        <v>24</v>
      </c>
      <c r="P147" t="s">
        <v>24</v>
      </c>
      <c r="Q147" t="s">
        <v>24</v>
      </c>
      <c r="R147" s="43"/>
      <c r="S147" t="s">
        <v>24</v>
      </c>
      <c r="T147" t="s">
        <v>24</v>
      </c>
      <c r="U147" t="s">
        <v>24</v>
      </c>
      <c r="V147" t="s">
        <v>24</v>
      </c>
      <c r="W147" t="s">
        <v>24</v>
      </c>
      <c r="X147" t="s">
        <v>24</v>
      </c>
      <c r="Y147" t="s">
        <v>24</v>
      </c>
      <c r="Z147" t="s">
        <v>24</v>
      </c>
      <c r="AA147" t="s">
        <v>24</v>
      </c>
      <c r="AB147" t="s">
        <v>24</v>
      </c>
      <c r="AC147" t="s">
        <v>24</v>
      </c>
      <c r="AD147" t="s">
        <v>24</v>
      </c>
    </row>
    <row r="148" spans="1:31" x14ac:dyDescent="0.2">
      <c r="A148">
        <v>182</v>
      </c>
      <c r="B148" t="s">
        <v>172</v>
      </c>
      <c r="C148" t="s">
        <v>77</v>
      </c>
      <c r="D148">
        <v>0</v>
      </c>
      <c r="E148" s="12">
        <v>99</v>
      </c>
      <c r="F148">
        <v>2013</v>
      </c>
      <c r="H148" s="58"/>
      <c r="I148" s="58"/>
      <c r="J148" s="58"/>
      <c r="K148" s="58"/>
      <c r="L148" s="58"/>
      <c r="M148" s="58"/>
      <c r="N148" s="58"/>
      <c r="O148" s="58"/>
      <c r="P148" s="58"/>
      <c r="Q148" s="58"/>
      <c r="R148" s="58"/>
      <c r="S148" s="58"/>
      <c r="T148" s="58"/>
      <c r="U148" s="58"/>
      <c r="V148" s="58"/>
      <c r="W148" s="58"/>
      <c r="X148" s="58"/>
      <c r="Y148" s="58"/>
      <c r="Z148" s="58"/>
      <c r="AA148" s="58"/>
      <c r="AB148" s="58"/>
      <c r="AC148" t="s">
        <v>24</v>
      </c>
      <c r="AD148" s="64"/>
    </row>
    <row r="149" spans="1:31" x14ac:dyDescent="0.2">
      <c r="A149">
        <v>85</v>
      </c>
      <c r="B149" t="s">
        <v>111</v>
      </c>
      <c r="C149" s="11" t="s">
        <v>55</v>
      </c>
      <c r="D149">
        <v>0</v>
      </c>
      <c r="E149" s="12">
        <v>99</v>
      </c>
      <c r="F149" s="91">
        <v>2007</v>
      </c>
      <c r="H149" t="s">
        <v>24</v>
      </c>
      <c r="I149" t="s">
        <v>24</v>
      </c>
      <c r="J149" t="s">
        <v>24</v>
      </c>
      <c r="K149" s="38"/>
      <c r="L149" s="38"/>
      <c r="M149" s="38"/>
      <c r="N149" s="38"/>
      <c r="O149" s="38"/>
      <c r="P149" s="38"/>
      <c r="Q149" s="38"/>
      <c r="R149" s="38"/>
      <c r="S149" s="38"/>
      <c r="T149" s="38"/>
      <c r="U149" s="38"/>
      <c r="V149" s="38"/>
      <c r="W149" s="38"/>
      <c r="X149" s="38"/>
      <c r="Y149" s="38"/>
      <c r="Z149" s="38"/>
      <c r="AA149" s="38"/>
      <c r="AB149" t="s">
        <v>24</v>
      </c>
      <c r="AC149" t="s">
        <v>24</v>
      </c>
      <c r="AD149" t="s">
        <v>136</v>
      </c>
    </row>
    <row r="150" spans="1:31" s="49" customFormat="1" x14ac:dyDescent="0.2">
      <c r="A150">
        <v>104</v>
      </c>
      <c r="B150" t="s">
        <v>140</v>
      </c>
      <c r="C150" s="11" t="s">
        <v>55</v>
      </c>
      <c r="D150">
        <v>0</v>
      </c>
      <c r="E150" s="12">
        <v>99</v>
      </c>
      <c r="F150" s="22">
        <v>2007</v>
      </c>
      <c r="G150" s="22">
        <v>1</v>
      </c>
      <c r="H150" s="22" t="s">
        <v>141</v>
      </c>
      <c r="I150" s="22" t="s">
        <v>56</v>
      </c>
      <c r="J150" s="20"/>
      <c r="K150" s="20"/>
      <c r="L150" s="20"/>
      <c r="M150" s="20"/>
      <c r="N150" s="20"/>
      <c r="O150" s="20"/>
      <c r="P150" s="20"/>
      <c r="Q150" s="20"/>
      <c r="R150" s="20"/>
      <c r="S150" s="20"/>
      <c r="T150" s="20"/>
      <c r="U150" s="20"/>
      <c r="V150" s="20"/>
      <c r="W150" s="20"/>
      <c r="X150" s="20"/>
      <c r="Y150" s="20"/>
      <c r="Z150" s="20"/>
      <c r="AA150" s="20"/>
      <c r="AB150" s="20"/>
      <c r="AC150" s="20"/>
      <c r="AD150" s="20"/>
      <c r="AE150" s="22"/>
    </row>
    <row r="151" spans="1:31" x14ac:dyDescent="0.2">
      <c r="A151">
        <v>145</v>
      </c>
      <c r="B151" t="s">
        <v>156</v>
      </c>
      <c r="C151" s="11" t="s">
        <v>55</v>
      </c>
      <c r="D151">
        <v>1</v>
      </c>
      <c r="E151" s="12">
        <v>1</v>
      </c>
      <c r="F151">
        <v>2007</v>
      </c>
      <c r="G151">
        <v>1</v>
      </c>
      <c r="H151" t="s">
        <v>161</v>
      </c>
      <c r="I151" t="s">
        <v>56</v>
      </c>
      <c r="J151" t="s">
        <v>170</v>
      </c>
      <c r="K151">
        <v>0.01</v>
      </c>
      <c r="L151">
        <v>15</v>
      </c>
      <c r="M151" s="1">
        <v>1.5E-5</v>
      </c>
      <c r="N151" s="1"/>
      <c r="O151" t="s">
        <v>24</v>
      </c>
      <c r="P151">
        <v>0</v>
      </c>
      <c r="Q151">
        <v>0.5</v>
      </c>
      <c r="R151" t="s">
        <v>24</v>
      </c>
      <c r="S151" t="s">
        <v>24</v>
      </c>
      <c r="T151" t="s">
        <v>24</v>
      </c>
      <c r="U151" t="s">
        <v>24</v>
      </c>
      <c r="V151" t="s">
        <v>24</v>
      </c>
      <c r="W151" t="s">
        <v>24</v>
      </c>
      <c r="X151" t="s">
        <v>24</v>
      </c>
      <c r="Y151" t="s">
        <v>24</v>
      </c>
      <c r="Z151" t="s">
        <v>24</v>
      </c>
      <c r="AA151" t="s">
        <v>24</v>
      </c>
      <c r="AB151">
        <v>0</v>
      </c>
      <c r="AC151" t="s">
        <v>24</v>
      </c>
      <c r="AD151" s="33" t="s">
        <v>203</v>
      </c>
    </row>
    <row r="152" spans="1:31" x14ac:dyDescent="0.2">
      <c r="A152">
        <v>146</v>
      </c>
      <c r="B152" t="s">
        <v>156</v>
      </c>
      <c r="C152" s="11" t="s">
        <v>55</v>
      </c>
      <c r="D152">
        <v>1</v>
      </c>
      <c r="E152" s="12">
        <v>2</v>
      </c>
      <c r="F152">
        <v>2007</v>
      </c>
      <c r="G152">
        <v>1</v>
      </c>
      <c r="H152" t="s">
        <v>161</v>
      </c>
      <c r="I152" t="s">
        <v>56</v>
      </c>
      <c r="J152" t="s">
        <v>170</v>
      </c>
      <c r="K152">
        <v>0.25</v>
      </c>
      <c r="L152">
        <v>48</v>
      </c>
      <c r="M152">
        <v>1.1999999999999999E-3</v>
      </c>
      <c r="O152" t="s">
        <v>24</v>
      </c>
      <c r="P152">
        <v>60</v>
      </c>
      <c r="Q152">
        <v>1</v>
      </c>
      <c r="R152" t="s">
        <v>24</v>
      </c>
      <c r="S152" t="s">
        <v>24</v>
      </c>
      <c r="T152" t="s">
        <v>24</v>
      </c>
      <c r="U152" t="s">
        <v>24</v>
      </c>
      <c r="V152" t="s">
        <v>24</v>
      </c>
      <c r="W152" t="s">
        <v>24</v>
      </c>
      <c r="X152" t="s">
        <v>24</v>
      </c>
      <c r="Y152" t="s">
        <v>24</v>
      </c>
      <c r="Z152" t="s">
        <v>24</v>
      </c>
      <c r="AA152" t="s">
        <v>24</v>
      </c>
      <c r="AB152">
        <v>0</v>
      </c>
      <c r="AC152" t="s">
        <v>24</v>
      </c>
      <c r="AD152" s="33" t="s">
        <v>204</v>
      </c>
    </row>
    <row r="153" spans="1:31" x14ac:dyDescent="0.2">
      <c r="A153">
        <v>147</v>
      </c>
      <c r="B153" t="s">
        <v>156</v>
      </c>
      <c r="C153" s="11" t="s">
        <v>55</v>
      </c>
      <c r="D153">
        <v>1</v>
      </c>
      <c r="E153" s="12">
        <v>4</v>
      </c>
      <c r="F153">
        <v>2007</v>
      </c>
      <c r="G153">
        <v>1</v>
      </c>
      <c r="H153" t="s">
        <v>161</v>
      </c>
      <c r="I153" t="s">
        <v>56</v>
      </c>
      <c r="J153" t="s">
        <v>170</v>
      </c>
      <c r="K153">
        <v>0.01</v>
      </c>
      <c r="L153">
        <v>30</v>
      </c>
      <c r="M153" s="1">
        <v>3.0000000000000001E-5</v>
      </c>
      <c r="N153" s="1"/>
      <c r="O153" t="s">
        <v>24</v>
      </c>
      <c r="P153">
        <v>0</v>
      </c>
      <c r="Q153">
        <v>0.5</v>
      </c>
      <c r="R153" t="s">
        <v>24</v>
      </c>
      <c r="S153" t="s">
        <v>24</v>
      </c>
      <c r="T153" t="s">
        <v>24</v>
      </c>
      <c r="U153" t="s">
        <v>24</v>
      </c>
      <c r="V153" t="s">
        <v>24</v>
      </c>
      <c r="W153" t="s">
        <v>24</v>
      </c>
      <c r="X153" t="s">
        <v>24</v>
      </c>
      <c r="Y153" t="s">
        <v>24</v>
      </c>
      <c r="Z153" t="s">
        <v>24</v>
      </c>
      <c r="AA153" t="s">
        <v>24</v>
      </c>
      <c r="AB153">
        <v>0</v>
      </c>
      <c r="AC153" t="s">
        <v>24</v>
      </c>
      <c r="AD153" s="33" t="s">
        <v>205</v>
      </c>
    </row>
    <row r="154" spans="1:31" x14ac:dyDescent="0.2">
      <c r="A154">
        <v>19</v>
      </c>
      <c r="B154" t="s">
        <v>22</v>
      </c>
      <c r="C154" s="11" t="s">
        <v>55</v>
      </c>
      <c r="D154">
        <v>1</v>
      </c>
      <c r="E154" s="12">
        <v>2</v>
      </c>
      <c r="F154">
        <v>2007</v>
      </c>
      <c r="G154">
        <v>1</v>
      </c>
      <c r="H154" t="s">
        <v>27</v>
      </c>
      <c r="I154" t="s">
        <v>56</v>
      </c>
      <c r="J154" t="s">
        <v>57</v>
      </c>
      <c r="K154">
        <v>0.25</v>
      </c>
      <c r="L154">
        <v>4</v>
      </c>
      <c r="M154" s="1">
        <v>1E-4</v>
      </c>
      <c r="N154" s="54">
        <v>1292</v>
      </c>
      <c r="O154">
        <v>1</v>
      </c>
      <c r="P154">
        <v>61</v>
      </c>
      <c r="Q154">
        <v>2</v>
      </c>
      <c r="R154">
        <v>61</v>
      </c>
      <c r="S154" t="s">
        <v>24</v>
      </c>
      <c r="T154" t="s">
        <v>24</v>
      </c>
      <c r="U154" t="s">
        <v>24</v>
      </c>
      <c r="V154" t="s">
        <v>24</v>
      </c>
      <c r="W154">
        <v>1</v>
      </c>
      <c r="X154" t="s">
        <v>24</v>
      </c>
      <c r="Y154" t="s">
        <v>24</v>
      </c>
      <c r="Z154">
        <v>1</v>
      </c>
      <c r="AA154" t="s">
        <v>24</v>
      </c>
      <c r="AB154">
        <v>1</v>
      </c>
      <c r="AC154" t="s">
        <v>24</v>
      </c>
      <c r="AD154" t="s">
        <v>58</v>
      </c>
    </row>
    <row r="155" spans="1:31" x14ac:dyDescent="0.2">
      <c r="A155">
        <v>20</v>
      </c>
      <c r="B155" t="s">
        <v>22</v>
      </c>
      <c r="C155" s="11" t="s">
        <v>55</v>
      </c>
      <c r="D155">
        <v>1</v>
      </c>
      <c r="E155" s="12">
        <v>1</v>
      </c>
      <c r="F155">
        <v>2007</v>
      </c>
      <c r="G155">
        <v>1</v>
      </c>
      <c r="H155" t="s">
        <v>27</v>
      </c>
      <c r="I155" t="s">
        <v>56</v>
      </c>
      <c r="J155" t="s">
        <v>57</v>
      </c>
      <c r="K155">
        <v>1.96349540849362E-3</v>
      </c>
      <c r="L155">
        <v>10</v>
      </c>
      <c r="M155" s="1">
        <v>1.9634954084936201E-6</v>
      </c>
      <c r="N155" s="54">
        <v>1292</v>
      </c>
      <c r="O155" s="1">
        <v>1.1574074074074101E-5</v>
      </c>
      <c r="P155">
        <v>7</v>
      </c>
      <c r="Q155">
        <v>1.15740740740741E-4</v>
      </c>
      <c r="R155">
        <v>180</v>
      </c>
      <c r="S155" t="s">
        <v>24</v>
      </c>
      <c r="T155" t="s">
        <v>24</v>
      </c>
      <c r="U155" t="s">
        <v>24</v>
      </c>
      <c r="V155">
        <v>1</v>
      </c>
      <c r="W155" t="s">
        <v>24</v>
      </c>
      <c r="X155" t="s">
        <v>24</v>
      </c>
      <c r="Y155" t="s">
        <v>24</v>
      </c>
      <c r="Z155" t="s">
        <v>24</v>
      </c>
      <c r="AA155" t="s">
        <v>24</v>
      </c>
      <c r="AB155">
        <v>1</v>
      </c>
      <c r="AC155" t="s">
        <v>24</v>
      </c>
      <c r="AD155" t="s">
        <v>59</v>
      </c>
    </row>
    <row r="156" spans="1:31" ht="27" x14ac:dyDescent="0.2">
      <c r="A156">
        <v>49</v>
      </c>
      <c r="B156" t="s">
        <v>78</v>
      </c>
      <c r="C156" s="11" t="s">
        <v>55</v>
      </c>
      <c r="D156">
        <v>1</v>
      </c>
      <c r="E156" s="12">
        <v>1</v>
      </c>
      <c r="F156">
        <v>2007</v>
      </c>
      <c r="G156">
        <v>1</v>
      </c>
      <c r="H156" t="s">
        <v>27</v>
      </c>
      <c r="I156" t="s">
        <v>56</v>
      </c>
      <c r="J156" t="s">
        <v>94</v>
      </c>
      <c r="K156" s="1">
        <v>7.85398163397448E-5</v>
      </c>
      <c r="L156">
        <v>150</v>
      </c>
      <c r="M156" s="1">
        <v>1.1780972450961701E-6</v>
      </c>
      <c r="N156" s="50">
        <v>1292</v>
      </c>
      <c r="O156" t="s">
        <v>24</v>
      </c>
      <c r="P156">
        <v>7</v>
      </c>
      <c r="Q156" s="68">
        <v>0.27777777777777779</v>
      </c>
      <c r="R156" s="30">
        <f>30*5</f>
        <v>150</v>
      </c>
      <c r="S156" t="s">
        <v>24</v>
      </c>
      <c r="T156" t="s">
        <v>24</v>
      </c>
      <c r="U156" t="s">
        <v>24</v>
      </c>
      <c r="V156" t="s">
        <v>24</v>
      </c>
      <c r="W156" t="s">
        <v>24</v>
      </c>
      <c r="X156" t="s">
        <v>24</v>
      </c>
      <c r="Y156" t="s">
        <v>24</v>
      </c>
      <c r="Z156" t="s">
        <v>24</v>
      </c>
      <c r="AA156" t="s">
        <v>24</v>
      </c>
      <c r="AB156">
        <v>0</v>
      </c>
      <c r="AC156" t="s">
        <v>24</v>
      </c>
      <c r="AD156" t="s">
        <v>95</v>
      </c>
    </row>
    <row r="157" spans="1:31" ht="27" x14ac:dyDescent="0.2">
      <c r="A157">
        <v>50</v>
      </c>
      <c r="B157" t="s">
        <v>78</v>
      </c>
      <c r="C157" s="11" t="s">
        <v>55</v>
      </c>
      <c r="D157">
        <v>1</v>
      </c>
      <c r="E157" s="12">
        <v>4</v>
      </c>
      <c r="F157" s="40">
        <v>2007</v>
      </c>
      <c r="G157" s="40">
        <v>1</v>
      </c>
      <c r="H157" s="40" t="s">
        <v>27</v>
      </c>
      <c r="I157" s="40" t="s">
        <v>56</v>
      </c>
      <c r="J157" s="40" t="s">
        <v>94</v>
      </c>
      <c r="K157" s="1">
        <v>7.85398163397448E-5</v>
      </c>
      <c r="L157" s="13">
        <v>3600</v>
      </c>
      <c r="M157" s="1">
        <v>2.82743338823081E-5</v>
      </c>
      <c r="N157" s="50">
        <v>1292</v>
      </c>
      <c r="O157" t="s">
        <v>24</v>
      </c>
      <c r="P157">
        <v>0</v>
      </c>
      <c r="Q157">
        <v>1</v>
      </c>
      <c r="R157" s="30">
        <v>1</v>
      </c>
      <c r="S157" t="s">
        <v>24</v>
      </c>
      <c r="T157" t="s">
        <v>24</v>
      </c>
      <c r="U157" t="s">
        <v>24</v>
      </c>
      <c r="V157" t="s">
        <v>24</v>
      </c>
      <c r="W157" t="s">
        <v>24</v>
      </c>
      <c r="X157" t="s">
        <v>24</v>
      </c>
      <c r="Y157" t="s">
        <v>24</v>
      </c>
      <c r="Z157" t="s">
        <v>24</v>
      </c>
      <c r="AA157" t="s">
        <v>24</v>
      </c>
      <c r="AB157">
        <v>1</v>
      </c>
      <c r="AC157" s="40" t="s">
        <v>96</v>
      </c>
      <c r="AD157" s="40" t="s">
        <v>97</v>
      </c>
    </row>
    <row r="158" spans="1:31" x14ac:dyDescent="0.2">
      <c r="A158">
        <v>51</v>
      </c>
      <c r="B158" t="s">
        <v>78</v>
      </c>
      <c r="C158" s="11" t="s">
        <v>55</v>
      </c>
      <c r="D158">
        <v>1</v>
      </c>
      <c r="E158" s="12">
        <v>2</v>
      </c>
      <c r="F158">
        <v>2007</v>
      </c>
      <c r="G158">
        <v>1</v>
      </c>
      <c r="H158" t="s">
        <v>27</v>
      </c>
      <c r="I158" t="s">
        <v>56</v>
      </c>
      <c r="J158" t="s">
        <v>94</v>
      </c>
      <c r="K158" s="40">
        <v>0.25</v>
      </c>
      <c r="L158" s="40">
        <v>36</v>
      </c>
      <c r="M158" s="78">
        <v>8.9999999999999998E-4</v>
      </c>
      <c r="N158" s="50">
        <v>1292</v>
      </c>
      <c r="O158" t="s">
        <v>24</v>
      </c>
      <c r="P158" s="40">
        <v>60</v>
      </c>
      <c r="Q158" s="40">
        <v>2</v>
      </c>
      <c r="R158" s="30">
        <v>60</v>
      </c>
      <c r="S158" s="40" t="s">
        <v>24</v>
      </c>
      <c r="T158" s="40" t="s">
        <v>24</v>
      </c>
      <c r="U158" s="40" t="s">
        <v>24</v>
      </c>
      <c r="V158" s="40" t="s">
        <v>24</v>
      </c>
      <c r="W158" s="40" t="s">
        <v>24</v>
      </c>
      <c r="X158" s="40" t="s">
        <v>24</v>
      </c>
      <c r="Y158" s="40" t="s">
        <v>24</v>
      </c>
      <c r="Z158" s="40" t="s">
        <v>24</v>
      </c>
      <c r="AA158" s="40" t="s">
        <v>24</v>
      </c>
      <c r="AB158" s="40">
        <v>0</v>
      </c>
      <c r="AC158" t="s">
        <v>24</v>
      </c>
      <c r="AD158" s="40" t="s">
        <v>98</v>
      </c>
    </row>
    <row r="159" spans="1:31" ht="40" x14ac:dyDescent="0.2">
      <c r="A159">
        <v>52</v>
      </c>
      <c r="B159" t="s">
        <v>78</v>
      </c>
      <c r="C159" s="11" t="s">
        <v>55</v>
      </c>
      <c r="D159">
        <v>1</v>
      </c>
      <c r="E159" s="12">
        <v>3</v>
      </c>
      <c r="F159">
        <v>2007</v>
      </c>
      <c r="G159">
        <v>1</v>
      </c>
      <c r="H159" t="s">
        <v>27</v>
      </c>
      <c r="I159" t="s">
        <v>56</v>
      </c>
      <c r="J159" t="s">
        <v>94</v>
      </c>
      <c r="K159">
        <v>0.25</v>
      </c>
      <c r="L159">
        <v>24</v>
      </c>
      <c r="M159" s="1">
        <v>5.9999999999999995E-4</v>
      </c>
      <c r="N159" s="50">
        <v>1292</v>
      </c>
      <c r="O159" t="s">
        <v>24</v>
      </c>
      <c r="P159">
        <v>0</v>
      </c>
      <c r="Q159">
        <v>1</v>
      </c>
      <c r="R159" s="30">
        <v>1</v>
      </c>
      <c r="S159" t="s">
        <v>24</v>
      </c>
      <c r="T159" t="s">
        <v>24</v>
      </c>
      <c r="U159" t="s">
        <v>24</v>
      </c>
      <c r="V159" t="s">
        <v>24</v>
      </c>
      <c r="W159" t="s">
        <v>24</v>
      </c>
      <c r="X159" t="s">
        <v>24</v>
      </c>
      <c r="Y159" t="s">
        <v>24</v>
      </c>
      <c r="Z159" t="s">
        <v>24</v>
      </c>
      <c r="AA159" t="s">
        <v>24</v>
      </c>
      <c r="AB159">
        <v>0</v>
      </c>
      <c r="AC159" t="s">
        <v>24</v>
      </c>
      <c r="AD159" t="s">
        <v>99</v>
      </c>
    </row>
    <row r="160" spans="1:31" x14ac:dyDescent="0.2">
      <c r="A160">
        <v>170</v>
      </c>
      <c r="B160" t="s">
        <v>172</v>
      </c>
      <c r="C160" s="11" t="s">
        <v>55</v>
      </c>
      <c r="D160">
        <v>0</v>
      </c>
      <c r="E160" s="12">
        <v>99</v>
      </c>
      <c r="F160">
        <v>2007</v>
      </c>
      <c r="H160" s="58"/>
      <c r="I160" s="58"/>
      <c r="J160" s="58"/>
      <c r="K160" s="58"/>
      <c r="L160" s="58"/>
      <c r="M160" s="58"/>
      <c r="N160" s="58"/>
      <c r="O160" s="58"/>
      <c r="P160" s="58"/>
      <c r="Q160" s="58"/>
      <c r="R160" s="58"/>
      <c r="S160" s="58"/>
      <c r="T160" s="58"/>
      <c r="U160" s="58"/>
      <c r="V160" s="58"/>
      <c r="W160" s="58"/>
      <c r="X160" s="58"/>
      <c r="Y160" s="58"/>
      <c r="Z160" s="58"/>
      <c r="AA160" s="58"/>
      <c r="AB160" s="58"/>
      <c r="AC160" t="s">
        <v>24</v>
      </c>
      <c r="AD160" s="64"/>
    </row>
    <row r="161" spans="1:31" x14ac:dyDescent="0.2">
      <c r="A161">
        <v>82</v>
      </c>
      <c r="B161" t="s">
        <v>111</v>
      </c>
      <c r="C161" t="s">
        <v>43</v>
      </c>
      <c r="D161">
        <v>0</v>
      </c>
      <c r="E161" s="12">
        <v>99</v>
      </c>
      <c r="F161" s="72">
        <v>2013</v>
      </c>
      <c r="H161" t="s">
        <v>24</v>
      </c>
      <c r="I161" t="s">
        <v>24</v>
      </c>
      <c r="J161" t="s">
        <v>24</v>
      </c>
      <c r="K161" s="38"/>
      <c r="L161" s="38"/>
      <c r="M161" s="38"/>
      <c r="N161" s="38"/>
      <c r="O161" s="38"/>
      <c r="P161" s="38"/>
      <c r="Q161" s="38"/>
      <c r="R161" s="38"/>
      <c r="S161" s="38"/>
      <c r="T161" s="38"/>
      <c r="U161" s="38"/>
      <c r="V161" s="38"/>
      <c r="W161" s="38"/>
      <c r="X161" s="38"/>
      <c r="Y161" s="38"/>
      <c r="Z161" s="38"/>
      <c r="AA161" s="38"/>
      <c r="AB161" t="s">
        <v>24</v>
      </c>
      <c r="AC161" t="s">
        <v>24</v>
      </c>
      <c r="AD161" t="s">
        <v>24</v>
      </c>
    </row>
    <row r="162" spans="1:31" x14ac:dyDescent="0.2">
      <c r="A162">
        <v>100</v>
      </c>
      <c r="B162" t="s">
        <v>140</v>
      </c>
      <c r="C162" t="s">
        <v>43</v>
      </c>
      <c r="D162">
        <v>0</v>
      </c>
      <c r="E162" s="12">
        <v>99</v>
      </c>
      <c r="F162" s="91">
        <v>2013</v>
      </c>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row>
    <row r="163" spans="1:31" x14ac:dyDescent="0.2">
      <c r="A163">
        <v>130</v>
      </c>
      <c r="B163" t="s">
        <v>156</v>
      </c>
      <c r="C163" t="s">
        <v>43</v>
      </c>
      <c r="D163">
        <v>1</v>
      </c>
      <c r="E163" s="12">
        <v>1</v>
      </c>
      <c r="F163">
        <v>2013</v>
      </c>
      <c r="G163">
        <v>1</v>
      </c>
      <c r="H163" t="s">
        <v>161</v>
      </c>
      <c r="I163" t="s">
        <v>165</v>
      </c>
      <c r="J163" t="s">
        <v>166</v>
      </c>
      <c r="K163">
        <v>400</v>
      </c>
      <c r="L163">
        <v>20</v>
      </c>
      <c r="M163">
        <v>0.8</v>
      </c>
      <c r="O163" t="s">
        <v>24</v>
      </c>
      <c r="P163">
        <v>7305</v>
      </c>
      <c r="Q163">
        <v>20</v>
      </c>
      <c r="R163" t="s">
        <v>24</v>
      </c>
      <c r="S163" t="s">
        <v>24</v>
      </c>
      <c r="T163" t="s">
        <v>24</v>
      </c>
      <c r="U163" t="s">
        <v>24</v>
      </c>
      <c r="V163" t="s">
        <v>24</v>
      </c>
      <c r="W163" t="s">
        <v>24</v>
      </c>
      <c r="X163" t="s">
        <v>24</v>
      </c>
      <c r="Y163" t="s">
        <v>24</v>
      </c>
      <c r="Z163" t="s">
        <v>24</v>
      </c>
      <c r="AA163" t="s">
        <v>24</v>
      </c>
      <c r="AB163">
        <v>0</v>
      </c>
      <c r="AC163" t="s">
        <v>24</v>
      </c>
      <c r="AD163" s="33" t="s">
        <v>206</v>
      </c>
    </row>
    <row r="164" spans="1:31" x14ac:dyDescent="0.2">
      <c r="A164">
        <v>131</v>
      </c>
      <c r="B164" t="s">
        <v>156</v>
      </c>
      <c r="C164" t="s">
        <v>43</v>
      </c>
      <c r="D164">
        <v>1</v>
      </c>
      <c r="E164" s="12">
        <v>2</v>
      </c>
      <c r="F164">
        <v>2013</v>
      </c>
      <c r="G164">
        <v>1</v>
      </c>
      <c r="H164" t="s">
        <v>161</v>
      </c>
      <c r="I164" t="s">
        <v>165</v>
      </c>
      <c r="J164" t="s">
        <v>166</v>
      </c>
      <c r="K164">
        <v>0.23</v>
      </c>
      <c r="L164">
        <v>100</v>
      </c>
      <c r="M164">
        <v>2.3E-3</v>
      </c>
      <c r="O164" t="s">
        <v>24</v>
      </c>
      <c r="P164">
        <v>365</v>
      </c>
      <c r="Q164">
        <v>20</v>
      </c>
      <c r="R164" t="s">
        <v>24</v>
      </c>
      <c r="S164" t="s">
        <v>24</v>
      </c>
      <c r="T164" t="s">
        <v>24</v>
      </c>
      <c r="U164" t="s">
        <v>24</v>
      </c>
      <c r="V164" t="s">
        <v>24</v>
      </c>
      <c r="W164" t="s">
        <v>24</v>
      </c>
      <c r="X164" t="s">
        <v>24</v>
      </c>
      <c r="Y164" t="s">
        <v>24</v>
      </c>
      <c r="Z164" t="s">
        <v>24</v>
      </c>
      <c r="AA164" t="s">
        <v>24</v>
      </c>
      <c r="AB164">
        <v>0</v>
      </c>
      <c r="AC164" t="s">
        <v>24</v>
      </c>
      <c r="AD164" s="33" t="s">
        <v>207</v>
      </c>
    </row>
    <row r="165" spans="1:31" x14ac:dyDescent="0.2">
      <c r="A165">
        <v>132</v>
      </c>
      <c r="B165" t="s">
        <v>156</v>
      </c>
      <c r="C165" t="s">
        <v>43</v>
      </c>
      <c r="D165">
        <v>1</v>
      </c>
      <c r="E165" s="12">
        <v>3</v>
      </c>
      <c r="F165">
        <v>2013</v>
      </c>
      <c r="G165">
        <v>1</v>
      </c>
      <c r="H165" t="s">
        <v>161</v>
      </c>
      <c r="I165" t="s">
        <v>165</v>
      </c>
      <c r="J165" t="s">
        <v>166</v>
      </c>
      <c r="K165">
        <v>2.2499999999999999E-2</v>
      </c>
      <c r="L165">
        <v>100</v>
      </c>
      <c r="M165">
        <v>2.2499999999999999E-4</v>
      </c>
      <c r="O165" t="s">
        <v>24</v>
      </c>
      <c r="P165">
        <v>0</v>
      </c>
      <c r="Q165">
        <v>10</v>
      </c>
      <c r="R165" t="s">
        <v>24</v>
      </c>
      <c r="S165" t="s">
        <v>24</v>
      </c>
      <c r="T165" t="s">
        <v>24</v>
      </c>
      <c r="U165" t="s">
        <v>24</v>
      </c>
      <c r="V165" t="s">
        <v>24</v>
      </c>
      <c r="W165" t="s">
        <v>24</v>
      </c>
      <c r="X165" t="s">
        <v>24</v>
      </c>
      <c r="Y165" t="s">
        <v>24</v>
      </c>
      <c r="Z165" t="s">
        <v>24</v>
      </c>
      <c r="AA165" t="s">
        <v>24</v>
      </c>
      <c r="AB165">
        <v>0</v>
      </c>
      <c r="AC165" t="s">
        <v>24</v>
      </c>
      <c r="AD165" s="33" t="s">
        <v>208</v>
      </c>
    </row>
    <row r="166" spans="1:31" x14ac:dyDescent="0.2">
      <c r="A166">
        <v>133</v>
      </c>
      <c r="B166" t="s">
        <v>156</v>
      </c>
      <c r="C166" t="s">
        <v>43</v>
      </c>
      <c r="D166">
        <v>1</v>
      </c>
      <c r="E166" s="12">
        <v>4</v>
      </c>
      <c r="F166">
        <v>2013</v>
      </c>
      <c r="G166">
        <v>1</v>
      </c>
      <c r="H166" t="s">
        <v>161</v>
      </c>
      <c r="I166" t="s">
        <v>165</v>
      </c>
      <c r="J166" t="s">
        <v>166</v>
      </c>
      <c r="K166">
        <v>6.3617251235193297E-3</v>
      </c>
      <c r="L166">
        <v>100</v>
      </c>
      <c r="M166" s="1">
        <v>6.3617251235193305E-5</v>
      </c>
      <c r="N166" s="1"/>
      <c r="O166" t="s">
        <v>24</v>
      </c>
      <c r="P166">
        <v>0</v>
      </c>
      <c r="Q166">
        <v>10</v>
      </c>
      <c r="R166" t="s">
        <v>24</v>
      </c>
      <c r="S166" t="s">
        <v>24</v>
      </c>
      <c r="T166" t="s">
        <v>24</v>
      </c>
      <c r="U166" t="s">
        <v>24</v>
      </c>
      <c r="V166" t="s">
        <v>24</v>
      </c>
      <c r="W166" t="s">
        <v>24</v>
      </c>
      <c r="X166" t="s">
        <v>24</v>
      </c>
      <c r="Y166" t="s">
        <v>24</v>
      </c>
      <c r="Z166" t="s">
        <v>24</v>
      </c>
      <c r="AA166" t="s">
        <v>24</v>
      </c>
      <c r="AB166">
        <v>0</v>
      </c>
      <c r="AC166" t="s">
        <v>24</v>
      </c>
      <c r="AD166" s="33" t="s">
        <v>209</v>
      </c>
    </row>
    <row r="167" spans="1:31" x14ac:dyDescent="0.2">
      <c r="A167">
        <v>134</v>
      </c>
      <c r="B167" t="s">
        <v>156</v>
      </c>
      <c r="C167" t="s">
        <v>43</v>
      </c>
      <c r="D167">
        <v>1</v>
      </c>
      <c r="E167" s="12">
        <v>5</v>
      </c>
      <c r="F167">
        <v>2013</v>
      </c>
      <c r="G167">
        <v>1</v>
      </c>
      <c r="H167" t="s">
        <v>161</v>
      </c>
      <c r="I167" t="s">
        <v>165</v>
      </c>
      <c r="J167" t="s">
        <v>166</v>
      </c>
      <c r="K167">
        <v>3.8484510006475E-3</v>
      </c>
      <c r="L167">
        <v>240</v>
      </c>
      <c r="M167" s="1">
        <v>9.2362824015539905E-5</v>
      </c>
      <c r="N167" s="1"/>
      <c r="O167" t="s">
        <v>24</v>
      </c>
      <c r="P167">
        <v>30</v>
      </c>
      <c r="Q167">
        <v>10</v>
      </c>
      <c r="R167" t="s">
        <v>24</v>
      </c>
      <c r="S167" t="s">
        <v>24</v>
      </c>
      <c r="T167" t="s">
        <v>24</v>
      </c>
      <c r="U167" t="s">
        <v>24</v>
      </c>
      <c r="V167" t="s">
        <v>24</v>
      </c>
      <c r="W167" t="s">
        <v>24</v>
      </c>
      <c r="X167" t="s">
        <v>24</v>
      </c>
      <c r="Y167" t="s">
        <v>24</v>
      </c>
      <c r="Z167" t="s">
        <v>24</v>
      </c>
      <c r="AA167" t="s">
        <v>24</v>
      </c>
      <c r="AB167">
        <v>0</v>
      </c>
      <c r="AC167" t="s">
        <v>24</v>
      </c>
      <c r="AD167" s="33" t="s">
        <v>210</v>
      </c>
    </row>
    <row r="168" spans="1:31" x14ac:dyDescent="0.2">
      <c r="A168">
        <v>135</v>
      </c>
      <c r="B168" t="s">
        <v>156</v>
      </c>
      <c r="C168" t="s">
        <v>43</v>
      </c>
      <c r="D168">
        <v>1</v>
      </c>
      <c r="E168" s="12">
        <v>6</v>
      </c>
      <c r="F168">
        <v>2013</v>
      </c>
      <c r="G168">
        <v>1</v>
      </c>
      <c r="H168" t="s">
        <v>161</v>
      </c>
      <c r="I168" t="s">
        <v>165</v>
      </c>
      <c r="J168" t="s">
        <v>166</v>
      </c>
      <c r="K168">
        <v>1.96349540849362E-3</v>
      </c>
      <c r="L168">
        <v>400</v>
      </c>
      <c r="M168" s="1">
        <v>7.85398163397448E-5</v>
      </c>
      <c r="N168" s="1"/>
      <c r="O168" t="s">
        <v>24</v>
      </c>
      <c r="P168">
        <v>0</v>
      </c>
      <c r="Q168">
        <v>10</v>
      </c>
      <c r="R168" t="s">
        <v>24</v>
      </c>
      <c r="S168" t="s">
        <v>24</v>
      </c>
      <c r="T168" t="s">
        <v>24</v>
      </c>
      <c r="U168" t="s">
        <v>24</v>
      </c>
      <c r="V168" t="s">
        <v>24</v>
      </c>
      <c r="W168" t="s">
        <v>24</v>
      </c>
      <c r="X168" t="s">
        <v>24</v>
      </c>
      <c r="Y168" t="s">
        <v>24</v>
      </c>
      <c r="Z168" t="s">
        <v>24</v>
      </c>
      <c r="AA168" t="s">
        <v>24</v>
      </c>
      <c r="AB168">
        <v>0</v>
      </c>
      <c r="AC168" t="s">
        <v>24</v>
      </c>
      <c r="AD168" s="33" t="s">
        <v>211</v>
      </c>
    </row>
    <row r="169" spans="1:31" x14ac:dyDescent="0.2">
      <c r="A169">
        <v>10</v>
      </c>
      <c r="B169" t="s">
        <v>22</v>
      </c>
      <c r="C169" t="s">
        <v>43</v>
      </c>
      <c r="D169">
        <v>1</v>
      </c>
      <c r="E169" s="12">
        <v>1</v>
      </c>
      <c r="F169">
        <v>2013</v>
      </c>
      <c r="G169">
        <v>1</v>
      </c>
      <c r="H169" t="s">
        <v>27</v>
      </c>
      <c r="I169" t="s">
        <v>44</v>
      </c>
      <c r="J169" t="s">
        <v>45</v>
      </c>
      <c r="K169">
        <v>400</v>
      </c>
      <c r="L169">
        <v>20</v>
      </c>
      <c r="M169">
        <v>0.8</v>
      </c>
      <c r="N169" s="54">
        <v>207</v>
      </c>
      <c r="O169">
        <v>1</v>
      </c>
      <c r="P169">
        <v>7300</v>
      </c>
      <c r="Q169">
        <v>2</v>
      </c>
      <c r="R169">
        <v>7300</v>
      </c>
      <c r="S169" t="s">
        <v>24</v>
      </c>
      <c r="T169">
        <v>1</v>
      </c>
      <c r="U169" t="s">
        <v>24</v>
      </c>
      <c r="V169">
        <v>1</v>
      </c>
      <c r="W169" t="s">
        <v>24</v>
      </c>
      <c r="X169" t="s">
        <v>24</v>
      </c>
      <c r="Y169" t="s">
        <v>24</v>
      </c>
      <c r="Z169">
        <v>1</v>
      </c>
      <c r="AA169" t="s">
        <v>24</v>
      </c>
      <c r="AB169">
        <v>1</v>
      </c>
      <c r="AC169" t="s">
        <v>24</v>
      </c>
      <c r="AD169" t="s">
        <v>46</v>
      </c>
    </row>
    <row r="170" spans="1:31" x14ac:dyDescent="0.2">
      <c r="A170">
        <v>11</v>
      </c>
      <c r="B170" t="s">
        <v>22</v>
      </c>
      <c r="C170" t="s">
        <v>43</v>
      </c>
      <c r="D170">
        <v>1</v>
      </c>
      <c r="E170" s="12">
        <v>2</v>
      </c>
      <c r="F170">
        <v>2013</v>
      </c>
      <c r="G170">
        <v>1</v>
      </c>
      <c r="H170" t="s">
        <v>27</v>
      </c>
      <c r="I170" t="s">
        <v>44</v>
      </c>
      <c r="J170" t="s">
        <v>45</v>
      </c>
      <c r="K170">
        <v>0.23</v>
      </c>
      <c r="L170">
        <v>100</v>
      </c>
      <c r="M170">
        <v>2.3E-3</v>
      </c>
      <c r="N170" s="54">
        <v>207</v>
      </c>
      <c r="O170">
        <v>1</v>
      </c>
      <c r="P170">
        <v>18.25</v>
      </c>
      <c r="Q170">
        <v>1</v>
      </c>
      <c r="R170">
        <v>365</v>
      </c>
      <c r="S170" t="s">
        <v>24</v>
      </c>
      <c r="T170" t="s">
        <v>24</v>
      </c>
      <c r="U170" t="s">
        <v>24</v>
      </c>
      <c r="V170" t="s">
        <v>24</v>
      </c>
      <c r="W170" t="s">
        <v>24</v>
      </c>
      <c r="X170" t="s">
        <v>24</v>
      </c>
      <c r="Y170" t="s">
        <v>24</v>
      </c>
      <c r="Z170">
        <v>1</v>
      </c>
      <c r="AA170" t="s">
        <v>24</v>
      </c>
      <c r="AB170">
        <v>1</v>
      </c>
      <c r="AC170" t="s">
        <v>24</v>
      </c>
      <c r="AD170" t="s">
        <v>47</v>
      </c>
    </row>
    <row r="171" spans="1:31" ht="27" x14ac:dyDescent="0.2">
      <c r="A171">
        <v>12</v>
      </c>
      <c r="B171" t="s">
        <v>22</v>
      </c>
      <c r="C171" t="s">
        <v>43</v>
      </c>
      <c r="D171">
        <v>1</v>
      </c>
      <c r="E171" s="12">
        <v>3</v>
      </c>
      <c r="F171">
        <v>2013</v>
      </c>
      <c r="G171">
        <v>1</v>
      </c>
      <c r="H171" t="s">
        <v>27</v>
      </c>
      <c r="I171" t="s">
        <v>44</v>
      </c>
      <c r="J171" t="s">
        <v>45</v>
      </c>
      <c r="K171">
        <v>2.2499999999999999E-2</v>
      </c>
      <c r="L171">
        <v>100</v>
      </c>
      <c r="M171">
        <v>2.2499999999999999E-4</v>
      </c>
      <c r="N171" s="54">
        <v>207</v>
      </c>
      <c r="O171">
        <v>1</v>
      </c>
      <c r="P171">
        <v>365</v>
      </c>
      <c r="Q171">
        <v>2</v>
      </c>
      <c r="R171">
        <v>1095</v>
      </c>
      <c r="S171" t="s">
        <v>24</v>
      </c>
      <c r="T171" t="s">
        <v>24</v>
      </c>
      <c r="U171" t="s">
        <v>24</v>
      </c>
      <c r="V171" t="s">
        <v>24</v>
      </c>
      <c r="W171" t="s">
        <v>24</v>
      </c>
      <c r="X171" t="s">
        <v>24</v>
      </c>
      <c r="Y171" t="s">
        <v>24</v>
      </c>
      <c r="Z171">
        <v>1</v>
      </c>
      <c r="AA171" t="s">
        <v>24</v>
      </c>
      <c r="AB171">
        <v>1</v>
      </c>
      <c r="AC171" t="s">
        <v>24</v>
      </c>
      <c r="AD171" t="s">
        <v>48</v>
      </c>
    </row>
    <row r="172" spans="1:31" x14ac:dyDescent="0.2">
      <c r="A172">
        <v>13</v>
      </c>
      <c r="B172" t="s">
        <v>22</v>
      </c>
      <c r="C172" t="s">
        <v>43</v>
      </c>
      <c r="D172">
        <v>1</v>
      </c>
      <c r="E172" s="12">
        <v>4</v>
      </c>
      <c r="F172">
        <v>2013</v>
      </c>
      <c r="G172">
        <v>1</v>
      </c>
      <c r="H172" t="s">
        <v>27</v>
      </c>
      <c r="I172" t="s">
        <v>44</v>
      </c>
      <c r="J172" t="s">
        <v>45</v>
      </c>
      <c r="K172">
        <v>7.0882184246619699E-3</v>
      </c>
      <c r="L172">
        <v>100</v>
      </c>
      <c r="M172" s="1">
        <v>7.0882184246619701E-5</v>
      </c>
      <c r="N172" s="54">
        <v>207</v>
      </c>
      <c r="O172">
        <v>1</v>
      </c>
      <c r="P172">
        <v>0.9</v>
      </c>
      <c r="Q172">
        <v>1</v>
      </c>
      <c r="R172">
        <v>365</v>
      </c>
      <c r="S172" t="s">
        <v>24</v>
      </c>
      <c r="T172" t="s">
        <v>24</v>
      </c>
      <c r="U172" t="s">
        <v>24</v>
      </c>
      <c r="V172" t="s">
        <v>24</v>
      </c>
      <c r="W172" t="s">
        <v>24</v>
      </c>
      <c r="X172" t="s">
        <v>24</v>
      </c>
      <c r="Y172" t="s">
        <v>24</v>
      </c>
      <c r="Z172">
        <v>1</v>
      </c>
      <c r="AA172" t="s">
        <v>24</v>
      </c>
      <c r="AB172">
        <v>0</v>
      </c>
      <c r="AC172" t="s">
        <v>24</v>
      </c>
      <c r="AD172" t="s">
        <v>49</v>
      </c>
    </row>
    <row r="173" spans="1:31" x14ac:dyDescent="0.2">
      <c r="A173">
        <v>14</v>
      </c>
      <c r="B173" t="s">
        <v>22</v>
      </c>
      <c r="C173" t="s">
        <v>43</v>
      </c>
      <c r="D173">
        <v>1</v>
      </c>
      <c r="E173" s="12">
        <v>5</v>
      </c>
      <c r="F173">
        <v>2013</v>
      </c>
      <c r="G173">
        <v>1</v>
      </c>
      <c r="H173" t="s">
        <v>27</v>
      </c>
      <c r="I173" t="s">
        <v>44</v>
      </c>
      <c r="J173" t="s">
        <v>45</v>
      </c>
      <c r="K173">
        <v>3.8484510006475E-3</v>
      </c>
      <c r="L173">
        <v>120</v>
      </c>
      <c r="M173" s="1">
        <v>4.618141200777E-5</v>
      </c>
      <c r="N173" s="54">
        <v>207</v>
      </c>
      <c r="O173">
        <v>1</v>
      </c>
      <c r="P173">
        <v>0.9</v>
      </c>
      <c r="Q173">
        <v>1</v>
      </c>
      <c r="R173">
        <v>365</v>
      </c>
      <c r="S173" t="s">
        <v>24</v>
      </c>
      <c r="T173" t="s">
        <v>24</v>
      </c>
      <c r="U173" t="s">
        <v>24</v>
      </c>
      <c r="V173" t="s">
        <v>24</v>
      </c>
      <c r="W173" t="s">
        <v>24</v>
      </c>
      <c r="X173" t="s">
        <v>24</v>
      </c>
      <c r="Y173" t="s">
        <v>24</v>
      </c>
      <c r="Z173">
        <v>1</v>
      </c>
      <c r="AA173" t="s">
        <v>24</v>
      </c>
      <c r="AB173">
        <v>0</v>
      </c>
      <c r="AC173" t="s">
        <v>24</v>
      </c>
      <c r="AD173" t="s">
        <v>50</v>
      </c>
    </row>
    <row r="174" spans="1:31" x14ac:dyDescent="0.2">
      <c r="A174">
        <v>15</v>
      </c>
      <c r="B174" t="s">
        <v>22</v>
      </c>
      <c r="C174" t="s">
        <v>43</v>
      </c>
      <c r="D174">
        <v>1</v>
      </c>
      <c r="E174" s="12">
        <v>6</v>
      </c>
      <c r="F174">
        <v>2013</v>
      </c>
      <c r="G174">
        <v>1</v>
      </c>
      <c r="H174" t="s">
        <v>27</v>
      </c>
      <c r="I174" t="s">
        <v>44</v>
      </c>
      <c r="J174" t="s">
        <v>45</v>
      </c>
      <c r="K174" s="1">
        <v>7.85398163397448E-5</v>
      </c>
      <c r="L174">
        <v>400</v>
      </c>
      <c r="M174" s="1">
        <v>3.1415926535897899E-6</v>
      </c>
      <c r="N174" s="54">
        <v>207</v>
      </c>
      <c r="O174">
        <v>1</v>
      </c>
      <c r="P174">
        <v>18.25</v>
      </c>
      <c r="Q174">
        <v>1</v>
      </c>
      <c r="R174">
        <v>30</v>
      </c>
      <c r="S174" t="s">
        <v>24</v>
      </c>
      <c r="T174" t="s">
        <v>24</v>
      </c>
      <c r="U174" t="s">
        <v>24</v>
      </c>
      <c r="V174" t="s">
        <v>24</v>
      </c>
      <c r="W174" t="s">
        <v>24</v>
      </c>
      <c r="X174" t="s">
        <v>24</v>
      </c>
      <c r="Y174">
        <v>1</v>
      </c>
      <c r="Z174" t="s">
        <v>24</v>
      </c>
      <c r="AA174" t="s">
        <v>24</v>
      </c>
      <c r="AB174">
        <v>0</v>
      </c>
      <c r="AC174" t="s">
        <v>24</v>
      </c>
      <c r="AD174" t="s">
        <v>51</v>
      </c>
    </row>
    <row r="175" spans="1:31" x14ac:dyDescent="0.2">
      <c r="A175">
        <v>40</v>
      </c>
      <c r="B175" t="s">
        <v>78</v>
      </c>
      <c r="C175" t="s">
        <v>43</v>
      </c>
      <c r="D175">
        <v>1</v>
      </c>
      <c r="E175" s="12">
        <v>1</v>
      </c>
      <c r="F175">
        <v>2013</v>
      </c>
      <c r="G175">
        <v>1</v>
      </c>
      <c r="H175" t="s">
        <v>27</v>
      </c>
      <c r="I175" t="s">
        <v>86</v>
      </c>
      <c r="J175" t="s">
        <v>87</v>
      </c>
      <c r="K175">
        <v>400</v>
      </c>
      <c r="L175">
        <v>20</v>
      </c>
      <c r="M175">
        <v>0.8</v>
      </c>
      <c r="N175" s="50">
        <v>184</v>
      </c>
      <c r="O175" t="s">
        <v>24</v>
      </c>
      <c r="P175">
        <v>7300</v>
      </c>
      <c r="Q175">
        <v>2</v>
      </c>
      <c r="R175" s="30">
        <f>(2009-1989)*365</f>
        <v>7300</v>
      </c>
      <c r="S175" t="s">
        <v>24</v>
      </c>
      <c r="T175" t="s">
        <v>24</v>
      </c>
      <c r="U175" t="s">
        <v>24</v>
      </c>
      <c r="V175" t="s">
        <v>24</v>
      </c>
      <c r="W175" t="s">
        <v>24</v>
      </c>
      <c r="X175" t="s">
        <v>24</v>
      </c>
      <c r="Y175" t="s">
        <v>24</v>
      </c>
      <c r="Z175" t="s">
        <v>24</v>
      </c>
      <c r="AA175" t="s">
        <v>24</v>
      </c>
      <c r="AB175">
        <v>1</v>
      </c>
      <c r="AC175" t="s">
        <v>24</v>
      </c>
      <c r="AD175" t="s">
        <v>88</v>
      </c>
    </row>
    <row r="176" spans="1:31" ht="27" x14ac:dyDescent="0.2">
      <c r="A176" s="33"/>
      <c r="B176" t="s">
        <v>78</v>
      </c>
      <c r="C176" s="33" t="s">
        <v>43</v>
      </c>
      <c r="D176" s="33">
        <v>1</v>
      </c>
      <c r="E176" s="33">
        <v>2</v>
      </c>
      <c r="F176" s="33">
        <v>2013</v>
      </c>
      <c r="G176" s="33">
        <v>1</v>
      </c>
      <c r="H176" s="33" t="s">
        <v>27</v>
      </c>
      <c r="I176" s="33" t="s">
        <v>86</v>
      </c>
      <c r="J176" s="33" t="s">
        <v>87</v>
      </c>
      <c r="K176" s="33">
        <f>0.23</f>
        <v>0.23</v>
      </c>
      <c r="L176" s="33">
        <v>100</v>
      </c>
      <c r="M176" s="47">
        <f>(K176*L176)/10000</f>
        <v>2.3E-3</v>
      </c>
      <c r="N176" s="48">
        <v>184</v>
      </c>
      <c r="O176" s="47" t="s">
        <v>24</v>
      </c>
      <c r="P176" s="33">
        <v>0</v>
      </c>
      <c r="Q176" s="33">
        <v>365</v>
      </c>
      <c r="R176" s="33">
        <f>365</f>
        <v>365</v>
      </c>
      <c r="S176" s="33" t="s">
        <v>215</v>
      </c>
      <c r="T176" s="33" t="s">
        <v>216</v>
      </c>
      <c r="U176" s="33" t="s">
        <v>215</v>
      </c>
      <c r="V176" s="33" t="s">
        <v>216</v>
      </c>
      <c r="W176" s="33" t="s">
        <v>215</v>
      </c>
      <c r="X176" s="33" t="s">
        <v>215</v>
      </c>
      <c r="Y176" s="33" t="s">
        <v>215</v>
      </c>
      <c r="Z176" s="33" t="s">
        <v>216</v>
      </c>
      <c r="AA176" s="33" t="s">
        <v>215</v>
      </c>
      <c r="AB176" s="33">
        <v>0</v>
      </c>
      <c r="AC176" s="33" t="s">
        <v>24</v>
      </c>
      <c r="AD176" s="33" t="s">
        <v>217</v>
      </c>
      <c r="AE176" s="49"/>
    </row>
    <row r="177" spans="1:30" x14ac:dyDescent="0.2">
      <c r="A177">
        <v>41</v>
      </c>
      <c r="B177" t="s">
        <v>78</v>
      </c>
      <c r="C177" t="s">
        <v>43</v>
      </c>
      <c r="D177">
        <v>1</v>
      </c>
      <c r="E177" s="12">
        <v>3</v>
      </c>
      <c r="F177">
        <v>2013</v>
      </c>
      <c r="G177">
        <v>1</v>
      </c>
      <c r="H177" t="s">
        <v>27</v>
      </c>
      <c r="I177" t="s">
        <v>86</v>
      </c>
      <c r="J177" t="s">
        <v>87</v>
      </c>
      <c r="K177">
        <v>2.2499999999999999E-2</v>
      </c>
      <c r="L177">
        <v>100</v>
      </c>
      <c r="M177">
        <v>2.2499999999999999E-4</v>
      </c>
      <c r="N177" s="50">
        <v>184</v>
      </c>
      <c r="O177" t="s">
        <v>24</v>
      </c>
      <c r="P177">
        <v>1095</v>
      </c>
      <c r="Q177">
        <v>2</v>
      </c>
      <c r="R177" s="30">
        <f>Q178</f>
        <v>30</v>
      </c>
      <c r="S177" t="s">
        <v>24</v>
      </c>
      <c r="T177" t="s">
        <v>24</v>
      </c>
      <c r="U177" t="s">
        <v>24</v>
      </c>
      <c r="V177" t="s">
        <v>24</v>
      </c>
      <c r="W177" t="s">
        <v>24</v>
      </c>
      <c r="X177" t="s">
        <v>24</v>
      </c>
      <c r="Y177" t="s">
        <v>24</v>
      </c>
      <c r="Z177" t="s">
        <v>24</v>
      </c>
      <c r="AA177" t="s">
        <v>24</v>
      </c>
      <c r="AB177">
        <v>0</v>
      </c>
      <c r="AC177" t="s">
        <v>24</v>
      </c>
      <c r="AD177" t="s">
        <v>89</v>
      </c>
    </row>
    <row r="178" spans="1:30" x14ac:dyDescent="0.2">
      <c r="A178">
        <v>42</v>
      </c>
      <c r="B178" t="s">
        <v>78</v>
      </c>
      <c r="C178" t="s">
        <v>43</v>
      </c>
      <c r="D178">
        <v>1</v>
      </c>
      <c r="E178" s="12">
        <v>5</v>
      </c>
      <c r="F178">
        <v>2013</v>
      </c>
      <c r="G178">
        <v>1</v>
      </c>
      <c r="H178" t="s">
        <v>27</v>
      </c>
      <c r="I178" t="s">
        <v>86</v>
      </c>
      <c r="J178" t="s">
        <v>87</v>
      </c>
      <c r="K178">
        <v>1.125E-2</v>
      </c>
      <c r="L178">
        <v>120</v>
      </c>
      <c r="M178">
        <v>1.35E-4</v>
      </c>
      <c r="N178" s="50">
        <v>184</v>
      </c>
      <c r="O178" t="s">
        <v>24</v>
      </c>
      <c r="P178">
        <v>30</v>
      </c>
      <c r="Q178">
        <v>30</v>
      </c>
      <c r="R178" s="30">
        <v>30</v>
      </c>
      <c r="S178" t="s">
        <v>24</v>
      </c>
      <c r="T178" t="s">
        <v>24</v>
      </c>
      <c r="U178" t="s">
        <v>24</v>
      </c>
      <c r="V178" t="s">
        <v>24</v>
      </c>
      <c r="W178" t="s">
        <v>24</v>
      </c>
      <c r="X178" t="s">
        <v>24</v>
      </c>
      <c r="Y178" t="s">
        <v>24</v>
      </c>
      <c r="Z178" t="s">
        <v>24</v>
      </c>
      <c r="AA178" t="s">
        <v>24</v>
      </c>
      <c r="AB178">
        <v>0</v>
      </c>
      <c r="AC178" t="s">
        <v>24</v>
      </c>
      <c r="AD178" t="s">
        <v>90</v>
      </c>
    </row>
    <row r="179" spans="1:30" x14ac:dyDescent="0.2">
      <c r="A179">
        <v>43</v>
      </c>
      <c r="B179" t="s">
        <v>78</v>
      </c>
      <c r="C179" t="s">
        <v>43</v>
      </c>
      <c r="D179">
        <v>1</v>
      </c>
      <c r="E179" s="12">
        <v>4</v>
      </c>
      <c r="F179">
        <v>2013</v>
      </c>
      <c r="G179">
        <v>1</v>
      </c>
      <c r="H179" t="s">
        <v>27</v>
      </c>
      <c r="I179" t="s">
        <v>86</v>
      </c>
      <c r="J179" t="s">
        <v>87</v>
      </c>
      <c r="K179">
        <v>7.0882184246619699E-3</v>
      </c>
      <c r="L179">
        <v>100</v>
      </c>
      <c r="M179" s="1">
        <v>7.0882184246619701E-5</v>
      </c>
      <c r="N179" s="50">
        <v>184</v>
      </c>
      <c r="O179" t="s">
        <v>24</v>
      </c>
      <c r="P179">
        <v>0</v>
      </c>
      <c r="Q179">
        <v>1</v>
      </c>
      <c r="R179" s="30">
        <v>1</v>
      </c>
      <c r="S179" t="s">
        <v>24</v>
      </c>
      <c r="T179" t="s">
        <v>24</v>
      </c>
      <c r="U179" t="s">
        <v>24</v>
      </c>
      <c r="V179" t="s">
        <v>24</v>
      </c>
      <c r="W179" t="s">
        <v>24</v>
      </c>
      <c r="X179" t="s">
        <v>24</v>
      </c>
      <c r="Y179" t="s">
        <v>24</v>
      </c>
      <c r="Z179" t="s">
        <v>24</v>
      </c>
      <c r="AA179" t="s">
        <v>24</v>
      </c>
      <c r="AB179">
        <v>0</v>
      </c>
      <c r="AC179" t="s">
        <v>24</v>
      </c>
      <c r="AD179" t="s">
        <v>91</v>
      </c>
    </row>
    <row r="180" spans="1:30" x14ac:dyDescent="0.2">
      <c r="A180">
        <v>44</v>
      </c>
      <c r="B180" t="s">
        <v>78</v>
      </c>
      <c r="C180" t="s">
        <v>43</v>
      </c>
      <c r="D180">
        <v>1</v>
      </c>
      <c r="E180" s="12">
        <v>5</v>
      </c>
      <c r="F180" s="40">
        <v>2013</v>
      </c>
      <c r="G180" s="40">
        <v>1</v>
      </c>
      <c r="H180" s="40" t="s">
        <v>27</v>
      </c>
      <c r="I180" s="40" t="s">
        <v>86</v>
      </c>
      <c r="J180" s="40" t="s">
        <v>87</v>
      </c>
      <c r="K180">
        <v>3.8484510006475E-3</v>
      </c>
      <c r="L180">
        <v>120</v>
      </c>
      <c r="M180" s="1">
        <v>4.618141200777E-5</v>
      </c>
      <c r="N180" s="50">
        <v>184</v>
      </c>
      <c r="O180" t="s">
        <v>24</v>
      </c>
      <c r="P180">
        <v>30</v>
      </c>
      <c r="Q180">
        <v>30</v>
      </c>
      <c r="R180" s="30">
        <v>30</v>
      </c>
      <c r="S180" t="s">
        <v>24</v>
      </c>
      <c r="T180" t="s">
        <v>24</v>
      </c>
      <c r="U180" t="s">
        <v>24</v>
      </c>
      <c r="V180" t="s">
        <v>24</v>
      </c>
      <c r="W180" t="s">
        <v>24</v>
      </c>
      <c r="X180" t="s">
        <v>24</v>
      </c>
      <c r="Y180" t="s">
        <v>24</v>
      </c>
      <c r="Z180" t="s">
        <v>24</v>
      </c>
      <c r="AA180" t="s">
        <v>24</v>
      </c>
      <c r="AB180">
        <v>0</v>
      </c>
      <c r="AC180" s="40" t="s">
        <v>24</v>
      </c>
      <c r="AD180" s="40" t="s">
        <v>92</v>
      </c>
    </row>
    <row r="181" spans="1:30" x14ac:dyDescent="0.2">
      <c r="A181">
        <v>45</v>
      </c>
      <c r="B181" t="s">
        <v>78</v>
      </c>
      <c r="C181" t="s">
        <v>43</v>
      </c>
      <c r="D181">
        <v>1</v>
      </c>
      <c r="E181" s="12">
        <v>6</v>
      </c>
      <c r="F181">
        <v>2013</v>
      </c>
      <c r="G181">
        <v>1</v>
      </c>
      <c r="H181" t="s">
        <v>27</v>
      </c>
      <c r="I181" t="s">
        <v>86</v>
      </c>
      <c r="J181" t="s">
        <v>87</v>
      </c>
      <c r="K181" s="1">
        <v>7.85398163397448E-5</v>
      </c>
      <c r="L181">
        <v>400</v>
      </c>
      <c r="M181" s="1">
        <v>3.1415926535897899E-6</v>
      </c>
      <c r="N181" s="50">
        <v>184</v>
      </c>
      <c r="O181" t="s">
        <v>24</v>
      </c>
      <c r="P181">
        <v>0</v>
      </c>
      <c r="Q181">
        <v>1</v>
      </c>
      <c r="R181" s="30">
        <v>1</v>
      </c>
      <c r="S181" s="40" t="s">
        <v>24</v>
      </c>
      <c r="T181" s="40" t="s">
        <v>24</v>
      </c>
      <c r="U181" s="40" t="s">
        <v>24</v>
      </c>
      <c r="V181" s="40" t="s">
        <v>24</v>
      </c>
      <c r="W181" s="40" t="s">
        <v>24</v>
      </c>
      <c r="X181" s="40" t="s">
        <v>24</v>
      </c>
      <c r="Y181" s="40" t="s">
        <v>24</v>
      </c>
      <c r="Z181" s="40" t="s">
        <v>24</v>
      </c>
      <c r="AA181" s="40" t="s">
        <v>24</v>
      </c>
      <c r="AB181" s="40">
        <v>0</v>
      </c>
      <c r="AC181" t="s">
        <v>24</v>
      </c>
      <c r="AD181" t="s">
        <v>93</v>
      </c>
    </row>
    <row r="182" spans="1:30" x14ac:dyDescent="0.2">
      <c r="A182">
        <v>165</v>
      </c>
      <c r="B182" t="s">
        <v>172</v>
      </c>
      <c r="C182" t="s">
        <v>43</v>
      </c>
      <c r="D182">
        <v>1</v>
      </c>
      <c r="E182" s="12">
        <v>1</v>
      </c>
      <c r="F182">
        <v>2013</v>
      </c>
      <c r="G182">
        <v>1</v>
      </c>
      <c r="H182" s="58" t="s">
        <v>27</v>
      </c>
      <c r="I182" s="58" t="s">
        <v>176</v>
      </c>
      <c r="J182" s="58" t="s">
        <v>219</v>
      </c>
      <c r="K182" s="58">
        <f>0.04*10000</f>
        <v>400</v>
      </c>
      <c r="L182" s="60">
        <v>10</v>
      </c>
      <c r="M182" s="60">
        <f>4000/10000</f>
        <v>0.4</v>
      </c>
      <c r="N182" s="58">
        <v>80</v>
      </c>
      <c r="O182" s="58">
        <v>1</v>
      </c>
      <c r="P182" s="58">
        <f>20*365</f>
        <v>7300</v>
      </c>
      <c r="Q182" s="58">
        <v>2</v>
      </c>
      <c r="R182" s="58">
        <v>7300</v>
      </c>
      <c r="S182" s="58">
        <v>1</v>
      </c>
      <c r="T182" s="58">
        <v>1</v>
      </c>
      <c r="U182" s="58">
        <v>1</v>
      </c>
      <c r="V182" s="58">
        <v>1</v>
      </c>
      <c r="W182" s="58">
        <v>1</v>
      </c>
      <c r="X182" s="58">
        <v>0</v>
      </c>
      <c r="Y182" s="58">
        <v>1</v>
      </c>
      <c r="Z182" s="58">
        <v>1</v>
      </c>
      <c r="AA182" s="58">
        <v>0</v>
      </c>
      <c r="AB182" s="58">
        <v>1</v>
      </c>
      <c r="AC182" t="s">
        <v>24</v>
      </c>
      <c r="AD182" s="64" t="s">
        <v>229</v>
      </c>
    </row>
    <row r="183" spans="1:30" x14ac:dyDescent="0.2">
      <c r="A183">
        <v>166</v>
      </c>
      <c r="B183" t="s">
        <v>172</v>
      </c>
      <c r="C183" t="s">
        <v>43</v>
      </c>
      <c r="D183">
        <v>1</v>
      </c>
      <c r="E183" s="12">
        <v>2</v>
      </c>
      <c r="F183">
        <v>2013</v>
      </c>
      <c r="G183">
        <v>1</v>
      </c>
      <c r="H183" s="58" t="s">
        <v>27</v>
      </c>
      <c r="I183" s="58" t="s">
        <v>176</v>
      </c>
      <c r="J183" s="60" t="s">
        <v>220</v>
      </c>
      <c r="K183" s="60">
        <v>0.23</v>
      </c>
      <c r="L183" s="60">
        <v>50</v>
      </c>
      <c r="M183" s="60">
        <f>0.23*50/10000</f>
        <v>1.15E-3</v>
      </c>
      <c r="N183" s="60">
        <v>80</v>
      </c>
      <c r="O183" s="60">
        <v>365</v>
      </c>
      <c r="P183" s="60">
        <v>0</v>
      </c>
      <c r="Q183" s="60">
        <v>365</v>
      </c>
      <c r="R183" s="60">
        <v>365</v>
      </c>
      <c r="S183" s="60">
        <v>1</v>
      </c>
      <c r="T183" s="60">
        <v>1</v>
      </c>
      <c r="U183" s="60">
        <v>1</v>
      </c>
      <c r="V183" s="60">
        <v>1</v>
      </c>
      <c r="W183" s="60">
        <v>1</v>
      </c>
      <c r="X183" s="60">
        <v>0</v>
      </c>
      <c r="Y183" s="60">
        <v>1</v>
      </c>
      <c r="Z183" s="60">
        <v>1</v>
      </c>
      <c r="AA183" s="60">
        <v>0</v>
      </c>
      <c r="AB183" s="60">
        <v>1</v>
      </c>
      <c r="AC183" t="s">
        <v>24</v>
      </c>
      <c r="AD183" s="65" t="s">
        <v>230</v>
      </c>
    </row>
    <row r="184" spans="1:30" x14ac:dyDescent="0.2">
      <c r="B184" t="s">
        <v>172</v>
      </c>
      <c r="C184" t="s">
        <v>43</v>
      </c>
      <c r="D184">
        <v>1</v>
      </c>
      <c r="E184" s="12">
        <v>3</v>
      </c>
      <c r="F184">
        <v>2013</v>
      </c>
      <c r="G184">
        <v>1</v>
      </c>
      <c r="H184" s="60" t="s">
        <v>27</v>
      </c>
      <c r="I184" s="60" t="s">
        <v>176</v>
      </c>
      <c r="J184" s="60" t="s">
        <v>221</v>
      </c>
      <c r="K184" s="60">
        <f>0.15*0.15</f>
        <v>2.2499999999999999E-2</v>
      </c>
      <c r="L184" s="60">
        <v>50</v>
      </c>
      <c r="M184" s="60">
        <f>50*0.0225/10000</f>
        <v>1.125E-4</v>
      </c>
      <c r="N184" s="60">
        <v>80</v>
      </c>
      <c r="O184" s="60">
        <f>10/60/24</f>
        <v>6.9444444444444441E-3</v>
      </c>
      <c r="P184" s="60">
        <v>0</v>
      </c>
      <c r="Q184" s="60">
        <f>10/60/24</f>
        <v>6.9444444444444441E-3</v>
      </c>
      <c r="R184" s="60">
        <f>10/60/24</f>
        <v>6.9444444444444441E-3</v>
      </c>
      <c r="S184" s="60">
        <v>1</v>
      </c>
      <c r="T184" s="60">
        <v>0</v>
      </c>
      <c r="U184" s="60">
        <v>0</v>
      </c>
      <c r="V184" s="60">
        <v>1</v>
      </c>
      <c r="W184" s="60">
        <v>0</v>
      </c>
      <c r="X184" s="60">
        <v>0</v>
      </c>
      <c r="Y184" s="60">
        <v>1</v>
      </c>
      <c r="Z184" s="60">
        <v>0</v>
      </c>
      <c r="AA184" s="60">
        <v>0</v>
      </c>
      <c r="AB184" s="60">
        <v>1</v>
      </c>
      <c r="AD184" s="65" t="s">
        <v>231</v>
      </c>
    </row>
    <row r="185" spans="1:30" x14ac:dyDescent="0.2">
      <c r="B185" t="s">
        <v>172</v>
      </c>
      <c r="C185" t="s">
        <v>43</v>
      </c>
      <c r="D185">
        <v>1</v>
      </c>
      <c r="E185" s="12">
        <v>4</v>
      </c>
      <c r="F185">
        <v>2013</v>
      </c>
      <c r="G185">
        <v>1</v>
      </c>
      <c r="H185" s="60" t="s">
        <v>27</v>
      </c>
      <c r="I185" s="60" t="s">
        <v>176</v>
      </c>
      <c r="J185" s="60" t="s">
        <v>222</v>
      </c>
      <c r="K185" s="60">
        <f>PI()*(0.095/2)^2</f>
        <v>7.0882184246619708E-3</v>
      </c>
      <c r="L185" s="60">
        <v>50</v>
      </c>
      <c r="M185" s="60">
        <f>K185*L185/10000</f>
        <v>3.544109212330985E-5</v>
      </c>
      <c r="N185" s="60">
        <v>80</v>
      </c>
      <c r="O185" s="60">
        <f>10/60/24</f>
        <v>6.9444444444444441E-3</v>
      </c>
      <c r="P185" s="60">
        <v>0</v>
      </c>
      <c r="Q185" s="60">
        <f>10/60/24</f>
        <v>6.9444444444444441E-3</v>
      </c>
      <c r="R185" s="60">
        <f>10/60/24</f>
        <v>6.9444444444444441E-3</v>
      </c>
      <c r="S185" s="60">
        <v>0</v>
      </c>
      <c r="T185" s="60">
        <v>0</v>
      </c>
      <c r="U185" s="60">
        <v>0</v>
      </c>
      <c r="V185" s="60">
        <v>1</v>
      </c>
      <c r="W185" s="60">
        <v>1</v>
      </c>
      <c r="X185" s="60">
        <v>0</v>
      </c>
      <c r="Y185" s="60">
        <v>1</v>
      </c>
      <c r="Z185" s="60">
        <v>0</v>
      </c>
      <c r="AA185" s="60">
        <v>0</v>
      </c>
      <c r="AB185" s="60">
        <v>0</v>
      </c>
      <c r="AD185" s="65" t="s">
        <v>177</v>
      </c>
    </row>
  </sheetData>
  <sortState ref="A2:AE185">
    <sortCondition ref="C2:C185"/>
    <sortCondition ref="B2:B185"/>
  </sortState>
  <hyperlinks>
    <hyperlink ref="AD109" r:id="rId1"/>
  </hyperlinks>
  <pageMargins left="0.75" right="0.75" top="1" bottom="1" header="0.5" footer="0.5"/>
  <pageSetup orientation="portrait" horizontalDpi="4294967292" verticalDpi="4294967292"/>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merged_calibrationf.csv</vt:lpstr>
    </vt:vector>
  </TitlesOfParts>
  <Company>Princeton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Lyndon Estes</dc:creator>
  <cp:lastModifiedBy>Microsoft Office User</cp:lastModifiedBy>
  <dcterms:created xsi:type="dcterms:W3CDTF">2016-03-04T21:05:33Z</dcterms:created>
  <dcterms:modified xsi:type="dcterms:W3CDTF">2017-12-01T18:41:42Z</dcterms:modified>
</cp:coreProperties>
</file>