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ate1904="1" showInkAnnotation="0" autoCompressPictures="0"/>
  <bookViews>
    <workbookView xWindow="480" yWindow="0" windowWidth="20730" windowHeight="11760" tabRatio="827" activeTab="5"/>
  </bookViews>
  <sheets>
    <sheet name="Pengantar" sheetId="12" r:id="rId1"/>
    <sheet name="Identitas Responden" sheetId="1" r:id="rId2"/>
    <sheet name="I Peran TIK" sheetId="4" r:id="rId3"/>
    <sheet name="II Tata Kelola" sheetId="2" r:id="rId4"/>
    <sheet name="III Risiko" sheetId="10" r:id="rId5"/>
    <sheet name="IV Kerangka Kerja" sheetId="5" r:id="rId6"/>
    <sheet name="V Pengelolaan Aset" sheetId="8" r:id="rId7"/>
    <sheet name="VI Teknologi" sheetId="6" r:id="rId8"/>
    <sheet name="Dashboard" sheetId="9" r:id="rId9"/>
    <sheet name="Referensi" sheetId="11" state="hidden" r:id="rId10"/>
    <sheet name="Catatan Perubahan" sheetId="13" state="hidden" r:id="rId11"/>
  </sheets>
  <definedNames>
    <definedName name="PeranTIK">Referensi!$B$11:$B$15</definedName>
    <definedName name="_xlnm.Print_Area" localSheetId="8">Dashboard!$A$1:$AK$39</definedName>
    <definedName name="_xlnm.Print_Area" localSheetId="2">'I Peran TIK'!$A$1:$D$17</definedName>
    <definedName name="_xlnm.Print_Area" localSheetId="1">'Identitas Responden'!$A$1:$D$22</definedName>
    <definedName name="_xlnm.Print_Area" localSheetId="3">'II Tata Kelola'!$A$1:$E$25</definedName>
    <definedName name="_xlnm.Print_Area" localSheetId="4">'III Risiko'!$A$1:$E$20</definedName>
    <definedName name="_xlnm.Print_Area" localSheetId="5">'IV Kerangka Kerja'!$A$1:$E$32</definedName>
    <definedName name="_xlnm.Print_Area" localSheetId="6">'V Pengelolaan Aset'!$A$1:$E$41</definedName>
    <definedName name="_xlnm.Print_Area" localSheetId="7">'VI Teknologi'!$A$1:$E$29</definedName>
    <definedName name="Skor">Referensi!$C$4:$C$7</definedName>
    <definedName name="SkorAkhir">Referensi!$E$4:$G$7</definedName>
    <definedName name="SkorPeranTIK">Referensi!$D$11:$E$14</definedName>
    <definedName name="StatusPenerapan">Referensi!$B$4:$B$7</definedName>
    <definedName name="StatusPenerapanHasil">Referensi!$D$4:$D$7</definedName>
    <definedName name="TingkatKematangan">Referensi!$E$3:$G$3</definedName>
    <definedName name="TingkatKematangan2">Referensi!$B$19:$B$27</definedName>
    <definedName name="TKM">Referensi!$C$19:$C$27</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F5" i="6"/>
  <c r="F6"/>
  <c r="F7"/>
  <c r="F8"/>
  <c r="F9"/>
  <c r="F10"/>
  <c r="F11"/>
  <c r="F12"/>
  <c r="F13"/>
  <c r="F14"/>
  <c r="F21"/>
  <c r="F22"/>
  <c r="F23"/>
  <c r="E38"/>
  <c r="F41"/>
  <c r="E43"/>
  <c r="F15"/>
  <c r="F16"/>
  <c r="F17"/>
  <c r="F18"/>
  <c r="F19"/>
  <c r="F20"/>
  <c r="F24"/>
  <c r="F25"/>
  <c r="F26"/>
  <c r="F27"/>
  <c r="E42"/>
  <c r="F46"/>
  <c r="E48"/>
  <c r="F5" i="10"/>
  <c r="F6"/>
  <c r="F7"/>
  <c r="F8"/>
  <c r="F9"/>
  <c r="F10"/>
  <c r="F11"/>
  <c r="F12"/>
  <c r="F13"/>
  <c r="E29"/>
  <c r="F32"/>
  <c r="E34"/>
  <c r="F14"/>
  <c r="F15"/>
  <c r="E33"/>
  <c r="F37"/>
  <c r="E39"/>
  <c r="F16"/>
  <c r="F17"/>
  <c r="E38"/>
  <c r="F42"/>
  <c r="E44"/>
  <c r="AO52" i="9"/>
  <c r="AO49"/>
  <c r="AO46"/>
  <c r="E31" i="10"/>
  <c r="E30"/>
  <c r="E32"/>
  <c r="AO44" i="9"/>
  <c r="AO54"/>
  <c r="AO55"/>
  <c r="AR49"/>
  <c r="AR46"/>
  <c r="E40" i="6"/>
  <c r="E39"/>
  <c r="E41"/>
  <c r="AR44" i="9"/>
  <c r="E46" i="6"/>
  <c r="AR47" i="9"/>
  <c r="E35" i="6"/>
  <c r="E31"/>
  <c r="E32"/>
  <c r="E34"/>
  <c r="E36"/>
  <c r="F28"/>
  <c r="E47"/>
  <c r="E51"/>
  <c r="AR50" i="9"/>
  <c r="AR54"/>
  <c r="AR55"/>
  <c r="F5" i="2"/>
  <c r="F6"/>
  <c r="F7"/>
  <c r="F8"/>
  <c r="F9"/>
  <c r="F10"/>
  <c r="F11"/>
  <c r="F12"/>
  <c r="F13"/>
  <c r="F14"/>
  <c r="F15"/>
  <c r="E34"/>
  <c r="F37"/>
  <c r="E39"/>
  <c r="F16"/>
  <c r="F17"/>
  <c r="F18"/>
  <c r="E38"/>
  <c r="F42"/>
  <c r="E44"/>
  <c r="AN49" i="9"/>
  <c r="AN46"/>
  <c r="E36" i="2"/>
  <c r="E35"/>
  <c r="E37"/>
  <c r="AN44" i="9"/>
  <c r="AN54"/>
  <c r="AN55"/>
  <c r="F22" i="5"/>
  <c r="F23"/>
  <c r="F5"/>
  <c r="F6"/>
  <c r="F7"/>
  <c r="F8"/>
  <c r="F9"/>
  <c r="F10"/>
  <c r="F11"/>
  <c r="F12"/>
  <c r="E41"/>
  <c r="F44"/>
  <c r="E46"/>
  <c r="F24"/>
  <c r="F25"/>
  <c r="F26"/>
  <c r="F27"/>
  <c r="F28"/>
  <c r="F13"/>
  <c r="F14"/>
  <c r="F15"/>
  <c r="F16"/>
  <c r="E38"/>
  <c r="E34"/>
  <c r="E35"/>
  <c r="E37"/>
  <c r="E39"/>
  <c r="F17"/>
  <c r="F18"/>
  <c r="E45"/>
  <c r="F49"/>
  <c r="E51"/>
  <c r="F29"/>
  <c r="F19"/>
  <c r="F20"/>
  <c r="E50"/>
  <c r="F54"/>
  <c r="E56"/>
  <c r="AP52" i="9"/>
  <c r="AP49"/>
  <c r="AP46"/>
  <c r="E43" i="5"/>
  <c r="E42"/>
  <c r="E44"/>
  <c r="AP44" i="9"/>
  <c r="AP54"/>
  <c r="AP55"/>
  <c r="F5" i="8"/>
  <c r="F6"/>
  <c r="F7"/>
  <c r="F8"/>
  <c r="F9"/>
  <c r="F10"/>
  <c r="F12"/>
  <c r="F13"/>
  <c r="F14"/>
  <c r="F15"/>
  <c r="F16"/>
  <c r="F17"/>
  <c r="F18"/>
  <c r="F19"/>
  <c r="F20"/>
  <c r="F21"/>
  <c r="F22"/>
  <c r="F31"/>
  <c r="F32"/>
  <c r="F33"/>
  <c r="F34"/>
  <c r="F35"/>
  <c r="F36"/>
  <c r="F37"/>
  <c r="F38"/>
  <c r="F39"/>
  <c r="E50"/>
  <c r="F53"/>
  <c r="E55"/>
  <c r="AQ46" i="9"/>
  <c r="E52" i="8"/>
  <c r="E51"/>
  <c r="E53"/>
  <c r="AQ44" i="9"/>
  <c r="AQ54"/>
  <c r="AQ55"/>
  <c r="AT56"/>
  <c r="AE7"/>
  <c r="Z7"/>
  <c r="F23" i="8"/>
  <c r="F24"/>
  <c r="F25"/>
  <c r="F26"/>
  <c r="E47"/>
  <c r="E43"/>
  <c r="E44"/>
  <c r="E46"/>
  <c r="E48"/>
  <c r="F40"/>
  <c r="E41" i="10"/>
  <c r="AT55" i="9"/>
  <c r="AJ17"/>
  <c r="AS55"/>
  <c r="AJ15"/>
  <c r="E44" i="6"/>
  <c r="H42"/>
  <c r="H38"/>
  <c r="H54" i="8"/>
  <c r="H50"/>
  <c r="E54" i="5"/>
  <c r="H45"/>
  <c r="H41"/>
  <c r="E42" i="10"/>
  <c r="H33"/>
  <c r="H29"/>
  <c r="E31" i="2"/>
  <c r="E27"/>
  <c r="E28"/>
  <c r="E30"/>
  <c r="E32"/>
  <c r="F19"/>
  <c r="F20"/>
  <c r="F21"/>
  <c r="F22"/>
  <c r="F23"/>
  <c r="F24"/>
  <c r="E43"/>
  <c r="E47"/>
  <c r="H38"/>
  <c r="H34"/>
  <c r="AN50" i="9"/>
  <c r="E49" i="6"/>
  <c r="E45"/>
  <c r="E57" i="8"/>
  <c r="F58"/>
  <c r="E56"/>
  <c r="E41" i="2"/>
  <c r="E58" i="5"/>
  <c r="E57"/>
  <c r="E45" i="10"/>
  <c r="E36"/>
  <c r="E35"/>
  <c r="E40" i="2"/>
  <c r="E47" i="5"/>
  <c r="E46" i="10"/>
  <c r="E48" i="5"/>
  <c r="AN15" i="9"/>
  <c r="E23" i="10"/>
  <c r="AO15" i="9"/>
  <c r="AP15"/>
  <c r="AQ15"/>
  <c r="AR15"/>
  <c r="AS15"/>
  <c r="AN14"/>
  <c r="E22" i="10"/>
  <c r="AO14" i="9"/>
  <c r="AP14"/>
  <c r="AQ14"/>
  <c r="AR14"/>
  <c r="AS14"/>
  <c r="E5" i="4"/>
  <c r="E6"/>
  <c r="E7"/>
  <c r="E8"/>
  <c r="E9"/>
  <c r="E10"/>
  <c r="E11"/>
  <c r="E12"/>
  <c r="E13"/>
  <c r="E14"/>
  <c r="E15"/>
  <c r="E16"/>
  <c r="D17"/>
  <c r="AO36" i="9"/>
  <c r="AO38"/>
  <c r="AO37"/>
  <c r="E42" i="2"/>
  <c r="AN47" i="9"/>
  <c r="AS56"/>
  <c r="J7"/>
  <c r="U7"/>
  <c r="AG18"/>
  <c r="AG17"/>
  <c r="AG16"/>
  <c r="AG15"/>
  <c r="AG14"/>
  <c r="E58" i="8"/>
  <c r="E59" i="5"/>
  <c r="E49"/>
  <c r="E47" i="10"/>
  <c r="E37"/>
  <c r="AQ47" i="9"/>
  <c r="AP53"/>
  <c r="AP50"/>
  <c r="AP47"/>
  <c r="AO53"/>
  <c r="AO50"/>
  <c r="AO47"/>
  <c r="E45" i="2"/>
  <c r="F51" i="6"/>
  <c r="E50"/>
  <c r="E53" i="5"/>
  <c r="E52"/>
  <c r="E46" i="2"/>
  <c r="E25"/>
  <c r="AN22" i="9"/>
  <c r="AN34"/>
  <c r="E26" i="10"/>
  <c r="E25"/>
  <c r="E27"/>
  <c r="F18"/>
  <c r="F19"/>
  <c r="E20"/>
  <c r="AO22" i="9"/>
  <c r="AO34"/>
  <c r="F30" i="5"/>
  <c r="F31"/>
  <c r="E32"/>
  <c r="AP22" i="9"/>
  <c r="AP34"/>
  <c r="F27" i="8"/>
  <c r="F28"/>
  <c r="F29"/>
  <c r="E41"/>
  <c r="AQ22" i="9"/>
  <c r="AQ34"/>
  <c r="E29" i="6"/>
  <c r="AR22" i="9"/>
  <c r="AR34"/>
  <c r="AP35"/>
  <c r="E54" i="8"/>
  <c r="E55" i="5"/>
  <c r="E43" i="10"/>
  <c r="B18" i="9"/>
  <c r="B17"/>
  <c r="B16"/>
  <c r="B11"/>
  <c r="B4"/>
  <c r="AJ13"/>
  <c r="P13"/>
  <c r="E24" i="10"/>
  <c r="AO16" i="9"/>
  <c r="E36" i="5"/>
  <c r="AP16" i="9"/>
  <c r="E45" i="8"/>
  <c r="AQ16" i="9"/>
  <c r="E33" i="6"/>
  <c r="AR16" i="9"/>
  <c r="E29" i="2"/>
  <c r="AN16" i="9"/>
  <c r="AT16"/>
  <c r="AU16"/>
  <c r="AT15"/>
  <c r="AU15"/>
  <c r="AT14"/>
  <c r="AU14"/>
  <c r="AS16"/>
  <c r="AS17"/>
  <c r="AN19"/>
  <c r="AN20"/>
  <c r="AN21"/>
  <c r="AO19"/>
  <c r="AO20"/>
  <c r="AO21"/>
  <c r="AP19"/>
  <c r="AP20"/>
  <c r="AP21"/>
  <c r="AQ19"/>
  <c r="AQ20"/>
  <c r="AQ21"/>
  <c r="AR19"/>
  <c r="AR20"/>
  <c r="AR21"/>
  <c r="AN17"/>
  <c r="AO17"/>
  <c r="AP17"/>
  <c r="AQ17"/>
  <c r="AR17"/>
  <c r="P16"/>
  <c r="P17"/>
  <c r="P18"/>
  <c r="P14"/>
  <c r="P15"/>
  <c r="AJ9"/>
  <c r="AP36"/>
  <c r="AS22"/>
  <c r="D20" i="4"/>
</calcChain>
</file>

<file path=xl/comments1.xml><?xml version="1.0" encoding="utf-8"?>
<comments xmlns="http://schemas.openxmlformats.org/spreadsheetml/2006/main">
  <authors>
    <author>Jester Harlequin II</author>
  </authors>
  <commentList>
    <comment ref="B7" authorId="0">
      <text>
        <r>
          <rPr>
            <b/>
            <sz val="9"/>
            <color indexed="81"/>
            <rFont val="Verdana"/>
          </rPr>
          <t>Minim:</t>
        </r>
        <r>
          <rPr>
            <sz val="9"/>
            <color indexed="81"/>
            <rFont val="Verdana"/>
          </rPr>
          <t xml:space="preserve"> hanya digunakan untuk mempermudah sejumlah kecil pekerjaan rutin, pencatatan, penyimpanan salinan dokumen, dll
</t>
        </r>
        <r>
          <rPr>
            <b/>
            <sz val="9"/>
            <color indexed="81"/>
            <rFont val="Verdana"/>
          </rPr>
          <t>Rendah:</t>
        </r>
        <r>
          <rPr>
            <sz val="9"/>
            <color indexed="81"/>
            <rFont val="Verdana"/>
          </rPr>
          <t xml:space="preserve"> digunakan untuk menunjang kegiatan rutin
</t>
        </r>
        <r>
          <rPr>
            <b/>
            <sz val="9"/>
            <color indexed="81"/>
            <rFont val="Verdana"/>
          </rPr>
          <t>Sedang:</t>
        </r>
        <r>
          <rPr>
            <sz val="9"/>
            <color indexed="81"/>
            <rFont val="Verdana"/>
          </rPr>
          <t xml:space="preserve"> digunakan untuk membantu penyelenggaraan layanan publik atau tugas utama instansi
</t>
        </r>
        <r>
          <rPr>
            <b/>
            <sz val="9"/>
            <color indexed="81"/>
            <rFont val="Verdana"/>
          </rPr>
          <t>Tinggi:</t>
        </r>
        <r>
          <rPr>
            <sz val="9"/>
            <color indexed="81"/>
            <rFont val="Verdana"/>
          </rPr>
          <t xml:space="preserve"> digunakan sebagai sarana utama penyelenggaraan layanan publik dan tugas utama instansi
</t>
        </r>
        <r>
          <rPr>
            <b/>
            <sz val="9"/>
            <color indexed="81"/>
            <rFont val="Verdana"/>
          </rPr>
          <t>Kritis:</t>
        </r>
        <r>
          <rPr>
            <sz val="9"/>
            <color indexed="81"/>
            <rFont val="Verdana"/>
          </rPr>
          <t xml:space="preserve"> digunakan sebagai sarana utama penyelenggaraan layanan publik dan tugas utama instansi yang bersifat nasional dan strategis</t>
        </r>
      </text>
    </comment>
    <comment ref="B8" authorId="0">
      <text>
        <r>
          <rPr>
            <b/>
            <sz val="9"/>
            <color indexed="81"/>
            <rFont val="Verdana"/>
          </rPr>
          <t xml:space="preserve">Minim: </t>
        </r>
        <r>
          <rPr>
            <sz val="9"/>
            <color indexed="81"/>
            <rFont val="Verdana"/>
          </rPr>
          <t xml:space="preserve">tidak ada atau sedikit sekali - proses kerja sistem/aplikasi yang bersifat umum dan penyimpanan data publik
</t>
        </r>
        <r>
          <rPr>
            <b/>
            <sz val="9"/>
            <color indexed="81"/>
            <rFont val="Verdana"/>
          </rPr>
          <t xml:space="preserve">Rendah: </t>
        </r>
        <r>
          <rPr>
            <sz val="9"/>
            <color indexed="81"/>
            <rFont val="Verdana"/>
          </rPr>
          <t xml:space="preserve">ada sejumlah proses kerja sistem/aplikasi yang spesifik sesuai tugas instansi dan data/informasi yang bisa didapatkan dari tempat lain
</t>
        </r>
        <r>
          <rPr>
            <b/>
            <sz val="9"/>
            <color indexed="81"/>
            <rFont val="Verdana"/>
          </rPr>
          <t xml:space="preserve">Sedang: </t>
        </r>
        <r>
          <rPr>
            <sz val="9"/>
            <color indexed="81"/>
            <rFont val="Verdana"/>
          </rPr>
          <t xml:space="preserve">ada sejumlah proses kerja sistem/aplikasi yang sangat spesifik dan data/informasi yang sulit didapatkan dari tempat lain
</t>
        </r>
        <r>
          <rPr>
            <b/>
            <sz val="9"/>
            <color indexed="81"/>
            <rFont val="Verdana"/>
          </rPr>
          <t xml:space="preserve">Tinggi: </t>
        </r>
        <r>
          <rPr>
            <sz val="9"/>
            <color indexed="81"/>
            <rFont val="Verdana"/>
          </rPr>
          <t xml:space="preserve">proses kerja sistem/aplikasi merupakan aset nasional dan data/ informasi penting berskala nasional
</t>
        </r>
        <r>
          <rPr>
            <b/>
            <sz val="9"/>
            <color indexed="81"/>
            <rFont val="Verdana"/>
          </rPr>
          <t xml:space="preserve">Kritis: </t>
        </r>
        <r>
          <rPr>
            <sz val="9"/>
            <color indexed="81"/>
            <rFont val="Verdana"/>
          </rPr>
          <t>proses kerja sistem/aplikasi yang merupakan rahasia negara dan data/informasi penting yang bersifat strategis</t>
        </r>
      </text>
    </comment>
    <comment ref="B9" authorId="0">
      <text>
        <r>
          <rPr>
            <b/>
            <sz val="9"/>
            <color indexed="81"/>
            <rFont val="Verdana"/>
          </rPr>
          <t>Minim:</t>
        </r>
        <r>
          <rPr>
            <sz val="9"/>
            <color indexed="81"/>
            <rFont val="Verdana"/>
          </rPr>
          <t xml:space="preserve"> tidak ada dampak terhadap kinerja karena hanya digunakan untuk mempermudah sejumlah kecil pekerjaan rutin, pencatatan, penyimpanan salinan dokumen, dll
</t>
        </r>
        <r>
          <rPr>
            <b/>
            <sz val="9"/>
            <color indexed="81"/>
            <rFont val="Verdana"/>
          </rPr>
          <t>Rendah:</t>
        </r>
        <r>
          <rPr>
            <sz val="9"/>
            <color indexed="81"/>
            <rFont val="Verdana"/>
          </rPr>
          <t xml:space="preserve"> agak mengganggu kinerja karena digunakan untuk menunjang kegiatan rutin
</t>
        </r>
        <r>
          <rPr>
            <b/>
            <sz val="9"/>
            <color indexed="81"/>
            <rFont val="Verdana"/>
          </rPr>
          <t>Sedang:</t>
        </r>
        <r>
          <rPr>
            <sz val="9"/>
            <color indexed="81"/>
            <rFont val="Verdana"/>
          </rPr>
          <t xml:space="preserve"> berdampak pada tingkat layanan masyarakat karena digunakan untuk membantu penyelenggaraan layanan publik atau tugas utama instansi
</t>
        </r>
        <r>
          <rPr>
            <b/>
            <sz val="9"/>
            <color indexed="81"/>
            <rFont val="Verdana"/>
          </rPr>
          <t>Tinggi:</t>
        </r>
        <r>
          <rPr>
            <sz val="9"/>
            <color indexed="81"/>
            <rFont val="Verdana"/>
          </rPr>
          <t xml:space="preserve"> mengganggu tersedianya layanan masyarakat karena digunakan sebagai komponen utama penyelenggaraan layanan publik dan tugas utama instansi, sulit untuk digantikan proses manual
</t>
        </r>
        <r>
          <rPr>
            <b/>
            <sz val="9"/>
            <color indexed="81"/>
            <rFont val="Verdana"/>
          </rPr>
          <t>Kritis:</t>
        </r>
        <r>
          <rPr>
            <sz val="9"/>
            <color indexed="81"/>
            <rFont val="Verdana"/>
          </rPr>
          <t xml:space="preserve"> tidak tersedianya layanan masyarakat karena digunakan sebagai sarana utama penyelenggaraan layanan publik dan tugas utama instansi yang bersifat </t>
        </r>
        <r>
          <rPr>
            <i/>
            <sz val="9"/>
            <color indexed="81"/>
            <rFont val="Verdana"/>
          </rPr>
          <t>nasional</t>
        </r>
        <r>
          <rPr>
            <sz val="9"/>
            <color indexed="81"/>
            <rFont val="Verdana"/>
          </rPr>
          <t xml:space="preserve"> dan </t>
        </r>
        <r>
          <rPr>
            <i/>
            <sz val="9"/>
            <color indexed="81"/>
            <rFont val="Verdana"/>
          </rPr>
          <t>strategis</t>
        </r>
      </text>
    </comment>
    <comment ref="B10" authorId="0">
      <text>
        <r>
          <rPr>
            <b/>
            <sz val="9"/>
            <color indexed="81"/>
            <rFont val="Verdana"/>
          </rPr>
          <t>Minim:</t>
        </r>
        <r>
          <rPr>
            <sz val="9"/>
            <color indexed="81"/>
            <rFont val="Verdana"/>
          </rPr>
          <t xml:space="preserve"> sistem beroperasi secara individu, tidak terkait dengan sistem lainnya
</t>
        </r>
        <r>
          <rPr>
            <b/>
            <sz val="9"/>
            <color indexed="81"/>
            <rFont val="Verdana"/>
          </rPr>
          <t>Rendah:</t>
        </r>
        <r>
          <rPr>
            <sz val="9"/>
            <color indexed="81"/>
            <rFont val="Verdana"/>
          </rPr>
          <t xml:space="preserve"> sistem beroperasi secara terintergasi dengan sistem lainnya, tetapi ketersediaannya tidak mengganggu fungsi sistem lain tersebut
</t>
        </r>
        <r>
          <rPr>
            <b/>
            <sz val="9"/>
            <color indexed="81"/>
            <rFont val="Verdana"/>
          </rPr>
          <t>Sedang:</t>
        </r>
        <r>
          <rPr>
            <sz val="9"/>
            <color indexed="81"/>
            <rFont val="Verdana"/>
          </rPr>
          <t xml:space="preserve"> sistem beroperasi secara terintergasi dengan sistem lainnya, gangguan ketersediaan akan mengganggu sistem lain tersebut
</t>
        </r>
        <r>
          <rPr>
            <b/>
            <sz val="9"/>
            <color indexed="81"/>
            <rFont val="Verdana"/>
          </rPr>
          <t>Tinggi:</t>
        </r>
        <r>
          <rPr>
            <sz val="9"/>
            <color indexed="81"/>
            <rFont val="Verdana"/>
          </rPr>
          <t xml:space="preserve"> sistem harus beroperasi secara terintergasi dengan sistem lainnya, dan gangguan ketersediaan akan sangat mengganggu sistem lain tersebut
</t>
        </r>
        <r>
          <rPr>
            <b/>
            <sz val="9"/>
            <color indexed="81"/>
            <rFont val="Verdana"/>
          </rPr>
          <t>Kritis:</t>
        </r>
        <r>
          <rPr>
            <sz val="9"/>
            <color indexed="81"/>
            <rFont val="Verdana"/>
          </rPr>
          <t xml:space="preserve"> sistem merupakan bagian/komponen penting dari sistem lainnya, dan gangguan ketersediaan mengganggu layanan yang berskala nasional
</t>
        </r>
      </text>
    </comment>
    <comment ref="B11" authorId="0">
      <text>
        <r>
          <rPr>
            <b/>
            <sz val="9"/>
            <color indexed="81"/>
            <rFont val="Verdana"/>
          </rPr>
          <t>Minim:</t>
        </r>
        <r>
          <rPr>
            <sz val="9"/>
            <color indexed="81"/>
            <rFont val="Verdana"/>
          </rPr>
          <t xml:space="preserve"> tidak ada dampak apapun
</t>
        </r>
        <r>
          <rPr>
            <b/>
            <sz val="9"/>
            <color indexed="81"/>
            <rFont val="Verdana"/>
          </rPr>
          <t>Rendah:</t>
        </r>
        <r>
          <rPr>
            <sz val="9"/>
            <color indexed="81"/>
            <rFont val="Verdana"/>
          </rPr>
          <t xml:space="preserve"> dampaknya tidak berarti, hanya mengakibatkan terganggunya ketersediaan sejumlah kecil data/proses umum
</t>
        </r>
        <r>
          <rPr>
            <b/>
            <sz val="9"/>
            <color indexed="81"/>
            <rFont val="Verdana"/>
          </rPr>
          <t>Sedang:</t>
        </r>
        <r>
          <rPr>
            <sz val="9"/>
            <color indexed="81"/>
            <rFont val="Verdana"/>
          </rPr>
          <t xml:space="preserve"> gangguan yang dapat menghambat pekerjaan atau layanan publik, hilangnya data/informasi publik dengan jumlah yang cukup besar
</t>
        </r>
        <r>
          <rPr>
            <b/>
            <sz val="9"/>
            <color indexed="81"/>
            <rFont val="Verdana"/>
          </rPr>
          <t>Tinggi:</t>
        </r>
        <r>
          <rPr>
            <sz val="9"/>
            <color indexed="81"/>
            <rFont val="Verdana"/>
          </rPr>
          <t xml:space="preserve"> gangguan terhadap layanan publik yang bersifat nasional, hilangnya data publik dalam jumlah sangat besar
</t>
        </r>
        <r>
          <rPr>
            <b/>
            <sz val="9"/>
            <color indexed="81"/>
            <rFont val="Verdana"/>
          </rPr>
          <t>Kritis:</t>
        </r>
        <r>
          <rPr>
            <sz val="9"/>
            <color indexed="81"/>
            <rFont val="Verdana"/>
          </rPr>
          <t xml:space="preserve"> gangguan terhadap layanan publik yang bersifat strategis, terkait data/informasi rahasia milik negara </t>
        </r>
      </text>
    </comment>
    <comment ref="B12" authorId="0">
      <text>
        <r>
          <rPr>
            <b/>
            <sz val="9"/>
            <color indexed="81"/>
            <rFont val="Verdana"/>
          </rPr>
          <t>Minim:</t>
        </r>
        <r>
          <rPr>
            <sz val="9"/>
            <color indexed="81"/>
            <rFont val="Verdana"/>
          </rPr>
          <t xml:space="preserve"> tidak peduli - jarang menggunakan
</t>
        </r>
        <r>
          <rPr>
            <b/>
            <sz val="9"/>
            <color indexed="81"/>
            <rFont val="Verdana"/>
          </rPr>
          <t>Rendah:</t>
        </r>
        <r>
          <rPr>
            <sz val="9"/>
            <color indexed="81"/>
            <rFont val="Verdana"/>
          </rPr>
          <t xml:space="preserve"> membutuhkan layanan TIK, tetapi mudah mencari alternatif lain
</t>
        </r>
        <r>
          <rPr>
            <b/>
            <sz val="9"/>
            <color indexed="81"/>
            <rFont val="Verdana"/>
          </rPr>
          <t>Sedang:</t>
        </r>
        <r>
          <rPr>
            <sz val="9"/>
            <color indexed="81"/>
            <rFont val="Verdana"/>
          </rPr>
          <t xml:space="preserve"> membutuhkan layanan TIK untuk menunjang pekerjaan rutin
</t>
        </r>
        <r>
          <rPr>
            <b/>
            <sz val="9"/>
            <color indexed="81"/>
            <rFont val="Verdana"/>
          </rPr>
          <t>Tinggi:</t>
        </r>
        <r>
          <rPr>
            <sz val="9"/>
            <color indexed="81"/>
            <rFont val="Verdana"/>
          </rPr>
          <t xml:space="preserve"> sangat membutuhkan layanan TIK untuk tugas utama
</t>
        </r>
        <r>
          <rPr>
            <b/>
            <sz val="9"/>
            <color indexed="81"/>
            <rFont val="Verdana"/>
          </rPr>
          <t>Kritis:</t>
        </r>
        <r>
          <rPr>
            <sz val="9"/>
            <color indexed="81"/>
            <rFont val="Verdana"/>
          </rPr>
          <t xml:space="preserve"> sangat membutuhkan layanan TIK untuk menjalankan tugas instansi  </t>
        </r>
      </text>
    </comment>
    <comment ref="B13" authorId="0">
      <text>
        <r>
          <rPr>
            <b/>
            <sz val="9"/>
            <color indexed="81"/>
            <rFont val="Verdana"/>
          </rPr>
          <t>Minim:</t>
        </r>
        <r>
          <rPr>
            <sz val="9"/>
            <color indexed="81"/>
            <rFont val="Verdana"/>
          </rPr>
          <t xml:space="preserve"> tidak ada kaitannya dengan kepatuhan terhadap Kebijakan, Peraturan/UU
</t>
        </r>
        <r>
          <rPr>
            <b/>
            <sz val="9"/>
            <color indexed="81"/>
            <rFont val="Verdana"/>
          </rPr>
          <t>Rendah:</t>
        </r>
        <r>
          <rPr>
            <sz val="9"/>
            <color indexed="81"/>
            <rFont val="Verdana"/>
          </rPr>
          <t xml:space="preserve"> ada sejumlah Kebijakan yang harus diikuti dalam penyelenggaraan layanan menggunakan sistem ini
</t>
        </r>
        <r>
          <rPr>
            <b/>
            <sz val="9"/>
            <color indexed="81"/>
            <rFont val="Verdana"/>
          </rPr>
          <t>Sedang:</t>
        </r>
        <r>
          <rPr>
            <sz val="9"/>
            <color indexed="81"/>
            <rFont val="Verdana"/>
          </rPr>
          <t xml:space="preserve"> proses kerja sistem/aplikasi harus mematuhi sejumlah Kebijakan dan Peraturan internal atau eksternal
</t>
        </r>
        <r>
          <rPr>
            <b/>
            <sz val="9"/>
            <color indexed="81"/>
            <rFont val="Verdana"/>
          </rPr>
          <t>Tinggi:</t>
        </r>
        <r>
          <rPr>
            <sz val="9"/>
            <color indexed="81"/>
            <rFont val="Verdana"/>
          </rPr>
          <t xml:space="preserve"> proses kerja sistem/aplikasi harus mengikuti Peraturan dan UU
</t>
        </r>
        <r>
          <rPr>
            <b/>
            <sz val="9"/>
            <color indexed="81"/>
            <rFont val="Verdana"/>
          </rPr>
          <t>Kritis:</t>
        </r>
        <r>
          <rPr>
            <sz val="9"/>
            <color indexed="81"/>
            <rFont val="Verdana"/>
          </rPr>
          <t xml:space="preserve"> proses kerja sistem/aplikasi harus mematuhi sejumlah UU dan perangkat hukum terkait </t>
        </r>
      </text>
    </comment>
    <comment ref="B14" authorId="0">
      <text>
        <r>
          <rPr>
            <b/>
            <sz val="9"/>
            <color indexed="81"/>
            <rFont val="Verdana"/>
          </rPr>
          <t>Minim:</t>
        </r>
        <r>
          <rPr>
            <sz val="9"/>
            <color indexed="81"/>
            <rFont val="Verdana"/>
          </rPr>
          <t xml:space="preserve"> tidak ada dampak apapun
</t>
        </r>
        <r>
          <rPr>
            <b/>
            <sz val="9"/>
            <color indexed="81"/>
            <rFont val="Verdana"/>
          </rPr>
          <t>Rendah:</t>
        </r>
        <r>
          <rPr>
            <sz val="9"/>
            <color indexed="81"/>
            <rFont val="Verdana"/>
          </rPr>
          <t xml:space="preserve"> dampaknya tidak signifikan, hanya mengakibatkan terganggunya atau terungkapnya sejumlah kecil data atau kegiatan/program kerja umum
</t>
        </r>
        <r>
          <rPr>
            <b/>
            <sz val="9"/>
            <color indexed="81"/>
            <rFont val="Verdana"/>
          </rPr>
          <t>Sedang:</t>
        </r>
        <r>
          <rPr>
            <sz val="9"/>
            <color indexed="81"/>
            <rFont val="Verdana"/>
          </rPr>
          <t xml:space="preserve"> terungkapnya informasi yang sangat mengganggu program kerja, hilangnya data/informasi publik dengan jumlah yang cukup besar
</t>
        </r>
        <r>
          <rPr>
            <b/>
            <sz val="9"/>
            <color indexed="81"/>
            <rFont val="Verdana"/>
          </rPr>
          <t>Tinggi:</t>
        </r>
        <r>
          <rPr>
            <sz val="9"/>
            <color indexed="81"/>
            <rFont val="Verdana"/>
          </rPr>
          <t xml:space="preserve"> terungkapnya informasi sensitif atau terbatas yang dapat berakibat pada gagalnya program kerja atau mengganggu kinerja/kredibilitas pemerintah
</t>
        </r>
        <r>
          <rPr>
            <b/>
            <sz val="9"/>
            <color indexed="81"/>
            <rFont val="Verdana"/>
          </rPr>
          <t>Kritis:</t>
        </r>
        <r>
          <rPr>
            <sz val="9"/>
            <color indexed="81"/>
            <rFont val="Verdana"/>
          </rPr>
          <t xml:space="preserve"> hilangnya aset informasi penting berskala nasional atau terungkapnya informasi rahasia terkait keamanan negara</t>
        </r>
      </text>
    </comment>
    <comment ref="B15" authorId="0">
      <text>
        <r>
          <rPr>
            <b/>
            <sz val="9"/>
            <color indexed="81"/>
            <rFont val="Verdana"/>
          </rPr>
          <t>Minim:</t>
        </r>
        <r>
          <rPr>
            <sz val="9"/>
            <color indexed="81"/>
            <rFont val="Verdana"/>
          </rPr>
          <t xml:space="preserve"> sistem dapat dioperasikan sendiri dengan teknologi yang mudah ditemui di pasaran
</t>
        </r>
        <r>
          <rPr>
            <b/>
            <sz val="9"/>
            <color indexed="81"/>
            <rFont val="Verdana"/>
          </rPr>
          <t>Rendah:</t>
        </r>
        <r>
          <rPr>
            <sz val="9"/>
            <color indexed="81"/>
            <rFont val="Verdana"/>
          </rPr>
          <t xml:space="preserve"> sistem dapat dioperasikan sendiri dengan dukungan teknisi eksternal, teknologi dengan spesifikasi yang tidak umum
</t>
        </r>
        <r>
          <rPr>
            <b/>
            <sz val="9"/>
            <color indexed="81"/>
            <rFont val="Verdana"/>
          </rPr>
          <t>Sedang:</t>
        </r>
        <r>
          <rPr>
            <sz val="9"/>
            <color indexed="81"/>
            <rFont val="Verdana"/>
          </rPr>
          <t xml:space="preserve"> sistem harus dioperasikan dengan dukungan teknis dari pihak eksternal, teknologi dengan spesifikasi yang cukup spesifik
</t>
        </r>
        <r>
          <rPr>
            <b/>
            <sz val="9"/>
            <color indexed="81"/>
            <rFont val="Verdana"/>
          </rPr>
          <t>Tinggi:</t>
        </r>
        <r>
          <rPr>
            <sz val="9"/>
            <color indexed="81"/>
            <rFont val="Verdana"/>
          </rPr>
          <t xml:space="preserve"> sistem tidak dapat dioperasikan tanpa dukungan teknis dari pihak eksternal, teknologi dengan spesifikasi yang sangat spesifik
</t>
        </r>
        <r>
          <rPr>
            <b/>
            <sz val="9"/>
            <color indexed="81"/>
            <rFont val="Verdana"/>
          </rPr>
          <t>Kritis:</t>
        </r>
        <r>
          <rPr>
            <sz val="9"/>
            <color indexed="81"/>
            <rFont val="Verdana"/>
          </rPr>
          <t xml:space="preserve"> sistem hanya dapat dioperasikan dengan dukungan teknis dari pihak eksternal tertentu, teknologi dengan spesifikasi tinggi dan ketersediaan perangkat yang sangat terbatas </t>
        </r>
      </text>
    </comment>
    <comment ref="B16" authorId="0">
      <text>
        <r>
          <rPr>
            <b/>
            <sz val="9"/>
            <color indexed="81"/>
            <rFont val="Verdana"/>
          </rPr>
          <t>Minim:</t>
        </r>
        <r>
          <rPr>
            <sz val="9"/>
            <color indexed="81"/>
            <rFont val="Verdana"/>
          </rPr>
          <t xml:space="preserve"> hanya digunakan sebagai penunjang pekerjaan rutin (pencatatan, penyimpanan salinan dokumen umum, dll) - sistem relatif bersifat terbuka
</t>
        </r>
        <r>
          <rPr>
            <b/>
            <sz val="9"/>
            <color indexed="81"/>
            <rFont val="Verdana"/>
          </rPr>
          <t>Rendah:</t>
        </r>
        <r>
          <rPr>
            <sz val="9"/>
            <color indexed="81"/>
            <rFont val="Verdana"/>
          </rPr>
          <t xml:space="preserve"> digunakan untuk menunjang sejumlah kegiatan tugas pokok, sistem hanya digunakan secara internal organisasi
</t>
        </r>
        <r>
          <rPr>
            <b/>
            <sz val="9"/>
            <color indexed="81"/>
            <rFont val="Verdana"/>
          </rPr>
          <t>Sedang:</t>
        </r>
        <r>
          <rPr>
            <sz val="9"/>
            <color indexed="81"/>
            <rFont val="Verdana"/>
          </rPr>
          <t xml:space="preserve"> digunakan untuk membantu penyelenggaraan layanan publik atau tugas utama instansi, sistem digunakan secara internal dan terbatas
</t>
        </r>
        <r>
          <rPr>
            <b/>
            <sz val="9"/>
            <color indexed="81"/>
            <rFont val="Verdana"/>
          </rPr>
          <t>Tinggi:</t>
        </r>
        <r>
          <rPr>
            <sz val="9"/>
            <color indexed="81"/>
            <rFont val="Verdana"/>
          </rPr>
          <t xml:space="preserve"> digunakan sebagai sarana utama penyelenggaraan layanan publik dan tugas utama instansi, akses ke fungsi administrasi sistem atau basis data dibatasi untuk yang mempunyai wewenang
</t>
        </r>
        <r>
          <rPr>
            <b/>
            <sz val="9"/>
            <color indexed="81"/>
            <rFont val="Verdana"/>
          </rPr>
          <t>Kritis:</t>
        </r>
        <r>
          <rPr>
            <sz val="9"/>
            <color indexed="81"/>
            <rFont val="Verdana"/>
          </rPr>
          <t xml:space="preserve"> digunakan sebagai sarana utama penyelenggaraan layanan publik dan tugas utama instansi yang bersifat </t>
        </r>
        <r>
          <rPr>
            <i/>
            <sz val="9"/>
            <color indexed="81"/>
            <rFont val="Verdana"/>
          </rPr>
          <t>nasional dan strategis</t>
        </r>
        <r>
          <rPr>
            <sz val="9"/>
            <color indexed="81"/>
            <rFont val="Verdana"/>
          </rPr>
          <t xml:space="preserve">, akses ke fungsi administrasi sistem atau basis data dibatasi secara ketat, dengan wewenang dan pemantauan khusus </t>
        </r>
      </text>
    </comment>
  </commentList>
</comments>
</file>

<file path=xl/sharedStrings.xml><?xml version="1.0" encoding="utf-8"?>
<sst xmlns="http://schemas.openxmlformats.org/spreadsheetml/2006/main" count="823" uniqueCount="391">
  <si>
    <t xml:space="preserve">Hasil dari penjumlahan skor untuk masing-masing area ditampilkan dalam diagram radar dengan latar belakang area untuk tingkat maksimal kematangan 1 s/d 3. Dalam diagram ini bisa dilihat perbandingan antara kondisi kesiapan sebagai hasil dari proses evaluasi dengan acuan tingkat kematangan yang ada.
</t>
    <phoneticPr fontId="5" type="noConversion"/>
  </si>
  <si>
    <t>Nama Pejabat</t>
    <phoneticPr fontId="5" type="noConversion"/>
  </si>
  <si>
    <r>
      <t xml:space="preserve">Penggunaan dan publikasi hasil evaluasi Indeks KAMI merupakan bentuk tanggungjawab penggunaan dana publik sekaligus menjadi sarana untuk meningkatkan kesadaran mengenai kebutuhan keamanan informasi di Instansi pemerintah. Pertukaran informasi dan diskusi dengan Instansi pemerintah lainnya sebagai bagian dari penggunaan alat evaluasi Indeks KAMI ini juga menciptakan alur komunikasi antar pengelola keamanan informasi di sektor pemerintah sehingga semua pihak dapat mengambil manfaat dari </t>
    </r>
    <r>
      <rPr>
        <i/>
        <sz val="11"/>
        <rFont val="Arial"/>
      </rPr>
      <t>lesson</t>
    </r>
    <r>
      <rPr>
        <sz val="11"/>
        <rFont val="Arial"/>
      </rPr>
      <t xml:space="preserve"> </t>
    </r>
    <r>
      <rPr>
        <i/>
        <sz val="11"/>
        <rFont val="Arial"/>
      </rPr>
      <t>learned</t>
    </r>
    <r>
      <rPr>
        <sz val="11"/>
        <rFont val="Arial"/>
      </rPr>
      <t xml:space="preserve"> yang sudah dilalui.
</t>
    </r>
    <phoneticPr fontId="5" type="noConversion"/>
  </si>
  <si>
    <t xml:space="preserve">Apakah Instansi anda sudah menyusun langkah mitigasi dan penanggulangan risiko yang ada? </t>
  </si>
  <si>
    <t>Apakah Instansi anda memiliki dan menerapkan perangkat di bawah ini, sebagai kelanjutan dari proses penerapan mitigasi risiko?</t>
  </si>
  <si>
    <t>Definisi tanggungjawab pengamanan informasi secara individual untuk semua personil di Instansi anda</t>
  </si>
  <si>
    <t>Tata tertib pengamanan dan penggunaan aset Instansi terkait HAKI</t>
  </si>
  <si>
    <t>Apakah tersedia peraturan pengamanan perangkat komputasi milik Instansi anda apabila digunakan di luar lokasi kerja resmi (kantor)?</t>
  </si>
  <si>
    <t>Apakah jaringan komunikasi disegmentasi sesuai dengan kepentingannya (pembagian Instansi, kebutuhan aplikasi, jalur akses khusus, dll)?</t>
  </si>
  <si>
    <t>Apakah Instansi anda secara rutin menganalisa kepatuhan penerapan konfigurasi standar yang ada?</t>
  </si>
  <si>
    <t xml:space="preserve">Apakah Instansi anda menerapkan enkripsi untuk melindungi aset informasi penting sesuai kebijakan pengelolaan yang ada? </t>
  </si>
  <si>
    <t>Apakah Instansi anda mempunyai standar dalam menggunakan enkripsi?</t>
  </si>
  <si>
    <t>Apakah Instansi anda menerapkan pengamanan untuk mengelola kunci enkripsi (termasuk sertifikat elektronik) yang digunakan, termasuk siklus penggunaannya?</t>
  </si>
  <si>
    <t xml:space="preserve">Apakah Instansi anda menerapkan pengamanan untuk mendeteksi dan mencegah penggunaan akses jaringan (termasuk jaringan nirkabel) yang tidak resmi? </t>
  </si>
  <si>
    <t>Apakah Instansi anda menerapkan bentuk pengamanan khusus untuk melindungi akses dari luar Instansi?</t>
  </si>
  <si>
    <t>Apakah Instansi anda melibatkan pihak independen untuk mengkaji kehandalan keamanan informasi secara rutin?</t>
  </si>
  <si>
    <t>Identitas Instansi Pemerintah</t>
    <phoneticPr fontId="5" type="noConversion"/>
  </si>
  <si>
    <t>Apakah Instansi anda sudah mengidentifikasi legislasi dan perangkat hukum lainnya terkait keamanan informasi yang harus dipatuhi dan menganalisa tingkat kepatuhannya?</t>
  </si>
  <si>
    <t>Apakah Instansi anda sudah mendefinisikan kebijakan dan langkah penanggulangan insiden keamanan informasi yang menyangkut pelanggaran hukum (pidana dan perdata)?</t>
  </si>
  <si>
    <t>Bagian ini mengevaluasi kesiapan bentuk tata kelola keamanan informasi beserta Instansi/fungsi, tugas dan tanggung jawab pengelola keamanan informasi.</t>
  </si>
  <si>
    <t xml:space="preserve">Fungsi/Instansi Keamanan Informasi </t>
  </si>
  <si>
    <t xml:space="preserve">Apakah Instansi anda mempunyai program kerja pengelolaan risiko keamanan informasi yang terdokumentasi dan secara resmi digunakan? </t>
  </si>
  <si>
    <t>Apakah kerangka kerja pengelolaan risiko ini mencakup definisi dan hubungan tingkat klasifikasi aset informasi, tingkat ancaman, kemungkinan terjadinya ancaman tersebut dan dampak kerugian terhadap Instansi anda?</t>
  </si>
  <si>
    <t>Apakah Instansi anda sudah menetapkan ambang batas tingkat risiko yang dapat diterima?</t>
  </si>
  <si>
    <t>Apakah Instansi anda sudah mendefinisikan kepemilikan dan pihak pengelola (custodian) aset informasi yang ada, termasuk aset utama/penting dan proses kerja utama yang menggunakan aset tersebut?</t>
  </si>
  <si>
    <t xml:space="preserve">Apakah Instansi anda sudah menjalankan inisiatif analisa/kajian risiko keamanan informasi secara terstruktur terhadap aset informasi yang ada (untuk nantinya digunakan dalam mengidentifikasi langkah mitigasi atau penanggulangan yang menjadi bagian dari program pengelolaan keamanan informasi)? </t>
  </si>
  <si>
    <t>Tingkat ketergantungan ketersediaan sistem TIK untuk menghubungkan lokasi kerja Instansi anda</t>
  </si>
  <si>
    <t>Dampak dari kegagalan sistem TIK Instansi anda terhadap kinerja Instansi pemerintah lainnya atau terhadap ketersediaan sistem pemerintah berskala nasional</t>
  </si>
  <si>
    <t>Tingkat sensitifitas pengguna sistem TIK di Instansi anda</t>
  </si>
  <si>
    <t>Potensi kerugian atau dampak negatif dari insiden ditembusnya keamanan informasi sistem TIK Instansi anda</t>
  </si>
  <si>
    <t>Apakah Instansi anda sudah mendefinisikan persyaratan/standar kompetensi dan keahlian pelaksana pengelolaan keamanan informasi?</t>
  </si>
  <si>
    <t xml:space="preserve">Apakah semua pelaksana pengamanan informasi di Instansi anda memiliki kompetensi dan keahlian yang memadai sesuai persyaratan/standar yang berlaku? </t>
  </si>
  <si>
    <t>Apakah tersedia proses untuk mengamankan lokasi kerja dari keberadaan/kehadiran pihak ketiga yang bekerja untuk kepentingan Instansi anda?</t>
  </si>
  <si>
    <t>Apakah penanggungjawab pengelolaan keamanan informasi melaporkan kondisi, kinerja/efektifitas dan kepatuhan program keamanan informasi kepada pimpinan Instansi secara rutin dan resmi?</t>
  </si>
  <si>
    <t>Apakah tersedia proses yang mengevaluasi dan mengklasifikasi aset informasi sesuai tingkat kepentingan aset bagi Instansi dan keperluan pengamanannya?</t>
  </si>
  <si>
    <t>Apakah kondisi dan permasalahan keamanan informasi di Instansi anda menjadi konsideran atau bagian dari proses pengambilan keputusan strategis di Instansi anda?</t>
  </si>
  <si>
    <t>Apakah pimpinan satuan kerja di Instansi anda menerapkan program khusus untuk mematuhi tujuan dan sasaran kepatuhan pengamanan informasi, khususnya yang mencakup aset informasi yang menjadi tanggungjawabnya?</t>
  </si>
  <si>
    <t>Apakah Instansi anda sudah mendefinisikan paramater, metrik dan mekanisme pengukuran kinerja pengelolaan keamanan informasi?</t>
  </si>
  <si>
    <t>Apakah Instansi anda sudah menerapkan program penilaian kinerja pengelolaan keamanan informasi bagi individu (pejabat &amp; petugas) pelaksananya?</t>
  </si>
  <si>
    <t>Apakah Instansi anda sudah menerapkan target dan sasaran pengelolaan keamanan informasi untuk berbagai area yang relevan dan mengevaluasi pencapaiannya secara rutin, termasuk pelaporannya kepada pimpinan Instansi?</t>
  </si>
  <si>
    <t>Tingkat klasifikasi/kekritisan sistem TIK di Instansi anda, relatif terhadap ancaman upaya penyerangan atau penerobosan keamanan informasi</t>
  </si>
  <si>
    <t>Skor Peran dan Tingkat Kepentingan TIK di Instansi</t>
  </si>
  <si>
    <t>Bagian I: Peran dan Tingkat Kepentingan TIK dalam Instansi</t>
  </si>
  <si>
    <t>Bagian ini memberi tingkatan peran dan kepentingan TIK dalam Instansi anda.</t>
  </si>
  <si>
    <t>Karakteristik Instansi</t>
  </si>
  <si>
    <t xml:space="preserve">Jumlah staff/pengguna dalam Instansi yang menggunakan infrastruktur TIK
Kurang dari 60= Minim 
60 sampai dengan 120 = Rendah 
120 sampai dengan 240 = Sedang  
240 sampai dengan 600 = Tinggi
600 atau lebih = Kritis </t>
  </si>
  <si>
    <t>Tingkat ketergantungan terhadap layanan TIK untuk menjalankan Tugas Pokok dan Fungsi Instansi anda</t>
  </si>
  <si>
    <t>Nilai kekayaan intelektual yang dimiliki dan dihasilkan oleh Instansi anda</t>
  </si>
  <si>
    <t xml:space="preserve">Apakah Instansi anda memiliki fungsi atau bagian yang secara spesifik mempunyai tugas dan tanggungjawab mengelola keamanan informasi dan menjaga kepatuhannya? </t>
  </si>
  <si>
    <t>Apakah Instansi anda mempunyai kerangka kerja pengelolaan risiko keamanan informasi yang terdokumentasi dan secara resmi digunakan?</t>
  </si>
  <si>
    <t xml:space="preserve">Mengenai Indeks KAMI
</t>
    <phoneticPr fontId="5" type="noConversion"/>
  </si>
  <si>
    <t xml:space="preserve">Petunjuk Penggunaan Alat Evaluasi Indeks Keamanan Informasi (Indeks KAMI)
</t>
    <phoneticPr fontId="5" type="noConversion"/>
  </si>
  <si>
    <t xml:space="preserve">Total anggaran tahunan yang dialokasikan untuk TIK
Kurang dari Rp. 1 Milyard = Minim 
Rp. 1 Milyard sampai dengan Rp. 3 Milyard = Rendah 
Rp. 3 Milyard sampai dengan Rp 8 Milyard = Sedang  
Rp. 8 Milyard sampai dengan Rp. 20 Milyard = Tinggi
Rp. 20 Milyard atau lebih = Kritis </t>
    <phoneticPr fontId="5" type="noConversion"/>
  </si>
  <si>
    <t xml:space="preserve">Apakah Instansi anda menerapkan program peningkatan kompetensi dan keahlian untuk pejabat dan petugas pelaksana pengelolaan keamanan informasi? </t>
  </si>
  <si>
    <t>Bagian ini mengevaluasi kesiapan penerapan pengelolaan risiko keamanan informasi sebagai dasar penerapan strategi keamanan informasi.</t>
    <phoneticPr fontId="5" type="noConversion"/>
  </si>
  <si>
    <t>Status</t>
    <phoneticPr fontId="5" type="noConversion"/>
  </si>
  <si>
    <t>Bagian ini mengevaluasi kelengkapan dan kesiapan kerangka kerja (kebijakan &amp; prosedur) pengelolaan keamanan informasi dan strategi penerapannya.</t>
    <phoneticPr fontId="5" type="noConversion"/>
  </si>
  <si>
    <t>Bagian ini mengevaluasi kelengkapan pengamanan aset informasi, termasuk keseluruhan siklus penggunaan aset tersebut.</t>
    <phoneticPr fontId="5" type="noConversion"/>
  </si>
  <si>
    <t>Bagian ini mengevaluasi kelengkapan, konsistensi dan efektifitas penggunaan teknologi dalam pengamanan aset informasi.</t>
    <phoneticPr fontId="5" type="noConversion"/>
  </si>
  <si>
    <t>Pengisi Lembar Evalluasi</t>
    <phoneticPr fontId="5" type="noConversion"/>
  </si>
  <si>
    <t>NIP</t>
    <phoneticPr fontId="5" type="noConversion"/>
  </si>
  <si>
    <t>Jabatan</t>
    <phoneticPr fontId="5" type="noConversion"/>
  </si>
  <si>
    <t>Alamat</t>
    <phoneticPr fontId="5" type="noConversion"/>
  </si>
  <si>
    <t>Nomor Telpon</t>
    <phoneticPr fontId="5" type="noConversion"/>
  </si>
  <si>
    <t>Email</t>
    <phoneticPr fontId="5" type="noConversion"/>
  </si>
  <si>
    <t>Total Nilai Evaluasi Teknologi dan Keamanan Informasi</t>
    <phoneticPr fontId="5" type="noConversion"/>
  </si>
  <si>
    <t>Teknologi dan Keamanan Informasi</t>
    <phoneticPr fontId="5" type="noConversion"/>
  </si>
  <si>
    <t>Indeks KAMI (Keamanan Informasi)</t>
    <phoneticPr fontId="5" type="noConversion"/>
  </si>
  <si>
    <t>Responden:</t>
    <phoneticPr fontId="5" type="noConversion"/>
  </si>
  <si>
    <t>Pengelolaan Risiko</t>
    <phoneticPr fontId="5" type="noConversion"/>
  </si>
  <si>
    <t>Aspek Teknologi</t>
    <phoneticPr fontId="5" type="noConversion"/>
  </si>
  <si>
    <t>Total Pertanyaan</t>
    <phoneticPr fontId="5" type="noConversion"/>
  </si>
  <si>
    <t>Agregat Skor</t>
    <phoneticPr fontId="5" type="noConversion"/>
  </si>
  <si>
    <t>Responden</t>
    <phoneticPr fontId="5" type="noConversion"/>
  </si>
  <si>
    <t>Apakah infrastruktur komputasi terlindungi dari dampak lingkungan atau api dan berada dalam kondisi dengan suhu dan kelembaban yang sesuai dengan prasyarat pabrikannya?</t>
    <phoneticPr fontId="5" type="noConversion"/>
  </si>
  <si>
    <t>Apakah tersedia proses untuk memeriksa (inspeksi) dan merawat: perangkat komputer, fasilitas pendukungnya dan kelayakan keamanan lokasi kerja untuk menempatkan aset informasi penting?</t>
    <phoneticPr fontId="5" type="noConversion"/>
  </si>
  <si>
    <t>Indeks Keamanan Informasi (Indeks KAMI)</t>
    <phoneticPr fontId="5" type="noConversion"/>
  </si>
  <si>
    <r>
      <t>[Tingkat Kepentingan]</t>
    </r>
    <r>
      <rPr>
        <sz val="11"/>
        <color indexed="8"/>
        <rFont val="Arial"/>
      </rPr>
      <t xml:space="preserve"> Minim; Rendah; Sedang; Tinggi; Kritis </t>
    </r>
    <phoneticPr fontId="5" type="noConversion"/>
  </si>
  <si>
    <r>
      <t>Apakah uji-coba perencanaan pemulihan bencana terhadap layanan TIK (</t>
    </r>
    <r>
      <rPr>
        <i/>
        <sz val="11"/>
        <color indexed="8"/>
        <rFont val="Arial"/>
        <family val="2"/>
      </rPr>
      <t>disaster recovery plan</t>
    </r>
    <r>
      <rPr>
        <sz val="11"/>
        <color indexed="8"/>
        <rFont val="Arial"/>
      </rPr>
      <t>) sudah dilakukan sesuai jadwal?</t>
    </r>
    <phoneticPr fontId="5" type="noConversion"/>
  </si>
  <si>
    <t>Dampak dari kegagalan sistem TIK utama yang digunakan Instansi anda</t>
  </si>
  <si>
    <t>Apakah tersedia konfigurasi standar untuk keamanan sistem bagi keseluruhan aset komputer dan perangkat jaringan, yang dimutakhirkan sesuai perkembangan dan kebutuhan?</t>
    <phoneticPr fontId="5" type="noConversion"/>
  </si>
  <si>
    <t xml:space="preserve">Apakah jaringan, sistem dan aplikasi yang digunakan secara rutin dipindai untuk mengidentifikasi kemungkinan adanya celah kelemahan atau perubahan/keutuhan konfigurasi? </t>
    <phoneticPr fontId="5" type="noConversion"/>
  </si>
  <si>
    <t>Apakah setiap aplikasi yang ada memiliki spesifikasi keamanan yang diverifikasi/validasi pada saat pengembangan dan uji-coba?</t>
    <phoneticPr fontId="5" type="noConversion"/>
  </si>
  <si>
    <t>Tata Kelola</t>
    <phoneticPr fontId="5" type="noConversion"/>
  </si>
  <si>
    <t>Pengelolaan Risiko</t>
    <phoneticPr fontId="5" type="noConversion"/>
  </si>
  <si>
    <t>Kerangka Kerja Keamanan Informasi</t>
    <phoneticPr fontId="5" type="noConversion"/>
  </si>
  <si>
    <t>Pengelolaan Aset</t>
    <phoneticPr fontId="5" type="noConversion"/>
  </si>
  <si>
    <t>Apakah keseluruhan sistem (aplikasi, perangkat komputer dan jaringan) sudah menggunakan mekanisme sinkronisasi waktu yang akurat, sesuai dengan standar yang ada?</t>
    <phoneticPr fontId="5" type="noConversion"/>
  </si>
  <si>
    <t>Total Nilai Evaluasi Pengelolaan Risiko Keamanan Informasi</t>
    <phoneticPr fontId="5" type="noConversion"/>
  </si>
  <si>
    <t>Total Nilai Evaluasi Tata Kelola</t>
    <phoneticPr fontId="5" type="noConversion"/>
  </si>
  <si>
    <r>
      <t xml:space="preserve">Apakah semua sistem dan aplikasi secara otomatis mendukung dan menerapkan penggantian </t>
    </r>
    <r>
      <rPr>
        <i/>
        <sz val="11"/>
        <color indexed="8"/>
        <rFont val="Arial"/>
        <family val="2"/>
      </rPr>
      <t>password</t>
    </r>
    <r>
      <rPr>
        <sz val="11"/>
        <color indexed="8"/>
        <rFont val="Arial"/>
      </rPr>
      <t xml:space="preserve"> secara otomatis, termasuk menon-aktifkan </t>
    </r>
    <r>
      <rPr>
        <i/>
        <sz val="11"/>
        <color indexed="8"/>
        <rFont val="Arial"/>
        <family val="2"/>
      </rPr>
      <t>password</t>
    </r>
    <r>
      <rPr>
        <sz val="11"/>
        <color indexed="8"/>
        <rFont val="Arial"/>
      </rPr>
      <t xml:space="preserve">, mengatur kompleksitas/panjangnya dan penggunaan kembali </t>
    </r>
    <r>
      <rPr>
        <i/>
        <sz val="11"/>
        <color indexed="8"/>
        <rFont val="Arial"/>
        <family val="2"/>
      </rPr>
      <t xml:space="preserve">password </t>
    </r>
    <r>
      <rPr>
        <sz val="11"/>
        <color indexed="8"/>
        <rFont val="Arial"/>
      </rPr>
      <t xml:space="preserve">lama? </t>
    </r>
    <phoneticPr fontId="5" type="noConversion"/>
  </si>
  <si>
    <t xml:space="preserve">Apakah akses yang digunakan untuk mengelola sistem (administrasi sistem) menggunakan bentuk pengamanan khusus yang berlapis? </t>
    <phoneticPr fontId="5" type="noConversion"/>
  </si>
  <si>
    <t>Tingkat Ketergantungan</t>
    <phoneticPr fontId="5" type="noConversion"/>
  </si>
  <si>
    <t>Hasil Evaluasi</t>
    <phoneticPr fontId="5" type="noConversion"/>
  </si>
  <si>
    <t>Rendah</t>
    <phoneticPr fontId="5" type="noConversion"/>
  </si>
  <si>
    <t>Sedang</t>
    <phoneticPr fontId="5" type="noConversion"/>
  </si>
  <si>
    <t>Tinggi</t>
    <phoneticPr fontId="5" type="noConversion"/>
  </si>
  <si>
    <t>Kritis</t>
    <phoneticPr fontId="5" type="noConversion"/>
  </si>
  <si>
    <t>Apakah tersedia mekanisme pengamanan dalam pengiriman aset informasi (perangkat dan dokumen) yang melibatkan pihak ketiga?</t>
    <phoneticPr fontId="5" type="noConversion"/>
  </si>
  <si>
    <t>Nomor Induk Pegawai</t>
    <phoneticPr fontId="5" type="noConversion"/>
  </si>
  <si>
    <r>
      <t>[Penilaian]</t>
    </r>
    <r>
      <rPr>
        <sz val="11"/>
        <color indexed="8"/>
        <rFont val="Arial"/>
      </rPr>
      <t xml:space="preserve"> Tidak Dilakukan; Dalam Perencanaan; Dalam Penerapan atau Diterapkan Sebagian; Diterapkan Secara Menyeluruh </t>
    </r>
    <phoneticPr fontId="5" type="noConversion"/>
  </si>
  <si>
    <t>Apakah semua log dianalisa secara berkala untuk memastikan akurasi, validitas dan kelengkapan isinya (untuk kepentingan jejak audit dan forensik)?</t>
    <phoneticPr fontId="5" type="noConversion"/>
  </si>
  <si>
    <t>Apakah tersedia proses pengelolaan konfigurasi yang diterapkan secara konsisten?</t>
    <phoneticPr fontId="5" type="noConversion"/>
  </si>
  <si>
    <t>Ketetapan terkait pertukaran data dengan pihak eksternal dan pengamanannya</t>
    <phoneticPr fontId="5" type="noConversion"/>
  </si>
  <si>
    <t>Proses pelaporan insiden keamanan informasi kepada pihak eksternal ataupun pihak yang berwajib.</t>
    <phoneticPr fontId="5" type="noConversion"/>
  </si>
  <si>
    <t>Apakah tersedia definisi tingkatan akses yang berbeda dan matrix yang merekam alokasi akses tersebut</t>
    <phoneticPr fontId="5" type="noConversion"/>
  </si>
  <si>
    <t>Bagian VI: Teknologi dan Keamanan Informasi</t>
    <phoneticPr fontId="5" type="noConversion"/>
  </si>
  <si>
    <t>Pengamanan Teknologi</t>
    <phoneticPr fontId="5" type="noConversion"/>
  </si>
  <si>
    <t>Apakah sudah diterapkan pengamanan fasilitas fisik (lokasi kerja) yang sesuai dengan kepentingan/klasifikasi aset informasi, secara berlapis dan dapat mencegah upaya akses oleh pihak yang tidak berwenang?</t>
    <phoneticPr fontId="5" type="noConversion"/>
  </si>
  <si>
    <t>Peran/Tingkat Kepentingan TIK</t>
    <phoneticPr fontId="5" type="noConversion"/>
  </si>
  <si>
    <t>(Kode Area) Nomor Telpon</t>
    <phoneticPr fontId="5" type="noConversion"/>
  </si>
  <si>
    <t>user@departemen_responden.go.id</t>
  </si>
  <si>
    <t>Total Skor</t>
    <phoneticPr fontId="5" type="noConversion"/>
  </si>
  <si>
    <r>
      <t xml:space="preserve">Apakah sistem operasi untuk setiap perangkat </t>
    </r>
    <r>
      <rPr>
        <i/>
        <sz val="11"/>
        <color indexed="8"/>
        <rFont val="Arial"/>
        <family val="2"/>
      </rPr>
      <t>desktop</t>
    </r>
    <r>
      <rPr>
        <sz val="11"/>
        <color indexed="8"/>
        <rFont val="Arial"/>
      </rPr>
      <t xml:space="preserve"> dan </t>
    </r>
    <r>
      <rPr>
        <i/>
        <sz val="11"/>
        <color indexed="8"/>
        <rFont val="Arial"/>
        <family val="2"/>
      </rPr>
      <t>server</t>
    </r>
    <r>
      <rPr>
        <sz val="11"/>
        <color indexed="8"/>
        <rFont val="Arial"/>
      </rPr>
      <t xml:space="preserve"> dimutakhirkan dengan versi terkini? </t>
    </r>
    <phoneticPr fontId="5" type="noConversion"/>
  </si>
  <si>
    <r>
      <t xml:space="preserve">Apakah setiap </t>
    </r>
    <r>
      <rPr>
        <i/>
        <sz val="11"/>
        <color indexed="8"/>
        <rFont val="Arial"/>
        <family val="2"/>
      </rPr>
      <t>desktop</t>
    </r>
    <r>
      <rPr>
        <sz val="11"/>
        <color indexed="8"/>
        <rFont val="Arial"/>
      </rPr>
      <t xml:space="preserve"> dan </t>
    </r>
    <r>
      <rPr>
        <i/>
        <sz val="11"/>
        <color indexed="8"/>
        <rFont val="Arial"/>
        <family val="2"/>
      </rPr>
      <t>server</t>
    </r>
    <r>
      <rPr>
        <sz val="11"/>
        <color indexed="8"/>
        <rFont val="Arial"/>
      </rPr>
      <t xml:space="preserve"> dilindungi dari penyerangan virus (</t>
    </r>
    <r>
      <rPr>
        <i/>
        <sz val="11"/>
        <color indexed="8"/>
        <rFont val="Arial"/>
        <family val="2"/>
      </rPr>
      <t>malware</t>
    </r>
    <r>
      <rPr>
        <sz val="11"/>
        <color indexed="8"/>
        <rFont val="Arial"/>
      </rPr>
      <t>)?</t>
    </r>
    <phoneticPr fontId="5" type="noConversion"/>
  </si>
  <si>
    <r>
      <t xml:space="preserve">Apakah ada rekaman dan hasil analisa (jejak audit - </t>
    </r>
    <r>
      <rPr>
        <i/>
        <sz val="11"/>
        <color indexed="8"/>
        <rFont val="Arial"/>
        <family val="2"/>
      </rPr>
      <t>audit trail</t>
    </r>
    <r>
      <rPr>
        <sz val="11"/>
        <color indexed="8"/>
        <rFont val="Arial"/>
      </rPr>
      <t>) yang mengkonfirmasi bahwa antivirus telah dimutakhirkan secara rutin dan sistematis?</t>
    </r>
    <phoneticPr fontId="5" type="noConversion"/>
  </si>
  <si>
    <t>Apakah adanya laporan penyerangan virus yang gagal/sukses ditindaklanjuti dan diselesaikan?</t>
    <phoneticPr fontId="5" type="noConversion"/>
  </si>
  <si>
    <r>
      <t>Apakah perencanaan pemulihan bencana terhadap layanan TIK (</t>
    </r>
    <r>
      <rPr>
        <i/>
        <sz val="11"/>
        <color indexed="8"/>
        <rFont val="Arial"/>
        <family val="2"/>
      </rPr>
      <t>disaster recovery plan</t>
    </r>
    <r>
      <rPr>
        <sz val="11"/>
        <color indexed="8"/>
        <rFont val="Arial"/>
      </rPr>
      <t>) sudah mendefinisikan komposisi, peran, wewenang dan tanggungjawab tim yang ditunjuk?</t>
    </r>
    <phoneticPr fontId="5" type="noConversion"/>
  </si>
  <si>
    <t>Apakah infrastruktur komputasi yang terpasang terlindungi dari gangguan pasokan listrik atau dampak dari petir?</t>
    <phoneticPr fontId="5" type="noConversion"/>
  </si>
  <si>
    <r>
      <t>Apakah tersedia kerangka kerja pengelolaan perencanaan kelangsungan layanan TIK (</t>
    </r>
    <r>
      <rPr>
        <i/>
        <sz val="11"/>
        <color indexed="8"/>
        <rFont val="Arial"/>
        <family val="2"/>
      </rPr>
      <t>business continuity planning</t>
    </r>
    <r>
      <rPr>
        <sz val="11"/>
        <color indexed="8"/>
        <rFont val="Arial"/>
      </rPr>
      <t>) yang mendefinisikan persyaratan/konsideran keamanan informasi, termasuk penjadwalan uji-cobanya?</t>
    </r>
    <phoneticPr fontId="5" type="noConversion"/>
  </si>
  <si>
    <r>
      <t xml:space="preserve">Apakah hasil dari perencanaan pemulihan bencana terhadap layanan TIK </t>
    </r>
    <r>
      <rPr>
        <i/>
        <sz val="11"/>
        <color indexed="8"/>
        <rFont val="Arial"/>
        <family val="2"/>
      </rPr>
      <t>(disaster recovery plan</t>
    </r>
    <r>
      <rPr>
        <sz val="11"/>
        <color indexed="8"/>
        <rFont val="Arial"/>
      </rPr>
      <t>) dievaluasi untuk menerapkan langkah perbaikan atau pembenahan yang diperlukan (misal, apabila hasil uji-coba menunjukkan bahwa proses pemulihan tidak bisa (gagal) memenuhi persyaratan yang ada?</t>
    </r>
    <phoneticPr fontId="5" type="noConversion"/>
  </si>
  <si>
    <t>Apakah seluruh kebijakan dan prosedur keamanan informasi dievaluasi kelayakannya secara berkala?</t>
    <phoneticPr fontId="5" type="noConversion"/>
  </si>
  <si>
    <t>Pengelolaan Aset Informasi</t>
    <phoneticPr fontId="5" type="noConversion"/>
  </si>
  <si>
    <t>3.15</t>
    <phoneticPr fontId="5" type="noConversion"/>
  </si>
  <si>
    <t>3.16</t>
    <phoneticPr fontId="5" type="noConversion"/>
  </si>
  <si>
    <t>3.20</t>
    <phoneticPr fontId="5" type="noConversion"/>
  </si>
  <si>
    <t>3.21</t>
    <phoneticPr fontId="5" type="noConversion"/>
  </si>
  <si>
    <t>3.22</t>
    <phoneticPr fontId="5" type="noConversion"/>
  </si>
  <si>
    <t>3.23</t>
    <phoneticPr fontId="5" type="noConversion"/>
  </si>
  <si>
    <t>3.24</t>
    <phoneticPr fontId="5" type="noConversion"/>
  </si>
  <si>
    <t>4.22</t>
    <phoneticPr fontId="5" type="noConversion"/>
  </si>
  <si>
    <t>Total Nilai Evaluasi Pengelolaan Aset</t>
    <phoneticPr fontId="5" type="noConversion"/>
  </si>
  <si>
    <t>Total Nilai Evaluasi Kerangka Kerja</t>
    <phoneticPr fontId="5" type="noConversion"/>
  </si>
  <si>
    <t>Apakah tersedia prosedur penggunaan perangkat pengolah informasi milik pihak ketiga (termasuk perangkat milik pribadi dan mitra kerja/vendor) dengan memastikan aspek HAKI dan pengamanan akses yang digunakan?</t>
    <phoneticPr fontId="5" type="noConversion"/>
  </si>
  <si>
    <t>Apakah tersedia mekanisme untuk mengelola dokumen kebijakan dan prosedur keamanan informasi, termasuk penggunaan daftar induk, distribusi, penarikan dari peredaran dan penyimpanannya?</t>
    <phoneticPr fontId="5" type="noConversion"/>
  </si>
  <si>
    <t>2.19</t>
    <phoneticPr fontId="5" type="noConversion"/>
  </si>
  <si>
    <t>2.20</t>
    <phoneticPr fontId="5" type="noConversion"/>
  </si>
  <si>
    <r>
      <t xml:space="preserve">Apakah sistem dan aplikasi yang digunakan sudah menerapkan pembatasan waktu akses termasuk otomatisasi proses </t>
    </r>
    <r>
      <rPr>
        <i/>
        <sz val="11"/>
        <color indexed="8"/>
        <rFont val="Arial"/>
        <family val="2"/>
      </rPr>
      <t>timeouts</t>
    </r>
    <r>
      <rPr>
        <sz val="11"/>
        <color indexed="8"/>
        <rFont val="Arial"/>
      </rPr>
      <t xml:space="preserve">, </t>
    </r>
    <r>
      <rPr>
        <i/>
        <sz val="11"/>
        <color indexed="8"/>
        <rFont val="Arial"/>
        <family val="2"/>
      </rPr>
      <t>lockout</t>
    </r>
    <r>
      <rPr>
        <sz val="11"/>
        <color indexed="8"/>
        <rFont val="Arial"/>
      </rPr>
      <t xml:space="preserve"> setelah kegagalan </t>
    </r>
    <r>
      <rPr>
        <i/>
        <sz val="11"/>
        <color indexed="8"/>
        <rFont val="Arial"/>
        <family val="2"/>
      </rPr>
      <t>login</t>
    </r>
    <r>
      <rPr>
        <sz val="11"/>
        <color indexed="8"/>
        <rFont val="Arial"/>
      </rPr>
      <t xml:space="preserve">,dan penarikan akses? </t>
    </r>
    <phoneticPr fontId="5" type="noConversion"/>
  </si>
  <si>
    <t xml:space="preserve">Apakah keseluruhan infrastruktur dimonitor untuk memastikan ketersediaan kapasitas yang cukup untuk kebutuhan yang ada? </t>
    <phoneticPr fontId="5" type="noConversion"/>
  </si>
  <si>
    <t xml:space="preserve">Apakah setiap perubahan dalam sistem informasi secara otomatis terekam di dalam log? </t>
    <phoneticPr fontId="5" type="noConversion"/>
  </si>
  <si>
    <t>Apakah upaya akses oleh yang tidak berhak secara otomatis terekam di dalam log?</t>
    <phoneticPr fontId="5" type="noConversion"/>
  </si>
  <si>
    <t>Apakah kebijakan keamanan informasi sudah ditetapkan secara formal, dipublikasikan kepada pihak terkait dan dengan mudah diakses oleh pihak yang membutuhkannya?</t>
    <phoneticPr fontId="5" type="noConversion"/>
  </si>
  <si>
    <t>Apakah tersedia proses untuk merilis suatu aset baru ke dalam lingkungan operasional dan memutakhirkan inventaris aset informasi?</t>
    <phoneticPr fontId="5" type="noConversion"/>
  </si>
  <si>
    <t>Proses penyidikan/investigasi untuk menyelesaikan insiden terkait kegagalan keamanan informasi</t>
    <phoneticPr fontId="5" type="noConversion"/>
  </si>
  <si>
    <t>Apakah tersedia daftar inventaris aset informasi yang lengkap dan akurat?</t>
    <phoneticPr fontId="5" type="noConversion"/>
  </si>
  <si>
    <t>Apakah tersedia peraturan untuk mengamankan lokasi kerja penting (ruang server, ruang arsip) dari risiko perangkat atau bahan yang dapat membahayakan aset informasi (termasuk fasilitas pengolah informasi) yang ada di dalamnya? (misal larangan penggunaan telpon genggam di dalam ruang server, menggunakan kamera dll)</t>
    <phoneticPr fontId="5" type="noConversion"/>
  </si>
  <si>
    <t>Apakah konstruksi ruang penyimpanan perangkat pengolah informasi penting menggunakan rancangan dan material yang dapat menanggulangi risiko kebakaran dan dilengkapi dengan fasilitas pendukung (deteksi kebakaran/asap, pemadam api, pengatur suhu dan kelembaban) yang sesuai?</t>
    <phoneticPr fontId="5" type="noConversion"/>
  </si>
  <si>
    <t>Apakah tersedia daftar rekaman pelaksanaan keamanan informasi dan bentuk pengamanan yang sesuai dengan klasifikasinya?</t>
    <phoneticPr fontId="5" type="noConversion"/>
  </si>
  <si>
    <t>Bagian IV: Kerangka Kerja Pengelolaan Keamanan Informasi</t>
    <phoneticPr fontId="5" type="noConversion"/>
  </si>
  <si>
    <t>Bagian V: Pengelolaan Aset Informasi</t>
    <phoneticPr fontId="5" type="noConversion"/>
  </si>
  <si>
    <t>Apakah hasil audit internal dilaporkan kepada pimpinan organisasi untuk menetapkan langkah perbaikan atau program peningkatan kinerja keamanan informasi?</t>
    <phoneticPr fontId="5" type="noConversion"/>
  </si>
  <si>
    <t>3.17</t>
    <phoneticPr fontId="5" type="noConversion"/>
  </si>
  <si>
    <t>3.18</t>
    <phoneticPr fontId="5" type="noConversion"/>
  </si>
  <si>
    <t>3.19</t>
    <phoneticPr fontId="5" type="noConversion"/>
  </si>
  <si>
    <t>3.10</t>
    <phoneticPr fontId="5" type="noConversion"/>
  </si>
  <si>
    <t>3.13</t>
    <phoneticPr fontId="5" type="noConversion"/>
  </si>
  <si>
    <t>3.14</t>
    <phoneticPr fontId="5" type="noConversion"/>
  </si>
  <si>
    <r>
      <t xml:space="preserve">Apakah organisasi anda sudah menerapkan kebijakan dan prosedur operasional untuk mengelola implementasi </t>
    </r>
    <r>
      <rPr>
        <i/>
        <sz val="11"/>
        <color indexed="8"/>
        <rFont val="Arial"/>
        <family val="2"/>
      </rPr>
      <t xml:space="preserve">security patch, </t>
    </r>
    <r>
      <rPr>
        <sz val="11"/>
        <color indexed="8"/>
        <rFont val="Arial"/>
      </rPr>
      <t>alokasi</t>
    </r>
    <r>
      <rPr>
        <i/>
        <sz val="11"/>
        <color indexed="8"/>
        <rFont val="Arial"/>
        <family val="2"/>
      </rPr>
      <t xml:space="preserve"> </t>
    </r>
    <r>
      <rPr>
        <sz val="11"/>
        <color indexed="8"/>
        <rFont val="Arial"/>
      </rPr>
      <t xml:space="preserve">tanggungjawab untuk memonitor adanya rilis </t>
    </r>
    <r>
      <rPr>
        <i/>
        <sz val="11"/>
        <color indexed="8"/>
        <rFont val="Arial"/>
        <family val="2"/>
      </rPr>
      <t xml:space="preserve">security patch </t>
    </r>
    <r>
      <rPr>
        <sz val="11"/>
        <color indexed="8"/>
        <rFont val="Arial"/>
      </rPr>
      <t>baru, memastikan pemasangannya dan melaporkannya?</t>
    </r>
    <phoneticPr fontId="5" type="noConversion"/>
  </si>
  <si>
    <t xml:space="preserve">Apakah tersedia mekanisme untuk mengkomunikasikan kebijakan keamanan informasi (dan perubahannya) kepada semua pihak terkait, termasuk pihak ketiga? </t>
    <phoneticPr fontId="5" type="noConversion"/>
  </si>
  <si>
    <t>Apakah konsekwensi dari pelanggaran kebijakan keamanan informasi sudah didefinisikan, dikomunikasikan dan ditegakkan?</t>
    <phoneticPr fontId="5" type="noConversion"/>
  </si>
  <si>
    <r>
      <t>Pengelolaan identitas elektronik dan proses otentikasi (</t>
    </r>
    <r>
      <rPr>
        <i/>
        <sz val="11"/>
        <color indexed="8"/>
        <rFont val="Arial"/>
        <family val="2"/>
      </rPr>
      <t>username</t>
    </r>
    <r>
      <rPr>
        <sz val="11"/>
        <color indexed="8"/>
        <rFont val="Arial"/>
      </rPr>
      <t xml:space="preserve"> &amp; </t>
    </r>
    <r>
      <rPr>
        <i/>
        <sz val="11"/>
        <color indexed="8"/>
        <rFont val="Arial"/>
        <family val="2"/>
      </rPr>
      <t>password</t>
    </r>
    <r>
      <rPr>
        <sz val="11"/>
        <color indexed="8"/>
        <rFont val="Arial"/>
      </rPr>
      <t>) termasuk kebijakan terhadap pelanggarannya</t>
    </r>
    <phoneticPr fontId="5" type="noConversion"/>
  </si>
  <si>
    <r>
      <t>Prosedur kajian penggunaan akses (</t>
    </r>
    <r>
      <rPr>
        <i/>
        <sz val="11"/>
        <color indexed="8"/>
        <rFont val="Arial"/>
        <family val="2"/>
      </rPr>
      <t>user access review</t>
    </r>
    <r>
      <rPr>
        <sz val="11"/>
        <color indexed="8"/>
        <rFont val="Arial"/>
      </rPr>
      <t>) dan langkah pembenahan apabila terjadi ketidak sesuaian (</t>
    </r>
    <r>
      <rPr>
        <i/>
        <sz val="11"/>
        <color indexed="8"/>
        <rFont val="Arial"/>
        <family val="2"/>
      </rPr>
      <t>non-conformity</t>
    </r>
    <r>
      <rPr>
        <sz val="11"/>
        <color indexed="8"/>
        <rFont val="Arial"/>
      </rPr>
      <t>) terhadap kebijakan yang berlaku.</t>
    </r>
    <phoneticPr fontId="5" type="noConversion"/>
  </si>
  <si>
    <t>3.27</t>
    <phoneticPr fontId="5" type="noConversion"/>
  </si>
  <si>
    <t>3.28</t>
    <phoneticPr fontId="5" type="noConversion"/>
  </si>
  <si>
    <t>3.29</t>
    <phoneticPr fontId="5" type="noConversion"/>
  </si>
  <si>
    <t>3.30</t>
    <phoneticPr fontId="5" type="noConversion"/>
  </si>
  <si>
    <t>3.31</t>
    <phoneticPr fontId="5" type="noConversion"/>
  </si>
  <si>
    <t>3.32</t>
    <phoneticPr fontId="5" type="noConversion"/>
  </si>
  <si>
    <t>3.33</t>
    <phoneticPr fontId="5" type="noConversion"/>
  </si>
  <si>
    <t>3.34</t>
    <phoneticPr fontId="5" type="noConversion"/>
  </si>
  <si>
    <r>
      <t>Apakah tersedia daftar data/informasi yang harus di-</t>
    </r>
    <r>
      <rPr>
        <i/>
        <sz val="11"/>
        <color indexed="8"/>
        <rFont val="Arial"/>
        <family val="2"/>
      </rPr>
      <t>backup</t>
    </r>
    <r>
      <rPr>
        <sz val="11"/>
        <color indexed="8"/>
        <rFont val="Arial"/>
      </rPr>
      <t xml:space="preserve"> dan laporan analisa kepatuhan terhadap prosedur </t>
    </r>
    <r>
      <rPr>
        <i/>
        <sz val="11"/>
        <color indexed="8"/>
        <rFont val="Arial"/>
        <family val="2"/>
      </rPr>
      <t>backup-</t>
    </r>
    <r>
      <rPr>
        <sz val="11"/>
        <color indexed="8"/>
        <rFont val="Arial"/>
      </rPr>
      <t>nya?</t>
    </r>
    <phoneticPr fontId="5" type="noConversion"/>
  </si>
  <si>
    <t>Ketetapan terkait waktu penyimpanan untuk klasifikasi data yang ada dan syarat penghancuran data</t>
    <phoneticPr fontId="5" type="noConversion"/>
  </si>
  <si>
    <t>Apakah tersedia proses untuk mengelola alokasi kunci masuk (fisik dan elektronik) ke fasilitas fisik?</t>
    <phoneticPr fontId="5" type="noConversion"/>
  </si>
  <si>
    <t xml:space="preserve">Apakah organisasi anda mempunyai strategi penerapan keamanan informasi sesuai hasil analisa risiko yang penerapannya dilakukan sebagai bagian dari rencana kerja organisasi? </t>
    <phoneticPr fontId="5" type="noConversion"/>
  </si>
  <si>
    <t>3.15</t>
    <phoneticPr fontId="5" type="noConversion"/>
  </si>
  <si>
    <t>3.14</t>
    <phoneticPr fontId="5" type="noConversion"/>
  </si>
  <si>
    <t>Apakah status penyelesaian langkah mitigasi risiko dipantau secara berkala, untuk memastikan penyelesaian atau kemajuan kerjanya?</t>
    <phoneticPr fontId="5" type="noConversion"/>
  </si>
  <si>
    <t>Apakah kebijakan dan prosedur keamanan informasi sudah disusun dan dituliskan dengan jelas, dengan mencantumkan peran dan tanggungjawab pihak-pihak yang diberikan wewenang untuk menerapkannya?</t>
    <phoneticPr fontId="5" type="noConversion"/>
  </si>
  <si>
    <t>Apakah organisasi anda sudah menerapkan proses untuk mengevaluasi risiko terkait rencana pembelian (atau implementasi) sistem baru dan menanggulangi permasalahan yang muncul?</t>
    <phoneticPr fontId="5" type="noConversion"/>
  </si>
  <si>
    <t xml:space="preserve">Apakah tersedia prosedur resmi untuk mengelola suatu pengecualian terhadap penerapan keamanan informasi? </t>
    <phoneticPr fontId="5" type="noConversion"/>
  </si>
  <si>
    <t xml:space="preserve">Tata tertib penggunaan komputer, email, internet dan intranet </t>
    <phoneticPr fontId="5" type="noConversion"/>
  </si>
  <si>
    <t>Peraturan pengamanan data pribadi</t>
    <phoneticPr fontId="5" type="noConversion"/>
  </si>
  <si>
    <t>Persyaratan dan prosedur pengelolaan/pemberian akses, otentikasi dan otorisasi untuk menggunakan aset informasi</t>
    <phoneticPr fontId="5" type="noConversion"/>
  </si>
  <si>
    <t>Ketentuan pengamanan fisik yang disesuaikan dengan definisi zona dan klasifikasi aset yang ada di dalamnya</t>
    <phoneticPr fontId="5" type="noConversion"/>
  </si>
  <si>
    <t>Proses pengecekan latar belakang SDM</t>
    <phoneticPr fontId="5" type="noConversion"/>
  </si>
  <si>
    <r>
      <t xml:space="preserve">Prosedur </t>
    </r>
    <r>
      <rPr>
        <i/>
        <sz val="11"/>
        <color indexed="8"/>
        <rFont val="Arial"/>
        <family val="2"/>
      </rPr>
      <t xml:space="preserve">back-up </t>
    </r>
    <r>
      <rPr>
        <sz val="11"/>
        <color indexed="8"/>
        <rFont val="Arial"/>
      </rPr>
      <t>ujicoba pengembalian data (</t>
    </r>
    <r>
      <rPr>
        <i/>
        <sz val="11"/>
        <color indexed="8"/>
        <rFont val="Arial"/>
        <family val="2"/>
      </rPr>
      <t>restore</t>
    </r>
    <r>
      <rPr>
        <sz val="11"/>
        <color indexed="8"/>
        <rFont val="Arial"/>
      </rPr>
      <t xml:space="preserve">) </t>
    </r>
    <phoneticPr fontId="5" type="noConversion"/>
  </si>
  <si>
    <t>Prosedur penghancuran data/aset yang sudah tidak diperlukan</t>
    <phoneticPr fontId="5" type="noConversion"/>
  </si>
  <si>
    <t>Pengamanan Fisik</t>
    <phoneticPr fontId="5" type="noConversion"/>
  </si>
  <si>
    <t>Bagian III: Pengelolaan Risiko Keamanan Informasi</t>
    <phoneticPr fontId="5" type="noConversion"/>
  </si>
  <si>
    <t>6.10</t>
  </si>
  <si>
    <t>6.11</t>
  </si>
  <si>
    <t>6.12</t>
  </si>
  <si>
    <t>6.13</t>
  </si>
  <si>
    <t>6.14</t>
  </si>
  <si>
    <t>6.15</t>
  </si>
  <si>
    <t xml:space="preserve">Apakah langkah mitigasi risiko disusun sesuai tingkat prioritas dengan target penyelesaiannya dan penanggungjawabnya, dengan memastikan efektifitas biaya yang dapat menurunkan tingkat risiko ke ambang batas yang bisa diterima dengan meminimalisir dampak terhadap operasional layanan TIK?  </t>
    <phoneticPr fontId="5" type="noConversion"/>
  </si>
  <si>
    <t>3.11</t>
    <phoneticPr fontId="5" type="noConversion"/>
  </si>
  <si>
    <t>3.12</t>
    <phoneticPr fontId="5" type="noConversion"/>
  </si>
  <si>
    <t>3.13</t>
    <phoneticPr fontId="5" type="noConversion"/>
  </si>
  <si>
    <t>Penyusunan dan Pengelolaan Kebijakan &amp; Prosedur Keamanan Informasi</t>
  </si>
  <si>
    <t>4.10</t>
    <phoneticPr fontId="5" type="noConversion"/>
  </si>
  <si>
    <t>Apakah organisasi anda mempunyai rencana dan program peningkatan keamanan informasi untuk jangka menengah/panjang (1-3-5 tahun) yang direalisasikan secara konsisten?</t>
    <phoneticPr fontId="5" type="noConversion"/>
  </si>
  <si>
    <r>
      <t>Apabila penerapan suatu sistem mengakibatkan timbulnya risiko baru atau terjadinya ketidakpatuhan terhadap kebijakan yang ada, apakah ada proses untuk menanggulangi hal ini, termasuk penerapan pengamanan baru (</t>
    </r>
    <r>
      <rPr>
        <i/>
        <sz val="11"/>
        <color indexed="8"/>
        <rFont val="Arial"/>
        <family val="2"/>
      </rPr>
      <t>compensating control</t>
    </r>
    <r>
      <rPr>
        <sz val="11"/>
        <color indexed="8"/>
        <rFont val="Arial"/>
      </rPr>
      <t>) dan jadwal penyelesaiannya?</t>
    </r>
    <phoneticPr fontId="5" type="noConversion"/>
  </si>
  <si>
    <t xml:space="preserve">Apakah strategi penerapan keamanan informasi direalisasikan sebagai bagian dari pelaksanaan program kerja organisasi anda? </t>
    <phoneticPr fontId="5" type="noConversion"/>
  </si>
  <si>
    <t>4.20</t>
    <phoneticPr fontId="5" type="noConversion"/>
  </si>
  <si>
    <t xml:space="preserve">Apakah penanggungjawab pelaksanaan pengamanan informasi diberikan alokasi sumber daya yang sesuai untuk mengelola dan menjamin kepatuhan program keamanan informasi? </t>
    <phoneticPr fontId="5" type="noConversion"/>
  </si>
  <si>
    <t>Satuan Kerja
Direktorat
Departemen</t>
    <phoneticPr fontId="5" type="noConversion"/>
  </si>
  <si>
    <t>Status</t>
    <phoneticPr fontId="5" type="noConversion"/>
  </si>
  <si>
    <t>Diterapkan Secara Menyeluruh</t>
    <phoneticPr fontId="5" type="noConversion"/>
  </si>
  <si>
    <t>Status Penerapan</t>
    <phoneticPr fontId="5" type="noConversion"/>
  </si>
  <si>
    <t>Skor</t>
    <phoneticPr fontId="5" type="noConversion"/>
  </si>
  <si>
    <t xml:space="preserve">Status Penerapan 1 </t>
    <phoneticPr fontId="5" type="noConversion"/>
  </si>
  <si>
    <t>Penetapan Skor</t>
    <phoneticPr fontId="5" type="noConversion"/>
  </si>
  <si>
    <t>#</t>
    <phoneticPr fontId="5" type="noConversion"/>
  </si>
  <si>
    <t>Baik/Cukup</t>
    <phoneticPr fontId="5" type="noConversion"/>
  </si>
  <si>
    <t>Apakah kerangka kerja pengelolaan risiko secara berkala dikaji untuk memastikan/meningkatkan efektifitasnya?</t>
    <phoneticPr fontId="5" type="noConversion"/>
  </si>
  <si>
    <t>Skor</t>
    <phoneticPr fontId="5" type="noConversion"/>
  </si>
  <si>
    <t>Kajian Risiko Keamanan Informasi</t>
    <phoneticPr fontId="5" type="noConversion"/>
  </si>
  <si>
    <t xml:space="preserve">Apakah aspek keamanan informasi yang mencakup pelaporan insiden, menjaga kerahasiaan, HAKI, tata tertib penggunaan dan pengamanan aset tercantum dalam kontrak dengan pihak ketiga? </t>
    <phoneticPr fontId="5" type="noConversion"/>
  </si>
  <si>
    <t>Pengelolaan Strategi dan Program Keamanan Informasi</t>
    <phoneticPr fontId="5" type="noConversion"/>
  </si>
  <si>
    <t>Apakah organisasi anda memiliki dan melaksanakan program audit internal yang dilakukan oleh pihak independen dengan cakupan keseluruhan aset informasi, kebijakan dan prosedur keamanan yang ada (atau sesuai dengan standar yang berlaku)?</t>
    <phoneticPr fontId="5" type="noConversion"/>
  </si>
  <si>
    <t>Apakah audit internal tersebut mengevaluasi tingkat kepatuhan, konsistensi dan efektifitas penerapan keamanan informasi?</t>
    <phoneticPr fontId="5" type="noConversion"/>
  </si>
  <si>
    <t>Apakah hasil audit internal tersebut dikaji/dievaluasi untuk mengidentifikasi langkah pembenahan dan pencegahan, ataupun inisiatif peningkatan kinerja keamanan informasi?</t>
    <phoneticPr fontId="5" type="noConversion"/>
  </si>
  <si>
    <t xml:space="preserve">Apakah organisasi anda mempunyai strategi penggunaan teknologi keamanan informasi yang penerapan dan pemutakhirannya disesuaikan dengan kebutuhan dan perubahan profil risiko? </t>
    <phoneticPr fontId="5" type="noConversion"/>
  </si>
  <si>
    <t>Kerangka Kerja</t>
    <phoneticPr fontId="5" type="noConversion"/>
  </si>
  <si>
    <t>Pengelolaan Aset</t>
    <phoneticPr fontId="5" type="noConversion"/>
  </si>
  <si>
    <t>Tata Kelola</t>
    <phoneticPr fontId="5" type="noConversion"/>
  </si>
  <si>
    <t>2.10</t>
    <phoneticPr fontId="5" type="noConversion"/>
  </si>
  <si>
    <t>2.11</t>
    <phoneticPr fontId="5" type="noConversion"/>
  </si>
  <si>
    <t>2.12</t>
    <phoneticPr fontId="5" type="noConversion"/>
  </si>
  <si>
    <t>2.13</t>
    <phoneticPr fontId="5" type="noConversion"/>
  </si>
  <si>
    <t>2.14</t>
    <phoneticPr fontId="5" type="noConversion"/>
  </si>
  <si>
    <t>2.15</t>
    <phoneticPr fontId="5" type="noConversion"/>
  </si>
  <si>
    <t>2.16</t>
    <phoneticPr fontId="5" type="noConversion"/>
  </si>
  <si>
    <t>2.17</t>
    <phoneticPr fontId="5" type="noConversion"/>
  </si>
  <si>
    <t>2.18</t>
    <phoneticPr fontId="5" type="noConversion"/>
  </si>
  <si>
    <t>Apakah organsiasi anda sudah menerapkan program sosialisasi dan peningkatan pemahaman untuk keamanan informasi, termasuk kepentingan kepatuhannya bagi semua pihak yang terkait?</t>
    <phoneticPr fontId="5" type="noConversion"/>
  </si>
  <si>
    <t xml:space="preserve">Apakah layanan TIK (sistem komputer) yang menggunakan internet sudah dilindungi dengan lebih dari 1 lapis pengamanan? </t>
    <phoneticPr fontId="5" type="noConversion"/>
  </si>
  <si>
    <t xml:space="preserve">Apakah ancaman dan kelemahan yang terkait dengan aset informasi, terutama untuk setiap aset utama sudah teridentifikasi? </t>
    <phoneticPr fontId="5" type="noConversion"/>
  </si>
  <si>
    <t>3.10</t>
    <phoneticPr fontId="5" type="noConversion"/>
  </si>
  <si>
    <t>Dalam Penerapan / Diterapkan Sebagian</t>
    <phoneticPr fontId="5" type="noConversion"/>
  </si>
  <si>
    <t>6.16</t>
  </si>
  <si>
    <t>6.17</t>
  </si>
  <si>
    <t>6.18</t>
  </si>
  <si>
    <t>6.19</t>
  </si>
  <si>
    <t>6.20</t>
  </si>
  <si>
    <t>6.21</t>
  </si>
  <si>
    <t>6.22</t>
  </si>
  <si>
    <t>6.23</t>
  </si>
  <si>
    <t>6.24</t>
  </si>
  <si>
    <t xml:space="preserve">Apakah tanggungjawab pengelolaan keamanan informasi mencakup koordinasi dengan pihak pengelola/pengguna aset informasi internal maupun eksternal untuk mengidentifikasikan persyaratan/kebutuhan pengamanan dan menyelesaikan permasalahan yang ada? </t>
    <phoneticPr fontId="5" type="noConversion"/>
  </si>
  <si>
    <t>Apakah pengelola keamanan informasi secara proaktif berkoordinasi dengan satker terkait (SDM, Legal/Hukum, Umum, Keuangan dll) dan pihak eksternal yang berkepentingan (aparat keamanan) untuk menerapkan dan menjamin kepatuhan pengamanan informasi?</t>
    <phoneticPr fontId="5" type="noConversion"/>
  </si>
  <si>
    <t>Apakah penyelesaian langkah mitigasi yang sudah diterapkan dievaluasi untuk memastikan konsistensi dan efektifitasnya?</t>
    <phoneticPr fontId="5" type="noConversion"/>
  </si>
  <si>
    <t>Apakah pengelolaan risiko menjadi bagian dari kriteria proses penilaian obyektif kinerja efektifitas pengamanan?</t>
    <phoneticPr fontId="5" type="noConversion"/>
  </si>
  <si>
    <t>#</t>
    <phoneticPr fontId="5" type="noConversion"/>
  </si>
  <si>
    <t>Alamat 1
Alamat 2
Kota Kode Pos</t>
    <phoneticPr fontId="5" type="noConversion"/>
  </si>
  <si>
    <t>Indeks Keamanan Informasi (Indeks KAMI)</t>
    <phoneticPr fontId="5" type="noConversion"/>
  </si>
  <si>
    <t>Tanggal Pengisian</t>
    <phoneticPr fontId="5" type="noConversion"/>
  </si>
  <si>
    <t>Minim</t>
  </si>
  <si>
    <t>Minim</t>
    <phoneticPr fontId="5" type="noConversion"/>
  </si>
  <si>
    <t>Rendah</t>
    <phoneticPr fontId="5" type="noConversion"/>
  </si>
  <si>
    <t>Sedang</t>
    <phoneticPr fontId="5" type="noConversion"/>
  </si>
  <si>
    <t>Tinggi</t>
    <phoneticPr fontId="5" type="noConversion"/>
  </si>
  <si>
    <t>Peran dan Tingkat Kepentingan</t>
    <phoneticPr fontId="5" type="noConversion"/>
  </si>
  <si>
    <t xml:space="preserve">Apakah pejabat/petugas pelaksana pengamanan informasi mempunyai wewenang yang sesuai untuk menerapkan dan menjamin kepatuhan program keamanan informasi? </t>
    <phoneticPr fontId="5" type="noConversion"/>
  </si>
  <si>
    <t>1.10</t>
    <phoneticPr fontId="5" type="noConversion"/>
  </si>
  <si>
    <t>1.11</t>
    <phoneticPr fontId="5" type="noConversion"/>
  </si>
  <si>
    <t>1.12</t>
    <phoneticPr fontId="5" type="noConversion"/>
  </si>
  <si>
    <t>Skor</t>
    <phoneticPr fontId="5" type="noConversion"/>
  </si>
  <si>
    <t>Tingkat ketergantungan terhadap pihak ketiga dalam menjalankan/mengoperasikan sistem TIK</t>
    <phoneticPr fontId="5" type="noConversion"/>
  </si>
  <si>
    <t>Skor</t>
    <phoneticPr fontId="5" type="noConversion"/>
  </si>
  <si>
    <t>Tk Ketergatungan TIK</t>
    <phoneticPr fontId="5" type="noConversion"/>
  </si>
  <si>
    <t>Rendah</t>
    <phoneticPr fontId="5" type="noConversion"/>
  </si>
  <si>
    <t>Tinggi</t>
    <phoneticPr fontId="5" type="noConversion"/>
  </si>
  <si>
    <t>Klasifikasi</t>
    <phoneticPr fontId="5" type="noConversion"/>
  </si>
  <si>
    <t>Tidak Layak</t>
    <phoneticPr fontId="5" type="noConversion"/>
  </si>
  <si>
    <t>Tingkat Ketergatungan:</t>
    <phoneticPr fontId="5" type="noConversion"/>
  </si>
  <si>
    <t>:</t>
    <phoneticPr fontId="5" type="noConversion"/>
  </si>
  <si>
    <t>Perlu Perbaikan</t>
    <phoneticPr fontId="5" type="noConversion"/>
  </si>
  <si>
    <t>SkorPeranTIK</t>
    <phoneticPr fontId="5" type="noConversion"/>
  </si>
  <si>
    <t>Kritis</t>
    <phoneticPr fontId="5" type="noConversion"/>
  </si>
  <si>
    <t xml:space="preserve">Apakah peran pelaksana pengamanan informasi yang mencakup semua keperluan dipetakan dengan lengkap, termasuk kebutuhan audit internal dan persyaratan segregasi kewenangan?  </t>
    <phoneticPr fontId="5" type="noConversion"/>
  </si>
  <si>
    <t>Bagian II: Tata Kelola Keamanan Informasi</t>
    <phoneticPr fontId="5" type="noConversion"/>
  </si>
  <si>
    <t>Tidak Dilakukan</t>
  </si>
  <si>
    <t xml:space="preserve">Dengan membaca diagram ini, pimpinan instansi dapat melihat kebutuhan pembenahan yang diperlukan dan korelasi antara berbagai area penerapan keamanan informasi. Adapun korelasi antara peran atau tingkat kepentingan TIK dalam instansi didefinisikan melalui tabel berikut:
</t>
    <phoneticPr fontId="5" type="noConversion"/>
  </si>
  <si>
    <t xml:space="preserve">Apakah keseluruhan kebijakan dan prosedur keamanan informasi yang ada merefleksikan kebutuhan mitigasi dari hasil kajian risiko keamanan informasi? </t>
    <phoneticPr fontId="5" type="noConversion"/>
  </si>
  <si>
    <t>Tidak Dilakukan</t>
    <phoneticPr fontId="5" type="noConversion"/>
  </si>
  <si>
    <t>Dalam Perencanaan</t>
    <phoneticPr fontId="5" type="noConversion"/>
  </si>
  <si>
    <t>Tingkat kepatuhan terhadap UU dan perangkat hukum lainnya</t>
  </si>
  <si>
    <t>II</t>
  </si>
  <si>
    <t>III</t>
  </si>
  <si>
    <t>V</t>
  </si>
  <si>
    <t>IV</t>
  </si>
  <si>
    <t>Apakah profil risiko berikut bentuk mitigasinya secara berkala dikaji ulang untuk memastikan akurasi dan validitasnya, termasuk merevisi profil terebut apabila ada perubahan kondisi yang signifikan atau keperluan penerapan bentuk pengamanan baru?</t>
  </si>
  <si>
    <t xml:space="preserve">Apakah dampak kerugian yang terkait dengan hilangnya/terganggunya fungsi aset utama sudah ditetapkan sesuai dengan definisi yang ada?  </t>
  </si>
  <si>
    <t>Skor Tingkat Kematangan II</t>
  </si>
  <si>
    <t>Skor Tingkat Kematangan III</t>
  </si>
  <si>
    <t>Skor Tingkat Kematangan IV</t>
  </si>
  <si>
    <t>Tingkat Kematangan</t>
  </si>
  <si>
    <t>Apakah organisasi anda secara periodik menguji dan mengevaluasi tingkat/status kepatuhan program keamanan informasi yang ada untuk memastikan bahwa keseluruhan inisiatif tersebut telah diterapkan secara efektif?</t>
  </si>
  <si>
    <t xml:space="preserve">Apabila ada keperluan untuk merevisi kebijakan dan prosedur yang berlaku, apakah ada analisa untuk menilai  aspek finansial (dampak biaya dan keperluan anggaran) ataupun perubahan terhadap infrastruktur dan pengelolaan perubahannya, sebagai prasyarat untuk menerapkannya? </t>
  </si>
  <si>
    <t>Deskripsi Ruang Lingkup</t>
  </si>
  <si>
    <t>Isi dengan deskripsi ruang lingkup instansi (satuan kerja) dan infrastruktur TIK</t>
  </si>
  <si>
    <t>I</t>
  </si>
  <si>
    <t>Skor Tingkat Kematangan V</t>
  </si>
  <si>
    <r>
      <t>Apakah tanggungjawab untuk memutuskan, merancang, melaksanakan dan mengelola langkah kelangsungan layanan TIK (</t>
    </r>
    <r>
      <rPr>
        <i/>
        <sz val="11"/>
        <color indexed="8"/>
        <rFont val="Arial"/>
        <family val="2"/>
      </rPr>
      <t>business continuity</t>
    </r>
    <r>
      <rPr>
        <sz val="11"/>
        <color indexed="8"/>
        <rFont val="Arial"/>
      </rPr>
      <t xml:space="preserve"> dan </t>
    </r>
    <r>
      <rPr>
        <i/>
        <sz val="11"/>
        <color indexed="8"/>
        <rFont val="Arial"/>
        <family val="2"/>
      </rPr>
      <t>disaster recovery plans</t>
    </r>
    <r>
      <rPr>
        <sz val="11"/>
        <color indexed="8"/>
        <rFont val="Arial"/>
      </rPr>
      <t xml:space="preserve">) sudah didefinisikan dan dialokasikan? </t>
    </r>
  </si>
  <si>
    <t>Tingkat II</t>
  </si>
  <si>
    <t>Kategori Kontrol</t>
  </si>
  <si>
    <t>Tingkat III</t>
  </si>
  <si>
    <t>Tingkat IV</t>
  </si>
  <si>
    <t>Tingkat V</t>
  </si>
  <si>
    <t>Ambang Batas Valid</t>
  </si>
  <si>
    <t>Hasil Evaluasi:</t>
  </si>
  <si>
    <t>Skor Minimum Tingkat Kematangan II</t>
  </si>
  <si>
    <t>Skor Pencapaian Tingkat Kematangan II</t>
  </si>
  <si>
    <t>Status</t>
  </si>
  <si>
    <t>Skor Minimum Tingkat Kematangan III</t>
  </si>
  <si>
    <t>Skor Pencapaian Tingkat Kematangan III</t>
  </si>
  <si>
    <t>Validitas Tingkat Kematangan III</t>
  </si>
  <si>
    <t>Validitas Tingkat Kematangan IV</t>
  </si>
  <si>
    <t>Skor Minimum Tingkat Kematangan IV</t>
  </si>
  <si>
    <t>Skor Pencapaian Tingkat Kematangan IV</t>
  </si>
  <si>
    <t>8(1),3(2)</t>
  </si>
  <si>
    <t>3(2)</t>
  </si>
  <si>
    <t>6(3)</t>
  </si>
  <si>
    <t>9(1)</t>
  </si>
  <si>
    <t>2(2)</t>
  </si>
  <si>
    <t>2(3)</t>
  </si>
  <si>
    <t>Validitas Tingkat Kematangan V</t>
  </si>
  <si>
    <t>Skor Minimum Tingkat Kematangan V</t>
  </si>
  <si>
    <t>Skor Pencapaian Tingkat Kematangan V</t>
  </si>
  <si>
    <t>8(1),2(2)</t>
  </si>
  <si>
    <t>3(3)</t>
  </si>
  <si>
    <t>3(1),6(2),2(3)</t>
  </si>
  <si>
    <t>4.K1.2+x.K1.1</t>
  </si>
  <si>
    <t>x.K1.2+x.K2.4</t>
  </si>
  <si>
    <t>2.K3.6+x.K3.3</t>
  </si>
  <si>
    <t>x.K3.9</t>
  </si>
  <si>
    <t>HH/BB/TTTT</t>
  </si>
  <si>
    <t>Jabatan Struktural/Funsgional</t>
  </si>
  <si>
    <t>21(1),5(2)</t>
  </si>
  <si>
    <t>4(2),4(3)</t>
  </si>
  <si>
    <t>13(1)</t>
  </si>
  <si>
    <t>10(2)</t>
  </si>
  <si>
    <t>1(3)</t>
  </si>
  <si>
    <t>Validitas</t>
  </si>
  <si>
    <t>Status Akhir</t>
  </si>
  <si>
    <t>Tingkat Kematangan:</t>
  </si>
  <si>
    <t>I+</t>
  </si>
  <si>
    <t>II+</t>
  </si>
  <si>
    <t>III+</t>
  </si>
  <si>
    <t>IV+</t>
  </si>
  <si>
    <t>TKM</t>
  </si>
  <si>
    <t>Tk Kematangan II</t>
  </si>
  <si>
    <t xml:space="preserve">Apakah pimpinan Instansi anda secara prinsip dan resmi bertanggungjawab terhadap pelaksanaan program keamanan informasi (misal yang tercantum dalam ITSP), termasuk penetapan kebijakan terkait? </t>
  </si>
  <si>
    <t>Merah</t>
  </si>
  <si>
    <t>Kuning</t>
  </si>
  <si>
    <t>Tingkat Kelengkapan Penerapan Standar ISO27001 sesuai Peran TIK</t>
  </si>
  <si>
    <t xml:space="preserve">Indeks KAMI adalah alat evaluasi untuk menganalisa tingkat kesiapan pengamanan informasi di Instansi pemerintah. Alat evaluasi ini tidak ditujukan untuk menganalisa kelayakan atau efektifitas bentuk pengamanan yang ada, melainkan sebagai perangkat untuk memberikan gambaran kondisi kesiapan (kelengkapan dan kematangan) kerangka kerja keamanan informasi kepada pimpinan Instansi. Evaluasi dilakukan terhadap berbagai area yang menjadi target penerapan keamanan informasi dengan ruang lingkup pembahasan yang juga memenuhi semua aspek keamanan yang didefinisikan oleh standar ISO/IEC 27001:2005.
</t>
  </si>
  <si>
    <r>
      <t xml:space="preserve">Bentuk evaluasi yang diterapkan dalam indeks KAMI dirancang untuk dapat digunakan oleh Instansi pemerintah dari berbagai tingkatan, ukuran, maupun tingkat kepentingan penggunaan TIK dalam mendukung terlaksananya Tugas Pokok dan Fungsi yang ada. Data yang digunakan dalam evaluasi ini nantinya akan memberikan </t>
    </r>
    <r>
      <rPr>
        <i/>
        <sz val="11"/>
        <rFont val="Arial"/>
      </rPr>
      <t>snapshot</t>
    </r>
    <r>
      <rPr>
        <sz val="11"/>
        <rFont val="Arial"/>
      </rPr>
      <t xml:space="preserve"> indeks kesiapan - dari aspek kelengkapan maupun kematangan - kerangka kerja keamanan informasi yang diterapkan dan dapat digunakan sebagai pembanding dalam rangka menyusun langkah perbaikan dan penetapan prioritasnya. 
</t>
    </r>
  </si>
  <si>
    <r>
      <t>Alat evaluasi ini kemudian bisa digunakan secara berkala untuk mendapatkan gambaran perubahan kondisi keamanan informasi sebagai hasil dari program kerja yang dijalankan, sekaligus sebagai sarana untuk menyampaikan peningkatan kesiapan kepada pihak yang terkait (</t>
    </r>
    <r>
      <rPr>
        <i/>
        <sz val="11"/>
        <rFont val="Arial"/>
      </rPr>
      <t>stakeholders</t>
    </r>
    <r>
      <rPr>
        <sz val="11"/>
        <rFont val="Arial"/>
      </rPr>
      <t xml:space="preserve">).
</t>
    </r>
  </si>
  <si>
    <t xml:space="preserve">(Catatan: untuk keseluruhan area pengamanan, pengisian pertanyaan dengan label "3" hanya dapat memberikan hasil apabila semua pertanyaan terkait dengan label "1" dan "2" sudah diisi dengan status minimal "Diterapkan Sebagian")
</t>
  </si>
  <si>
    <t>Ilustrasi di bawah menunjukkan label pengelompokan kematangan (kolom di sebelah kanan nomor) dan kelengkapan (kolom di sebelah kiri pertanyaan).</t>
  </si>
  <si>
    <t>Indeks KAMI sebaiknya digunakan 2X dalam setahun sebagai alat untuk melakukan tinjauan ulang kesiapan keamanan informasi sekaligus untuk mengukur keberhasilan inisiatif perbaikan yang diterapkan, dengan pencapaian tingkat kelengkapan atau kematangan tertentu.</t>
  </si>
  <si>
    <r>
      <t xml:space="preserve">Pertanyaan yang ada belum tentu dapat dijawab semuanya, akan tetapi yang harus diperhatikan adalah jawaban yang diberikan harus merefleksikan kondisi penerapan keamanan informasi SESUNGGUHNYA. Alat evaluasi ini hanya akan memberikan nilai tambah bagi semua pihak apabila pengisiannya menggunakan azas keterbukaan dan kejujuran.
Sebelum mulai menjawab pertanyaan terkait kesiapan pengamanan informasi, responden diminta untuk mendefinisikan Peran TIK (atau Tingkat Kepentingan TIK) di Instansinya. Definisi ini bisa dijabarkan untuk tingkat Satuan Kerja baik di tingkat Kementerian/Lembaga, ataupun untuk satuan kerja yang lebih kecil, sampai ke Unit Eselon III. Responden juga diminta untuk mendeskripsikan infrastruktur TIK yang ada dalam satuan kerjanya secara singkat. Tujuan dari proses ini adalah untuk mengelompokkan instansi ke "ukuran" tertentu: Rendah, Sedang, Tinggi dan Kritis. Dengan pengelompokan ini nantinya bisa dilakukan pemetaan terhadap instansi yang mempunyai karakteristik kepentingan TIK yang sama.
Pertanyaan dikelompokkan untuk 2 keperluan. Pertama, pertanyaan dikategorikan berdasarkan tingkat kesiapan penerapan pengamanan sesuai dengan </t>
    </r>
    <r>
      <rPr>
        <b/>
        <sz val="11"/>
        <rFont val="Arial"/>
        <family val="2"/>
      </rPr>
      <t>kelengkapan</t>
    </r>
    <r>
      <rPr>
        <sz val="11"/>
        <rFont val="Arial"/>
      </rPr>
      <t xml:space="preserve"> kontrol yang diminta oleh standar ISO/IEC 27001:2005. Dalam pengelompokan ini responden diminta untuk memberi tanggapan mulai dari area yang terkait dengan bentuk kerangka kerja dasar keamanan informasi (pertanyaan diberi label "1"), efektifitas dan konsistensi penerapannya (label "2"), sampai dengan kemampuan untuk selalu meningkatkan kinerja keamanan informasi (label "3"). Tingkat terakhir ini sesuai dengan kesiapan minimum yang diprasyaratkan oleh proses sertifikasi standar ISO/IEC 27001:2005. 
Setiap jawaban diberikan skor yang nantinya dikonsolidasi untuk menghasilkan angka indeks sekaligus digunakan untuk menampilkan hasil evaluasi dalam </t>
    </r>
    <r>
      <rPr>
        <i/>
        <sz val="11"/>
        <rFont val="Arial"/>
      </rPr>
      <t>dashboard</t>
    </r>
    <r>
      <rPr>
        <sz val="11"/>
        <rFont val="Arial"/>
      </rPr>
      <t xml:space="preserve"> di akhir proses ini.Skor yang diberikan untuk jawaban pertanyaan sesuai tingkat kematangannya mengacu kepada:
</t>
    </r>
  </si>
  <si>
    <t xml:space="preserve">Alat evaluasi Indeks KAMI ini secara umum ditujukan untuk digunakan oleh Instansi pemerintah di tingkat pusat. Akan tetapi satuan kerja yang ada di tingkatan Direktorat Jenderal, Badan, Pusat atau Direktorat juga dapat menggunakan elat evaluasi ini untuk mendapatkan gambaran mengenai kematangan program kerja keamanan informasi yang dijalankannya. Evaluasi ini dianjurkan untuk dilakukan oleh pejabat yang secara langsung bertanggungjawab dan berwenang untuk mengelola keamanan informasi di seluruh cakupan instansinya.
Proses evaluasi dilakukan melalui sejumlah pertanyaan di masing-masing area di bawah ini:
- Peran TIK di dalam Instansi
- Tata Kelola Keamanan Informasi
- Pengelolaan Risiko Keamanan Informasi
- Kerangka Kerja Keamanan Informasi
- Pengelolaan Aset Informasi, dan 
- Teknologi dan Keamanan Informasi
</t>
  </si>
  <si>
    <r>
      <t xml:space="preserve">Pengelompokan kedua dilakukan berdasarkan tingkat </t>
    </r>
    <r>
      <rPr>
        <b/>
        <sz val="10"/>
        <rFont val="Verdana"/>
      </rPr>
      <t>kematangan</t>
    </r>
    <r>
      <rPr>
        <sz val="10"/>
        <rFont val="Verdana"/>
      </rPr>
      <t xml:space="preserve"> penerapan pengamanan dengan kategorisasi yang mengacu kepada tingkatan kematangan yang digunakan oleh keangka kerja COBIT atau CMMI. Tingkat kematangan ini nantinya akan digunakan sebagai alat untuk melaporkan pemetaan dan pemeringkatan kesiapan keamanan informasi di Kementerian/Lembaga. 
Untuk keperluan Indeks KAMI, tingkat kematangan tersebut didefinisikan sebagai:
- Tingkat I - Kondisi Awal
- Tingkat II - Penerapan Kerangka Kerja Dasar
- Tingkat III - Terdefinisi dan Konsisten
- Tingkat IV - Terkelola dan Terukur
- Tingkat V - Optimal
Untuk membantu memberikan uraian yang lebih detil, tingkatan ini ditambah dengan tingkatan antara - I+, II+, III+, dan IV+, sehingga total terdapat 9 tingkatan kematangan. Sebagai awal, semua responden akan diberikan kategori kematangan Tingkat I.  Sebagai padanan terhadap standar ISO/IEC 2700:2005, tingkat kematangan yang diharapkan untuk ambang batas minimum kesiapan sertifikasi adalah Tingkat III+.</t>
    </r>
  </si>
  <si>
    <t>Kedua pengelompokan ini dapat dipetakan (lihat gambar di bawah) untuk memberikan dua sudut pandang yang berbeda: tingkat kelengkapan pengamanan dan tingkat kematangan pengamanan. Instansi responden dapat menggunakan metrik ini sebagai target program keamanan informasi.</t>
  </si>
  <si>
    <t>&gt;80% Ambang Batas Tk Kematangan</t>
  </si>
  <si>
    <t>Jumlah pertanyaan Tahap 1</t>
  </si>
  <si>
    <t>Jumlah pertanyaan Tahap 2</t>
  </si>
  <si>
    <t>Jumlah pertanyaan Tahap 3</t>
  </si>
  <si>
    <t>Batas Skor Min untuk Skor Tahap Penerapan 3</t>
  </si>
  <si>
    <t>Total Skor Tahap Penerapan 1 &amp; 2</t>
  </si>
  <si>
    <t>Status Peniliaian Tahap Penerapan 3</t>
  </si>
  <si>
    <t>x.K1.3+2.K2.4+x.K2.6+2.K3.6</t>
  </si>
  <si>
    <t>x.K1.3+2.K2.2+x.K2.4+1.K3.3+x.K3.6</t>
  </si>
  <si>
    <t>x.K1.3+2.K2.4+x.K2.6+x.K3.6</t>
  </si>
  <si>
    <t>&gt;x.K1.3+1.K2.4+x.K2.6+1.K3.6+x.K3.9</t>
  </si>
  <si>
    <t>Apakah tersedia proses pengelolaan perubahan terhadap sistem (termasuk perubahan konfigurasi) yang diterapkan secara konsisten?</t>
  </si>
  <si>
    <t>s/d</t>
  </si>
  <si>
    <t>1.K3.2+1.K3.6+x.K3.3</t>
  </si>
  <si>
    <t>No</t>
  </si>
  <si>
    <t>Kesalahan definisi rumus (penggunaan acuan sel) pada Tab "VI Teknologi" sel E48 untuk menentukan pencapaian TK IV. Rumus asalnya: IF(AND(E44="Yes",E43&gt;=F46),"Yes","No") rumus yang benar =IF(AND(E43="Yes",E42&gt;=F46),"Yes","No")</t>
  </si>
  <si>
    <t>Versi</t>
  </si>
  <si>
    <t>Tanggal</t>
  </si>
  <si>
    <t>Keterangan perubahan</t>
  </si>
  <si>
    <t>Versi 2.2, 19 April 2012</t>
  </si>
  <si>
    <t>Rilis pertama</t>
  </si>
  <si>
    <t>Penggunaan analisa Tingkat Kematangan</t>
  </si>
  <si>
    <t>Kesalahan definisi rumus penentuan Tingkat Kematangan</t>
  </si>
</sst>
</file>

<file path=xl/styles.xml><?xml version="1.0" encoding="utf-8"?>
<styleSheet xmlns="http://schemas.openxmlformats.org/spreadsheetml/2006/main">
  <numFmts count="2">
    <numFmt numFmtId="6" formatCode="&quot;Rp&quot;#,##0_);[Red]\(&quot;Rp&quot;#,##0\)"/>
    <numFmt numFmtId="164" formatCode="0.0"/>
  </numFmts>
  <fonts count="47">
    <font>
      <sz val="10"/>
      <name val="Verdana"/>
    </font>
    <font>
      <b/>
      <sz val="10"/>
      <name val="Verdana"/>
    </font>
    <font>
      <b/>
      <sz val="10"/>
      <name val="Verdana"/>
    </font>
    <font>
      <sz val="10"/>
      <name val="Verdana"/>
    </font>
    <font>
      <b/>
      <sz val="10"/>
      <name val="Verdana"/>
    </font>
    <font>
      <sz val="8"/>
      <name val="Verdana"/>
    </font>
    <font>
      <b/>
      <sz val="12"/>
      <name val="Arial"/>
      <family val="2"/>
    </font>
    <font>
      <b/>
      <sz val="14"/>
      <name val="Arial"/>
      <family val="2"/>
    </font>
    <font>
      <b/>
      <sz val="11"/>
      <name val="Arial"/>
      <family val="2"/>
    </font>
    <font>
      <b/>
      <sz val="11.5"/>
      <color indexed="8"/>
      <name val="Arial"/>
      <family val="2"/>
    </font>
    <font>
      <sz val="12"/>
      <name val="Arial Black"/>
      <family val="2"/>
    </font>
    <font>
      <b/>
      <sz val="10"/>
      <name val="Arial"/>
      <family val="2"/>
    </font>
    <font>
      <sz val="11"/>
      <color indexed="8"/>
      <name val="Arial"/>
    </font>
    <font>
      <b/>
      <sz val="11"/>
      <color indexed="8"/>
      <name val="Arial"/>
      <family val="2"/>
    </font>
    <font>
      <sz val="11"/>
      <name val="Arial"/>
    </font>
    <font>
      <sz val="11"/>
      <name val="Arial Black"/>
      <family val="2"/>
    </font>
    <font>
      <sz val="10"/>
      <name val="Verdana"/>
    </font>
    <font>
      <i/>
      <sz val="11"/>
      <color indexed="8"/>
      <name val="Arial"/>
      <family val="2"/>
    </font>
    <font>
      <sz val="11"/>
      <name val="Verdana"/>
      <family val="2"/>
    </font>
    <font>
      <sz val="9"/>
      <name val="Verdana"/>
      <family val="2"/>
    </font>
    <font>
      <b/>
      <sz val="11"/>
      <name val="Verdana"/>
      <family val="2"/>
    </font>
    <font>
      <sz val="10"/>
      <name val="Arial"/>
    </font>
    <font>
      <sz val="11"/>
      <color indexed="9"/>
      <name val="Arial"/>
      <family val="2"/>
    </font>
    <font>
      <b/>
      <sz val="11"/>
      <color indexed="9"/>
      <name val="Arial"/>
      <family val="2"/>
    </font>
    <font>
      <sz val="11"/>
      <color indexed="9"/>
      <name val="Verdana"/>
      <family val="2"/>
    </font>
    <font>
      <b/>
      <sz val="9"/>
      <name val="Arial"/>
      <family val="2"/>
    </font>
    <font>
      <b/>
      <sz val="8"/>
      <name val="Arial"/>
    </font>
    <font>
      <sz val="9"/>
      <name val="Arial"/>
      <family val="2"/>
    </font>
    <font>
      <sz val="8"/>
      <name val="Arial"/>
      <family val="2"/>
    </font>
    <font>
      <b/>
      <sz val="18"/>
      <name val="Arial"/>
    </font>
    <font>
      <i/>
      <sz val="11"/>
      <name val="Arial"/>
    </font>
    <font>
      <sz val="9"/>
      <color indexed="81"/>
      <name val="Verdana"/>
    </font>
    <font>
      <b/>
      <sz val="9"/>
      <color indexed="81"/>
      <name val="Verdana"/>
    </font>
    <font>
      <i/>
      <sz val="9"/>
      <color indexed="81"/>
      <name val="Verdana"/>
    </font>
    <font>
      <u/>
      <sz val="10"/>
      <color theme="10"/>
      <name val="Verdana"/>
    </font>
    <font>
      <u/>
      <sz val="10"/>
      <color theme="11"/>
      <name val="Verdana"/>
    </font>
    <font>
      <sz val="11"/>
      <color rgb="FF000000"/>
      <name val="Arial"/>
    </font>
    <font>
      <i/>
      <sz val="10"/>
      <name val="Verdana"/>
    </font>
    <font>
      <i/>
      <sz val="10"/>
      <name val="Arial"/>
    </font>
    <font>
      <b/>
      <sz val="10"/>
      <name val="Arial Narrow"/>
    </font>
    <font>
      <b/>
      <sz val="11"/>
      <name val="Arial Narrow"/>
    </font>
    <font>
      <sz val="11"/>
      <name val="Arial Narrow"/>
    </font>
    <font>
      <b/>
      <sz val="10"/>
      <color theme="0"/>
      <name val="Verdana"/>
    </font>
    <font>
      <sz val="8"/>
      <name val="Arial Narrow"/>
    </font>
    <font>
      <sz val="10"/>
      <color theme="0" tint="-0.249977111117893"/>
      <name val="Verdana"/>
    </font>
    <font>
      <i/>
      <sz val="9"/>
      <name val="Verdana"/>
    </font>
    <font>
      <b/>
      <sz val="8"/>
      <name val="Verdana"/>
    </font>
  </fonts>
  <fills count="20">
    <fill>
      <patternFill patternType="none"/>
    </fill>
    <fill>
      <patternFill patternType="gray125"/>
    </fill>
    <fill>
      <patternFill patternType="solid">
        <fgColor indexed="22"/>
        <bgColor indexed="64"/>
      </patternFill>
    </fill>
    <fill>
      <patternFill patternType="solid">
        <fgColor indexed="46"/>
        <bgColor indexed="64"/>
      </patternFill>
    </fill>
    <fill>
      <patternFill patternType="solid">
        <fgColor indexed="42"/>
        <bgColor indexed="64"/>
      </patternFill>
    </fill>
    <fill>
      <patternFill patternType="solid">
        <fgColor indexed="50"/>
        <bgColor indexed="64"/>
      </patternFill>
    </fill>
    <fill>
      <patternFill patternType="solid">
        <fgColor indexed="41"/>
        <bgColor indexed="64"/>
      </patternFill>
    </fill>
    <fill>
      <patternFill patternType="solid">
        <fgColor indexed="8"/>
        <bgColor indexed="64"/>
      </patternFill>
    </fill>
    <fill>
      <patternFill patternType="solid">
        <fgColor indexed="9"/>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bgColor indexed="64"/>
      </patternFill>
    </fill>
    <fill>
      <patternFill patternType="solid">
        <fgColor theme="9" tint="-0.249977111117893"/>
        <bgColor indexed="64"/>
      </patternFill>
    </fill>
    <fill>
      <patternFill patternType="solid">
        <fgColor rgb="FFE24217"/>
        <bgColor indexed="64"/>
      </patternFill>
    </fill>
    <fill>
      <patternFill patternType="solid">
        <fgColor theme="1"/>
        <bgColor indexed="64"/>
      </patternFill>
    </fill>
    <fill>
      <patternFill patternType="solid">
        <fgColor rgb="FFFDE9D9"/>
        <bgColor rgb="FF000000"/>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right style="thin">
        <color auto="1"/>
      </right>
      <top/>
      <bottom style="thin">
        <color auto="1"/>
      </bottom>
      <diagonal/>
    </border>
    <border>
      <left style="thin">
        <color auto="1"/>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249977111117893"/>
      </top>
      <bottom style="thin">
        <color theme="0" tint="-0.249977111117893"/>
      </bottom>
      <diagonal/>
    </border>
  </borders>
  <cellStyleXfs count="485">
    <xf numFmtId="0" fontId="0" fillId="0" borderId="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cellStyleXfs>
  <cellXfs count="225">
    <xf numFmtId="0" fontId="0" fillId="0" borderId="0" xfId="0"/>
    <xf numFmtId="0" fontId="0" fillId="0" borderId="2" xfId="0" applyBorder="1" applyAlignment="1">
      <alignment vertical="top"/>
    </xf>
    <xf numFmtId="0" fontId="0" fillId="0" borderId="0" xfId="0" applyBorder="1" applyAlignment="1">
      <alignment vertical="top"/>
    </xf>
    <xf numFmtId="0" fontId="0" fillId="0" borderId="1" xfId="0" applyBorder="1" applyAlignment="1">
      <alignment vertical="top"/>
    </xf>
    <xf numFmtId="2" fontId="10" fillId="0" borderId="1" xfId="0" applyNumberFormat="1" applyFont="1" applyBorder="1" applyAlignment="1">
      <alignment horizontal="left" vertical="top" wrapText="1"/>
    </xf>
    <xf numFmtId="0" fontId="0" fillId="0" borderId="5" xfId="0" applyBorder="1" applyAlignment="1">
      <alignment vertical="top"/>
    </xf>
    <xf numFmtId="2" fontId="0" fillId="0" borderId="3" xfId="0" applyNumberFormat="1" applyBorder="1" applyAlignment="1">
      <alignment horizontal="left" vertical="top"/>
    </xf>
    <xf numFmtId="0" fontId="0" fillId="0" borderId="3" xfId="0" applyBorder="1" applyAlignment="1">
      <alignment vertical="top"/>
    </xf>
    <xf numFmtId="2" fontId="0" fillId="0" borderId="0" xfId="0" applyNumberFormat="1" applyBorder="1" applyAlignment="1">
      <alignment horizontal="left" vertical="top"/>
    </xf>
    <xf numFmtId="2" fontId="0" fillId="0" borderId="6" xfId="0" applyNumberFormat="1" applyBorder="1" applyAlignment="1">
      <alignment horizontal="left" vertical="top"/>
    </xf>
    <xf numFmtId="0" fontId="0" fillId="0" borderId="6" xfId="0" applyBorder="1" applyAlignment="1">
      <alignment vertical="top"/>
    </xf>
    <xf numFmtId="2" fontId="0" fillId="0" borderId="1" xfId="0" applyNumberFormat="1" applyBorder="1" applyAlignment="1">
      <alignment horizontal="left" vertical="top"/>
    </xf>
    <xf numFmtId="0" fontId="6" fillId="0" borderId="2" xfId="0" applyFont="1" applyBorder="1" applyAlignment="1">
      <alignment vertical="top"/>
    </xf>
    <xf numFmtId="0" fontId="6" fillId="0" borderId="0" xfId="0" applyFont="1" applyBorder="1" applyAlignment="1">
      <alignment vertical="top"/>
    </xf>
    <xf numFmtId="0" fontId="6" fillId="0" borderId="1" xfId="0" applyFont="1" applyBorder="1" applyAlignment="1">
      <alignment vertical="top"/>
    </xf>
    <xf numFmtId="0" fontId="0" fillId="0" borderId="0" xfId="0" applyFill="1" applyBorder="1" applyAlignment="1">
      <alignment vertical="top"/>
    </xf>
    <xf numFmtId="0" fontId="0" fillId="0" borderId="1" xfId="0" applyFill="1" applyBorder="1" applyAlignment="1">
      <alignment vertical="top"/>
    </xf>
    <xf numFmtId="0" fontId="0" fillId="0" borderId="0" xfId="0" applyFill="1" applyBorder="1"/>
    <xf numFmtId="2" fontId="10" fillId="0" borderId="0" xfId="0" applyNumberFormat="1" applyFont="1" applyBorder="1" applyAlignment="1">
      <alignment horizontal="left" vertical="top" wrapText="1"/>
    </xf>
    <xf numFmtId="0" fontId="9" fillId="0" borderId="0" xfId="0" applyFont="1" applyBorder="1" applyAlignment="1">
      <alignment horizontal="right" vertical="top" wrapText="1"/>
    </xf>
    <xf numFmtId="0" fontId="0" fillId="0" borderId="7" xfId="0" applyBorder="1" applyAlignment="1">
      <alignment vertical="top"/>
    </xf>
    <xf numFmtId="1" fontId="12" fillId="2" borderId="1" xfId="0" applyNumberFormat="1" applyFont="1" applyFill="1" applyBorder="1" applyAlignment="1">
      <alignment horizontal="left" vertical="top" wrapText="1"/>
    </xf>
    <xf numFmtId="164" fontId="12" fillId="0" borderId="1" xfId="0" applyNumberFormat="1" applyFont="1" applyBorder="1" applyAlignment="1">
      <alignment horizontal="left" vertical="top" wrapText="1"/>
    </xf>
    <xf numFmtId="0" fontId="12" fillId="0" borderId="1" xfId="0" applyFont="1" applyBorder="1" applyAlignment="1">
      <alignment vertical="top" wrapText="1"/>
    </xf>
    <xf numFmtId="2" fontId="15" fillId="0" borderId="1" xfId="0" applyNumberFormat="1" applyFont="1" applyBorder="1" applyAlignment="1">
      <alignment horizontal="left" vertical="top" wrapText="1"/>
    </xf>
    <xf numFmtId="0" fontId="14" fillId="0" borderId="1" xfId="0" applyFont="1" applyBorder="1" applyAlignment="1">
      <alignment vertical="top"/>
    </xf>
    <xf numFmtId="2" fontId="10" fillId="0" borderId="3" xfId="0" applyNumberFormat="1" applyFont="1" applyBorder="1" applyAlignment="1">
      <alignment horizontal="left" vertical="top" wrapText="1"/>
    </xf>
    <xf numFmtId="0" fontId="9" fillId="0" borderId="3" xfId="0" applyFont="1" applyBorder="1" applyAlignment="1">
      <alignment horizontal="right" vertical="top" wrapText="1"/>
    </xf>
    <xf numFmtId="0" fontId="0" fillId="0" borderId="4" xfId="0" applyBorder="1" applyAlignment="1">
      <alignment vertical="top"/>
    </xf>
    <xf numFmtId="0" fontId="0" fillId="0" borderId="0" xfId="0" applyFill="1" applyBorder="1" applyAlignment="1">
      <alignment horizontal="center" vertical="center"/>
    </xf>
    <xf numFmtId="0" fontId="4" fillId="0" borderId="0" xfId="0" applyFont="1"/>
    <xf numFmtId="0" fontId="0" fillId="0" borderId="0" xfId="0" applyBorder="1" applyAlignment="1">
      <alignment horizontal="center" vertical="top"/>
    </xf>
    <xf numFmtId="0" fontId="8" fillId="3" borderId="1" xfId="0" applyFont="1" applyFill="1" applyBorder="1" applyAlignment="1">
      <alignment horizontal="center" vertical="center"/>
    </xf>
    <xf numFmtId="0" fontId="14" fillId="4" borderId="1" xfId="0" applyFont="1" applyFill="1" applyBorder="1" applyAlignment="1" applyProtection="1">
      <alignment horizontal="center" vertical="center"/>
      <protection locked="0"/>
    </xf>
    <xf numFmtId="0" fontId="12" fillId="0" borderId="1" xfId="0" applyFont="1" applyBorder="1" applyAlignment="1">
      <alignment horizontal="left" vertical="top" wrapText="1"/>
    </xf>
    <xf numFmtId="0" fontId="4" fillId="0" borderId="0" xfId="0" applyFont="1" applyAlignment="1">
      <alignment horizontal="left"/>
    </xf>
    <xf numFmtId="0" fontId="0" fillId="0" borderId="0" xfId="0" applyAlignment="1">
      <alignment horizontal="left"/>
    </xf>
    <xf numFmtId="0" fontId="0" fillId="0" borderId="0" xfId="0" applyAlignment="1">
      <alignment horizontal="center"/>
    </xf>
    <xf numFmtId="1" fontId="12" fillId="0" borderId="1" xfId="0" applyNumberFormat="1" applyFont="1" applyBorder="1" applyAlignment="1">
      <alignment horizontal="center" vertical="top" wrapText="1"/>
    </xf>
    <xf numFmtId="0" fontId="0" fillId="6" borderId="0" xfId="0" applyFill="1"/>
    <xf numFmtId="0" fontId="3" fillId="4" borderId="0" xfId="0" applyFont="1" applyFill="1" applyAlignment="1"/>
    <xf numFmtId="0" fontId="0" fillId="4" borderId="0" xfId="0" applyFill="1"/>
    <xf numFmtId="0" fontId="2" fillId="5" borderId="0" xfId="0" applyFont="1" applyFill="1" applyAlignment="1"/>
    <xf numFmtId="0" fontId="19" fillId="0" borderId="0" xfId="0" applyFont="1" applyBorder="1" applyAlignment="1">
      <alignment horizontal="center" vertical="top"/>
    </xf>
    <xf numFmtId="0" fontId="19" fillId="0" borderId="0" xfId="0" applyFont="1" applyBorder="1" applyAlignment="1">
      <alignment horizontal="right" vertical="top"/>
    </xf>
    <xf numFmtId="49" fontId="12" fillId="0" borderId="1" xfId="0" applyNumberFormat="1" applyFont="1" applyBorder="1" applyAlignment="1">
      <alignment horizontal="left" vertical="top" wrapText="1"/>
    </xf>
    <xf numFmtId="0" fontId="0" fillId="0" borderId="2" xfId="0" applyBorder="1" applyAlignment="1">
      <alignment horizontal="center" vertical="center"/>
    </xf>
    <xf numFmtId="0" fontId="13" fillId="0" borderId="1" xfId="0" applyFont="1" applyBorder="1" applyAlignment="1">
      <alignment horizontal="right" vertical="center" wrapText="1"/>
    </xf>
    <xf numFmtId="49" fontId="12" fillId="0" borderId="1" xfId="0" applyNumberFormat="1" applyFont="1" applyBorder="1" applyAlignment="1">
      <alignment horizontal="left" vertical="top" wrapText="1"/>
    </xf>
    <xf numFmtId="49" fontId="12" fillId="0" borderId="1" xfId="0" quotePrefix="1" applyNumberFormat="1" applyFont="1" applyBorder="1" applyAlignment="1">
      <alignment horizontal="left" vertical="top" wrapText="1"/>
    </xf>
    <xf numFmtId="0" fontId="20" fillId="0" borderId="1" xfId="0" applyFont="1" applyBorder="1" applyAlignment="1">
      <alignment horizontal="center" vertical="center"/>
    </xf>
    <xf numFmtId="0" fontId="8" fillId="0" borderId="1" xfId="0" applyFont="1" applyBorder="1" applyAlignment="1">
      <alignment horizontal="center" vertical="center"/>
    </xf>
    <xf numFmtId="1" fontId="15" fillId="0" borderId="1" xfId="0" applyNumberFormat="1" applyFont="1" applyBorder="1" applyAlignment="1">
      <alignment horizontal="left" vertical="top" wrapText="1"/>
    </xf>
    <xf numFmtId="49" fontId="12" fillId="0" borderId="1" xfId="0" applyNumberFormat="1" applyFont="1" applyBorder="1" applyAlignment="1">
      <alignment horizontal="left" vertical="top" wrapText="1"/>
    </xf>
    <xf numFmtId="49" fontId="12" fillId="0" borderId="1" xfId="0" applyNumberFormat="1" applyFont="1" applyBorder="1" applyAlignment="1">
      <alignment horizontal="left" vertical="top" wrapText="1"/>
    </xf>
    <xf numFmtId="49" fontId="12" fillId="0" borderId="1" xfId="0" quotePrefix="1" applyNumberFormat="1" applyFont="1" applyBorder="1" applyAlignment="1">
      <alignment horizontal="left" vertical="top" wrapText="1"/>
    </xf>
    <xf numFmtId="49" fontId="14" fillId="0" borderId="1" xfId="0" applyNumberFormat="1" applyFont="1" applyBorder="1" applyAlignment="1">
      <alignment vertical="top"/>
    </xf>
    <xf numFmtId="49" fontId="14" fillId="0" borderId="1" xfId="0" applyNumberFormat="1" applyFont="1" applyBorder="1" applyAlignment="1">
      <alignment horizontal="left" vertical="top"/>
    </xf>
    <xf numFmtId="49" fontId="12" fillId="0" borderId="1" xfId="0" applyNumberFormat="1" applyFont="1" applyFill="1" applyBorder="1" applyAlignment="1">
      <alignment horizontal="left" vertical="top" wrapText="1"/>
    </xf>
    <xf numFmtId="1" fontId="12" fillId="0" borderId="1" xfId="0" applyNumberFormat="1" applyFont="1" applyFill="1" applyBorder="1" applyAlignment="1">
      <alignment horizontal="center" vertical="top" wrapText="1"/>
    </xf>
    <xf numFmtId="0" fontId="12" fillId="0" borderId="1" xfId="0" applyFont="1" applyFill="1" applyBorder="1" applyAlignment="1">
      <alignment vertical="top" wrapText="1"/>
    </xf>
    <xf numFmtId="0" fontId="14" fillId="0" borderId="1" xfId="0" applyFont="1" applyBorder="1" applyAlignment="1">
      <alignment vertical="top" wrapText="1"/>
    </xf>
    <xf numFmtId="0" fontId="12" fillId="0" borderId="1" xfId="0" applyFont="1" applyBorder="1" applyAlignment="1">
      <alignment horizontal="left" vertical="top" wrapText="1" indent="1"/>
    </xf>
    <xf numFmtId="1" fontId="22" fillId="7" borderId="1" xfId="0" applyNumberFormat="1" applyFont="1" applyFill="1" applyBorder="1" applyAlignment="1">
      <alignment horizontal="left" vertical="center" wrapText="1"/>
    </xf>
    <xf numFmtId="0" fontId="14" fillId="7" borderId="1" xfId="0" applyFont="1" applyFill="1" applyBorder="1" applyAlignment="1" applyProtection="1">
      <alignment vertical="top"/>
      <protection locked="0"/>
    </xf>
    <xf numFmtId="49" fontId="12" fillId="0" borderId="1" xfId="0" applyNumberFormat="1" applyFont="1" applyBorder="1" applyAlignment="1">
      <alignment horizontal="left" vertical="top" wrapText="1"/>
    </xf>
    <xf numFmtId="49" fontId="12" fillId="0" borderId="1" xfId="0" quotePrefix="1" applyNumberFormat="1" applyFont="1" applyBorder="1" applyAlignment="1">
      <alignment horizontal="left" vertical="top" wrapText="1"/>
    </xf>
    <xf numFmtId="1" fontId="18" fillId="0" borderId="1" xfId="0" applyNumberFormat="1" applyFont="1" applyBorder="1" applyAlignment="1">
      <alignment horizontal="center" vertical="top"/>
    </xf>
    <xf numFmtId="1" fontId="0" fillId="6" borderId="0" xfId="0" applyNumberFormat="1" applyFill="1"/>
    <xf numFmtId="0" fontId="11" fillId="0" borderId="0" xfId="0" applyFont="1" applyAlignment="1">
      <alignment vertical="top"/>
    </xf>
    <xf numFmtId="0" fontId="28" fillId="0" borderId="0" xfId="0" applyFont="1"/>
    <xf numFmtId="0" fontId="26" fillId="0" borderId="0" xfId="0" applyFont="1" applyAlignment="1">
      <alignment horizontal="center"/>
    </xf>
    <xf numFmtId="0" fontId="28" fillId="0" borderId="0" xfId="0" applyFont="1" applyAlignment="1">
      <alignment horizontal="center"/>
    </xf>
    <xf numFmtId="0" fontId="26" fillId="0" borderId="0" xfId="0" applyFont="1" applyAlignment="1">
      <alignment horizontal="right"/>
    </xf>
    <xf numFmtId="0" fontId="1" fillId="0" borderId="0" xfId="0" applyFont="1"/>
    <xf numFmtId="2" fontId="14" fillId="0" borderId="1" xfId="0" applyNumberFormat="1" applyFont="1" applyBorder="1" applyAlignment="1">
      <alignment horizontal="left" vertical="top" wrapText="1"/>
    </xf>
    <xf numFmtId="0" fontId="21" fillId="0" borderId="0" xfId="0" applyFont="1" applyBorder="1" applyAlignment="1">
      <alignment vertical="center"/>
    </xf>
    <xf numFmtId="0" fontId="14" fillId="0" borderId="1" xfId="0" applyFont="1" applyBorder="1" applyAlignment="1" applyProtection="1">
      <alignment horizontal="center" vertical="center"/>
      <protection locked="0"/>
    </xf>
    <xf numFmtId="49" fontId="12" fillId="0" borderId="1" xfId="0" applyNumberFormat="1" applyFont="1" applyBorder="1" applyAlignment="1">
      <alignment horizontal="left" vertical="top" wrapText="1"/>
    </xf>
    <xf numFmtId="0" fontId="28" fillId="0" borderId="0" xfId="0" applyFont="1" applyAlignment="1">
      <alignment horizontal="left"/>
    </xf>
    <xf numFmtId="0" fontId="21" fillId="0" borderId="0" xfId="0" applyFont="1" applyBorder="1" applyAlignment="1">
      <alignment horizontal="right" vertical="top"/>
    </xf>
    <xf numFmtId="0" fontId="21" fillId="0" borderId="0" xfId="0" applyFont="1" applyBorder="1" applyAlignment="1">
      <alignment vertical="top"/>
    </xf>
    <xf numFmtId="0" fontId="21" fillId="0" borderId="0" xfId="0" applyFont="1" applyBorder="1" applyAlignment="1">
      <alignment horizontal="center" vertical="top"/>
    </xf>
    <xf numFmtId="0" fontId="29" fillId="0" borderId="0" xfId="0" applyFont="1" applyAlignment="1">
      <alignment horizontal="center"/>
    </xf>
    <xf numFmtId="0" fontId="0" fillId="8" borderId="10" xfId="0" applyFill="1" applyBorder="1"/>
    <xf numFmtId="0" fontId="0" fillId="8" borderId="0" xfId="0" applyFill="1" applyBorder="1"/>
    <xf numFmtId="0" fontId="0" fillId="8" borderId="11" xfId="0" applyFill="1" applyBorder="1"/>
    <xf numFmtId="0" fontId="25" fillId="8" borderId="0" xfId="0" applyFont="1" applyFill="1" applyBorder="1"/>
    <xf numFmtId="0" fontId="19" fillId="8" borderId="0" xfId="0" applyFont="1" applyFill="1" applyBorder="1"/>
    <xf numFmtId="0" fontId="27" fillId="8" borderId="0" xfId="0" applyFont="1" applyFill="1" applyBorder="1"/>
    <xf numFmtId="0" fontId="0" fillId="8" borderId="0" xfId="0" applyFill="1" applyBorder="1" applyAlignment="1"/>
    <xf numFmtId="0" fontId="11" fillId="8" borderId="0" xfId="0" applyFont="1" applyFill="1" applyBorder="1" applyAlignment="1">
      <alignment horizontal="left" vertical="center" shrinkToFit="1"/>
    </xf>
    <xf numFmtId="0" fontId="25" fillId="8" borderId="11" xfId="0" applyFont="1" applyFill="1" applyBorder="1" applyAlignment="1">
      <alignment horizontal="left" vertical="center"/>
    </xf>
    <xf numFmtId="49" fontId="27" fillId="8" borderId="0" xfId="0" applyNumberFormat="1" applyFont="1" applyFill="1" applyBorder="1"/>
    <xf numFmtId="0" fontId="0" fillId="8" borderId="12" xfId="0" applyFill="1" applyBorder="1"/>
    <xf numFmtId="0" fontId="0" fillId="8" borderId="13" xfId="0" applyFill="1" applyBorder="1"/>
    <xf numFmtId="0" fontId="0" fillId="8" borderId="14" xfId="0" applyFill="1" applyBorder="1"/>
    <xf numFmtId="0" fontId="21" fillId="0" borderId="0" xfId="0" applyFont="1"/>
    <xf numFmtId="0" fontId="14" fillId="0" borderId="0" xfId="0" applyFont="1" applyAlignment="1">
      <alignment horizontal="center"/>
    </xf>
    <xf numFmtId="0" fontId="14" fillId="0" borderId="0" xfId="0" applyFont="1"/>
    <xf numFmtId="0" fontId="14" fillId="0" borderId="0" xfId="0" applyFont="1" applyAlignment="1">
      <alignment horizontal="left" wrapText="1"/>
    </xf>
    <xf numFmtId="0" fontId="14" fillId="0" borderId="0" xfId="0" applyFont="1" applyAlignment="1">
      <alignment horizontal="justify" vertical="top" wrapText="1"/>
    </xf>
    <xf numFmtId="0" fontId="6" fillId="0" borderId="0" xfId="0" applyFont="1" applyAlignment="1">
      <alignment wrapText="1"/>
    </xf>
    <xf numFmtId="1" fontId="22" fillId="7" borderId="8" xfId="0" applyNumberFormat="1" applyFont="1" applyFill="1" applyBorder="1" applyAlignment="1">
      <alignment horizontal="left" vertical="center" wrapText="1"/>
    </xf>
    <xf numFmtId="49" fontId="12" fillId="0" borderId="1" xfId="0" applyNumberFormat="1" applyFont="1" applyBorder="1" applyAlignment="1">
      <alignment horizontal="center" vertical="top" wrapText="1"/>
    </xf>
    <xf numFmtId="49" fontId="12" fillId="12" borderId="1" xfId="0" applyNumberFormat="1" applyFont="1" applyFill="1" applyBorder="1" applyAlignment="1">
      <alignment horizontal="center" vertical="top" wrapText="1"/>
    </xf>
    <xf numFmtId="49" fontId="12" fillId="13" borderId="1" xfId="0" applyNumberFormat="1" applyFont="1" applyFill="1" applyBorder="1" applyAlignment="1">
      <alignment horizontal="center" vertical="top" wrapText="1"/>
    </xf>
    <xf numFmtId="49" fontId="14" fillId="14" borderId="1" xfId="0" applyNumberFormat="1" applyFont="1" applyFill="1" applyBorder="1" applyAlignment="1">
      <alignment horizontal="center" vertical="top" wrapText="1"/>
    </xf>
    <xf numFmtId="0" fontId="12" fillId="15" borderId="1" xfId="0" applyFont="1" applyFill="1" applyBorder="1" applyAlignment="1">
      <alignment vertical="top" wrapText="1"/>
    </xf>
    <xf numFmtId="0" fontId="12" fillId="15" borderId="1" xfId="0" applyFont="1" applyFill="1" applyBorder="1" applyAlignment="1">
      <alignment horizontal="left" vertical="top" wrapText="1"/>
    </xf>
    <xf numFmtId="1" fontId="12" fillId="9" borderId="1" xfId="0" applyNumberFormat="1" applyFont="1" applyFill="1" applyBorder="1" applyAlignment="1">
      <alignment horizontal="center" vertical="top" wrapText="1"/>
    </xf>
    <xf numFmtId="1" fontId="12" fillId="10" borderId="1" xfId="0" applyNumberFormat="1" applyFont="1" applyFill="1" applyBorder="1" applyAlignment="1">
      <alignment horizontal="center" vertical="top" wrapText="1"/>
    </xf>
    <xf numFmtId="1" fontId="12" fillId="11" borderId="1" xfId="0" applyNumberFormat="1" applyFont="1" applyFill="1" applyBorder="1" applyAlignment="1">
      <alignment horizontal="center" vertical="top" wrapText="1"/>
    </xf>
    <xf numFmtId="49" fontId="12" fillId="16" borderId="1" xfId="0" applyNumberFormat="1" applyFont="1" applyFill="1" applyBorder="1" applyAlignment="1">
      <alignment horizontal="center" vertical="top" wrapText="1"/>
    </xf>
    <xf numFmtId="49" fontId="12" fillId="14" borderId="1" xfId="0" quotePrefix="1" applyNumberFormat="1" applyFont="1" applyFill="1" applyBorder="1" applyAlignment="1">
      <alignment horizontal="center" vertical="top" wrapText="1"/>
    </xf>
    <xf numFmtId="49" fontId="12" fillId="13" borderId="1" xfId="0" quotePrefix="1" applyNumberFormat="1" applyFont="1" applyFill="1" applyBorder="1" applyAlignment="1">
      <alignment horizontal="center" vertical="top" wrapText="1"/>
    </xf>
    <xf numFmtId="1" fontId="22" fillId="7" borderId="8" xfId="0" applyNumberFormat="1" applyFont="1" applyFill="1" applyBorder="1" applyAlignment="1">
      <alignment horizontal="center" vertical="center" wrapText="1"/>
    </xf>
    <xf numFmtId="164" fontId="12" fillId="12" borderId="1" xfId="0" applyNumberFormat="1" applyFont="1" applyFill="1" applyBorder="1" applyAlignment="1">
      <alignment horizontal="center" vertical="top" wrapText="1"/>
    </xf>
    <xf numFmtId="2" fontId="21" fillId="13" borderId="1" xfId="0" applyNumberFormat="1" applyFont="1" applyFill="1" applyBorder="1" applyAlignment="1">
      <alignment horizontal="center" vertical="top"/>
    </xf>
    <xf numFmtId="2" fontId="21" fillId="16" borderId="1" xfId="0" applyNumberFormat="1" applyFont="1" applyFill="1" applyBorder="1" applyAlignment="1">
      <alignment horizontal="center" vertical="top"/>
    </xf>
    <xf numFmtId="2" fontId="21" fillId="17" borderId="1" xfId="0" applyNumberFormat="1" applyFont="1" applyFill="1" applyBorder="1" applyAlignment="1">
      <alignment horizontal="center" vertical="top"/>
    </xf>
    <xf numFmtId="0" fontId="0" fillId="11" borderId="1" xfId="0" applyFill="1" applyBorder="1" applyAlignment="1">
      <alignment vertical="top"/>
    </xf>
    <xf numFmtId="0" fontId="0" fillId="10" borderId="1" xfId="0" applyFill="1" applyBorder="1" applyAlignment="1">
      <alignment vertical="top"/>
    </xf>
    <xf numFmtId="49" fontId="12" fillId="14" borderId="1" xfId="0" applyNumberFormat="1" applyFont="1" applyFill="1" applyBorder="1" applyAlignment="1">
      <alignment horizontal="center" vertical="top" wrapText="1"/>
    </xf>
    <xf numFmtId="6" fontId="12" fillId="12" borderId="1" xfId="0" applyNumberFormat="1" applyFont="1" applyFill="1" applyBorder="1" applyAlignment="1">
      <alignment horizontal="center" vertical="top" wrapText="1"/>
    </xf>
    <xf numFmtId="0" fontId="38" fillId="0" borderId="0" xfId="0" applyFont="1" applyAlignment="1" applyProtection="1">
      <alignment vertical="top" wrapText="1"/>
      <protection locked="0"/>
    </xf>
    <xf numFmtId="49" fontId="38" fillId="0" borderId="0" xfId="0" applyNumberFormat="1" applyFont="1" applyAlignment="1" applyProtection="1">
      <alignment horizontal="left" vertical="top"/>
      <protection locked="0"/>
    </xf>
    <xf numFmtId="49" fontId="38" fillId="0" borderId="0" xfId="0" applyNumberFormat="1" applyFont="1" applyProtection="1">
      <protection locked="0"/>
    </xf>
    <xf numFmtId="0" fontId="0" fillId="8" borderId="0" xfId="0" applyFont="1" applyFill="1" applyBorder="1"/>
    <xf numFmtId="0" fontId="21" fillId="8" borderId="0" xfId="0" applyFont="1" applyFill="1" applyBorder="1" applyAlignment="1"/>
    <xf numFmtId="0" fontId="11" fillId="8" borderId="0" xfId="0" applyFont="1" applyFill="1" applyBorder="1" applyAlignment="1">
      <alignment horizontal="left"/>
    </xf>
    <xf numFmtId="0" fontId="40" fillId="8" borderId="0" xfId="0" applyFont="1" applyFill="1" applyBorder="1"/>
    <xf numFmtId="0" fontId="41" fillId="8" borderId="0" xfId="0" applyFont="1" applyFill="1" applyBorder="1" applyAlignment="1">
      <alignment vertical="center"/>
    </xf>
    <xf numFmtId="0" fontId="19" fillId="0" borderId="0" xfId="0" applyFont="1" applyBorder="1" applyAlignment="1">
      <alignment vertical="top"/>
    </xf>
    <xf numFmtId="1" fontId="19" fillId="0" borderId="0" xfId="0" applyNumberFormat="1" applyFont="1" applyBorder="1" applyAlignment="1">
      <alignment horizontal="center" vertical="top"/>
    </xf>
    <xf numFmtId="0" fontId="19" fillId="0" borderId="0" xfId="0" applyNumberFormat="1" applyFont="1" applyBorder="1" applyAlignment="1">
      <alignment horizontal="center" vertical="top"/>
    </xf>
    <xf numFmtId="49" fontId="36" fillId="19" borderId="1" xfId="0" applyNumberFormat="1" applyFont="1" applyFill="1" applyBorder="1" applyAlignment="1">
      <alignment horizontal="center" vertical="top" wrapText="1"/>
    </xf>
    <xf numFmtId="0" fontId="28" fillId="0" borderId="0" xfId="0" applyFont="1" applyAlignment="1">
      <alignment horizontal="right"/>
    </xf>
    <xf numFmtId="0" fontId="26" fillId="0" borderId="0" xfId="0" applyFont="1"/>
    <xf numFmtId="0" fontId="43" fillId="0" borderId="0" xfId="0" applyFont="1" applyAlignment="1">
      <alignment horizontal="right"/>
    </xf>
    <xf numFmtId="0" fontId="43" fillId="0" borderId="0" xfId="0" applyFont="1" applyAlignment="1">
      <alignment horizontal="center"/>
    </xf>
    <xf numFmtId="0" fontId="45" fillId="0" borderId="0" xfId="0" applyFont="1" applyBorder="1" applyAlignment="1">
      <alignment horizontal="right" vertical="top"/>
    </xf>
    <xf numFmtId="0" fontId="45" fillId="0" borderId="0" xfId="0" applyFont="1" applyBorder="1" applyAlignment="1">
      <alignment horizontal="center" vertical="top"/>
    </xf>
    <xf numFmtId="0" fontId="27" fillId="0" borderId="0" xfId="0" applyFont="1" applyBorder="1" applyAlignment="1">
      <alignment vertical="top"/>
    </xf>
    <xf numFmtId="0" fontId="19" fillId="0" borderId="0" xfId="0" applyFont="1" applyAlignment="1">
      <alignment vertical="top"/>
    </xf>
    <xf numFmtId="0" fontId="19" fillId="0" borderId="0" xfId="0" applyFont="1" applyAlignment="1">
      <alignment horizontal="center"/>
    </xf>
    <xf numFmtId="0" fontId="5" fillId="0" borderId="0" xfId="0" applyFont="1" applyAlignment="1">
      <alignment horizontal="center"/>
    </xf>
    <xf numFmtId="0" fontId="46" fillId="0" borderId="0" xfId="0" applyFont="1" applyAlignment="1">
      <alignment horizontal="center"/>
    </xf>
    <xf numFmtId="0" fontId="0" fillId="8" borderId="15" xfId="0" applyFont="1" applyFill="1" applyBorder="1"/>
    <xf numFmtId="0" fontId="25" fillId="8" borderId="4" xfId="0" applyFont="1" applyFill="1" applyBorder="1" applyAlignment="1">
      <alignment horizontal="left" vertical="top"/>
    </xf>
    <xf numFmtId="0" fontId="0" fillId="8" borderId="16" xfId="0" applyFont="1" applyFill="1" applyBorder="1"/>
    <xf numFmtId="0" fontId="11" fillId="18" borderId="0" xfId="0" applyFont="1" applyFill="1" applyBorder="1" applyAlignment="1">
      <alignment horizontal="left" vertical="center" shrinkToFit="1"/>
    </xf>
    <xf numFmtId="0" fontId="14" fillId="0" borderId="0" xfId="0" applyFont="1" applyAlignment="1">
      <alignment wrapText="1"/>
    </xf>
    <xf numFmtId="0" fontId="0" fillId="0" borderId="0" xfId="0" applyAlignment="1">
      <alignment wrapText="1"/>
    </xf>
    <xf numFmtId="0" fontId="19" fillId="0" borderId="0" xfId="0" applyFont="1" applyAlignment="1">
      <alignment horizontal="right" vertical="top"/>
    </xf>
    <xf numFmtId="0" fontId="11" fillId="8" borderId="2" xfId="0" applyFont="1" applyFill="1" applyBorder="1" applyAlignment="1">
      <alignment vertical="center"/>
    </xf>
    <xf numFmtId="0" fontId="11" fillId="8" borderId="2" xfId="0" applyFont="1" applyFill="1" applyBorder="1" applyAlignment="1">
      <alignment horizontal="center" vertical="center"/>
    </xf>
    <xf numFmtId="0" fontId="0" fillId="0" borderId="0" xfId="0" applyAlignment="1">
      <alignment vertical="top" wrapText="1"/>
    </xf>
    <xf numFmtId="0" fontId="0" fillId="0" borderId="0" xfId="0" applyAlignment="1">
      <alignment horizontal="left" vertical="top"/>
    </xf>
    <xf numFmtId="15" fontId="0" fillId="0" borderId="0" xfId="0" applyNumberFormat="1" applyAlignment="1">
      <alignment horizontal="left" vertical="top"/>
    </xf>
    <xf numFmtId="0" fontId="0" fillId="0" borderId="0" xfId="0" applyFont="1"/>
    <xf numFmtId="164" fontId="0" fillId="0" borderId="0" xfId="0" applyNumberFormat="1" applyFont="1" applyAlignment="1">
      <alignment horizontal="left"/>
    </xf>
    <xf numFmtId="0" fontId="0" fillId="0" borderId="0" xfId="0" applyFont="1" applyAlignment="1">
      <alignment horizontal="left"/>
    </xf>
    <xf numFmtId="15" fontId="0" fillId="0" borderId="0" xfId="0" applyNumberFormat="1" applyFont="1" applyAlignment="1">
      <alignment horizontal="left"/>
    </xf>
    <xf numFmtId="0" fontId="29" fillId="0" borderId="0" xfId="0" applyFont="1" applyAlignment="1">
      <alignment horizontal="center"/>
    </xf>
    <xf numFmtId="0" fontId="37" fillId="0" borderId="0" xfId="0" applyFont="1" applyAlignment="1" applyProtection="1">
      <alignment horizontal="left" vertical="top" wrapText="1"/>
      <protection locked="0"/>
    </xf>
    <xf numFmtId="0" fontId="7" fillId="3" borderId="8" xfId="0" applyFont="1" applyFill="1" applyBorder="1" applyAlignment="1">
      <alignment horizontal="left" vertical="center"/>
    </xf>
    <xf numFmtId="0" fontId="0" fillId="3" borderId="9" xfId="0" applyFill="1" applyBorder="1" applyAlignment="1">
      <alignment horizontal="left" vertical="center"/>
    </xf>
    <xf numFmtId="0" fontId="0" fillId="3" borderId="7" xfId="0" applyFill="1" applyBorder="1" applyAlignment="1">
      <alignment horizontal="left" vertical="center"/>
    </xf>
    <xf numFmtId="0" fontId="14" fillId="3" borderId="8" xfId="0" applyFont="1" applyFill="1" applyBorder="1" applyAlignment="1">
      <alignment vertical="center"/>
    </xf>
    <xf numFmtId="0" fontId="14" fillId="0" borderId="9" xfId="0" applyFont="1" applyBorder="1" applyAlignment="1">
      <alignment vertical="center"/>
    </xf>
    <xf numFmtId="0" fontId="14" fillId="0" borderId="7" xfId="0" applyFont="1" applyBorder="1" applyAlignment="1">
      <alignment vertical="center"/>
    </xf>
    <xf numFmtId="0" fontId="13" fillId="3" borderId="8" xfId="0" applyFont="1" applyFill="1" applyBorder="1" applyAlignment="1">
      <alignment horizontal="left" vertical="center" wrapText="1"/>
    </xf>
    <xf numFmtId="0" fontId="18" fillId="3" borderId="9" xfId="0" applyFont="1" applyFill="1" applyBorder="1" applyAlignment="1">
      <alignment horizontal="left"/>
    </xf>
    <xf numFmtId="0" fontId="18" fillId="3" borderId="7" xfId="0" applyFont="1" applyFill="1" applyBorder="1" applyAlignment="1">
      <alignment horizontal="left"/>
    </xf>
    <xf numFmtId="0" fontId="13" fillId="2" borderId="8" xfId="0" applyFont="1" applyFill="1" applyBorder="1" applyAlignment="1">
      <alignment vertical="top" wrapText="1"/>
    </xf>
    <xf numFmtId="0" fontId="0" fillId="0" borderId="9" xfId="0" applyBorder="1" applyAlignment="1">
      <alignment vertical="top"/>
    </xf>
    <xf numFmtId="0" fontId="0" fillId="0" borderId="7" xfId="0" applyBorder="1" applyAlignment="1">
      <alignment vertical="top"/>
    </xf>
    <xf numFmtId="0" fontId="12" fillId="0" borderId="8" xfId="0" applyFont="1" applyBorder="1" applyAlignment="1">
      <alignment horizontal="left" vertical="top" wrapText="1"/>
    </xf>
    <xf numFmtId="0" fontId="16" fillId="0" borderId="7" xfId="0" applyFont="1" applyBorder="1" applyAlignment="1">
      <alignment horizontal="left"/>
    </xf>
    <xf numFmtId="0" fontId="12" fillId="0" borderId="8" xfId="0" applyFont="1" applyBorder="1" applyAlignment="1">
      <alignment vertical="top" wrapText="1"/>
    </xf>
    <xf numFmtId="0" fontId="0" fillId="0" borderId="7" xfId="0" applyBorder="1" applyAlignment="1">
      <alignment vertical="top" wrapText="1"/>
    </xf>
    <xf numFmtId="0" fontId="13" fillId="0" borderId="8" xfId="0" applyFont="1" applyBorder="1" applyAlignment="1">
      <alignment horizontal="right" vertical="center" wrapText="1"/>
    </xf>
    <xf numFmtId="0" fontId="1" fillId="0" borderId="7" xfId="0" applyFont="1" applyBorder="1" applyAlignment="1">
      <alignment horizontal="right" vertical="center"/>
    </xf>
    <xf numFmtId="0" fontId="12" fillId="0" borderId="7" xfId="0" applyFont="1" applyBorder="1" applyAlignment="1">
      <alignment vertical="top" wrapText="1"/>
    </xf>
    <xf numFmtId="0" fontId="12" fillId="0" borderId="7" xfId="0" applyFont="1" applyBorder="1" applyAlignment="1">
      <alignment horizontal="left" vertical="top" wrapText="1"/>
    </xf>
    <xf numFmtId="0" fontId="13" fillId="3" borderId="9" xfId="0" applyFont="1" applyFill="1" applyBorder="1" applyAlignment="1">
      <alignment horizontal="left" vertical="center" wrapText="1"/>
    </xf>
    <xf numFmtId="0" fontId="14" fillId="3" borderId="9" xfId="0" applyFont="1" applyFill="1" applyBorder="1" applyAlignment="1">
      <alignment horizontal="left"/>
    </xf>
    <xf numFmtId="0" fontId="14" fillId="3" borderId="7" xfId="0" applyFont="1" applyFill="1" applyBorder="1" applyAlignment="1">
      <alignment horizontal="left"/>
    </xf>
    <xf numFmtId="0" fontId="7" fillId="3" borderId="9" xfId="0" applyFont="1" applyFill="1" applyBorder="1" applyAlignment="1">
      <alignment horizontal="left" vertical="center"/>
    </xf>
    <xf numFmtId="0" fontId="14" fillId="3" borderId="9" xfId="0" applyFont="1" applyFill="1" applyBorder="1" applyAlignment="1">
      <alignment vertical="center"/>
    </xf>
    <xf numFmtId="0" fontId="0" fillId="0" borderId="7" xfId="0" applyBorder="1" applyAlignment="1">
      <alignment vertical="center"/>
    </xf>
    <xf numFmtId="0" fontId="23" fillId="7" borderId="8" xfId="0" applyFont="1" applyFill="1" applyBorder="1" applyAlignment="1">
      <alignment vertical="center" wrapText="1"/>
    </xf>
    <xf numFmtId="0" fontId="24" fillId="7" borderId="9" xfId="0" applyFont="1" applyFill="1" applyBorder="1" applyAlignment="1">
      <alignment vertical="center" wrapText="1"/>
    </xf>
    <xf numFmtId="0" fontId="24" fillId="7" borderId="7" xfId="0" applyFont="1" applyFill="1" applyBorder="1" applyAlignment="1">
      <alignment vertical="center"/>
    </xf>
    <xf numFmtId="0" fontId="7" fillId="8" borderId="10" xfId="0" applyFont="1" applyFill="1" applyBorder="1" applyAlignment="1">
      <alignment horizontal="center"/>
    </xf>
    <xf numFmtId="0" fontId="0" fillId="8" borderId="0" xfId="0" applyFill="1" applyAlignment="1">
      <alignment horizontal="center"/>
    </xf>
    <xf numFmtId="0" fontId="0" fillId="8" borderId="11" xfId="0" applyFill="1" applyBorder="1" applyAlignment="1">
      <alignment horizontal="center"/>
    </xf>
    <xf numFmtId="0" fontId="25" fillId="8" borderId="0" xfId="0" applyFont="1" applyFill="1" applyBorder="1" applyAlignment="1">
      <alignment horizontal="left" vertical="center" indent="1"/>
    </xf>
    <xf numFmtId="49" fontId="27" fillId="8" borderId="0" xfId="0" applyNumberFormat="1" applyFont="1" applyFill="1" applyBorder="1" applyAlignment="1">
      <alignment vertical="top" wrapText="1"/>
    </xf>
    <xf numFmtId="0" fontId="0" fillId="0" borderId="0" xfId="0" applyAlignment="1">
      <alignment vertical="top"/>
    </xf>
    <xf numFmtId="0" fontId="0" fillId="0" borderId="0" xfId="0" applyAlignment="1"/>
    <xf numFmtId="0" fontId="21" fillId="8" borderId="0" xfId="0" applyFont="1" applyFill="1" applyBorder="1" applyAlignment="1"/>
    <xf numFmtId="0" fontId="27" fillId="8" borderId="0" xfId="0" applyFont="1" applyFill="1" applyBorder="1" applyAlignment="1"/>
    <xf numFmtId="0" fontId="19" fillId="8" borderId="0" xfId="0" applyFont="1" applyFill="1" applyAlignment="1"/>
    <xf numFmtId="0" fontId="25" fillId="8" borderId="0" xfId="0" applyFont="1" applyFill="1" applyBorder="1" applyAlignment="1">
      <alignment horizontal="left" vertical="center"/>
    </xf>
    <xf numFmtId="0" fontId="21" fillId="8" borderId="0" xfId="0" applyFont="1" applyFill="1" applyBorder="1" applyAlignment="1">
      <alignment horizontal="left" indent="1"/>
    </xf>
    <xf numFmtId="0" fontId="0" fillId="8" borderId="0" xfId="0" applyFont="1" applyFill="1" applyBorder="1" applyAlignment="1"/>
    <xf numFmtId="0" fontId="42" fillId="18" borderId="8" xfId="0" applyFont="1" applyFill="1" applyBorder="1" applyAlignment="1">
      <alignment horizontal="center"/>
    </xf>
    <xf numFmtId="0" fontId="42" fillId="18" borderId="9" xfId="0" applyFont="1" applyFill="1" applyBorder="1" applyAlignment="1">
      <alignment horizontal="center"/>
    </xf>
    <xf numFmtId="0" fontId="42" fillId="18" borderId="7" xfId="0" applyFont="1" applyFill="1" applyBorder="1" applyAlignment="1">
      <alignment horizontal="center"/>
    </xf>
    <xf numFmtId="0" fontId="44" fillId="15" borderId="17" xfId="0" applyFont="1" applyFill="1" applyBorder="1" applyAlignment="1">
      <alignment horizontal="center"/>
    </xf>
    <xf numFmtId="0" fontId="44" fillId="15" borderId="18" xfId="0" applyFont="1" applyFill="1" applyBorder="1" applyAlignment="1">
      <alignment horizontal="center"/>
    </xf>
    <xf numFmtId="0" fontId="44" fillId="15" borderId="21" xfId="0" applyFont="1" applyFill="1" applyBorder="1" applyAlignment="1">
      <alignment horizontal="center"/>
    </xf>
    <xf numFmtId="0" fontId="44" fillId="15" borderId="20" xfId="0" applyFont="1" applyFill="1" applyBorder="1" applyAlignment="1">
      <alignment horizontal="center"/>
    </xf>
    <xf numFmtId="0" fontId="44" fillId="15" borderId="19" xfId="0" applyFont="1" applyFill="1" applyBorder="1" applyAlignment="1">
      <alignment horizontal="center"/>
    </xf>
    <xf numFmtId="0" fontId="39" fillId="8" borderId="0" xfId="0" applyFont="1" applyFill="1" applyBorder="1" applyAlignment="1">
      <alignment vertical="center" wrapText="1"/>
    </xf>
    <xf numFmtId="0" fontId="39" fillId="8" borderId="0" xfId="0" applyFont="1" applyFill="1" applyBorder="1" applyAlignment="1">
      <alignment horizontal="left" wrapText="1"/>
    </xf>
    <xf numFmtId="0" fontId="39" fillId="8" borderId="15" xfId="0" applyFont="1" applyFill="1" applyBorder="1" applyAlignment="1">
      <alignment horizontal="left" wrapText="1"/>
    </xf>
    <xf numFmtId="0" fontId="25" fillId="8" borderId="0" xfId="0" applyFont="1" applyFill="1" applyBorder="1" applyAlignment="1">
      <alignment horizontal="left" vertical="top"/>
    </xf>
    <xf numFmtId="0" fontId="25" fillId="8" borderId="0" xfId="0" applyFont="1" applyFill="1" applyBorder="1" applyAlignment="1">
      <alignment horizontal="left" shrinkToFit="1"/>
    </xf>
    <xf numFmtId="0" fontId="27" fillId="8" borderId="0" xfId="0" applyFont="1" applyFill="1" applyBorder="1" applyAlignment="1">
      <alignment horizontal="center" shrinkToFit="1"/>
    </xf>
    <xf numFmtId="0" fontId="2" fillId="5" borderId="0" xfId="0" applyFont="1" applyFill="1" applyAlignment="1">
      <alignment horizontal="center"/>
    </xf>
    <xf numFmtId="0" fontId="0" fillId="5" borderId="0" xfId="0" applyFill="1" applyAlignment="1">
      <alignment horizontal="center"/>
    </xf>
    <xf numFmtId="0" fontId="1" fillId="0" borderId="0" xfId="0" applyFont="1" applyAlignment="1"/>
  </cellXfs>
  <cellStyles count="4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Normal" xfId="0" builtinId="0"/>
  </cellStyles>
  <dxfs count="37">
    <dxf>
      <font>
        <b/>
        <i val="0"/>
        <color theme="0"/>
      </font>
      <fill>
        <patternFill patternType="solid">
          <fgColor indexed="64"/>
          <bgColor theme="1"/>
        </patternFill>
      </fill>
      <border>
        <left style="thin">
          <color auto="1"/>
        </left>
        <right style="thin">
          <color auto="1"/>
        </right>
        <top style="thin">
          <color auto="1"/>
        </top>
        <bottom style="thin">
          <color auto="1"/>
        </bottom>
      </border>
    </dxf>
    <dxf>
      <font>
        <b/>
        <i val="0"/>
        <color theme="1"/>
      </font>
      <fill>
        <patternFill patternType="solid">
          <fgColor indexed="64"/>
          <bgColor theme="0" tint="-0.14999847407452621"/>
        </patternFill>
      </fill>
      <border>
        <left style="thin">
          <color theme="0" tint="-0.14999847407452621"/>
        </left>
        <right style="thin">
          <color theme="0" tint="-0.14999847407452621"/>
        </right>
        <top style="thin">
          <color theme="0" tint="-0.14999847407452621"/>
        </top>
        <bottom style="thin">
          <color theme="0" tint="-0.14999847407452621"/>
        </bottom>
      </border>
    </dxf>
    <dxf>
      <font>
        <b/>
        <i val="0"/>
        <color auto="1"/>
      </font>
      <fill>
        <patternFill patternType="solid">
          <fgColor indexed="64"/>
          <bgColor theme="0" tint="-0.14999847407452621"/>
        </patternFill>
      </fill>
      <border>
        <left style="thin">
          <color theme="0" tint="-0.14999847407452621"/>
        </left>
        <right style="thin">
          <color theme="0" tint="-0.14999847407452621"/>
        </right>
        <top style="thin">
          <color theme="0" tint="-0.14999847407452621"/>
        </top>
        <bottom style="thin">
          <color theme="0" tint="-0.14999847407452621"/>
        </bottom>
      </border>
    </dxf>
    <dxf>
      <font>
        <b/>
        <i val="0"/>
        <color theme="0"/>
      </font>
      <fill>
        <patternFill patternType="solid">
          <fgColor indexed="64"/>
          <bgColor theme="1"/>
        </patternFill>
      </fill>
      <border>
        <left style="thin">
          <color auto="1"/>
        </left>
        <right style="thin">
          <color auto="1"/>
        </right>
        <top style="thin">
          <color auto="1"/>
        </top>
        <bottom style="thin">
          <color auto="1"/>
        </bottom>
      </border>
    </dxf>
    <dxf>
      <font>
        <b/>
        <i val="0"/>
        <color auto="1"/>
      </font>
      <fill>
        <patternFill patternType="solid">
          <fgColor indexed="64"/>
          <bgColor theme="0" tint="-0.14999847407452621"/>
        </patternFill>
      </fill>
      <border>
        <left style="thin">
          <color theme="0" tint="-0.14999847407452621"/>
        </left>
        <right style="thin">
          <color theme="0" tint="-0.14999847407452621"/>
        </right>
        <top style="thin">
          <color theme="0" tint="-0.14999847407452621"/>
        </top>
        <bottom style="thin">
          <color theme="0" tint="-0.14999847407452621"/>
        </bottom>
      </border>
    </dxf>
    <dxf>
      <font>
        <b/>
        <i val="0"/>
        <color theme="0"/>
      </font>
      <fill>
        <patternFill patternType="solid">
          <fgColor indexed="64"/>
          <bgColor theme="1"/>
        </patternFill>
      </fill>
      <border>
        <left style="thin">
          <color auto="1"/>
        </left>
        <right style="thin">
          <color auto="1"/>
        </right>
        <top style="thin">
          <color auto="1"/>
        </top>
        <bottom style="thin">
          <color auto="1"/>
        </bottom>
      </border>
    </dxf>
    <dxf>
      <font>
        <b/>
        <i val="0"/>
        <color auto="1"/>
      </font>
      <fill>
        <patternFill patternType="solid">
          <fgColor indexed="64"/>
          <bgColor theme="0" tint="-0.14999847407452621"/>
        </patternFill>
      </fill>
      <border>
        <left style="thin">
          <color theme="0" tint="-0.14999847407452621"/>
        </left>
        <right style="thin">
          <color theme="0" tint="-0.14999847407452621"/>
        </right>
        <top style="thin">
          <color theme="0" tint="-0.14999847407452621"/>
        </top>
        <bottom style="thin">
          <color theme="0" tint="-0.14999847407452621"/>
        </bottom>
      </border>
    </dxf>
    <dxf>
      <font>
        <b/>
        <i val="0"/>
        <color theme="0"/>
      </font>
      <fill>
        <patternFill patternType="solid">
          <fgColor indexed="64"/>
          <bgColor theme="1"/>
        </patternFill>
      </fill>
      <border>
        <left style="thin">
          <color auto="1"/>
        </left>
        <right style="thin">
          <color auto="1"/>
        </right>
        <top style="thin">
          <color auto="1"/>
        </top>
        <bottom style="thin">
          <color auto="1"/>
        </bottom>
      </border>
    </dxf>
    <dxf>
      <fill>
        <patternFill>
          <bgColor indexed="50"/>
        </patternFill>
      </fill>
    </dxf>
    <dxf>
      <fill>
        <patternFill>
          <bgColor indexed="51"/>
        </patternFill>
      </fill>
    </dxf>
    <dxf>
      <fill>
        <patternFill>
          <bgColor indexed="10"/>
        </patternFill>
      </fill>
    </dxf>
    <dxf>
      <fill>
        <patternFill>
          <bgColor indexed="50"/>
        </patternFill>
      </fill>
    </dxf>
    <dxf>
      <fill>
        <patternFill>
          <bgColor indexed="51"/>
        </patternFill>
      </fill>
    </dxf>
    <dxf>
      <fill>
        <patternFill>
          <bgColor indexed="10"/>
        </patternFill>
      </fill>
    </dxf>
    <dxf>
      <fill>
        <patternFill>
          <bgColor indexed="50"/>
        </patternFill>
      </fill>
    </dxf>
    <dxf>
      <fill>
        <patternFill>
          <bgColor indexed="51"/>
        </patternFill>
      </fill>
    </dxf>
    <dxf>
      <font>
        <condense val="0"/>
        <extend val="0"/>
        <color indexed="9"/>
      </font>
      <fill>
        <patternFill>
          <bgColor indexed="10"/>
        </patternFill>
      </fill>
    </dxf>
    <dxf>
      <fill>
        <patternFill>
          <bgColor indexed="45"/>
        </patternFill>
      </fill>
    </dxf>
    <dxf>
      <fill>
        <patternFill>
          <bgColor indexed="43"/>
        </patternFill>
      </fill>
    </dxf>
    <dxf>
      <fill>
        <patternFill>
          <bgColor indexed="47"/>
        </patternFill>
      </fill>
    </dxf>
    <dxf>
      <font>
        <condense val="0"/>
        <extend val="0"/>
      </font>
      <fill>
        <patternFill patternType="solid">
          <fgColor indexed="47"/>
          <bgColor indexed="22"/>
        </patternFill>
      </fill>
    </dxf>
    <dxf>
      <fill>
        <patternFill>
          <bgColor indexed="45"/>
        </patternFill>
      </fill>
    </dxf>
    <dxf>
      <fill>
        <patternFill>
          <bgColor indexed="43"/>
        </patternFill>
      </fill>
    </dxf>
    <dxf>
      <fill>
        <patternFill>
          <bgColor indexed="47"/>
        </patternFill>
      </fill>
    </dxf>
    <dxf>
      <font>
        <condense val="0"/>
        <extend val="0"/>
      </font>
      <fill>
        <patternFill patternType="solid">
          <fgColor indexed="47"/>
          <bgColor indexed="22"/>
        </patternFill>
      </fill>
    </dxf>
    <dxf>
      <fill>
        <patternFill>
          <bgColor indexed="45"/>
        </patternFill>
      </fill>
    </dxf>
    <dxf>
      <fill>
        <patternFill>
          <bgColor indexed="43"/>
        </patternFill>
      </fill>
    </dxf>
    <dxf>
      <fill>
        <patternFill>
          <bgColor indexed="47"/>
        </patternFill>
      </fill>
    </dxf>
    <dxf>
      <font>
        <condense val="0"/>
        <extend val="0"/>
      </font>
      <fill>
        <patternFill patternType="solid">
          <fgColor indexed="47"/>
          <bgColor indexed="22"/>
        </patternFill>
      </fill>
    </dxf>
    <dxf>
      <fill>
        <patternFill>
          <bgColor indexed="45"/>
        </patternFill>
      </fill>
    </dxf>
    <dxf>
      <fill>
        <patternFill>
          <bgColor indexed="43"/>
        </patternFill>
      </fill>
    </dxf>
    <dxf>
      <fill>
        <patternFill>
          <bgColor indexed="47"/>
        </patternFill>
      </fill>
    </dxf>
    <dxf>
      <font>
        <condense val="0"/>
        <extend val="0"/>
      </font>
      <fill>
        <patternFill patternType="solid">
          <fgColor indexed="47"/>
          <bgColor indexed="22"/>
        </patternFill>
      </fill>
    </dxf>
    <dxf>
      <fill>
        <patternFill>
          <bgColor indexed="45"/>
        </patternFill>
      </fill>
    </dxf>
    <dxf>
      <fill>
        <patternFill>
          <bgColor indexed="43"/>
        </patternFill>
      </fill>
    </dxf>
    <dxf>
      <fill>
        <patternFill>
          <bgColor indexed="47"/>
        </patternFill>
      </fill>
    </dxf>
    <dxf>
      <font>
        <condense val="0"/>
        <extend val="0"/>
      </font>
      <fill>
        <patternFill patternType="solid">
          <fgColor indexed="47"/>
          <bgColor indexed="2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id-ID"/>
  <c:style val="13"/>
  <c:chart>
    <c:autoTitleDeleted val="1"/>
    <c:plotArea>
      <c:layout>
        <c:manualLayout>
          <c:layoutTarget val="inner"/>
          <c:xMode val="edge"/>
          <c:yMode val="edge"/>
          <c:x val="0.18027169365838"/>
          <c:y val="0.14721432360945202"/>
          <c:w val="0.61222793384451413"/>
          <c:h val="0.79627024324334605"/>
        </c:manualLayout>
      </c:layout>
      <c:radarChart>
        <c:radarStyle val="filled"/>
        <c:ser>
          <c:idx val="0"/>
          <c:order val="0"/>
          <c:tx>
            <c:v>Kepatuhan ISO 27001/SNI</c:v>
          </c:tx>
          <c:cat>
            <c:strRef>
              <c:f>Dashboard!$AN$12:$AR$12</c:f>
              <c:strCache>
                <c:ptCount val="5"/>
                <c:pt idx="0">
                  <c:v>Tata Kelola</c:v>
                </c:pt>
                <c:pt idx="1">
                  <c:v>Pengelolaan Risiko</c:v>
                </c:pt>
                <c:pt idx="2">
                  <c:v>Kerangka Kerja</c:v>
                </c:pt>
                <c:pt idx="3">
                  <c:v>Pengelolaan Aset</c:v>
                </c:pt>
                <c:pt idx="4">
                  <c:v>Aspek Teknologi</c:v>
                </c:pt>
              </c:strCache>
            </c:strRef>
          </c:cat>
          <c:val>
            <c:numRef>
              <c:f>Dashboard!$AN$21:$AR$21</c:f>
              <c:numCache>
                <c:formatCode>General</c:formatCode>
                <c:ptCount val="5"/>
                <c:pt idx="0">
                  <c:v>114</c:v>
                </c:pt>
                <c:pt idx="1">
                  <c:v>69</c:v>
                </c:pt>
                <c:pt idx="2">
                  <c:v>144</c:v>
                </c:pt>
                <c:pt idx="3">
                  <c:v>153</c:v>
                </c:pt>
                <c:pt idx="4">
                  <c:v>108</c:v>
                </c:pt>
              </c:numCache>
            </c:numRef>
          </c:val>
        </c:ser>
        <c:ser>
          <c:idx val="1"/>
          <c:order val="1"/>
          <c:tx>
            <c:v>Proses Penerapan</c:v>
          </c:tx>
          <c:cat>
            <c:strRef>
              <c:f>Dashboard!$AN$12:$AR$12</c:f>
              <c:strCache>
                <c:ptCount val="5"/>
                <c:pt idx="0">
                  <c:v>Tata Kelola</c:v>
                </c:pt>
                <c:pt idx="1">
                  <c:v>Pengelolaan Risiko</c:v>
                </c:pt>
                <c:pt idx="2">
                  <c:v>Kerangka Kerja</c:v>
                </c:pt>
                <c:pt idx="3">
                  <c:v>Pengelolaan Aset</c:v>
                </c:pt>
                <c:pt idx="4">
                  <c:v>Aspek Teknologi</c:v>
                </c:pt>
              </c:strCache>
            </c:strRef>
          </c:cat>
          <c:val>
            <c:numRef>
              <c:f>Dashboard!$AN$20:$AR$20</c:f>
              <c:numCache>
                <c:formatCode>General</c:formatCode>
                <c:ptCount val="5"/>
                <c:pt idx="0">
                  <c:v>60</c:v>
                </c:pt>
                <c:pt idx="1">
                  <c:v>51</c:v>
                </c:pt>
                <c:pt idx="2">
                  <c:v>81</c:v>
                </c:pt>
                <c:pt idx="3">
                  <c:v>117</c:v>
                </c:pt>
                <c:pt idx="4">
                  <c:v>99</c:v>
                </c:pt>
              </c:numCache>
            </c:numRef>
          </c:val>
        </c:ser>
        <c:ser>
          <c:idx val="2"/>
          <c:order val="2"/>
          <c:tx>
            <c:v>Kerangka Kerja Dasar</c:v>
          </c:tx>
          <c:cat>
            <c:strRef>
              <c:f>Dashboard!$AN$12:$AR$12</c:f>
              <c:strCache>
                <c:ptCount val="5"/>
                <c:pt idx="0">
                  <c:v>Tata Kelola</c:v>
                </c:pt>
                <c:pt idx="1">
                  <c:v>Pengelolaan Risiko</c:v>
                </c:pt>
                <c:pt idx="2">
                  <c:v>Kerangka Kerja</c:v>
                </c:pt>
                <c:pt idx="3">
                  <c:v>Pengelolaan Aset</c:v>
                </c:pt>
                <c:pt idx="4">
                  <c:v>Aspek Teknologi</c:v>
                </c:pt>
              </c:strCache>
            </c:strRef>
          </c:cat>
          <c:val>
            <c:numRef>
              <c:f>Dashboard!$AN$19:$AR$19</c:f>
              <c:numCache>
                <c:formatCode>General</c:formatCode>
                <c:ptCount val="5"/>
                <c:pt idx="0">
                  <c:v>24</c:v>
                </c:pt>
                <c:pt idx="1">
                  <c:v>27</c:v>
                </c:pt>
                <c:pt idx="2">
                  <c:v>33</c:v>
                </c:pt>
                <c:pt idx="3">
                  <c:v>63</c:v>
                </c:pt>
                <c:pt idx="4">
                  <c:v>39</c:v>
                </c:pt>
              </c:numCache>
            </c:numRef>
          </c:val>
        </c:ser>
        <c:ser>
          <c:idx val="3"/>
          <c:order val="3"/>
          <c:tx>
            <c:v>Responden</c:v>
          </c:tx>
          <c:spPr>
            <a:gradFill rotWithShape="1">
              <a:gsLst>
                <a:gs pos="0">
                  <a:schemeClr val="accent2">
                    <a:tint val="100000"/>
                    <a:shade val="100000"/>
                    <a:satMod val="130000"/>
                  </a:schemeClr>
                </a:gs>
                <a:gs pos="100000">
                  <a:schemeClr val="accent2">
                    <a:tint val="50000"/>
                    <a:shade val="100000"/>
                    <a:satMod val="350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Dashboard!$AN$12:$AR$12</c:f>
              <c:strCache>
                <c:ptCount val="5"/>
                <c:pt idx="0">
                  <c:v>Tata Kelola</c:v>
                </c:pt>
                <c:pt idx="1">
                  <c:v>Pengelolaan Risiko</c:v>
                </c:pt>
                <c:pt idx="2">
                  <c:v>Kerangka Kerja</c:v>
                </c:pt>
                <c:pt idx="3">
                  <c:v>Pengelolaan Aset</c:v>
                </c:pt>
                <c:pt idx="4">
                  <c:v>Aspek Teknologi</c:v>
                </c:pt>
              </c:strCache>
            </c:strRef>
          </c:cat>
          <c:val>
            <c:numRef>
              <c:f>Dashboard!$AN$22:$AR$22</c:f>
              <c:numCache>
                <c:formatCode>General</c:formatCode>
                <c:ptCount val="5"/>
                <c:pt idx="0">
                  <c:v>0</c:v>
                </c:pt>
                <c:pt idx="1">
                  <c:v>0</c:v>
                </c:pt>
                <c:pt idx="2">
                  <c:v>0</c:v>
                </c:pt>
                <c:pt idx="3">
                  <c:v>0</c:v>
                </c:pt>
                <c:pt idx="4">
                  <c:v>0</c:v>
                </c:pt>
              </c:numCache>
            </c:numRef>
          </c:val>
        </c:ser>
        <c:dLbls/>
        <c:axId val="89089152"/>
        <c:axId val="89090688"/>
      </c:radarChart>
      <c:catAx>
        <c:axId val="89089152"/>
        <c:scaling>
          <c:orientation val="minMax"/>
        </c:scaling>
        <c:axPos val="b"/>
        <c:majorGridlines/>
        <c:majorTickMark val="none"/>
        <c:tickLblPos val="nextTo"/>
        <c:txPr>
          <a:bodyPr/>
          <a:lstStyle/>
          <a:p>
            <a:pPr>
              <a:defRPr sz="1200" b="1" i="0"/>
            </a:pPr>
            <a:endParaRPr lang="id-ID"/>
          </a:p>
        </c:txPr>
        <c:crossAx val="89090688"/>
        <c:crosses val="autoZero"/>
        <c:auto val="1"/>
        <c:lblAlgn val="ctr"/>
        <c:lblOffset val="100"/>
      </c:catAx>
      <c:valAx>
        <c:axId val="89090688"/>
        <c:scaling>
          <c:orientation val="minMax"/>
        </c:scaling>
        <c:axPos val="l"/>
        <c:majorGridlines>
          <c:spPr>
            <a:ln>
              <a:solidFill>
                <a:sysClr val="windowText" lastClr="000000">
                  <a:tint val="75000"/>
                  <a:shade val="95000"/>
                  <a:satMod val="105000"/>
                  <a:alpha val="25000"/>
                </a:sysClr>
              </a:solidFill>
            </a:ln>
          </c:spPr>
        </c:majorGridlines>
        <c:numFmt formatCode="General" sourceLinked="1"/>
        <c:majorTickMark val="none"/>
        <c:tickLblPos val="none"/>
        <c:spPr>
          <a:effectLst/>
        </c:spPr>
        <c:crossAx val="89089152"/>
        <c:crosses val="autoZero"/>
        <c:crossBetween val="between"/>
        <c:majorUnit val="10"/>
        <c:minorUnit val="2"/>
      </c:valAx>
      <c:spPr>
        <a:ln>
          <a:noFill/>
        </a:ln>
      </c:spPr>
    </c:plotArea>
    <c:legend>
      <c:legendPos val="r"/>
      <c:layout>
        <c:manualLayout>
          <c:xMode val="edge"/>
          <c:yMode val="edge"/>
          <c:x val="0.68306019882989499"/>
          <c:y val="0.55299279706514004"/>
          <c:w val="0.269615124528648"/>
          <c:h val="0.19872519570536004"/>
        </c:manualLayout>
      </c:layout>
      <c:txPr>
        <a:bodyPr/>
        <a:lstStyle/>
        <a:p>
          <a:pPr>
            <a:defRPr sz="1200" b="1" i="0"/>
          </a:pPr>
          <a:endParaRPr lang="id-ID"/>
        </a:p>
      </c:txPr>
    </c:legend>
    <c:plotVisOnly val="1"/>
    <c:dispBlanksAs val="gap"/>
  </c:chart>
  <c:spPr>
    <a:ln>
      <a:noFill/>
    </a:ln>
  </c:spPr>
  <c:printSettings>
    <c:headerFooter/>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image" Target="../media/image6.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952500</xdr:colOff>
      <xdr:row>37</xdr:row>
      <xdr:rowOff>551180</xdr:rowOff>
    </xdr:from>
    <xdr:to>
      <xdr:col>0</xdr:col>
      <xdr:colOff>5104881</xdr:colOff>
      <xdr:row>55</xdr:row>
      <xdr:rowOff>42805</xdr:rowOff>
    </xdr:to>
    <xdr:pic>
      <xdr:nvPicPr>
        <xdr:cNvPr id="3" name="Picture 2" descr="Tabel Skor Peran TIK dan Tingkat Kesiapan.png"/>
        <xdr:cNvPicPr>
          <a:picLocks noChangeAspect="1"/>
        </xdr:cNvPicPr>
      </xdr:nvPicPr>
      <xdr:blipFill>
        <a:blip xmlns:r="http://schemas.openxmlformats.org/officeDocument/2006/relationships" r:embed="rId1"/>
        <a:stretch>
          <a:fillRect/>
        </a:stretch>
      </xdr:blipFill>
      <xdr:spPr>
        <a:xfrm>
          <a:off x="952500" y="16339820"/>
          <a:ext cx="4152381" cy="2915545"/>
        </a:xfrm>
        <a:prstGeom prst="rect">
          <a:avLst/>
        </a:prstGeom>
      </xdr:spPr>
    </xdr:pic>
    <xdr:clientData/>
  </xdr:twoCellAnchor>
  <xdr:twoCellAnchor editAs="oneCell">
    <xdr:from>
      <xdr:col>0</xdr:col>
      <xdr:colOff>897154</xdr:colOff>
      <xdr:row>28</xdr:row>
      <xdr:rowOff>4307840</xdr:rowOff>
    </xdr:from>
    <xdr:to>
      <xdr:col>0</xdr:col>
      <xdr:colOff>5138420</xdr:colOff>
      <xdr:row>34</xdr:row>
      <xdr:rowOff>50800</xdr:rowOff>
    </xdr:to>
    <xdr:pic>
      <xdr:nvPicPr>
        <xdr:cNvPr id="5" name="Picture 4" descr="Tabel Kelengkapan.jpg"/>
        <xdr:cNvPicPr>
          <a:picLocks noChangeAspect="1"/>
        </xdr:cNvPicPr>
      </xdr:nvPicPr>
      <xdr:blipFill>
        <a:blip xmlns:r="http://schemas.openxmlformats.org/officeDocument/2006/relationships" r:embed="rId2">
          <a:extLst>
            <a:ext uri="{28A0092B-C50C-407E-A947-70E740481C1C}">
              <a14:useLocalDpi xmlns:a14="http://schemas.microsoft.com/office/drawing/2010/main" xmlns="" val="0"/>
            </a:ext>
          </a:extLst>
        </a:blip>
        <a:stretch>
          <a:fillRect/>
        </a:stretch>
      </xdr:blipFill>
      <xdr:spPr>
        <a:xfrm>
          <a:off x="897154" y="13258800"/>
          <a:ext cx="4241266" cy="1178560"/>
        </a:xfrm>
        <a:prstGeom prst="rect">
          <a:avLst/>
        </a:prstGeom>
      </xdr:spPr>
    </xdr:pic>
    <xdr:clientData/>
  </xdr:twoCellAnchor>
  <xdr:twoCellAnchor editAs="oneCell">
    <xdr:from>
      <xdr:col>0</xdr:col>
      <xdr:colOff>1020596</xdr:colOff>
      <xdr:row>4</xdr:row>
      <xdr:rowOff>325620</xdr:rowOff>
    </xdr:from>
    <xdr:to>
      <xdr:col>0</xdr:col>
      <xdr:colOff>5166359</xdr:colOff>
      <xdr:row>19</xdr:row>
      <xdr:rowOff>91440</xdr:rowOff>
    </xdr:to>
    <xdr:pic>
      <xdr:nvPicPr>
        <xdr:cNvPr id="6" name="Picture 5" descr="Indeks KAMI - Dashboard.jpg"/>
        <xdr:cNvPicPr>
          <a:picLocks noChangeAspect="1"/>
        </xdr:cNvPicPr>
      </xdr:nvPicPr>
      <xdr:blipFill>
        <a:blip xmlns:r="http://schemas.openxmlformats.org/officeDocument/2006/relationships" r:embed="rId3">
          <a:extLst>
            <a:ext uri="{28A0092B-C50C-407E-A947-70E740481C1C}">
              <a14:useLocalDpi xmlns:a14="http://schemas.microsoft.com/office/drawing/2010/main" xmlns="" val="0"/>
            </a:ext>
          </a:extLst>
        </a:blip>
        <a:stretch>
          <a:fillRect/>
        </a:stretch>
      </xdr:blipFill>
      <xdr:spPr>
        <a:xfrm>
          <a:off x="1020596" y="1077460"/>
          <a:ext cx="4145763" cy="2854460"/>
        </a:xfrm>
        <a:prstGeom prst="rect">
          <a:avLst/>
        </a:prstGeom>
      </xdr:spPr>
    </xdr:pic>
    <xdr:clientData/>
  </xdr:twoCellAnchor>
  <xdr:twoCellAnchor editAs="oneCell">
    <xdr:from>
      <xdr:col>0</xdr:col>
      <xdr:colOff>284480</xdr:colOff>
      <xdr:row>60</xdr:row>
      <xdr:rowOff>38873</xdr:rowOff>
    </xdr:from>
    <xdr:to>
      <xdr:col>0</xdr:col>
      <xdr:colOff>5877560</xdr:colOff>
      <xdr:row>62</xdr:row>
      <xdr:rowOff>2261829</xdr:rowOff>
    </xdr:to>
    <xdr:pic>
      <xdr:nvPicPr>
        <xdr:cNvPr id="7" name="Picture 6" descr="Area Evaluasi.jpg"/>
        <xdr:cNvPicPr>
          <a:picLocks noChangeAspect="1"/>
        </xdr:cNvPicPr>
      </xdr:nvPicPr>
      <xdr:blipFill>
        <a:blip xmlns:r="http://schemas.openxmlformats.org/officeDocument/2006/relationships" r:embed="rId4">
          <a:extLst>
            <a:ext uri="{28A0092B-C50C-407E-A947-70E740481C1C}">
              <a14:useLocalDpi xmlns:a14="http://schemas.microsoft.com/office/drawing/2010/main" xmlns="" val="0"/>
            </a:ext>
          </a:extLst>
        </a:blip>
        <a:stretch>
          <a:fillRect/>
        </a:stretch>
      </xdr:blipFill>
      <xdr:spPr>
        <a:xfrm>
          <a:off x="284480" y="26271993"/>
          <a:ext cx="5593080" cy="2548076"/>
        </a:xfrm>
        <a:prstGeom prst="rect">
          <a:avLst/>
        </a:prstGeom>
      </xdr:spPr>
    </xdr:pic>
    <xdr:clientData/>
  </xdr:twoCellAnchor>
  <xdr:twoCellAnchor editAs="oneCell">
    <xdr:from>
      <xdr:col>0</xdr:col>
      <xdr:colOff>366945</xdr:colOff>
      <xdr:row>64</xdr:row>
      <xdr:rowOff>142240</xdr:rowOff>
    </xdr:from>
    <xdr:to>
      <xdr:col>0</xdr:col>
      <xdr:colOff>5755098</xdr:colOff>
      <xdr:row>77</xdr:row>
      <xdr:rowOff>50800</xdr:rowOff>
    </xdr:to>
    <xdr:pic>
      <xdr:nvPicPr>
        <xdr:cNvPr id="8" name="Picture 7" descr="Perbandingan Metrik.jpg"/>
        <xdr:cNvPicPr>
          <a:picLocks noChangeAspect="1"/>
        </xdr:cNvPicPr>
      </xdr:nvPicPr>
      <xdr:blipFill>
        <a:blip xmlns:r="http://schemas.openxmlformats.org/officeDocument/2006/relationships" r:embed="rId5">
          <a:extLst>
            <a:ext uri="{28A0092B-C50C-407E-A947-70E740481C1C}">
              <a14:useLocalDpi xmlns:a14="http://schemas.microsoft.com/office/drawing/2010/main" xmlns="" val="0"/>
            </a:ext>
          </a:extLst>
        </a:blip>
        <a:stretch>
          <a:fillRect/>
        </a:stretch>
      </xdr:blipFill>
      <xdr:spPr>
        <a:xfrm>
          <a:off x="366945" y="29778960"/>
          <a:ext cx="5388153" cy="20218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25</xdr:row>
      <xdr:rowOff>0</xdr:rowOff>
    </xdr:from>
    <xdr:to>
      <xdr:col>0</xdr:col>
      <xdr:colOff>342900</xdr:colOff>
      <xdr:row>25</xdr:row>
      <xdr:rowOff>0</xdr:rowOff>
    </xdr:to>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0" y="7302500"/>
          <a:ext cx="342900" cy="0"/>
        </a:xfrm>
        <a:prstGeom prst="rect">
          <a:avLst/>
        </a:prstGeom>
        <a:noFill/>
      </xdr:spPr>
    </xdr:pic>
    <xdr:clientData/>
  </xdr:twoCellAnchor>
  <xdr:twoCellAnchor>
    <xdr:from>
      <xdr:col>0</xdr:col>
      <xdr:colOff>0</xdr:colOff>
      <xdr:row>25</xdr:row>
      <xdr:rowOff>0</xdr:rowOff>
    </xdr:from>
    <xdr:to>
      <xdr:col>0</xdr:col>
      <xdr:colOff>342900</xdr:colOff>
      <xdr:row>25</xdr:row>
      <xdr:rowOff>0</xdr:rowOff>
    </xdr:to>
    <xdr:pic>
      <xdr:nvPicPr>
        <xdr:cNvPr id="3" name="Picture 2"/>
        <xdr:cNvPicPr>
          <a:picLocks noChangeAspect="1" noChangeArrowheads="1"/>
        </xdr:cNvPicPr>
      </xdr:nvPicPr>
      <xdr:blipFill>
        <a:blip xmlns:r="http://schemas.openxmlformats.org/officeDocument/2006/relationships" r:embed="rId2"/>
        <a:srcRect/>
        <a:stretch>
          <a:fillRect/>
        </a:stretch>
      </xdr:blipFill>
      <xdr:spPr bwMode="auto">
        <a:xfrm>
          <a:off x="0" y="7302500"/>
          <a:ext cx="342900" cy="0"/>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absoluteAnchor>
    <xdr:pos x="237067" y="2844800"/>
    <xdr:ext cx="8779933" cy="3310467"/>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F80"/>
  <sheetViews>
    <sheetView view="pageLayout" topLeftCell="A64" zoomScaleNormal="125" workbookViewId="0">
      <selection activeCell="A40" sqref="A40"/>
    </sheetView>
  </sheetViews>
  <sheetFormatPr defaultColWidth="11" defaultRowHeight="12.75"/>
  <cols>
    <col min="1" max="1" width="68.375" customWidth="1"/>
  </cols>
  <sheetData>
    <row r="1" spans="1:6" ht="23.25">
      <c r="A1" s="83" t="s">
        <v>76</v>
      </c>
      <c r="B1" s="83"/>
      <c r="C1" s="83"/>
      <c r="D1" s="83"/>
      <c r="E1" s="83"/>
      <c r="F1" s="83"/>
    </row>
    <row r="2" spans="1:6">
      <c r="A2" s="97"/>
    </row>
    <row r="3" spans="1:6" ht="14.25">
      <c r="A3" s="98" t="s">
        <v>387</v>
      </c>
    </row>
    <row r="4" spans="1:6" ht="14.25">
      <c r="A4" s="99"/>
    </row>
    <row r="5" spans="1:6" ht="31.5">
      <c r="A5" s="102" t="s">
        <v>50</v>
      </c>
    </row>
    <row r="6" spans="1:6" ht="15.75">
      <c r="A6" s="102"/>
    </row>
    <row r="7" spans="1:6" ht="15.75">
      <c r="A7" s="102"/>
    </row>
    <row r="8" spans="1:6" ht="15.75">
      <c r="A8" s="102"/>
    </row>
    <row r="9" spans="1:6" ht="15.75">
      <c r="A9" s="102"/>
    </row>
    <row r="10" spans="1:6" ht="15.75">
      <c r="A10" s="102"/>
    </row>
    <row r="11" spans="1:6" ht="15.75">
      <c r="A11" s="102"/>
    </row>
    <row r="12" spans="1:6" ht="15.75">
      <c r="A12" s="102"/>
    </row>
    <row r="13" spans="1:6" ht="15.75">
      <c r="A13" s="102"/>
    </row>
    <row r="14" spans="1:6" ht="15.75">
      <c r="A14" s="102"/>
    </row>
    <row r="15" spans="1:6" ht="15.75">
      <c r="A15" s="102"/>
    </row>
    <row r="16" spans="1:6" ht="15.75">
      <c r="A16" s="102"/>
    </row>
    <row r="17" spans="1:1" ht="15.75">
      <c r="A17" s="102"/>
    </row>
    <row r="18" spans="1:1" ht="15.75">
      <c r="A18" s="102"/>
    </row>
    <row r="19" spans="1:1" ht="15.75">
      <c r="A19" s="102"/>
    </row>
    <row r="20" spans="1:1" ht="15.75">
      <c r="A20" s="102"/>
    </row>
    <row r="21" spans="1:1" ht="142.5">
      <c r="A21" s="101" t="s">
        <v>358</v>
      </c>
    </row>
    <row r="22" spans="1:1" ht="128.25">
      <c r="A22" s="101" t="s">
        <v>359</v>
      </c>
    </row>
    <row r="23" spans="1:1" ht="71.25">
      <c r="A23" s="101" t="s">
        <v>360</v>
      </c>
    </row>
    <row r="24" spans="1:1" ht="128.25">
      <c r="A24" s="101" t="s">
        <v>2</v>
      </c>
    </row>
    <row r="25" spans="1:1" ht="14.25">
      <c r="A25" s="101"/>
    </row>
    <row r="26" spans="1:1" ht="47.25">
      <c r="A26" s="102" t="s">
        <v>51</v>
      </c>
    </row>
    <row r="27" spans="1:1" ht="256.5">
      <c r="A27" s="101" t="s">
        <v>365</v>
      </c>
    </row>
    <row r="28" spans="1:1" ht="14.25">
      <c r="A28" s="99"/>
    </row>
    <row r="29" spans="1:1" ht="314.25">
      <c r="A29" s="101" t="s">
        <v>364</v>
      </c>
    </row>
    <row r="30" spans="1:1" ht="14.25">
      <c r="A30" s="100"/>
    </row>
    <row r="31" spans="1:1" ht="14.25">
      <c r="A31" s="99"/>
    </row>
    <row r="32" spans="1:1" ht="14.25">
      <c r="A32" s="99"/>
    </row>
    <row r="33" spans="1:1" ht="14.25">
      <c r="A33" s="99"/>
    </row>
    <row r="34" spans="1:1" ht="14.25">
      <c r="A34" s="99"/>
    </row>
    <row r="35" spans="1:1" ht="14.25">
      <c r="A35" s="99"/>
    </row>
    <row r="36" spans="1:1" ht="57">
      <c r="A36" s="152" t="s">
        <v>361</v>
      </c>
    </row>
    <row r="37" spans="1:1" ht="57.95" customHeight="1">
      <c r="A37" s="101" t="s">
        <v>0</v>
      </c>
    </row>
    <row r="38" spans="1:1" ht="71.25">
      <c r="A38" s="101" t="s">
        <v>284</v>
      </c>
    </row>
    <row r="39" spans="1:1">
      <c r="A39" s="97"/>
    </row>
    <row r="40" spans="1:1">
      <c r="A40" s="97"/>
    </row>
    <row r="41" spans="1:1">
      <c r="A41" s="97"/>
    </row>
    <row r="42" spans="1:1">
      <c r="A42" s="97"/>
    </row>
    <row r="43" spans="1:1">
      <c r="A43" s="97"/>
    </row>
    <row r="57" spans="1:1" ht="267.75">
      <c r="A57" s="153" t="s">
        <v>366</v>
      </c>
    </row>
    <row r="59" spans="1:1" ht="25.5">
      <c r="A59" s="153" t="s">
        <v>362</v>
      </c>
    </row>
    <row r="63" spans="1:1" ht="189.95" customHeight="1"/>
    <row r="64" spans="1:1" ht="51">
      <c r="A64" s="153" t="s">
        <v>367</v>
      </c>
    </row>
    <row r="80" spans="1:1" ht="51">
      <c r="A80" s="153" t="s">
        <v>363</v>
      </c>
    </row>
  </sheetData>
  <sheetProtection sheet="1" objects="1" scenarios="1"/>
  <phoneticPr fontId="5" type="noConversion"/>
  <pageMargins left="0.75000000000000011" right="0.75000000000000011" top="1" bottom="1" header="0.5" footer="0.5"/>
  <pageSetup paperSize="9" orientation="portrait" horizontalDpi="4294967292" verticalDpi="4294967292" r:id="rId1"/>
  <headerFooter>
    <oddFooter>&amp;L&amp;"Arial,Regular"&amp;6&amp;K000000Direktorat Keamanan Informasi&amp;C&amp;"Arial,Regular"&amp;6&amp;K000000Kementerian Komunikasi dan Informasi&amp;R&amp;"Arial,Regular"&amp;6&amp;K000000Indeks KAMI, Versi  2.3, 19 April 2012</oddFooter>
  </headerFooter>
  <drawing r:id="rId2"/>
  <extLst>
    <ext xmlns:mx="http://schemas.microsoft.com/office/mac/excel/2008/main" uri="{64002731-A6B0-56B0-2670-7721B7C09600}">
      <mx:PLV Mode="1" OnePage="0" WScale="0"/>
    </ext>
  </extLst>
</worksheet>
</file>

<file path=xl/worksheets/sheet10.xml><?xml version="1.0" encoding="utf-8"?>
<worksheet xmlns="http://schemas.openxmlformats.org/spreadsheetml/2006/main" xmlns:r="http://schemas.openxmlformats.org/officeDocument/2006/relationships">
  <sheetPr enableFormatConditionsCalculation="0">
    <pageSetUpPr autoPageBreaks="0"/>
  </sheetPr>
  <dimension ref="B2:G27"/>
  <sheetViews>
    <sheetView workbookViewId="0">
      <selection activeCell="B3" sqref="B3"/>
    </sheetView>
  </sheetViews>
  <sheetFormatPr defaultColWidth="11" defaultRowHeight="12.75"/>
  <cols>
    <col min="1" max="1" width="4.75" bestFit="1" customWidth="1"/>
    <col min="2" max="2" width="30.625" bestFit="1" customWidth="1"/>
    <col min="3" max="3" width="4.75" bestFit="1" customWidth="1"/>
    <col min="4" max="4" width="30.875" customWidth="1"/>
  </cols>
  <sheetData>
    <row r="2" spans="2:7">
      <c r="B2" s="30" t="s">
        <v>209</v>
      </c>
      <c r="C2" s="35" t="s">
        <v>210</v>
      </c>
      <c r="E2" s="222" t="s">
        <v>212</v>
      </c>
      <c r="F2" s="223"/>
      <c r="G2" s="223"/>
    </row>
    <row r="3" spans="2:7">
      <c r="B3" s="30"/>
      <c r="C3" s="35"/>
      <c r="D3" s="42" t="s">
        <v>211</v>
      </c>
      <c r="E3" s="40">
        <v>1</v>
      </c>
      <c r="F3" s="41">
        <v>2</v>
      </c>
      <c r="G3" s="41">
        <v>3</v>
      </c>
    </row>
    <row r="4" spans="2:7">
      <c r="B4" t="s">
        <v>286</v>
      </c>
      <c r="C4" s="36">
        <v>0</v>
      </c>
      <c r="D4" s="41" t="s">
        <v>286</v>
      </c>
      <c r="E4" s="39">
        <v>0</v>
      </c>
      <c r="F4" s="39">
        <v>0</v>
      </c>
      <c r="G4" s="39">
        <v>0</v>
      </c>
    </row>
    <row r="5" spans="2:7">
      <c r="B5" t="s">
        <v>287</v>
      </c>
      <c r="C5" s="36">
        <v>1</v>
      </c>
      <c r="D5" s="41" t="s">
        <v>287</v>
      </c>
      <c r="E5" s="39">
        <v>1</v>
      </c>
      <c r="F5" s="39">
        <v>2</v>
      </c>
      <c r="G5" s="39">
        <v>3</v>
      </c>
    </row>
    <row r="6" spans="2:7">
      <c r="B6" t="s">
        <v>240</v>
      </c>
      <c r="C6" s="36">
        <v>2</v>
      </c>
      <c r="D6" s="41" t="s">
        <v>240</v>
      </c>
      <c r="E6" s="39">
        <v>2</v>
      </c>
      <c r="F6" s="39">
        <v>4</v>
      </c>
      <c r="G6" s="39">
        <v>6</v>
      </c>
    </row>
    <row r="7" spans="2:7">
      <c r="B7" t="s">
        <v>208</v>
      </c>
      <c r="C7" s="36">
        <v>3</v>
      </c>
      <c r="D7" s="41" t="s">
        <v>208</v>
      </c>
      <c r="E7" s="68">
        <v>3</v>
      </c>
      <c r="F7" s="68">
        <v>6</v>
      </c>
      <c r="G7" s="68">
        <v>9</v>
      </c>
    </row>
    <row r="10" spans="2:7">
      <c r="B10" s="74" t="s">
        <v>263</v>
      </c>
      <c r="C10" s="74" t="s">
        <v>268</v>
      </c>
      <c r="D10" s="224" t="s">
        <v>279</v>
      </c>
      <c r="E10" s="201"/>
    </row>
    <row r="11" spans="2:7">
      <c r="B11" t="s">
        <v>259</v>
      </c>
      <c r="C11" s="36">
        <v>0</v>
      </c>
      <c r="D11" t="s">
        <v>259</v>
      </c>
      <c r="E11" s="36">
        <v>0</v>
      </c>
    </row>
    <row r="12" spans="2:7">
      <c r="B12" t="s">
        <v>260</v>
      </c>
      <c r="C12" s="36">
        <v>1</v>
      </c>
      <c r="D12" t="s">
        <v>260</v>
      </c>
      <c r="E12" s="36">
        <v>1</v>
      </c>
    </row>
    <row r="13" spans="2:7">
      <c r="B13" t="s">
        <v>261</v>
      </c>
      <c r="C13" s="36">
        <v>2</v>
      </c>
      <c r="D13" t="s">
        <v>261</v>
      </c>
      <c r="E13" s="36">
        <v>2</v>
      </c>
    </row>
    <row r="14" spans="2:7">
      <c r="B14" t="s">
        <v>262</v>
      </c>
      <c r="C14" s="36">
        <v>3</v>
      </c>
      <c r="D14" t="s">
        <v>262</v>
      </c>
      <c r="E14" s="36">
        <v>3</v>
      </c>
    </row>
    <row r="15" spans="2:7">
      <c r="B15" t="s">
        <v>280</v>
      </c>
      <c r="C15" s="36">
        <v>4</v>
      </c>
      <c r="D15" t="s">
        <v>280</v>
      </c>
      <c r="E15" s="36">
        <v>4</v>
      </c>
    </row>
    <row r="18" spans="2:4">
      <c r="B18" s="74" t="s">
        <v>353</v>
      </c>
      <c r="C18" s="74" t="s">
        <v>352</v>
      </c>
    </row>
    <row r="19" spans="2:4">
      <c r="B19" t="s">
        <v>303</v>
      </c>
      <c r="C19">
        <v>1</v>
      </c>
      <c r="D19" s="37"/>
    </row>
    <row r="20" spans="2:4">
      <c r="B20" t="s">
        <v>348</v>
      </c>
      <c r="C20">
        <v>2</v>
      </c>
    </row>
    <row r="21" spans="2:4">
      <c r="B21" t="s">
        <v>289</v>
      </c>
      <c r="C21">
        <v>3</v>
      </c>
    </row>
    <row r="22" spans="2:4">
      <c r="B22" t="s">
        <v>349</v>
      </c>
      <c r="C22">
        <v>4</v>
      </c>
    </row>
    <row r="23" spans="2:4">
      <c r="B23" t="s">
        <v>290</v>
      </c>
      <c r="C23">
        <v>5</v>
      </c>
    </row>
    <row r="24" spans="2:4">
      <c r="B24" t="s">
        <v>350</v>
      </c>
      <c r="C24">
        <v>6</v>
      </c>
    </row>
    <row r="25" spans="2:4">
      <c r="B25" t="s">
        <v>292</v>
      </c>
      <c r="C25">
        <v>7</v>
      </c>
    </row>
    <row r="26" spans="2:4">
      <c r="B26" t="s">
        <v>351</v>
      </c>
      <c r="C26">
        <v>8</v>
      </c>
    </row>
    <row r="27" spans="2:4">
      <c r="B27" t="s">
        <v>291</v>
      </c>
      <c r="C27">
        <v>9</v>
      </c>
    </row>
  </sheetData>
  <sheetProtection sheet="1" objects="1" scenarios="1"/>
  <mergeCells count="2">
    <mergeCell ref="E2:G2"/>
    <mergeCell ref="D10:E10"/>
  </mergeCells>
  <phoneticPr fontId="5" type="noConversion"/>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dimension ref="A2:C7"/>
  <sheetViews>
    <sheetView workbookViewId="0">
      <selection activeCell="A2" sqref="A2"/>
    </sheetView>
  </sheetViews>
  <sheetFormatPr defaultColWidth="11" defaultRowHeight="12.75"/>
  <cols>
    <col min="3" max="3" width="96.125" customWidth="1"/>
  </cols>
  <sheetData>
    <row r="2" spans="1:3">
      <c r="A2" s="74" t="s">
        <v>384</v>
      </c>
      <c r="B2" s="74" t="s">
        <v>385</v>
      </c>
      <c r="C2" s="74" t="s">
        <v>386</v>
      </c>
    </row>
    <row r="3" spans="1:3">
      <c r="A3" s="161">
        <v>1</v>
      </c>
      <c r="B3" s="162">
        <v>2009</v>
      </c>
      <c r="C3" s="160" t="s">
        <v>388</v>
      </c>
    </row>
    <row r="4" spans="1:3">
      <c r="A4" s="161">
        <v>2</v>
      </c>
      <c r="B4" s="163">
        <v>39234</v>
      </c>
      <c r="C4" s="160" t="s">
        <v>389</v>
      </c>
    </row>
    <row r="5" spans="1:3">
      <c r="A5" s="162">
        <v>2.1</v>
      </c>
      <c r="B5" s="163">
        <v>39262</v>
      </c>
      <c r="C5" s="160" t="s">
        <v>390</v>
      </c>
    </row>
    <row r="6" spans="1:3">
      <c r="A6" s="162">
        <v>2.2000000000000002</v>
      </c>
      <c r="B6" s="163">
        <v>39303</v>
      </c>
      <c r="C6" s="160" t="s">
        <v>390</v>
      </c>
    </row>
    <row r="7" spans="1:3" ht="38.25">
      <c r="A7" s="158">
        <v>2.2999999999999998</v>
      </c>
      <c r="B7" s="159">
        <v>39556</v>
      </c>
      <c r="C7" s="157" t="s">
        <v>383</v>
      </c>
    </row>
  </sheetData>
  <sheetProtection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D21"/>
  <sheetViews>
    <sheetView view="pageLayout" zoomScale="125" zoomScaleNormal="125" zoomScalePageLayoutView="125" workbookViewId="0">
      <selection sqref="A1:D1"/>
    </sheetView>
  </sheetViews>
  <sheetFormatPr defaultColWidth="11" defaultRowHeight="12.75"/>
  <cols>
    <col min="1" max="1" width="2.75" customWidth="1"/>
    <col min="2" max="2" width="23.375" customWidth="1"/>
    <col min="3" max="3" width="36" customWidth="1"/>
    <col min="4" max="4" width="5.75" customWidth="1"/>
  </cols>
  <sheetData>
    <row r="1" spans="1:4" ht="23.25">
      <c r="A1" s="164" t="s">
        <v>256</v>
      </c>
      <c r="B1" s="164"/>
      <c r="C1" s="164"/>
      <c r="D1" s="164"/>
    </row>
    <row r="4" spans="1:4" ht="60" customHeight="1">
      <c r="B4" s="69" t="s">
        <v>16</v>
      </c>
      <c r="C4" s="125" t="s">
        <v>206</v>
      </c>
    </row>
    <row r="5" spans="1:4" ht="59.1" customHeight="1">
      <c r="B5" s="69" t="s">
        <v>62</v>
      </c>
      <c r="C5" s="125" t="s">
        <v>255</v>
      </c>
    </row>
    <row r="6" spans="1:4" ht="14.1" customHeight="1">
      <c r="B6" s="69" t="s">
        <v>63</v>
      </c>
      <c r="C6" s="126" t="s">
        <v>110</v>
      </c>
    </row>
    <row r="7" spans="1:4">
      <c r="B7" s="69" t="s">
        <v>64</v>
      </c>
      <c r="C7" s="126" t="s">
        <v>111</v>
      </c>
    </row>
    <row r="8" spans="1:4" ht="14.1" customHeight="1"/>
    <row r="9" spans="1:4">
      <c r="B9" s="69" t="s">
        <v>59</v>
      </c>
      <c r="C9" s="127" t="s">
        <v>1</v>
      </c>
    </row>
    <row r="10" spans="1:4">
      <c r="B10" s="69" t="s">
        <v>60</v>
      </c>
      <c r="C10" s="127" t="s">
        <v>99</v>
      </c>
    </row>
    <row r="11" spans="1:4">
      <c r="B11" s="69" t="s">
        <v>61</v>
      </c>
      <c r="C11" s="127" t="s">
        <v>339</v>
      </c>
    </row>
    <row r="13" spans="1:4">
      <c r="B13" s="69" t="s">
        <v>257</v>
      </c>
      <c r="C13" s="127" t="s">
        <v>338</v>
      </c>
    </row>
    <row r="15" spans="1:4">
      <c r="B15" s="69" t="s">
        <v>301</v>
      </c>
    </row>
    <row r="16" spans="1:4">
      <c r="B16" s="165" t="s">
        <v>302</v>
      </c>
      <c r="C16" s="165"/>
    </row>
    <row r="17" spans="2:3">
      <c r="B17" s="165"/>
      <c r="C17" s="165"/>
    </row>
    <row r="18" spans="2:3">
      <c r="B18" s="165"/>
      <c r="C18" s="165"/>
    </row>
    <row r="19" spans="2:3">
      <c r="B19" s="165"/>
      <c r="C19" s="165"/>
    </row>
    <row r="20" spans="2:3">
      <c r="B20" s="165"/>
      <c r="C20" s="165"/>
    </row>
    <row r="21" spans="2:3">
      <c r="B21" s="165"/>
      <c r="C21" s="165"/>
    </row>
  </sheetData>
  <sheetProtection sheet="1" objects="1" scenarios="1"/>
  <mergeCells count="2">
    <mergeCell ref="A1:D1"/>
    <mergeCell ref="B16:C21"/>
  </mergeCells>
  <phoneticPr fontId="5" type="noConversion"/>
  <dataValidations count="2">
    <dataValidation type="textLength" operator="greaterThan" allowBlank="1" showInputMessage="1" showErrorMessage="1" sqref="C6">
      <formula1>3</formula1>
    </dataValidation>
    <dataValidation type="textLength" allowBlank="1" showInputMessage="1" showErrorMessage="1" sqref="C7">
      <formula1>10</formula1>
      <formula2>32</formula2>
    </dataValidation>
  </dataValidations>
  <pageMargins left="0.75000000000000011" right="0.75000000000000011" top="1" bottom="1" header="0.5" footer="0.5"/>
  <pageSetup paperSize="10" orientation="portrait" horizontalDpi="4294967292" verticalDpi="4294967292" r:id="rId1"/>
  <headerFooter>
    <oddFooter>&amp;L&amp;"Arial,Regular"&amp;6Direktorat Keamanan Informasi&amp;C&amp;"Arial,Regular"&amp;6Kementerian Komunikasi dan Informasi&amp;R&amp;"Arial,Regular"&amp;6Indeks KAMI, Versi  2.3 19 April 2012</oddFooter>
  </headerFooter>
  <extLst>
    <ext xmlns:mx="http://schemas.microsoft.com/office/mac/excel/2008/main" uri="{64002731-A6B0-56B0-2670-7721B7C09600}">
      <mx:PLV Mode="1" OnePage="0" WScale="0"/>
    </ext>
  </extLst>
</worksheet>
</file>

<file path=xl/worksheets/sheet3.xml><?xml version="1.0" encoding="utf-8"?>
<worksheet xmlns="http://schemas.openxmlformats.org/spreadsheetml/2006/main" xmlns:r="http://schemas.openxmlformats.org/officeDocument/2006/relationships">
  <sheetPr enableFormatConditionsCalculation="0">
    <pageSetUpPr fitToPage="1"/>
  </sheetPr>
  <dimension ref="A1:Z99"/>
  <sheetViews>
    <sheetView topLeftCell="B4" zoomScaleNormal="100" zoomScalePageLayoutView="125" workbookViewId="0">
      <selection activeCell="D6" sqref="D6"/>
    </sheetView>
  </sheetViews>
  <sheetFormatPr defaultColWidth="7.875" defaultRowHeight="12.75"/>
  <cols>
    <col min="1" max="1" width="4" style="11" customWidth="1"/>
    <col min="2" max="2" width="60.75" style="3" customWidth="1"/>
    <col min="3" max="3" width="6.25" style="3" customWidth="1"/>
    <col min="4" max="4" width="10" style="3" bestFit="1" customWidth="1"/>
    <col min="5" max="5" width="7.25" style="3" bestFit="1" customWidth="1"/>
    <col min="6" max="16384" width="7.875" style="3"/>
  </cols>
  <sheetData>
    <row r="1" spans="1:23" ht="30.95" customHeight="1">
      <c r="A1" s="166" t="s">
        <v>42</v>
      </c>
      <c r="B1" s="167"/>
      <c r="C1" s="167"/>
      <c r="D1" s="168"/>
      <c r="E1" s="2"/>
      <c r="F1" s="2"/>
      <c r="G1" s="2"/>
      <c r="H1" s="2"/>
      <c r="I1" s="2"/>
      <c r="J1" s="2"/>
      <c r="K1" s="2"/>
      <c r="L1" s="2"/>
      <c r="M1" s="2"/>
      <c r="N1" s="2"/>
      <c r="O1" s="2"/>
      <c r="P1" s="2"/>
      <c r="Q1" s="2"/>
      <c r="R1" s="2"/>
      <c r="S1" s="2"/>
      <c r="T1" s="2"/>
      <c r="U1" s="2"/>
      <c r="V1" s="2"/>
      <c r="W1" s="20"/>
    </row>
    <row r="2" spans="1:23" s="17" customFormat="1" ht="30.95" customHeight="1">
      <c r="A2" s="169" t="s">
        <v>43</v>
      </c>
      <c r="B2" s="170"/>
      <c r="C2" s="170"/>
      <c r="D2" s="171"/>
    </row>
    <row r="3" spans="1:23" s="17" customFormat="1" ht="30.95" customHeight="1">
      <c r="A3" s="172" t="s">
        <v>77</v>
      </c>
      <c r="B3" s="173"/>
      <c r="C3" s="174"/>
      <c r="D3" s="32" t="s">
        <v>207</v>
      </c>
      <c r="E3" s="29" t="s">
        <v>270</v>
      </c>
    </row>
    <row r="4" spans="1:23" ht="14.25">
      <c r="A4" s="21" t="s">
        <v>254</v>
      </c>
      <c r="B4" s="175" t="s">
        <v>44</v>
      </c>
      <c r="C4" s="176"/>
      <c r="D4" s="177"/>
      <c r="E4" s="2"/>
      <c r="F4" s="2"/>
      <c r="G4" s="2"/>
      <c r="H4" s="2"/>
      <c r="I4" s="2"/>
      <c r="J4" s="2"/>
      <c r="K4" s="2"/>
      <c r="L4" s="2"/>
      <c r="M4" s="2"/>
      <c r="N4" s="2"/>
      <c r="O4" s="2"/>
      <c r="P4" s="2"/>
      <c r="Q4" s="2"/>
      <c r="R4" s="2"/>
      <c r="S4" s="2"/>
      <c r="T4" s="2"/>
      <c r="U4" s="2"/>
      <c r="V4" s="2"/>
      <c r="W4" s="20"/>
    </row>
    <row r="5" spans="1:23" ht="80.099999999999994" customHeight="1">
      <c r="A5" s="78">
        <v>1.1000000000000001</v>
      </c>
      <c r="B5" s="178" t="s">
        <v>52</v>
      </c>
      <c r="C5" s="179"/>
      <c r="D5" s="77" t="s">
        <v>258</v>
      </c>
      <c r="E5" s="46">
        <f>IF(D5="Kritis",4,VLOOKUP(D5,SkorPeranTIK,2,TRUE))</f>
        <v>0</v>
      </c>
      <c r="F5" s="2"/>
      <c r="G5" s="2"/>
      <c r="H5" s="2"/>
      <c r="I5" s="2"/>
      <c r="J5" s="2"/>
      <c r="K5" s="2"/>
      <c r="L5" s="2"/>
      <c r="M5" s="2"/>
      <c r="N5" s="2"/>
      <c r="O5" s="2"/>
      <c r="P5" s="2"/>
      <c r="Q5" s="2"/>
      <c r="R5" s="2"/>
      <c r="S5" s="2"/>
      <c r="T5" s="2"/>
      <c r="U5" s="2"/>
      <c r="V5" s="2"/>
      <c r="W5" s="20"/>
    </row>
    <row r="6" spans="1:23" ht="80.099999999999994" customHeight="1">
      <c r="A6" s="78">
        <v>1.2</v>
      </c>
      <c r="B6" s="178" t="s">
        <v>45</v>
      </c>
      <c r="C6" s="179"/>
      <c r="D6" s="77" t="s">
        <v>258</v>
      </c>
      <c r="E6" s="46">
        <f t="shared" ref="E6:E16" si="0">IF(D6="Kritis",4,VLOOKUP(D6,SkorPeranTIK,2,TRUE))</f>
        <v>0</v>
      </c>
      <c r="F6" s="2"/>
      <c r="G6" s="2"/>
      <c r="H6" s="2"/>
      <c r="I6" s="2"/>
      <c r="J6" s="2"/>
      <c r="K6" s="2"/>
      <c r="L6" s="2"/>
      <c r="M6" s="2"/>
      <c r="N6" s="2"/>
      <c r="O6" s="2"/>
      <c r="P6" s="2"/>
      <c r="Q6" s="2"/>
      <c r="R6" s="2"/>
      <c r="S6" s="2"/>
      <c r="T6" s="2"/>
      <c r="U6" s="2"/>
      <c r="V6" s="2"/>
      <c r="W6" s="20"/>
    </row>
    <row r="7" spans="1:23" ht="14.25">
      <c r="A7" s="78">
        <v>1.3</v>
      </c>
      <c r="B7" s="180" t="s">
        <v>46</v>
      </c>
      <c r="C7" s="181"/>
      <c r="D7" s="77" t="s">
        <v>258</v>
      </c>
      <c r="E7" s="46">
        <f t="shared" si="0"/>
        <v>0</v>
      </c>
      <c r="F7" s="2"/>
      <c r="G7" s="2"/>
      <c r="H7" s="2"/>
      <c r="I7" s="2"/>
      <c r="J7" s="2"/>
      <c r="K7" s="2"/>
      <c r="L7" s="2"/>
      <c r="M7" s="2"/>
      <c r="N7" s="2"/>
      <c r="O7" s="2"/>
      <c r="P7" s="2"/>
      <c r="Q7" s="2"/>
      <c r="R7" s="2"/>
      <c r="S7" s="2"/>
      <c r="T7" s="2"/>
      <c r="U7" s="2"/>
      <c r="V7" s="2"/>
      <c r="W7" s="20"/>
    </row>
    <row r="8" spans="1:23" ht="14.25">
      <c r="A8" s="78">
        <v>1.4</v>
      </c>
      <c r="B8" s="178" t="s">
        <v>47</v>
      </c>
      <c r="C8" s="185"/>
      <c r="D8" s="77" t="s">
        <v>258</v>
      </c>
      <c r="E8" s="46">
        <f t="shared" si="0"/>
        <v>0</v>
      </c>
      <c r="F8" s="2"/>
      <c r="G8" s="2"/>
      <c r="H8" s="2"/>
      <c r="I8" s="2"/>
      <c r="J8" s="2"/>
      <c r="K8" s="2"/>
      <c r="L8" s="2"/>
      <c r="M8" s="2"/>
      <c r="N8" s="2"/>
      <c r="O8" s="2"/>
      <c r="P8" s="2"/>
      <c r="Q8" s="2"/>
      <c r="R8" s="2"/>
      <c r="S8" s="2"/>
      <c r="T8" s="2"/>
      <c r="U8" s="2"/>
      <c r="V8" s="2"/>
      <c r="W8" s="20"/>
    </row>
    <row r="9" spans="1:23" ht="14.25">
      <c r="A9" s="78">
        <v>1.5</v>
      </c>
      <c r="B9" s="178" t="s">
        <v>79</v>
      </c>
      <c r="C9" s="185"/>
      <c r="D9" s="77" t="s">
        <v>258</v>
      </c>
      <c r="E9" s="46">
        <f t="shared" si="0"/>
        <v>0</v>
      </c>
      <c r="F9" s="2"/>
      <c r="G9" s="2"/>
      <c r="H9" s="2"/>
      <c r="I9" s="2"/>
      <c r="J9" s="2"/>
      <c r="K9" s="2"/>
      <c r="L9" s="2"/>
      <c r="M9" s="2"/>
      <c r="N9" s="2"/>
      <c r="O9" s="2"/>
      <c r="P9" s="2"/>
      <c r="Q9" s="2"/>
      <c r="R9" s="2"/>
      <c r="S9" s="2"/>
      <c r="T9" s="2"/>
      <c r="U9" s="2"/>
      <c r="V9" s="2"/>
      <c r="W9" s="20"/>
    </row>
    <row r="10" spans="1:23" ht="27" customHeight="1">
      <c r="A10" s="78">
        <v>1.6</v>
      </c>
      <c r="B10" s="180" t="s">
        <v>26</v>
      </c>
      <c r="C10" s="181"/>
      <c r="D10" s="77" t="s">
        <v>258</v>
      </c>
      <c r="E10" s="46">
        <f t="shared" si="0"/>
        <v>0</v>
      </c>
      <c r="F10" s="2"/>
      <c r="G10" s="2"/>
      <c r="H10" s="2"/>
      <c r="I10" s="2"/>
      <c r="J10" s="2"/>
      <c r="K10" s="2"/>
      <c r="L10" s="2"/>
      <c r="M10" s="2"/>
      <c r="N10" s="2"/>
      <c r="O10" s="2"/>
      <c r="P10" s="2"/>
      <c r="Q10" s="2"/>
      <c r="R10" s="2"/>
      <c r="S10" s="2"/>
      <c r="T10" s="2"/>
      <c r="U10" s="2"/>
      <c r="V10" s="2"/>
      <c r="W10" s="20"/>
    </row>
    <row r="11" spans="1:23" ht="14.25">
      <c r="A11" s="78">
        <v>1.7</v>
      </c>
      <c r="B11" s="180" t="s">
        <v>27</v>
      </c>
      <c r="C11" s="184"/>
      <c r="D11" s="77" t="s">
        <v>258</v>
      </c>
      <c r="E11" s="46">
        <f t="shared" si="0"/>
        <v>0</v>
      </c>
      <c r="F11" s="2"/>
      <c r="G11" s="2"/>
      <c r="H11" s="2"/>
      <c r="I11" s="2"/>
      <c r="J11" s="2"/>
      <c r="K11" s="2"/>
      <c r="L11" s="2"/>
      <c r="M11" s="2"/>
      <c r="N11" s="2"/>
      <c r="O11" s="2"/>
      <c r="P11" s="2"/>
      <c r="Q11" s="2"/>
      <c r="R11" s="2"/>
      <c r="S11" s="2"/>
      <c r="T11" s="2"/>
      <c r="U11" s="2"/>
      <c r="V11" s="2"/>
      <c r="W11" s="20"/>
    </row>
    <row r="12" spans="1:23" ht="12.95" customHeight="1">
      <c r="A12" s="78">
        <v>1.8</v>
      </c>
      <c r="B12" s="180" t="s">
        <v>28</v>
      </c>
      <c r="C12" s="184"/>
      <c r="D12" s="77" t="s">
        <v>258</v>
      </c>
      <c r="E12" s="46">
        <f t="shared" si="0"/>
        <v>0</v>
      </c>
      <c r="F12" s="2"/>
      <c r="G12" s="2"/>
      <c r="H12" s="2"/>
      <c r="I12" s="2"/>
      <c r="J12" s="2"/>
      <c r="K12" s="2"/>
      <c r="L12" s="2"/>
      <c r="M12" s="2"/>
      <c r="N12" s="2"/>
      <c r="O12" s="2"/>
      <c r="P12" s="2"/>
      <c r="Q12" s="2"/>
      <c r="R12" s="2"/>
      <c r="S12" s="2"/>
      <c r="T12" s="2"/>
      <c r="U12" s="2"/>
      <c r="V12" s="2"/>
      <c r="W12" s="20"/>
    </row>
    <row r="13" spans="1:23" ht="12.95" customHeight="1">
      <c r="A13" s="78">
        <v>1.9</v>
      </c>
      <c r="B13" s="180" t="s">
        <v>288</v>
      </c>
      <c r="C13" s="184"/>
      <c r="D13" s="77" t="s">
        <v>258</v>
      </c>
      <c r="E13" s="46">
        <f t="shared" si="0"/>
        <v>0</v>
      </c>
      <c r="F13" s="2"/>
      <c r="G13" s="2"/>
      <c r="H13" s="2"/>
      <c r="I13" s="2"/>
      <c r="J13" s="2"/>
      <c r="K13" s="2"/>
      <c r="L13" s="2"/>
      <c r="M13" s="2"/>
      <c r="N13" s="2"/>
      <c r="O13" s="2"/>
      <c r="P13" s="2"/>
      <c r="Q13" s="2"/>
      <c r="R13" s="2"/>
      <c r="S13" s="2"/>
      <c r="T13" s="2"/>
      <c r="U13" s="2"/>
      <c r="V13" s="2"/>
      <c r="W13" s="20"/>
    </row>
    <row r="14" spans="1:23" ht="27.95" customHeight="1">
      <c r="A14" s="78" t="s">
        <v>265</v>
      </c>
      <c r="B14" s="180" t="s">
        <v>29</v>
      </c>
      <c r="C14" s="181"/>
      <c r="D14" s="77" t="s">
        <v>258</v>
      </c>
      <c r="E14" s="46">
        <f t="shared" si="0"/>
        <v>0</v>
      </c>
      <c r="F14" s="2"/>
      <c r="G14" s="2"/>
      <c r="H14" s="2"/>
      <c r="I14" s="2"/>
      <c r="J14" s="2"/>
      <c r="K14" s="2"/>
      <c r="L14" s="2"/>
      <c r="M14" s="2"/>
      <c r="N14" s="2"/>
      <c r="O14" s="2"/>
      <c r="P14" s="2"/>
      <c r="Q14" s="2"/>
      <c r="R14" s="2"/>
      <c r="S14" s="2"/>
      <c r="T14" s="2"/>
      <c r="U14" s="2"/>
      <c r="V14" s="2"/>
      <c r="W14" s="20"/>
    </row>
    <row r="15" spans="1:23" ht="28.5">
      <c r="A15" s="78" t="s">
        <v>266</v>
      </c>
      <c r="B15" s="180" t="s">
        <v>269</v>
      </c>
      <c r="C15" s="181"/>
      <c r="D15" s="77" t="s">
        <v>258</v>
      </c>
      <c r="E15" s="46">
        <f t="shared" si="0"/>
        <v>0</v>
      </c>
      <c r="F15" s="2"/>
      <c r="G15" s="2"/>
      <c r="H15" s="2"/>
      <c r="I15" s="2"/>
      <c r="J15" s="2"/>
      <c r="K15" s="2"/>
      <c r="L15" s="2"/>
      <c r="M15" s="2"/>
      <c r="N15" s="2"/>
      <c r="O15" s="2"/>
      <c r="P15" s="2"/>
      <c r="Q15" s="2"/>
      <c r="R15" s="2"/>
      <c r="S15" s="2"/>
      <c r="T15" s="2"/>
      <c r="U15" s="2"/>
      <c r="V15" s="2"/>
      <c r="W15" s="20"/>
    </row>
    <row r="16" spans="1:23" ht="27.95" customHeight="1">
      <c r="A16" s="78" t="s">
        <v>267</v>
      </c>
      <c r="B16" s="180" t="s">
        <v>40</v>
      </c>
      <c r="C16" s="181"/>
      <c r="D16" s="77" t="s">
        <v>258</v>
      </c>
      <c r="E16" s="46">
        <f t="shared" si="0"/>
        <v>0</v>
      </c>
      <c r="F16" s="2"/>
      <c r="G16" s="2"/>
      <c r="H16" s="2"/>
      <c r="I16" s="2"/>
      <c r="J16" s="2"/>
      <c r="K16" s="2"/>
      <c r="L16" s="2"/>
      <c r="M16" s="2"/>
      <c r="N16" s="2"/>
      <c r="O16" s="2"/>
      <c r="P16" s="2"/>
      <c r="Q16" s="2"/>
      <c r="R16" s="2"/>
      <c r="S16" s="2"/>
      <c r="T16" s="2"/>
      <c r="U16" s="2"/>
      <c r="V16" s="2"/>
      <c r="W16" s="20"/>
    </row>
    <row r="17" spans="1:26" ht="17.25" customHeight="1">
      <c r="A17" s="75"/>
      <c r="B17" s="182" t="s">
        <v>41</v>
      </c>
      <c r="C17" s="183"/>
      <c r="D17" s="51">
        <f>SUM(E5:E16)</f>
        <v>0</v>
      </c>
      <c r="E17" s="2"/>
      <c r="F17" s="2"/>
      <c r="G17" s="2"/>
      <c r="H17" s="2"/>
      <c r="I17" s="2"/>
      <c r="J17" s="2"/>
      <c r="K17" s="2"/>
      <c r="L17" s="2"/>
      <c r="M17" s="2"/>
      <c r="N17" s="2"/>
      <c r="O17" s="2"/>
      <c r="P17" s="2"/>
      <c r="Q17" s="2"/>
      <c r="R17" s="2"/>
      <c r="S17" s="2"/>
      <c r="T17" s="2"/>
      <c r="U17" s="2"/>
      <c r="V17" s="2"/>
      <c r="W17" s="20"/>
    </row>
    <row r="18" spans="1:26" ht="19.5">
      <c r="A18" s="26"/>
      <c r="B18" s="27"/>
      <c r="C18" s="7"/>
      <c r="D18" s="76"/>
      <c r="E18" s="2"/>
      <c r="F18" s="2"/>
      <c r="G18" s="2"/>
      <c r="H18" s="2"/>
      <c r="I18" s="2"/>
      <c r="J18" s="2"/>
      <c r="K18" s="2"/>
      <c r="L18" s="2"/>
      <c r="M18" s="2"/>
      <c r="N18" s="2"/>
      <c r="O18" s="2"/>
      <c r="P18" s="2"/>
      <c r="Q18" s="2"/>
      <c r="R18" s="2"/>
      <c r="S18" s="2"/>
      <c r="T18" s="2"/>
      <c r="U18" s="2"/>
      <c r="V18" s="2"/>
      <c r="W18" s="28"/>
      <c r="X18" s="5"/>
      <c r="Y18" s="5"/>
      <c r="Z18" s="5"/>
    </row>
    <row r="19" spans="1:26">
      <c r="A19" s="8"/>
      <c r="B19" s="2"/>
      <c r="C19" s="2"/>
      <c r="D19" s="2"/>
      <c r="E19" s="2"/>
      <c r="F19" s="2"/>
      <c r="G19" s="2"/>
      <c r="H19" s="2"/>
      <c r="I19" s="2"/>
      <c r="J19" s="2"/>
      <c r="K19" s="2"/>
      <c r="L19" s="2"/>
      <c r="M19" s="2"/>
      <c r="N19" s="2"/>
      <c r="O19" s="2"/>
      <c r="P19" s="2"/>
      <c r="Q19" s="2"/>
      <c r="R19" s="2"/>
      <c r="S19" s="2"/>
      <c r="T19" s="2"/>
      <c r="U19" s="2"/>
      <c r="V19" s="2"/>
      <c r="W19" s="2"/>
      <c r="X19" s="2"/>
      <c r="Y19" s="2"/>
      <c r="Z19" s="2"/>
    </row>
    <row r="20" spans="1:26">
      <c r="A20" s="8"/>
      <c r="B20" s="80" t="s">
        <v>92</v>
      </c>
      <c r="C20" s="81"/>
      <c r="D20" s="82" t="str">
        <f>VLOOKUP(D17,Dashboard!AN24:AP27,3,TRUE)</f>
        <v>Rendah</v>
      </c>
      <c r="E20" s="2"/>
      <c r="F20" s="2"/>
      <c r="G20" s="2"/>
      <c r="H20" s="2"/>
      <c r="I20" s="2"/>
      <c r="J20" s="2"/>
      <c r="K20" s="2"/>
      <c r="L20" s="2"/>
      <c r="M20" s="2"/>
      <c r="N20" s="2"/>
      <c r="O20" s="2"/>
      <c r="P20" s="2"/>
      <c r="Q20" s="2"/>
      <c r="R20" s="2"/>
      <c r="S20" s="2"/>
      <c r="T20" s="2"/>
      <c r="U20" s="2"/>
      <c r="V20" s="2"/>
      <c r="W20" s="2"/>
      <c r="X20" s="2"/>
      <c r="Y20" s="2"/>
      <c r="Z20" s="2"/>
    </row>
    <row r="21" spans="1:26">
      <c r="A21" s="8"/>
      <c r="B21" s="2"/>
      <c r="C21" s="2"/>
      <c r="D21" s="2"/>
      <c r="E21" s="2"/>
      <c r="F21" s="2"/>
      <c r="G21" s="2"/>
      <c r="H21" s="2"/>
      <c r="I21" s="2"/>
      <c r="J21" s="2"/>
      <c r="K21" s="2"/>
      <c r="L21" s="2"/>
      <c r="M21" s="2"/>
      <c r="N21" s="2"/>
      <c r="O21" s="2"/>
      <c r="P21" s="2"/>
      <c r="Q21" s="2"/>
      <c r="R21" s="2"/>
      <c r="S21" s="2"/>
      <c r="T21" s="2"/>
      <c r="U21" s="2"/>
      <c r="V21" s="2"/>
      <c r="W21" s="2"/>
      <c r="X21" s="2"/>
      <c r="Y21" s="2"/>
      <c r="Z21" s="2"/>
    </row>
    <row r="22" spans="1:26">
      <c r="A22" s="8"/>
      <c r="B22" s="2"/>
      <c r="C22" s="2"/>
      <c r="D22" s="2"/>
      <c r="E22" s="2"/>
      <c r="F22" s="2"/>
      <c r="G22" s="2"/>
      <c r="H22" s="2"/>
      <c r="I22" s="2"/>
      <c r="J22" s="2"/>
      <c r="K22" s="2"/>
      <c r="L22" s="2"/>
      <c r="M22" s="2"/>
      <c r="N22" s="2"/>
      <c r="O22" s="2"/>
      <c r="P22" s="2"/>
      <c r="Q22" s="2"/>
      <c r="R22" s="2"/>
      <c r="S22" s="2"/>
      <c r="T22" s="2"/>
      <c r="U22" s="2"/>
      <c r="V22" s="2"/>
      <c r="W22" s="2"/>
      <c r="X22" s="2"/>
      <c r="Y22" s="2"/>
      <c r="Z22" s="2"/>
    </row>
    <row r="23" spans="1:26">
      <c r="A23" s="8"/>
      <c r="B23" s="2"/>
      <c r="C23" s="2"/>
      <c r="D23" s="2"/>
      <c r="E23" s="2"/>
      <c r="F23" s="2"/>
      <c r="G23" s="2"/>
      <c r="H23" s="2"/>
      <c r="I23" s="2"/>
      <c r="J23" s="2"/>
      <c r="K23" s="2"/>
      <c r="L23" s="2"/>
      <c r="M23" s="2"/>
      <c r="N23" s="2"/>
      <c r="O23" s="2"/>
      <c r="P23" s="2"/>
      <c r="Q23" s="2"/>
      <c r="R23" s="2"/>
      <c r="S23" s="2"/>
      <c r="T23" s="2"/>
      <c r="U23" s="2"/>
      <c r="V23" s="2"/>
      <c r="W23" s="2"/>
      <c r="X23" s="2"/>
      <c r="Y23" s="2"/>
      <c r="Z23" s="2"/>
    </row>
    <row r="24" spans="1:26">
      <c r="A24" s="8"/>
      <c r="B24" s="2"/>
      <c r="C24" s="2"/>
      <c r="D24" s="2"/>
      <c r="E24" s="2"/>
      <c r="F24" s="2"/>
      <c r="G24" s="2"/>
      <c r="H24" s="2"/>
      <c r="I24" s="2"/>
      <c r="J24" s="2"/>
      <c r="K24" s="2"/>
      <c r="L24" s="2"/>
      <c r="M24" s="2"/>
      <c r="N24" s="2"/>
      <c r="O24" s="2"/>
      <c r="P24" s="2"/>
      <c r="Q24" s="2"/>
      <c r="R24" s="2"/>
      <c r="S24" s="2"/>
      <c r="T24" s="2"/>
      <c r="U24" s="2"/>
      <c r="V24" s="2"/>
      <c r="W24" s="2"/>
      <c r="X24" s="2"/>
      <c r="Y24" s="2"/>
      <c r="Z24" s="2"/>
    </row>
    <row r="25" spans="1:26">
      <c r="A25" s="8"/>
      <c r="B25" s="2"/>
      <c r="C25" s="2"/>
      <c r="D25" s="2"/>
      <c r="E25" s="2"/>
      <c r="F25" s="2"/>
      <c r="G25" s="2"/>
      <c r="H25" s="2"/>
      <c r="I25" s="2"/>
      <c r="J25" s="2"/>
      <c r="K25" s="2"/>
      <c r="L25" s="2"/>
      <c r="M25" s="2"/>
      <c r="N25" s="2"/>
      <c r="O25" s="2"/>
      <c r="P25" s="2"/>
      <c r="Q25" s="2"/>
      <c r="R25" s="2"/>
      <c r="S25" s="2"/>
      <c r="T25" s="2"/>
      <c r="U25" s="2"/>
      <c r="V25" s="2"/>
      <c r="W25" s="2"/>
      <c r="X25" s="2"/>
      <c r="Y25" s="2"/>
      <c r="Z25" s="2"/>
    </row>
    <row r="26" spans="1:26">
      <c r="A26" s="8"/>
      <c r="B26" s="2"/>
      <c r="C26" s="2"/>
      <c r="D26" s="2"/>
      <c r="E26" s="2"/>
      <c r="F26" s="2"/>
      <c r="G26" s="2"/>
      <c r="H26" s="2"/>
      <c r="I26" s="2"/>
      <c r="J26" s="2"/>
      <c r="K26" s="2"/>
      <c r="L26" s="2"/>
      <c r="M26" s="2"/>
      <c r="N26" s="2"/>
      <c r="O26" s="2"/>
      <c r="P26" s="2"/>
      <c r="Q26" s="2"/>
      <c r="R26" s="2"/>
      <c r="S26" s="2"/>
      <c r="T26" s="2"/>
      <c r="U26" s="2"/>
      <c r="V26" s="2"/>
      <c r="W26" s="2"/>
      <c r="X26" s="2"/>
      <c r="Y26" s="2"/>
      <c r="Z26" s="2"/>
    </row>
    <row r="27" spans="1:26">
      <c r="A27" s="8"/>
      <c r="B27" s="2"/>
      <c r="C27" s="2"/>
      <c r="D27" s="2"/>
      <c r="E27" s="2"/>
      <c r="F27" s="2"/>
      <c r="G27" s="2"/>
      <c r="H27" s="2"/>
      <c r="I27" s="2"/>
      <c r="J27" s="2"/>
      <c r="K27" s="2"/>
      <c r="L27" s="2"/>
      <c r="M27" s="2"/>
      <c r="N27" s="2"/>
      <c r="O27" s="2"/>
      <c r="P27" s="2"/>
      <c r="Q27" s="2"/>
      <c r="R27" s="2"/>
      <c r="S27" s="2"/>
      <c r="T27" s="2"/>
      <c r="U27" s="2"/>
      <c r="V27" s="2"/>
      <c r="W27" s="2"/>
      <c r="X27" s="2"/>
      <c r="Y27" s="2"/>
      <c r="Z27" s="2"/>
    </row>
    <row r="28" spans="1:26">
      <c r="A28" s="8"/>
      <c r="B28" s="2"/>
      <c r="C28" s="2"/>
      <c r="D28" s="2"/>
      <c r="E28" s="2"/>
      <c r="F28" s="2"/>
      <c r="G28" s="2"/>
      <c r="H28" s="2"/>
      <c r="I28" s="2"/>
      <c r="J28" s="2"/>
      <c r="K28" s="2"/>
      <c r="L28" s="2"/>
      <c r="M28" s="2"/>
      <c r="N28" s="2"/>
      <c r="O28" s="2"/>
      <c r="P28" s="2"/>
      <c r="Q28" s="2"/>
      <c r="R28" s="2"/>
      <c r="S28" s="2"/>
      <c r="T28" s="2"/>
      <c r="U28" s="2"/>
      <c r="V28" s="2"/>
      <c r="W28" s="2"/>
      <c r="X28" s="2"/>
      <c r="Y28" s="2"/>
      <c r="Z28" s="2"/>
    </row>
    <row r="29" spans="1:26">
      <c r="A29" s="8"/>
      <c r="B29" s="2"/>
      <c r="C29" s="2"/>
      <c r="D29" s="2"/>
      <c r="E29" s="2"/>
      <c r="F29" s="2"/>
      <c r="G29" s="2"/>
      <c r="H29" s="2"/>
      <c r="I29" s="2"/>
      <c r="J29" s="2"/>
      <c r="K29" s="2"/>
      <c r="L29" s="2"/>
      <c r="M29" s="2"/>
      <c r="N29" s="2"/>
      <c r="O29" s="2"/>
      <c r="P29" s="2"/>
      <c r="Q29" s="2"/>
      <c r="R29" s="2"/>
      <c r="S29" s="2"/>
      <c r="T29" s="2"/>
      <c r="U29" s="2"/>
      <c r="V29" s="2"/>
      <c r="W29" s="2"/>
      <c r="X29" s="2"/>
      <c r="Y29" s="2"/>
      <c r="Z29" s="2"/>
    </row>
    <row r="30" spans="1:26">
      <c r="A30" s="8"/>
      <c r="B30" s="2"/>
      <c r="C30" s="2"/>
      <c r="D30" s="2"/>
      <c r="E30" s="2"/>
      <c r="F30" s="2"/>
      <c r="G30" s="2"/>
      <c r="H30" s="2"/>
      <c r="I30" s="2"/>
      <c r="J30" s="2"/>
      <c r="K30" s="2"/>
      <c r="L30" s="2"/>
      <c r="M30" s="2"/>
      <c r="N30" s="2"/>
      <c r="O30" s="2"/>
      <c r="P30" s="2"/>
      <c r="Q30" s="2"/>
      <c r="R30" s="2"/>
      <c r="S30" s="2"/>
      <c r="T30" s="2"/>
      <c r="U30" s="2"/>
      <c r="V30" s="2"/>
      <c r="W30" s="2"/>
      <c r="X30" s="2"/>
      <c r="Y30" s="2"/>
      <c r="Z30" s="2"/>
    </row>
    <row r="31" spans="1:26">
      <c r="A31" s="8"/>
      <c r="B31" s="2"/>
      <c r="C31" s="2"/>
      <c r="D31" s="2"/>
      <c r="E31" s="2"/>
      <c r="F31" s="2"/>
      <c r="G31" s="2"/>
      <c r="H31" s="2"/>
      <c r="I31" s="2"/>
      <c r="J31" s="2"/>
      <c r="K31" s="2"/>
      <c r="L31" s="2"/>
      <c r="M31" s="2"/>
      <c r="N31" s="2"/>
      <c r="O31" s="2"/>
      <c r="P31" s="2"/>
      <c r="Q31" s="2"/>
      <c r="R31" s="2"/>
      <c r="S31" s="2"/>
      <c r="T31" s="2"/>
      <c r="U31" s="2"/>
      <c r="V31" s="2"/>
      <c r="W31" s="2"/>
      <c r="X31" s="2"/>
      <c r="Y31" s="2"/>
      <c r="Z31" s="2"/>
    </row>
    <row r="32" spans="1:26">
      <c r="A32" s="8"/>
      <c r="B32" s="2"/>
      <c r="C32" s="2"/>
      <c r="D32" s="2"/>
      <c r="E32" s="2"/>
      <c r="F32" s="2"/>
      <c r="G32" s="2"/>
      <c r="H32" s="2"/>
      <c r="I32" s="2"/>
      <c r="J32" s="2"/>
      <c r="K32" s="2"/>
      <c r="L32" s="2"/>
      <c r="M32" s="2"/>
      <c r="N32" s="2"/>
      <c r="O32" s="2"/>
      <c r="P32" s="2"/>
      <c r="Q32" s="2"/>
      <c r="R32" s="2"/>
      <c r="S32" s="2"/>
      <c r="T32" s="2"/>
      <c r="U32" s="2"/>
      <c r="V32" s="2"/>
      <c r="W32" s="2"/>
      <c r="X32" s="2"/>
      <c r="Y32" s="2"/>
      <c r="Z32" s="2"/>
    </row>
    <row r="33" spans="1:26">
      <c r="A33" s="8"/>
      <c r="B33" s="2"/>
      <c r="C33" s="2"/>
      <c r="D33" s="2"/>
      <c r="E33" s="2"/>
      <c r="F33" s="2"/>
      <c r="G33" s="2"/>
      <c r="H33" s="2"/>
      <c r="I33" s="2"/>
      <c r="J33" s="2"/>
      <c r="K33" s="2"/>
      <c r="L33" s="2"/>
      <c r="M33" s="2"/>
      <c r="N33" s="2"/>
      <c r="O33" s="2"/>
      <c r="P33" s="2"/>
      <c r="Q33" s="2"/>
      <c r="R33" s="2"/>
      <c r="S33" s="2"/>
      <c r="T33" s="2"/>
      <c r="U33" s="2"/>
      <c r="V33" s="2"/>
      <c r="W33" s="2"/>
      <c r="X33" s="2"/>
      <c r="Y33" s="2"/>
      <c r="Z33" s="2"/>
    </row>
    <row r="34" spans="1:26">
      <c r="A34" s="8"/>
      <c r="B34" s="2"/>
      <c r="C34" s="2"/>
      <c r="D34" s="2"/>
      <c r="E34" s="2"/>
      <c r="F34" s="2"/>
      <c r="G34" s="2"/>
      <c r="H34" s="2"/>
      <c r="I34" s="2"/>
      <c r="J34" s="2"/>
      <c r="K34" s="2"/>
      <c r="L34" s="2"/>
      <c r="M34" s="2"/>
      <c r="N34" s="2"/>
      <c r="O34" s="2"/>
      <c r="P34" s="2"/>
      <c r="Q34" s="2"/>
      <c r="R34" s="2"/>
      <c r="S34" s="2"/>
      <c r="T34" s="2"/>
      <c r="U34" s="2"/>
      <c r="V34" s="2"/>
      <c r="W34" s="2"/>
      <c r="X34" s="2"/>
      <c r="Y34" s="2"/>
      <c r="Z34" s="2"/>
    </row>
    <row r="35" spans="1:26">
      <c r="A35" s="8"/>
      <c r="B35" s="2"/>
      <c r="C35" s="2"/>
      <c r="D35" s="2"/>
      <c r="E35" s="2"/>
      <c r="F35" s="2"/>
      <c r="G35" s="2"/>
      <c r="H35" s="2"/>
      <c r="I35" s="2"/>
      <c r="J35" s="2"/>
      <c r="K35" s="2"/>
      <c r="L35" s="2"/>
      <c r="M35" s="2"/>
      <c r="N35" s="2"/>
      <c r="O35" s="2"/>
      <c r="P35" s="2"/>
      <c r="Q35" s="2"/>
      <c r="R35" s="2"/>
      <c r="S35" s="2"/>
      <c r="T35" s="2"/>
      <c r="U35" s="2"/>
      <c r="V35" s="2"/>
      <c r="W35" s="2"/>
      <c r="X35" s="2"/>
      <c r="Y35" s="2"/>
      <c r="Z35" s="2"/>
    </row>
    <row r="36" spans="1:26">
      <c r="A36" s="8"/>
      <c r="B36" s="2"/>
      <c r="C36" s="2"/>
      <c r="D36" s="2"/>
      <c r="E36" s="2"/>
      <c r="F36" s="2"/>
      <c r="G36" s="2"/>
      <c r="H36" s="2"/>
      <c r="I36" s="2"/>
      <c r="J36" s="2"/>
      <c r="K36" s="2"/>
      <c r="L36" s="2"/>
      <c r="M36" s="2"/>
      <c r="N36" s="2"/>
      <c r="O36" s="2"/>
      <c r="P36" s="2"/>
      <c r="Q36" s="2"/>
      <c r="R36" s="2"/>
      <c r="S36" s="2"/>
      <c r="T36" s="2"/>
      <c r="U36" s="2"/>
      <c r="V36" s="2"/>
      <c r="W36" s="2"/>
      <c r="X36" s="2"/>
      <c r="Y36" s="2"/>
      <c r="Z36" s="2"/>
    </row>
    <row r="37" spans="1:26">
      <c r="A37" s="8"/>
      <c r="B37" s="2"/>
      <c r="C37" s="2"/>
      <c r="D37" s="2"/>
      <c r="E37" s="2"/>
      <c r="F37" s="2"/>
      <c r="G37" s="2"/>
      <c r="H37" s="2"/>
      <c r="I37" s="2"/>
      <c r="J37" s="2"/>
      <c r="K37" s="2"/>
      <c r="L37" s="2"/>
      <c r="M37" s="2"/>
      <c r="N37" s="2"/>
      <c r="O37" s="2"/>
      <c r="P37" s="2"/>
      <c r="Q37" s="2"/>
      <c r="R37" s="2"/>
      <c r="S37" s="2"/>
      <c r="T37" s="2"/>
      <c r="U37" s="2"/>
      <c r="V37" s="2"/>
      <c r="W37" s="2"/>
      <c r="X37" s="2"/>
      <c r="Y37" s="2"/>
      <c r="Z37" s="2"/>
    </row>
    <row r="38" spans="1:26">
      <c r="A38" s="8"/>
      <c r="B38" s="2"/>
      <c r="C38" s="2"/>
      <c r="D38" s="2"/>
      <c r="E38" s="2"/>
      <c r="F38" s="2"/>
      <c r="G38" s="2"/>
      <c r="H38" s="2"/>
      <c r="I38" s="2"/>
      <c r="J38" s="2"/>
      <c r="K38" s="2"/>
      <c r="L38" s="2"/>
      <c r="M38" s="2"/>
      <c r="N38" s="2"/>
      <c r="O38" s="2"/>
      <c r="P38" s="2"/>
      <c r="Q38" s="2"/>
      <c r="R38" s="2"/>
      <c r="S38" s="2"/>
      <c r="T38" s="2"/>
      <c r="U38" s="2"/>
      <c r="V38" s="2"/>
      <c r="W38" s="2"/>
      <c r="X38" s="2"/>
      <c r="Y38" s="2"/>
      <c r="Z38" s="2"/>
    </row>
    <row r="39" spans="1:26">
      <c r="A39" s="8"/>
      <c r="B39" s="2"/>
      <c r="C39" s="2"/>
      <c r="D39" s="2"/>
      <c r="E39" s="2"/>
      <c r="F39" s="2"/>
      <c r="G39" s="2"/>
      <c r="H39" s="2"/>
      <c r="I39" s="2"/>
      <c r="J39" s="2"/>
      <c r="K39" s="2"/>
      <c r="L39" s="2"/>
      <c r="M39" s="2"/>
      <c r="N39" s="2"/>
      <c r="O39" s="2"/>
      <c r="P39" s="2"/>
      <c r="Q39" s="2"/>
      <c r="R39" s="2"/>
      <c r="S39" s="2"/>
      <c r="T39" s="2"/>
      <c r="U39" s="2"/>
      <c r="V39" s="2"/>
      <c r="W39" s="2"/>
      <c r="X39" s="2"/>
      <c r="Y39" s="2"/>
      <c r="Z39" s="2"/>
    </row>
    <row r="40" spans="1:26">
      <c r="A40" s="8"/>
      <c r="B40" s="2"/>
      <c r="C40" s="2"/>
      <c r="D40" s="2"/>
      <c r="E40" s="2"/>
      <c r="F40" s="2"/>
      <c r="G40" s="2"/>
      <c r="H40" s="2"/>
      <c r="I40" s="2"/>
      <c r="J40" s="2"/>
      <c r="K40" s="2"/>
      <c r="L40" s="2"/>
      <c r="M40" s="2"/>
      <c r="N40" s="2"/>
      <c r="O40" s="2"/>
      <c r="P40" s="2"/>
      <c r="Q40" s="2"/>
      <c r="R40" s="2"/>
      <c r="S40" s="2"/>
      <c r="T40" s="2"/>
      <c r="U40" s="2"/>
      <c r="V40" s="2"/>
      <c r="W40" s="2"/>
      <c r="X40" s="2"/>
      <c r="Y40" s="2"/>
      <c r="Z40" s="2"/>
    </row>
    <row r="41" spans="1:26">
      <c r="A41" s="8"/>
      <c r="B41" s="2"/>
      <c r="C41" s="2"/>
      <c r="D41" s="2"/>
      <c r="E41" s="2"/>
      <c r="F41" s="2"/>
      <c r="G41" s="2"/>
      <c r="H41" s="2"/>
      <c r="I41" s="2"/>
      <c r="J41" s="2"/>
      <c r="K41" s="2"/>
      <c r="L41" s="2"/>
      <c r="M41" s="2"/>
      <c r="N41" s="2"/>
      <c r="O41" s="2"/>
      <c r="P41" s="2"/>
      <c r="Q41" s="2"/>
      <c r="R41" s="2"/>
      <c r="S41" s="2"/>
      <c r="T41" s="2"/>
      <c r="U41" s="2"/>
      <c r="V41" s="2"/>
      <c r="W41" s="2"/>
      <c r="X41" s="2"/>
      <c r="Y41" s="2"/>
      <c r="Z41" s="2"/>
    </row>
    <row r="42" spans="1:26">
      <c r="A42" s="8"/>
      <c r="B42" s="2"/>
      <c r="C42" s="2"/>
      <c r="D42" s="2"/>
      <c r="E42" s="2"/>
      <c r="F42" s="2"/>
      <c r="G42" s="2"/>
      <c r="H42" s="2"/>
      <c r="I42" s="2"/>
      <c r="J42" s="2"/>
      <c r="K42" s="2"/>
      <c r="L42" s="2"/>
      <c r="M42" s="2"/>
      <c r="N42" s="2"/>
      <c r="O42" s="2"/>
      <c r="P42" s="2"/>
      <c r="Q42" s="2"/>
      <c r="R42" s="2"/>
      <c r="S42" s="2"/>
      <c r="T42" s="2"/>
      <c r="U42" s="2"/>
      <c r="V42" s="2"/>
      <c r="W42" s="2"/>
      <c r="X42" s="2"/>
      <c r="Y42" s="2"/>
      <c r="Z42" s="2"/>
    </row>
    <row r="43" spans="1:26">
      <c r="A43" s="8"/>
      <c r="B43" s="2"/>
      <c r="C43" s="2"/>
      <c r="D43" s="2"/>
      <c r="E43" s="2"/>
      <c r="F43" s="2"/>
      <c r="G43" s="2"/>
      <c r="H43" s="2"/>
      <c r="I43" s="2"/>
      <c r="J43" s="2"/>
      <c r="K43" s="2"/>
      <c r="L43" s="2"/>
      <c r="M43" s="2"/>
      <c r="N43" s="2"/>
      <c r="O43" s="2"/>
      <c r="P43" s="2"/>
      <c r="Q43" s="2"/>
      <c r="R43" s="2"/>
      <c r="S43" s="2"/>
      <c r="T43" s="2"/>
      <c r="U43" s="2"/>
      <c r="V43" s="2"/>
      <c r="W43" s="2"/>
      <c r="X43" s="2"/>
      <c r="Y43" s="2"/>
      <c r="Z43" s="2"/>
    </row>
    <row r="44" spans="1:26">
      <c r="A44" s="8"/>
      <c r="B44" s="2"/>
      <c r="C44" s="2"/>
      <c r="D44" s="2"/>
      <c r="E44" s="2"/>
      <c r="F44" s="2"/>
      <c r="G44" s="2"/>
      <c r="H44" s="2"/>
      <c r="I44" s="2"/>
      <c r="J44" s="2"/>
      <c r="K44" s="2"/>
      <c r="L44" s="2"/>
      <c r="M44" s="2"/>
      <c r="N44" s="2"/>
      <c r="O44" s="2"/>
      <c r="P44" s="2"/>
      <c r="Q44" s="2"/>
      <c r="R44" s="2"/>
      <c r="S44" s="2"/>
      <c r="T44" s="2"/>
      <c r="U44" s="2"/>
      <c r="V44" s="2"/>
      <c r="W44" s="2"/>
      <c r="X44" s="2"/>
      <c r="Y44" s="2"/>
      <c r="Z44" s="2"/>
    </row>
    <row r="45" spans="1:26">
      <c r="A45" s="8"/>
      <c r="B45" s="2"/>
      <c r="C45" s="2"/>
      <c r="D45" s="2"/>
      <c r="E45" s="2"/>
      <c r="F45" s="2"/>
      <c r="G45" s="2"/>
      <c r="H45" s="2"/>
      <c r="I45" s="2"/>
      <c r="J45" s="2"/>
      <c r="K45" s="2"/>
      <c r="L45" s="2"/>
      <c r="M45" s="2"/>
      <c r="N45" s="2"/>
      <c r="O45" s="2"/>
      <c r="P45" s="2"/>
      <c r="Q45" s="2"/>
      <c r="R45" s="2"/>
      <c r="S45" s="2"/>
      <c r="T45" s="2"/>
      <c r="U45" s="2"/>
      <c r="V45" s="2"/>
      <c r="W45" s="2"/>
      <c r="X45" s="2"/>
      <c r="Y45" s="2"/>
      <c r="Z45" s="2"/>
    </row>
    <row r="46" spans="1:26">
      <c r="A46" s="8"/>
      <c r="B46" s="2"/>
      <c r="C46" s="2"/>
      <c r="D46" s="2"/>
      <c r="E46" s="2"/>
      <c r="F46" s="2"/>
      <c r="G46" s="2"/>
      <c r="H46" s="2"/>
      <c r="I46" s="2"/>
      <c r="J46" s="2"/>
      <c r="K46" s="2"/>
      <c r="L46" s="2"/>
      <c r="M46" s="2"/>
      <c r="N46" s="2"/>
      <c r="O46" s="2"/>
      <c r="P46" s="2"/>
      <c r="Q46" s="2"/>
      <c r="R46" s="2"/>
      <c r="S46" s="2"/>
      <c r="T46" s="2"/>
      <c r="U46" s="2"/>
      <c r="V46" s="2"/>
      <c r="W46" s="2"/>
      <c r="X46" s="2"/>
      <c r="Y46" s="2"/>
      <c r="Z46" s="2"/>
    </row>
    <row r="47" spans="1:26">
      <c r="A47" s="8"/>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8"/>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8"/>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8"/>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8"/>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8"/>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8"/>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8"/>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8"/>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8"/>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8"/>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8"/>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8"/>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8"/>
      <c r="B60" s="2"/>
      <c r="C60" s="2"/>
      <c r="D60" s="2"/>
      <c r="E60" s="2"/>
      <c r="F60" s="2"/>
      <c r="G60" s="2"/>
      <c r="H60" s="2"/>
      <c r="I60" s="2"/>
      <c r="J60" s="2"/>
      <c r="K60" s="2"/>
      <c r="L60" s="2"/>
      <c r="M60" s="2"/>
      <c r="N60" s="2"/>
      <c r="O60" s="2"/>
      <c r="P60" s="2"/>
      <c r="Q60" s="2"/>
      <c r="R60" s="2"/>
      <c r="S60" s="2"/>
      <c r="T60" s="2"/>
      <c r="U60" s="2"/>
      <c r="V60" s="2"/>
      <c r="W60" s="2"/>
      <c r="X60" s="2"/>
      <c r="Y60" s="2"/>
      <c r="Z60" s="2"/>
    </row>
    <row r="61" spans="1:26">
      <c r="A61" s="8"/>
      <c r="B61" s="2"/>
      <c r="C61" s="2"/>
      <c r="D61" s="2"/>
      <c r="E61" s="2"/>
      <c r="F61" s="2"/>
      <c r="G61" s="2"/>
      <c r="H61" s="2"/>
      <c r="I61" s="2"/>
      <c r="J61" s="2"/>
      <c r="K61" s="2"/>
      <c r="L61" s="2"/>
      <c r="M61" s="2"/>
      <c r="N61" s="2"/>
      <c r="O61" s="2"/>
      <c r="P61" s="2"/>
      <c r="Q61" s="2"/>
      <c r="R61" s="2"/>
      <c r="S61" s="2"/>
      <c r="T61" s="2"/>
      <c r="U61" s="2"/>
      <c r="V61" s="2"/>
      <c r="W61" s="2"/>
      <c r="X61" s="2"/>
      <c r="Y61" s="2"/>
      <c r="Z61" s="2"/>
    </row>
    <row r="62" spans="1:26">
      <c r="A62" s="8"/>
      <c r="B62" s="2"/>
      <c r="C62" s="2"/>
      <c r="D62" s="2"/>
      <c r="E62" s="2"/>
      <c r="F62" s="2"/>
      <c r="G62" s="2"/>
      <c r="H62" s="2"/>
      <c r="I62" s="2"/>
      <c r="J62" s="2"/>
      <c r="K62" s="2"/>
      <c r="L62" s="2"/>
      <c r="M62" s="2"/>
      <c r="N62" s="2"/>
      <c r="O62" s="2"/>
      <c r="P62" s="2"/>
      <c r="Q62" s="2"/>
      <c r="R62" s="2"/>
      <c r="S62" s="2"/>
      <c r="T62" s="2"/>
      <c r="U62" s="2"/>
      <c r="V62" s="2"/>
      <c r="W62" s="2"/>
      <c r="X62" s="2"/>
      <c r="Y62" s="2"/>
      <c r="Z62" s="2"/>
    </row>
    <row r="63" spans="1:26">
      <c r="A63" s="8"/>
      <c r="B63" s="2"/>
      <c r="C63" s="2"/>
      <c r="D63" s="2"/>
      <c r="E63" s="2"/>
      <c r="F63" s="2"/>
      <c r="G63" s="2"/>
      <c r="H63" s="2"/>
      <c r="I63" s="2"/>
      <c r="J63" s="2"/>
      <c r="K63" s="2"/>
      <c r="L63" s="2"/>
      <c r="M63" s="2"/>
      <c r="N63" s="2"/>
      <c r="O63" s="2"/>
      <c r="P63" s="2"/>
      <c r="Q63" s="2"/>
      <c r="R63" s="2"/>
      <c r="S63" s="2"/>
      <c r="T63" s="2"/>
      <c r="U63" s="2"/>
      <c r="V63" s="2"/>
      <c r="W63" s="2"/>
      <c r="X63" s="2"/>
      <c r="Y63" s="2"/>
      <c r="Z63" s="2"/>
    </row>
    <row r="64" spans="1:26">
      <c r="A64" s="8"/>
      <c r="B64" s="2"/>
      <c r="C64" s="2"/>
      <c r="D64" s="2"/>
      <c r="E64" s="2"/>
      <c r="F64" s="2"/>
      <c r="G64" s="2"/>
      <c r="H64" s="2"/>
      <c r="I64" s="2"/>
      <c r="J64" s="2"/>
      <c r="K64" s="2"/>
      <c r="L64" s="2"/>
      <c r="M64" s="2"/>
      <c r="N64" s="2"/>
      <c r="O64" s="2"/>
      <c r="P64" s="2"/>
      <c r="Q64" s="2"/>
      <c r="R64" s="2"/>
      <c r="S64" s="2"/>
      <c r="T64" s="2"/>
      <c r="U64" s="2"/>
      <c r="V64" s="2"/>
      <c r="W64" s="2"/>
      <c r="X64" s="2"/>
      <c r="Y64" s="2"/>
      <c r="Z64" s="2"/>
    </row>
    <row r="65" spans="1:26">
      <c r="A65" s="8"/>
      <c r="B65" s="2"/>
      <c r="C65" s="2"/>
      <c r="D65" s="2"/>
      <c r="E65" s="2"/>
      <c r="F65" s="2"/>
      <c r="G65" s="2"/>
      <c r="H65" s="2"/>
      <c r="I65" s="2"/>
      <c r="J65" s="2"/>
      <c r="K65" s="2"/>
      <c r="L65" s="2"/>
      <c r="M65" s="2"/>
      <c r="N65" s="2"/>
      <c r="O65" s="2"/>
      <c r="P65" s="2"/>
      <c r="Q65" s="2"/>
      <c r="R65" s="2"/>
      <c r="S65" s="2"/>
      <c r="T65" s="2"/>
      <c r="U65" s="2"/>
      <c r="V65" s="2"/>
      <c r="W65" s="2"/>
      <c r="X65" s="2"/>
      <c r="Y65" s="2"/>
      <c r="Z65" s="2"/>
    </row>
    <row r="66" spans="1:26">
      <c r="A66" s="8"/>
      <c r="B66" s="2"/>
      <c r="C66" s="2"/>
      <c r="D66" s="2"/>
      <c r="E66" s="2"/>
      <c r="F66" s="2"/>
      <c r="G66" s="2"/>
      <c r="H66" s="2"/>
      <c r="I66" s="2"/>
      <c r="J66" s="2"/>
      <c r="K66" s="2"/>
      <c r="L66" s="2"/>
      <c r="M66" s="2"/>
      <c r="N66" s="2"/>
      <c r="O66" s="2"/>
      <c r="P66" s="2"/>
      <c r="Q66" s="2"/>
      <c r="R66" s="2"/>
      <c r="S66" s="2"/>
      <c r="T66" s="2"/>
      <c r="U66" s="2"/>
      <c r="V66" s="2"/>
      <c r="W66" s="2"/>
      <c r="X66" s="2"/>
      <c r="Y66" s="2"/>
      <c r="Z66" s="2"/>
    </row>
    <row r="67" spans="1:26">
      <c r="A67" s="8"/>
      <c r="B67" s="2"/>
      <c r="C67" s="2"/>
      <c r="D67" s="2"/>
      <c r="E67" s="2"/>
      <c r="F67" s="2"/>
      <c r="G67" s="2"/>
      <c r="H67" s="2"/>
      <c r="I67" s="2"/>
      <c r="J67" s="2"/>
      <c r="K67" s="2"/>
      <c r="L67" s="2"/>
      <c r="M67" s="2"/>
      <c r="N67" s="2"/>
      <c r="O67" s="2"/>
      <c r="P67" s="2"/>
      <c r="Q67" s="2"/>
      <c r="R67" s="2"/>
      <c r="S67" s="2"/>
      <c r="T67" s="2"/>
      <c r="U67" s="2"/>
      <c r="V67" s="2"/>
      <c r="W67" s="2"/>
      <c r="X67" s="2"/>
      <c r="Y67" s="2"/>
      <c r="Z67" s="2"/>
    </row>
    <row r="68" spans="1:26">
      <c r="A68" s="8"/>
      <c r="B68" s="2"/>
      <c r="C68" s="2"/>
      <c r="D68" s="2"/>
      <c r="E68" s="2"/>
      <c r="F68" s="2"/>
      <c r="G68" s="2"/>
      <c r="H68" s="2"/>
      <c r="I68" s="2"/>
      <c r="J68" s="2"/>
      <c r="K68" s="2"/>
      <c r="L68" s="2"/>
      <c r="M68" s="2"/>
      <c r="N68" s="2"/>
      <c r="O68" s="2"/>
      <c r="P68" s="2"/>
      <c r="Q68" s="2"/>
      <c r="R68" s="2"/>
      <c r="S68" s="2"/>
      <c r="T68" s="2"/>
      <c r="U68" s="2"/>
      <c r="V68" s="2"/>
      <c r="W68" s="2"/>
      <c r="X68" s="2"/>
      <c r="Y68" s="2"/>
      <c r="Z68" s="2"/>
    </row>
    <row r="69" spans="1:26">
      <c r="A69" s="8"/>
      <c r="B69" s="2"/>
      <c r="C69" s="2"/>
      <c r="D69" s="2"/>
      <c r="E69" s="2"/>
      <c r="F69" s="2"/>
      <c r="G69" s="2"/>
      <c r="H69" s="2"/>
      <c r="I69" s="2"/>
      <c r="J69" s="2"/>
      <c r="K69" s="2"/>
      <c r="L69" s="2"/>
      <c r="M69" s="2"/>
      <c r="N69" s="2"/>
      <c r="O69" s="2"/>
      <c r="P69" s="2"/>
      <c r="Q69" s="2"/>
      <c r="R69" s="2"/>
      <c r="S69" s="2"/>
      <c r="T69" s="2"/>
      <c r="U69" s="2"/>
      <c r="V69" s="2"/>
      <c r="W69" s="2"/>
      <c r="X69" s="2"/>
      <c r="Y69" s="2"/>
      <c r="Z69" s="2"/>
    </row>
    <row r="70" spans="1:26">
      <c r="A70" s="8"/>
      <c r="B70" s="2"/>
      <c r="C70" s="2"/>
      <c r="D70" s="2"/>
      <c r="E70" s="2"/>
      <c r="F70" s="2"/>
      <c r="G70" s="2"/>
      <c r="H70" s="2"/>
      <c r="I70" s="2"/>
      <c r="J70" s="2"/>
      <c r="K70" s="2"/>
      <c r="L70" s="2"/>
      <c r="M70" s="2"/>
      <c r="N70" s="2"/>
      <c r="O70" s="2"/>
      <c r="P70" s="2"/>
      <c r="Q70" s="2"/>
      <c r="R70" s="2"/>
      <c r="S70" s="2"/>
      <c r="T70" s="2"/>
      <c r="U70" s="2"/>
      <c r="V70" s="2"/>
      <c r="W70" s="2"/>
      <c r="X70" s="2"/>
      <c r="Y70" s="2"/>
      <c r="Z70" s="2"/>
    </row>
    <row r="71" spans="1:26">
      <c r="A71" s="8"/>
      <c r="B71" s="2"/>
      <c r="C71" s="2"/>
      <c r="D71" s="2"/>
      <c r="E71" s="2"/>
      <c r="F71" s="2"/>
      <c r="G71" s="2"/>
      <c r="H71" s="2"/>
      <c r="I71" s="2"/>
      <c r="J71" s="2"/>
      <c r="K71" s="2"/>
      <c r="L71" s="2"/>
      <c r="M71" s="2"/>
      <c r="N71" s="2"/>
      <c r="O71" s="2"/>
      <c r="P71" s="2"/>
      <c r="Q71" s="2"/>
      <c r="R71" s="2"/>
      <c r="S71" s="2"/>
      <c r="T71" s="2"/>
      <c r="U71" s="2"/>
      <c r="V71" s="2"/>
      <c r="W71" s="2"/>
      <c r="X71" s="2"/>
      <c r="Y71" s="2"/>
      <c r="Z71" s="2"/>
    </row>
    <row r="72" spans="1:26">
      <c r="A72" s="8"/>
      <c r="B72" s="2"/>
      <c r="C72" s="2"/>
      <c r="D72" s="2"/>
      <c r="E72" s="2"/>
      <c r="F72" s="2"/>
      <c r="G72" s="2"/>
      <c r="H72" s="2"/>
      <c r="I72" s="2"/>
      <c r="J72" s="2"/>
      <c r="K72" s="2"/>
      <c r="L72" s="2"/>
      <c r="M72" s="2"/>
      <c r="N72" s="2"/>
      <c r="O72" s="2"/>
      <c r="P72" s="2"/>
      <c r="Q72" s="2"/>
      <c r="R72" s="2"/>
      <c r="S72" s="2"/>
      <c r="T72" s="2"/>
      <c r="U72" s="2"/>
      <c r="V72" s="2"/>
      <c r="W72" s="2"/>
      <c r="X72" s="2"/>
      <c r="Y72" s="2"/>
      <c r="Z72" s="2"/>
    </row>
    <row r="73" spans="1:26">
      <c r="A73" s="8"/>
      <c r="B73" s="2"/>
      <c r="C73" s="2"/>
      <c r="D73" s="2"/>
      <c r="E73" s="2"/>
      <c r="F73" s="2"/>
      <c r="G73" s="2"/>
      <c r="H73" s="2"/>
      <c r="I73" s="2"/>
      <c r="J73" s="2"/>
      <c r="K73" s="2"/>
      <c r="L73" s="2"/>
      <c r="M73" s="2"/>
      <c r="N73" s="2"/>
      <c r="O73" s="2"/>
      <c r="P73" s="2"/>
      <c r="Q73" s="2"/>
      <c r="R73" s="2"/>
      <c r="S73" s="2"/>
      <c r="T73" s="2"/>
      <c r="U73" s="2"/>
      <c r="V73" s="2"/>
      <c r="W73" s="2"/>
      <c r="X73" s="2"/>
      <c r="Y73" s="2"/>
      <c r="Z73" s="2"/>
    </row>
    <row r="74" spans="1:26">
      <c r="A74" s="8"/>
      <c r="B74" s="2"/>
      <c r="C74" s="2"/>
      <c r="D74" s="2"/>
      <c r="E74" s="2"/>
      <c r="F74" s="2"/>
      <c r="G74" s="2"/>
      <c r="H74" s="2"/>
      <c r="I74" s="2"/>
      <c r="J74" s="2"/>
      <c r="K74" s="2"/>
      <c r="L74" s="2"/>
      <c r="M74" s="2"/>
      <c r="N74" s="2"/>
      <c r="O74" s="2"/>
      <c r="P74" s="2"/>
      <c r="Q74" s="2"/>
      <c r="R74" s="2"/>
      <c r="S74" s="2"/>
      <c r="T74" s="2"/>
      <c r="U74" s="2"/>
      <c r="V74" s="2"/>
      <c r="W74" s="2"/>
      <c r="X74" s="2"/>
      <c r="Y74" s="2"/>
      <c r="Z74" s="2"/>
    </row>
    <row r="75" spans="1:26">
      <c r="A75" s="8"/>
      <c r="B75" s="2"/>
      <c r="C75" s="2"/>
      <c r="D75" s="2"/>
      <c r="E75" s="2"/>
      <c r="F75" s="2"/>
      <c r="G75" s="2"/>
      <c r="H75" s="2"/>
      <c r="I75" s="2"/>
      <c r="J75" s="2"/>
      <c r="K75" s="2"/>
      <c r="L75" s="2"/>
      <c r="M75" s="2"/>
      <c r="N75" s="2"/>
      <c r="O75" s="2"/>
      <c r="P75" s="2"/>
      <c r="Q75" s="2"/>
      <c r="R75" s="2"/>
      <c r="S75" s="2"/>
      <c r="T75" s="2"/>
      <c r="U75" s="2"/>
      <c r="V75" s="2"/>
      <c r="W75" s="2"/>
      <c r="X75" s="2"/>
      <c r="Y75" s="2"/>
      <c r="Z75" s="2"/>
    </row>
    <row r="76" spans="1:26">
      <c r="A76" s="8"/>
      <c r="B76" s="2"/>
      <c r="C76" s="2"/>
      <c r="D76" s="2"/>
      <c r="E76" s="2"/>
      <c r="F76" s="2"/>
      <c r="G76" s="2"/>
      <c r="H76" s="2"/>
      <c r="I76" s="2"/>
      <c r="J76" s="2"/>
      <c r="K76" s="2"/>
      <c r="L76" s="2"/>
      <c r="M76" s="2"/>
      <c r="N76" s="2"/>
      <c r="O76" s="2"/>
      <c r="P76" s="2"/>
      <c r="Q76" s="2"/>
      <c r="R76" s="2"/>
      <c r="S76" s="2"/>
      <c r="T76" s="2"/>
      <c r="U76" s="2"/>
      <c r="V76" s="2"/>
      <c r="W76" s="2"/>
      <c r="X76" s="2"/>
      <c r="Y76" s="2"/>
      <c r="Z76" s="2"/>
    </row>
    <row r="77" spans="1:26">
      <c r="A77" s="8"/>
      <c r="B77" s="2"/>
      <c r="C77" s="2"/>
      <c r="D77" s="2"/>
      <c r="E77" s="2"/>
      <c r="F77" s="2"/>
      <c r="G77" s="2"/>
      <c r="H77" s="2"/>
      <c r="I77" s="2"/>
      <c r="J77" s="2"/>
      <c r="K77" s="2"/>
      <c r="L77" s="2"/>
      <c r="M77" s="2"/>
      <c r="N77" s="2"/>
      <c r="O77" s="2"/>
      <c r="P77" s="2"/>
      <c r="Q77" s="2"/>
      <c r="R77" s="2"/>
      <c r="S77" s="2"/>
      <c r="T77" s="2"/>
      <c r="U77" s="2"/>
      <c r="V77" s="2"/>
      <c r="W77" s="2"/>
      <c r="X77" s="2"/>
      <c r="Y77" s="2"/>
      <c r="Z77" s="2"/>
    </row>
    <row r="78" spans="1:26">
      <c r="A78" s="8"/>
      <c r="B78" s="2"/>
      <c r="C78" s="2"/>
      <c r="D78" s="2"/>
      <c r="E78" s="2"/>
      <c r="F78" s="2"/>
      <c r="G78" s="2"/>
      <c r="H78" s="2"/>
      <c r="I78" s="2"/>
      <c r="J78" s="2"/>
      <c r="K78" s="2"/>
      <c r="L78" s="2"/>
      <c r="M78" s="2"/>
      <c r="N78" s="2"/>
      <c r="O78" s="2"/>
      <c r="P78" s="2"/>
      <c r="Q78" s="2"/>
      <c r="R78" s="2"/>
      <c r="S78" s="2"/>
      <c r="T78" s="2"/>
      <c r="U78" s="2"/>
      <c r="V78" s="2"/>
      <c r="W78" s="2"/>
      <c r="X78" s="2"/>
      <c r="Y78" s="2"/>
      <c r="Z78" s="2"/>
    </row>
    <row r="79" spans="1:26">
      <c r="A79" s="8"/>
      <c r="B79" s="2"/>
      <c r="C79" s="2"/>
      <c r="D79" s="2"/>
      <c r="E79" s="2"/>
      <c r="F79" s="2"/>
      <c r="G79" s="2"/>
      <c r="H79" s="2"/>
      <c r="I79" s="2"/>
      <c r="J79" s="2"/>
      <c r="K79" s="2"/>
      <c r="L79" s="2"/>
      <c r="M79" s="2"/>
      <c r="N79" s="2"/>
      <c r="O79" s="2"/>
      <c r="P79" s="2"/>
      <c r="Q79" s="2"/>
      <c r="R79" s="2"/>
      <c r="S79" s="2"/>
      <c r="T79" s="2"/>
      <c r="U79" s="2"/>
      <c r="V79" s="2"/>
      <c r="W79" s="2"/>
      <c r="X79" s="2"/>
      <c r="Y79" s="2"/>
      <c r="Z79" s="2"/>
    </row>
    <row r="80" spans="1:26">
      <c r="A80" s="8"/>
      <c r="B80" s="2"/>
      <c r="C80" s="2"/>
      <c r="D80" s="2"/>
      <c r="E80" s="2"/>
      <c r="F80" s="2"/>
      <c r="G80" s="2"/>
      <c r="H80" s="2"/>
      <c r="I80" s="2"/>
      <c r="J80" s="2"/>
      <c r="K80" s="2"/>
      <c r="L80" s="2"/>
      <c r="M80" s="2"/>
      <c r="N80" s="2"/>
      <c r="O80" s="2"/>
      <c r="P80" s="2"/>
      <c r="Q80" s="2"/>
      <c r="R80" s="2"/>
      <c r="S80" s="2"/>
      <c r="T80" s="2"/>
      <c r="U80" s="2"/>
      <c r="V80" s="2"/>
      <c r="W80" s="2"/>
      <c r="X80" s="2"/>
      <c r="Y80" s="2"/>
      <c r="Z80" s="2"/>
    </row>
    <row r="81" spans="1:26">
      <c r="A81" s="8"/>
      <c r="B81" s="2"/>
      <c r="C81" s="2"/>
      <c r="D81" s="2"/>
      <c r="E81" s="2"/>
      <c r="F81" s="2"/>
      <c r="G81" s="2"/>
      <c r="H81" s="2"/>
      <c r="I81" s="2"/>
      <c r="J81" s="2"/>
      <c r="K81" s="2"/>
      <c r="L81" s="2"/>
      <c r="M81" s="2"/>
      <c r="N81" s="2"/>
      <c r="O81" s="2"/>
      <c r="P81" s="2"/>
      <c r="Q81" s="2"/>
      <c r="R81" s="2"/>
      <c r="S81" s="2"/>
      <c r="T81" s="2"/>
      <c r="U81" s="2"/>
      <c r="V81" s="2"/>
      <c r="W81" s="2"/>
      <c r="X81" s="2"/>
      <c r="Y81" s="2"/>
      <c r="Z81" s="2"/>
    </row>
    <row r="82" spans="1:26">
      <c r="A82" s="8"/>
      <c r="B82" s="2"/>
      <c r="C82" s="2"/>
      <c r="D82" s="2"/>
      <c r="E82" s="2"/>
      <c r="F82" s="2"/>
      <c r="G82" s="2"/>
      <c r="H82" s="2"/>
      <c r="I82" s="2"/>
      <c r="J82" s="2"/>
      <c r="K82" s="2"/>
      <c r="L82" s="2"/>
      <c r="M82" s="2"/>
      <c r="N82" s="2"/>
      <c r="O82" s="2"/>
      <c r="P82" s="2"/>
      <c r="Q82" s="2"/>
      <c r="R82" s="2"/>
      <c r="S82" s="2"/>
      <c r="T82" s="2"/>
      <c r="U82" s="2"/>
      <c r="V82" s="2"/>
      <c r="W82" s="2"/>
      <c r="X82" s="2"/>
      <c r="Y82" s="2"/>
      <c r="Z82" s="2"/>
    </row>
    <row r="83" spans="1:26">
      <c r="A83" s="8"/>
      <c r="B83" s="2"/>
      <c r="C83" s="2"/>
      <c r="D83" s="2"/>
      <c r="E83" s="2"/>
      <c r="F83" s="2"/>
      <c r="G83" s="2"/>
      <c r="H83" s="2"/>
      <c r="I83" s="2"/>
      <c r="J83" s="2"/>
      <c r="K83" s="2"/>
      <c r="L83" s="2"/>
      <c r="M83" s="2"/>
      <c r="N83" s="2"/>
      <c r="O83" s="2"/>
      <c r="P83" s="2"/>
      <c r="Q83" s="2"/>
      <c r="R83" s="2"/>
      <c r="S83" s="2"/>
      <c r="T83" s="2"/>
      <c r="U83" s="2"/>
      <c r="V83" s="2"/>
      <c r="W83" s="2"/>
      <c r="X83" s="2"/>
      <c r="Y83" s="2"/>
      <c r="Z83" s="2"/>
    </row>
    <row r="84" spans="1:26">
      <c r="A84" s="8"/>
      <c r="B84" s="2"/>
      <c r="C84" s="2"/>
      <c r="D84" s="2"/>
      <c r="E84" s="2"/>
      <c r="F84" s="2"/>
      <c r="G84" s="2"/>
      <c r="H84" s="2"/>
      <c r="I84" s="2"/>
      <c r="J84" s="2"/>
      <c r="K84" s="2"/>
      <c r="L84" s="2"/>
      <c r="M84" s="2"/>
      <c r="N84" s="2"/>
      <c r="O84" s="2"/>
      <c r="P84" s="2"/>
      <c r="Q84" s="2"/>
      <c r="R84" s="2"/>
      <c r="S84" s="2"/>
      <c r="T84" s="2"/>
      <c r="U84" s="2"/>
      <c r="V84" s="2"/>
      <c r="W84" s="2"/>
      <c r="X84" s="2"/>
      <c r="Y84" s="2"/>
      <c r="Z84" s="2"/>
    </row>
    <row r="85" spans="1:26">
      <c r="A85" s="8"/>
      <c r="B85" s="2"/>
      <c r="C85" s="2"/>
      <c r="D85" s="2"/>
      <c r="E85" s="2"/>
      <c r="F85" s="2"/>
      <c r="G85" s="2"/>
      <c r="H85" s="2"/>
      <c r="I85" s="2"/>
      <c r="J85" s="2"/>
      <c r="K85" s="2"/>
      <c r="L85" s="2"/>
      <c r="M85" s="2"/>
      <c r="N85" s="2"/>
      <c r="O85" s="2"/>
      <c r="P85" s="2"/>
      <c r="Q85" s="2"/>
      <c r="R85" s="2"/>
      <c r="S85" s="2"/>
      <c r="T85" s="2"/>
      <c r="U85" s="2"/>
      <c r="V85" s="2"/>
      <c r="W85" s="2"/>
      <c r="X85" s="2"/>
      <c r="Y85" s="2"/>
      <c r="Z85" s="2"/>
    </row>
    <row r="86" spans="1:26">
      <c r="A86" s="8"/>
      <c r="B86" s="2"/>
      <c r="C86" s="2"/>
      <c r="D86" s="2"/>
      <c r="E86" s="2"/>
      <c r="F86" s="2"/>
      <c r="G86" s="2"/>
      <c r="H86" s="2"/>
      <c r="I86" s="2"/>
      <c r="J86" s="2"/>
      <c r="K86" s="2"/>
      <c r="L86" s="2"/>
      <c r="M86" s="2"/>
      <c r="N86" s="2"/>
      <c r="O86" s="2"/>
      <c r="P86" s="2"/>
      <c r="Q86" s="2"/>
      <c r="R86" s="2"/>
      <c r="S86" s="2"/>
      <c r="T86" s="2"/>
      <c r="U86" s="2"/>
      <c r="V86" s="2"/>
      <c r="W86" s="2"/>
      <c r="X86" s="2"/>
      <c r="Y86" s="2"/>
      <c r="Z86" s="2"/>
    </row>
    <row r="87" spans="1:26">
      <c r="A87" s="8"/>
      <c r="B87" s="2"/>
      <c r="C87" s="2"/>
      <c r="D87" s="2"/>
      <c r="E87" s="2"/>
      <c r="F87" s="2"/>
      <c r="G87" s="2"/>
      <c r="H87" s="2"/>
      <c r="I87" s="2"/>
      <c r="J87" s="2"/>
      <c r="K87" s="2"/>
      <c r="L87" s="2"/>
      <c r="M87" s="2"/>
      <c r="N87" s="2"/>
      <c r="O87" s="2"/>
      <c r="P87" s="2"/>
      <c r="Q87" s="2"/>
      <c r="R87" s="2"/>
      <c r="S87" s="2"/>
      <c r="T87" s="2"/>
      <c r="U87" s="2"/>
      <c r="V87" s="2"/>
      <c r="W87" s="2"/>
      <c r="X87" s="2"/>
      <c r="Y87" s="2"/>
      <c r="Z87" s="2"/>
    </row>
    <row r="88" spans="1:26">
      <c r="A88" s="8"/>
      <c r="B88" s="2"/>
      <c r="C88" s="2"/>
      <c r="D88" s="2"/>
      <c r="E88" s="2"/>
      <c r="F88" s="2"/>
      <c r="G88" s="2"/>
      <c r="H88" s="2"/>
      <c r="I88" s="2"/>
      <c r="J88" s="2"/>
      <c r="K88" s="2"/>
      <c r="L88" s="2"/>
      <c r="M88" s="2"/>
      <c r="N88" s="2"/>
      <c r="O88" s="2"/>
      <c r="P88" s="2"/>
      <c r="Q88" s="2"/>
      <c r="R88" s="2"/>
      <c r="S88" s="2"/>
      <c r="T88" s="2"/>
      <c r="U88" s="2"/>
      <c r="V88" s="2"/>
      <c r="W88" s="2"/>
      <c r="X88" s="2"/>
      <c r="Y88" s="2"/>
      <c r="Z88" s="2"/>
    </row>
    <row r="89" spans="1:26">
      <c r="A89" s="8"/>
      <c r="B89" s="2"/>
      <c r="C89" s="2"/>
      <c r="D89" s="2"/>
      <c r="E89" s="2"/>
      <c r="F89" s="2"/>
      <c r="G89" s="2"/>
      <c r="H89" s="2"/>
      <c r="I89" s="2"/>
      <c r="J89" s="2"/>
      <c r="K89" s="2"/>
      <c r="L89" s="2"/>
      <c r="M89" s="2"/>
      <c r="N89" s="2"/>
      <c r="O89" s="2"/>
      <c r="P89" s="2"/>
      <c r="Q89" s="2"/>
      <c r="R89" s="2"/>
      <c r="S89" s="2"/>
      <c r="T89" s="2"/>
      <c r="U89" s="2"/>
      <c r="V89" s="2"/>
      <c r="W89" s="2"/>
      <c r="X89" s="2"/>
      <c r="Y89" s="2"/>
      <c r="Z89" s="2"/>
    </row>
    <row r="90" spans="1:26">
      <c r="A90" s="8"/>
      <c r="B90" s="2"/>
      <c r="C90" s="2"/>
      <c r="D90" s="2"/>
      <c r="E90" s="2"/>
      <c r="F90" s="2"/>
      <c r="G90" s="2"/>
      <c r="H90" s="2"/>
      <c r="I90" s="2"/>
      <c r="J90" s="2"/>
      <c r="K90" s="2"/>
      <c r="L90" s="2"/>
      <c r="M90" s="2"/>
      <c r="N90" s="2"/>
      <c r="O90" s="2"/>
      <c r="P90" s="2"/>
      <c r="Q90" s="2"/>
      <c r="R90" s="2"/>
      <c r="S90" s="2"/>
      <c r="T90" s="2"/>
      <c r="U90" s="2"/>
      <c r="V90" s="2"/>
      <c r="W90" s="2"/>
      <c r="X90" s="2"/>
      <c r="Y90" s="2"/>
      <c r="Z90" s="2"/>
    </row>
    <row r="91" spans="1:26">
      <c r="A91" s="8"/>
      <c r="B91" s="2"/>
      <c r="C91" s="2"/>
      <c r="D91" s="2"/>
      <c r="E91" s="2"/>
      <c r="F91" s="2"/>
      <c r="G91" s="2"/>
      <c r="H91" s="2"/>
      <c r="I91" s="2"/>
      <c r="J91" s="2"/>
      <c r="K91" s="2"/>
      <c r="L91" s="2"/>
      <c r="M91" s="2"/>
      <c r="N91" s="2"/>
      <c r="O91" s="2"/>
      <c r="P91" s="2"/>
      <c r="Q91" s="2"/>
      <c r="R91" s="2"/>
      <c r="S91" s="2"/>
      <c r="T91" s="2"/>
      <c r="U91" s="2"/>
      <c r="V91" s="2"/>
      <c r="W91" s="2"/>
      <c r="X91" s="2"/>
      <c r="Y91" s="2"/>
      <c r="Z91" s="2"/>
    </row>
    <row r="92" spans="1:26">
      <c r="A92" s="8"/>
      <c r="B92" s="2"/>
      <c r="C92" s="2"/>
      <c r="D92" s="2"/>
      <c r="E92" s="2"/>
      <c r="F92" s="2"/>
      <c r="G92" s="2"/>
      <c r="H92" s="2"/>
      <c r="I92" s="2"/>
      <c r="J92" s="2"/>
      <c r="K92" s="2"/>
      <c r="L92" s="2"/>
      <c r="M92" s="2"/>
      <c r="N92" s="2"/>
      <c r="O92" s="2"/>
      <c r="P92" s="2"/>
      <c r="Q92" s="2"/>
      <c r="R92" s="2"/>
      <c r="S92" s="2"/>
      <c r="T92" s="2"/>
      <c r="U92" s="2"/>
      <c r="V92" s="2"/>
      <c r="W92" s="2"/>
      <c r="X92" s="2"/>
      <c r="Y92" s="2"/>
      <c r="Z92" s="2"/>
    </row>
    <row r="93" spans="1:26">
      <c r="A93" s="8"/>
      <c r="B93" s="2"/>
      <c r="C93" s="2"/>
      <c r="D93" s="2"/>
      <c r="E93" s="2"/>
      <c r="F93" s="2"/>
      <c r="G93" s="2"/>
      <c r="H93" s="2"/>
      <c r="I93" s="2"/>
      <c r="J93" s="2"/>
      <c r="K93" s="2"/>
      <c r="L93" s="2"/>
      <c r="M93" s="2"/>
      <c r="N93" s="2"/>
      <c r="O93" s="2"/>
      <c r="P93" s="2"/>
      <c r="Q93" s="2"/>
      <c r="R93" s="2"/>
      <c r="S93" s="2"/>
      <c r="T93" s="2"/>
      <c r="U93" s="2"/>
      <c r="V93" s="2"/>
      <c r="W93" s="2"/>
      <c r="X93" s="2"/>
      <c r="Y93" s="2"/>
      <c r="Z93" s="2"/>
    </row>
    <row r="94" spans="1:26">
      <c r="A94" s="8"/>
      <c r="B94" s="2"/>
      <c r="C94" s="2"/>
      <c r="D94" s="2"/>
      <c r="E94" s="2"/>
      <c r="F94" s="2"/>
      <c r="G94" s="2"/>
      <c r="H94" s="2"/>
      <c r="I94" s="2"/>
      <c r="J94" s="2"/>
      <c r="K94" s="2"/>
      <c r="L94" s="2"/>
      <c r="M94" s="2"/>
      <c r="N94" s="2"/>
      <c r="O94" s="2"/>
      <c r="P94" s="2"/>
      <c r="Q94" s="2"/>
      <c r="R94" s="2"/>
      <c r="S94" s="2"/>
      <c r="T94" s="2"/>
      <c r="U94" s="2"/>
      <c r="V94" s="2"/>
      <c r="W94" s="2"/>
      <c r="X94" s="2"/>
      <c r="Y94" s="2"/>
      <c r="Z94" s="2"/>
    </row>
    <row r="95" spans="1:26">
      <c r="A95" s="8"/>
      <c r="B95" s="2"/>
      <c r="C95" s="2"/>
      <c r="D95" s="2"/>
      <c r="E95" s="2"/>
      <c r="F95" s="2"/>
      <c r="G95" s="2"/>
      <c r="H95" s="2"/>
      <c r="I95" s="2"/>
      <c r="J95" s="2"/>
      <c r="K95" s="2"/>
      <c r="L95" s="2"/>
      <c r="M95" s="2"/>
      <c r="N95" s="2"/>
      <c r="O95" s="2"/>
      <c r="P95" s="2"/>
      <c r="Q95" s="2"/>
      <c r="R95" s="2"/>
      <c r="S95" s="2"/>
      <c r="T95" s="2"/>
      <c r="U95" s="2"/>
      <c r="V95" s="2"/>
      <c r="W95" s="2"/>
      <c r="X95" s="2"/>
      <c r="Y95" s="2"/>
      <c r="Z95" s="2"/>
    </row>
    <row r="96" spans="1:26">
      <c r="A96" s="8"/>
      <c r="B96" s="2"/>
      <c r="C96" s="2"/>
      <c r="D96" s="2"/>
      <c r="E96" s="2"/>
      <c r="F96" s="2"/>
      <c r="G96" s="2"/>
      <c r="H96" s="2"/>
      <c r="I96" s="2"/>
      <c r="J96" s="2"/>
      <c r="K96" s="2"/>
      <c r="L96" s="2"/>
      <c r="M96" s="2"/>
      <c r="N96" s="2"/>
      <c r="O96" s="2"/>
      <c r="P96" s="2"/>
      <c r="Q96" s="2"/>
      <c r="R96" s="2"/>
      <c r="S96" s="2"/>
      <c r="T96" s="2"/>
      <c r="U96" s="2"/>
      <c r="V96" s="2"/>
      <c r="W96" s="2"/>
      <c r="X96" s="2"/>
      <c r="Y96" s="2"/>
      <c r="Z96" s="2"/>
    </row>
    <row r="97" spans="1:26">
      <c r="A97" s="8"/>
      <c r="B97" s="2"/>
      <c r="C97" s="2"/>
      <c r="D97" s="2"/>
      <c r="E97" s="2"/>
      <c r="F97" s="2"/>
      <c r="G97" s="2"/>
      <c r="H97" s="2"/>
      <c r="I97" s="2"/>
      <c r="J97" s="2"/>
      <c r="K97" s="2"/>
      <c r="L97" s="2"/>
      <c r="M97" s="2"/>
      <c r="N97" s="2"/>
      <c r="O97" s="2"/>
      <c r="P97" s="2"/>
      <c r="Q97" s="2"/>
      <c r="R97" s="2"/>
      <c r="S97" s="2"/>
      <c r="T97" s="2"/>
      <c r="U97" s="2"/>
      <c r="V97" s="2"/>
      <c r="W97" s="2"/>
      <c r="X97" s="2"/>
      <c r="Y97" s="2"/>
      <c r="Z97" s="2"/>
    </row>
    <row r="98" spans="1:26">
      <c r="A98" s="8"/>
      <c r="B98" s="2"/>
      <c r="C98" s="2"/>
      <c r="D98" s="2"/>
      <c r="E98" s="2"/>
      <c r="F98" s="2"/>
      <c r="G98" s="2"/>
      <c r="H98" s="2"/>
      <c r="I98" s="2"/>
      <c r="J98" s="2"/>
      <c r="K98" s="2"/>
      <c r="L98" s="2"/>
      <c r="M98" s="2"/>
      <c r="N98" s="2"/>
      <c r="O98" s="2"/>
      <c r="P98" s="2"/>
      <c r="Q98" s="2"/>
      <c r="R98" s="2"/>
      <c r="S98" s="2"/>
      <c r="T98" s="2"/>
      <c r="U98" s="2"/>
      <c r="V98" s="2"/>
      <c r="W98" s="2"/>
      <c r="X98" s="2"/>
      <c r="Y98" s="2"/>
      <c r="Z98" s="2"/>
    </row>
    <row r="99" spans="1:26">
      <c r="A99" s="8"/>
      <c r="B99" s="2"/>
      <c r="C99" s="2"/>
      <c r="D99" s="2"/>
      <c r="E99" s="2"/>
      <c r="F99" s="2"/>
      <c r="G99" s="2"/>
      <c r="H99" s="2"/>
      <c r="I99" s="2"/>
      <c r="J99" s="2"/>
      <c r="K99" s="2"/>
      <c r="L99" s="2"/>
      <c r="M99" s="2"/>
      <c r="N99" s="2"/>
      <c r="O99" s="2"/>
      <c r="P99" s="2"/>
      <c r="Q99" s="2"/>
      <c r="R99" s="2"/>
      <c r="S99" s="2"/>
      <c r="T99" s="2"/>
      <c r="U99" s="2"/>
      <c r="V99" s="2"/>
      <c r="W99" s="2"/>
      <c r="X99" s="2"/>
      <c r="Y99" s="2"/>
      <c r="Z99" s="2"/>
    </row>
  </sheetData>
  <sheetProtection sheet="1" objects="1" scenarios="1"/>
  <mergeCells count="17">
    <mergeCell ref="B6:C6"/>
    <mergeCell ref="B7:C7"/>
    <mergeCell ref="B10:C10"/>
    <mergeCell ref="B16:C16"/>
    <mergeCell ref="B17:C17"/>
    <mergeCell ref="B11:C11"/>
    <mergeCell ref="B12:C12"/>
    <mergeCell ref="B13:C13"/>
    <mergeCell ref="B14:C14"/>
    <mergeCell ref="B15:C15"/>
    <mergeCell ref="B8:C8"/>
    <mergeCell ref="B9:C9"/>
    <mergeCell ref="A1:D1"/>
    <mergeCell ref="A2:D2"/>
    <mergeCell ref="A3:C3"/>
    <mergeCell ref="B4:D4"/>
    <mergeCell ref="B5:C5"/>
  </mergeCells>
  <phoneticPr fontId="5" type="noConversion"/>
  <dataValidations count="1">
    <dataValidation type="list" allowBlank="1" showInputMessage="1" showErrorMessage="1" sqref="D5:D16">
      <formula1>PeranTIK</formula1>
    </dataValidation>
  </dataValidations>
  <pageMargins left="0.75000000000000011" right="0.75000000000000011" top="1" bottom="1" header="0.5" footer="0.5"/>
  <pageSetup paperSize="9" scale="85" orientation="portrait" horizontalDpi="4294967292" verticalDpi="4294967292"/>
  <headerFooter>
    <oddFooter>&amp;L&amp;"Arial,Regular"&amp;6&amp;K000000Direktorat Keamanan Informasi&amp;C&amp;"Arial,Regular"&amp;6&amp;K000000Kementerian Komunikasi dan Informasi&amp;R&amp;"Arial,Regular"&amp;6&amp;K000000Indeks KAMI, Versi  2.3, 19 April 2012</oddFooter>
  </headerFooter>
  <ignoredErrors>
    <ignoredError sqref="A14:A16" numberStoredAsText="1"/>
  </ignoredErrors>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sheetPr enableFormatConditionsCalculation="0">
    <pageSetUpPr fitToPage="1"/>
  </sheetPr>
  <dimension ref="A1:V88"/>
  <sheetViews>
    <sheetView zoomScaleNormal="100" zoomScalePageLayoutView="125" workbookViewId="0">
      <pane xSplit="5" ySplit="3" topLeftCell="F13" activePane="bottomRight" state="frozen"/>
      <selection pane="topRight" activeCell="E1" sqref="E1"/>
      <selection pane="bottomLeft" activeCell="A4" sqref="A4"/>
      <selection pane="bottomRight" sqref="A1:E1"/>
    </sheetView>
  </sheetViews>
  <sheetFormatPr defaultColWidth="7.875" defaultRowHeight="12.75"/>
  <cols>
    <col min="1" max="1" width="4.125" style="11" bestFit="1" customWidth="1"/>
    <col min="2" max="2" width="2.625" style="11" bestFit="1" customWidth="1"/>
    <col min="3" max="3" width="2.625" style="11" customWidth="1"/>
    <col min="4" max="4" width="80.75" style="3" customWidth="1"/>
    <col min="5" max="5" width="30.75" style="3" customWidth="1"/>
    <col min="6" max="6" width="4.75" style="1" customWidth="1"/>
    <col min="7" max="7" width="4.75" style="2" customWidth="1"/>
    <col min="8" max="22" width="7.875" style="2"/>
    <col min="23" max="16384" width="7.875" style="3"/>
  </cols>
  <sheetData>
    <row r="1" spans="1:6" ht="30" customHeight="1">
      <c r="A1" s="166" t="s">
        <v>282</v>
      </c>
      <c r="B1" s="189"/>
      <c r="C1" s="167"/>
      <c r="D1" s="167"/>
      <c r="E1" s="168"/>
    </row>
    <row r="2" spans="1:6" s="2" customFormat="1" ht="30" customHeight="1">
      <c r="A2" s="169" t="s">
        <v>19</v>
      </c>
      <c r="B2" s="190"/>
      <c r="C2" s="170"/>
      <c r="D2" s="170"/>
      <c r="E2" s="191"/>
    </row>
    <row r="3" spans="1:6" s="17" customFormat="1" ht="30" customHeight="1">
      <c r="A3" s="172" t="s">
        <v>100</v>
      </c>
      <c r="B3" s="186"/>
      <c r="C3" s="187"/>
      <c r="D3" s="188"/>
      <c r="E3" s="32" t="s">
        <v>207</v>
      </c>
      <c r="F3" s="29" t="s">
        <v>216</v>
      </c>
    </row>
    <row r="4" spans="1:6" ht="14.1" customHeight="1">
      <c r="A4" s="63" t="s">
        <v>213</v>
      </c>
      <c r="B4" s="103"/>
      <c r="C4" s="192" t="s">
        <v>20</v>
      </c>
      <c r="D4" s="193"/>
      <c r="E4" s="194"/>
    </row>
    <row r="5" spans="1:6" ht="42.75">
      <c r="A5" s="45">
        <v>2.1</v>
      </c>
      <c r="B5" s="105" t="s">
        <v>289</v>
      </c>
      <c r="C5" s="110">
        <v>1</v>
      </c>
      <c r="D5" s="108" t="s">
        <v>354</v>
      </c>
      <c r="E5" s="33" t="s">
        <v>283</v>
      </c>
      <c r="F5" s="46">
        <f>INDEX(SkorAkhir, MATCH(E5,StatusPenerapanHasil,0), MATCH(C5,TingkatKematangan,0))</f>
        <v>0</v>
      </c>
    </row>
    <row r="6" spans="1:6" ht="28.5">
      <c r="A6" s="45">
        <v>2.2000000000000002</v>
      </c>
      <c r="B6" s="105" t="s">
        <v>289</v>
      </c>
      <c r="C6" s="110">
        <v>1</v>
      </c>
      <c r="D6" s="109" t="s">
        <v>48</v>
      </c>
      <c r="E6" s="33" t="s">
        <v>283</v>
      </c>
      <c r="F6" s="46">
        <f t="shared" ref="F6:F18" si="0">INDEX(SkorAkhir, MATCH(E6,StatusPenerapanHasil,0), MATCH(C6,TingkatKematangan,0))</f>
        <v>0</v>
      </c>
    </row>
    <row r="7" spans="1:6" ht="28.5">
      <c r="A7" s="45">
        <v>2.2999999999999998</v>
      </c>
      <c r="B7" s="105" t="s">
        <v>289</v>
      </c>
      <c r="C7" s="110">
        <v>1</v>
      </c>
      <c r="D7" s="108" t="s">
        <v>264</v>
      </c>
      <c r="E7" s="33" t="s">
        <v>283</v>
      </c>
      <c r="F7" s="46">
        <f t="shared" si="0"/>
        <v>0</v>
      </c>
    </row>
    <row r="8" spans="1:6" ht="28.5">
      <c r="A8" s="45">
        <v>2.4</v>
      </c>
      <c r="B8" s="105" t="s">
        <v>289</v>
      </c>
      <c r="C8" s="110">
        <v>1</v>
      </c>
      <c r="D8" s="108" t="s">
        <v>205</v>
      </c>
      <c r="E8" s="33" t="s">
        <v>283</v>
      </c>
      <c r="F8" s="46">
        <f t="shared" si="0"/>
        <v>0</v>
      </c>
    </row>
    <row r="9" spans="1:6" ht="28.5">
      <c r="A9" s="45">
        <v>2.5</v>
      </c>
      <c r="B9" s="124" t="s">
        <v>289</v>
      </c>
      <c r="C9" s="110">
        <v>1</v>
      </c>
      <c r="D9" s="108" t="s">
        <v>281</v>
      </c>
      <c r="E9" s="33" t="s">
        <v>283</v>
      </c>
      <c r="F9" s="46">
        <f t="shared" si="0"/>
        <v>0</v>
      </c>
    </row>
    <row r="10" spans="1:6" ht="28.5">
      <c r="A10" s="45">
        <v>2.6</v>
      </c>
      <c r="B10" s="105" t="s">
        <v>289</v>
      </c>
      <c r="C10" s="110">
        <v>1</v>
      </c>
      <c r="D10" s="108" t="s">
        <v>30</v>
      </c>
      <c r="E10" s="33" t="s">
        <v>283</v>
      </c>
      <c r="F10" s="46">
        <f t="shared" si="0"/>
        <v>0</v>
      </c>
    </row>
    <row r="11" spans="1:6" ht="28.5">
      <c r="A11" s="45">
        <v>2.7</v>
      </c>
      <c r="B11" s="105" t="s">
        <v>289</v>
      </c>
      <c r="C11" s="110">
        <v>1</v>
      </c>
      <c r="D11" s="108" t="s">
        <v>31</v>
      </c>
      <c r="E11" s="33" t="s">
        <v>283</v>
      </c>
      <c r="F11" s="46">
        <f t="shared" si="0"/>
        <v>0</v>
      </c>
    </row>
    <row r="12" spans="1:6" ht="28.5">
      <c r="A12" s="45">
        <v>2.8</v>
      </c>
      <c r="B12" s="105" t="s">
        <v>289</v>
      </c>
      <c r="C12" s="110">
        <v>1</v>
      </c>
      <c r="D12" s="108" t="s">
        <v>236</v>
      </c>
      <c r="E12" s="33" t="s">
        <v>283</v>
      </c>
      <c r="F12" s="46">
        <f t="shared" si="0"/>
        <v>0</v>
      </c>
    </row>
    <row r="13" spans="1:6" ht="28.5">
      <c r="A13" s="45">
        <v>2.9</v>
      </c>
      <c r="B13" s="105" t="s">
        <v>289</v>
      </c>
      <c r="C13" s="111">
        <v>2</v>
      </c>
      <c r="D13" s="23" t="s">
        <v>53</v>
      </c>
      <c r="E13" s="33" t="s">
        <v>283</v>
      </c>
      <c r="F13" s="46">
        <f t="shared" si="0"/>
        <v>0</v>
      </c>
    </row>
    <row r="14" spans="1:6" ht="42.75">
      <c r="A14" s="45" t="s">
        <v>227</v>
      </c>
      <c r="B14" s="105" t="s">
        <v>289</v>
      </c>
      <c r="C14" s="111">
        <v>2</v>
      </c>
      <c r="D14" s="23" t="s">
        <v>250</v>
      </c>
      <c r="E14" s="33" t="s">
        <v>283</v>
      </c>
      <c r="F14" s="46">
        <f t="shared" si="0"/>
        <v>0</v>
      </c>
    </row>
    <row r="15" spans="1:6" ht="42.75">
      <c r="A15" s="45" t="s">
        <v>228</v>
      </c>
      <c r="B15" s="105" t="s">
        <v>289</v>
      </c>
      <c r="C15" s="111">
        <v>2</v>
      </c>
      <c r="D15" s="23" t="s">
        <v>251</v>
      </c>
      <c r="E15" s="33" t="s">
        <v>283</v>
      </c>
      <c r="F15" s="46">
        <f t="shared" si="0"/>
        <v>0</v>
      </c>
    </row>
    <row r="16" spans="1:6" ht="42.75">
      <c r="A16" s="45" t="s">
        <v>229</v>
      </c>
      <c r="B16" s="106" t="s">
        <v>290</v>
      </c>
      <c r="C16" s="111">
        <v>2</v>
      </c>
      <c r="D16" s="23" t="s">
        <v>305</v>
      </c>
      <c r="E16" s="33" t="s">
        <v>283</v>
      </c>
      <c r="F16" s="46">
        <f t="shared" si="0"/>
        <v>0</v>
      </c>
    </row>
    <row r="17" spans="1:22" ht="42.75">
      <c r="A17" s="45" t="s">
        <v>230</v>
      </c>
      <c r="B17" s="106" t="s">
        <v>290</v>
      </c>
      <c r="C17" s="111">
        <v>2</v>
      </c>
      <c r="D17" s="23" t="s">
        <v>33</v>
      </c>
      <c r="E17" s="33" t="s">
        <v>283</v>
      </c>
      <c r="F17" s="46">
        <f t="shared" si="0"/>
        <v>0</v>
      </c>
    </row>
    <row r="18" spans="1:22" ht="28.5">
      <c r="A18" s="45" t="s">
        <v>231</v>
      </c>
      <c r="B18" s="106" t="s">
        <v>290</v>
      </c>
      <c r="C18" s="111">
        <v>2</v>
      </c>
      <c r="D18" s="23" t="s">
        <v>35</v>
      </c>
      <c r="E18" s="33" t="s">
        <v>283</v>
      </c>
      <c r="F18" s="46">
        <f t="shared" si="0"/>
        <v>0</v>
      </c>
    </row>
    <row r="19" spans="1:22" ht="42.75">
      <c r="A19" s="45" t="s">
        <v>232</v>
      </c>
      <c r="B19" s="107" t="s">
        <v>292</v>
      </c>
      <c r="C19" s="112">
        <v>3</v>
      </c>
      <c r="D19" s="23" t="s">
        <v>36</v>
      </c>
      <c r="E19" s="33" t="s">
        <v>283</v>
      </c>
      <c r="F19" s="46">
        <f>IF($E$32="Valid",INDEX(SkorAkhir, MATCH(E19,StatusPenerapanHasil,0), MATCH(C19,TingkatKematangan,0)),0)</f>
        <v>0</v>
      </c>
      <c r="G19" s="31"/>
    </row>
    <row r="20" spans="1:22" ht="28.5">
      <c r="A20" s="45" t="s">
        <v>233</v>
      </c>
      <c r="B20" s="107" t="s">
        <v>292</v>
      </c>
      <c r="C20" s="112">
        <v>3</v>
      </c>
      <c r="D20" s="23" t="s">
        <v>37</v>
      </c>
      <c r="E20" s="33" t="s">
        <v>283</v>
      </c>
      <c r="F20" s="46">
        <f t="shared" ref="F20:F24" si="1">IF($E$32="Valid",INDEX(SkorAkhir, MATCH(E20,StatusPenerapanHasil,0), MATCH(C20,TingkatKematangan,0)),0)</f>
        <v>0</v>
      </c>
    </row>
    <row r="21" spans="1:22" ht="28.5">
      <c r="A21" s="45" t="s">
        <v>234</v>
      </c>
      <c r="B21" s="107" t="s">
        <v>292</v>
      </c>
      <c r="C21" s="112">
        <v>3</v>
      </c>
      <c r="D21" s="23" t="s">
        <v>38</v>
      </c>
      <c r="E21" s="33" t="s">
        <v>283</v>
      </c>
      <c r="F21" s="46">
        <f t="shared" si="1"/>
        <v>0</v>
      </c>
    </row>
    <row r="22" spans="1:22" ht="42.75">
      <c r="A22" s="45" t="s">
        <v>235</v>
      </c>
      <c r="B22" s="107" t="s">
        <v>292</v>
      </c>
      <c r="C22" s="112">
        <v>3</v>
      </c>
      <c r="D22" s="23" t="s">
        <v>39</v>
      </c>
      <c r="E22" s="33" t="s">
        <v>283</v>
      </c>
      <c r="F22" s="46">
        <f t="shared" si="1"/>
        <v>0</v>
      </c>
    </row>
    <row r="23" spans="1:22" ht="28.5">
      <c r="A23" s="45" t="s">
        <v>135</v>
      </c>
      <c r="B23" s="107" t="s">
        <v>292</v>
      </c>
      <c r="C23" s="112">
        <v>3</v>
      </c>
      <c r="D23" s="23" t="s">
        <v>17</v>
      </c>
      <c r="E23" s="33" t="s">
        <v>283</v>
      </c>
      <c r="F23" s="46">
        <f t="shared" si="1"/>
        <v>0</v>
      </c>
    </row>
    <row r="24" spans="1:22" ht="28.5">
      <c r="A24" s="45" t="s">
        <v>136</v>
      </c>
      <c r="B24" s="107" t="s">
        <v>292</v>
      </c>
      <c r="C24" s="112">
        <v>3</v>
      </c>
      <c r="D24" s="23" t="s">
        <v>18</v>
      </c>
      <c r="E24" s="33" t="s">
        <v>283</v>
      </c>
      <c r="F24" s="46">
        <f t="shared" si="1"/>
        <v>0</v>
      </c>
    </row>
    <row r="25" spans="1:22" ht="19.5">
      <c r="A25" s="4"/>
      <c r="B25" s="4"/>
      <c r="C25" s="4"/>
      <c r="D25" s="47" t="s">
        <v>89</v>
      </c>
      <c r="E25" s="51">
        <f>SUM(F5:F24)</f>
        <v>0</v>
      </c>
    </row>
    <row r="26" spans="1:22" s="7" customFormat="1">
      <c r="A26" s="6"/>
      <c r="B26" s="6"/>
      <c r="C26" s="6"/>
      <c r="F26" s="2"/>
      <c r="G26" s="2"/>
      <c r="H26" s="2"/>
      <c r="I26" s="2"/>
      <c r="J26" s="2"/>
      <c r="K26" s="2"/>
      <c r="L26" s="2"/>
      <c r="M26" s="2"/>
      <c r="N26" s="2"/>
      <c r="O26" s="2"/>
      <c r="P26" s="2"/>
      <c r="Q26" s="2"/>
      <c r="R26" s="2"/>
      <c r="S26" s="2"/>
      <c r="T26" s="2"/>
      <c r="U26" s="2"/>
      <c r="V26" s="2"/>
    </row>
    <row r="27" spans="1:22" s="2" customFormat="1">
      <c r="D27" s="44" t="s">
        <v>369</v>
      </c>
      <c r="E27" s="43">
        <f>COUNTIF(C5:C24,1)</f>
        <v>8</v>
      </c>
    </row>
    <row r="28" spans="1:22" s="2" customFormat="1">
      <c r="D28" s="44" t="s">
        <v>370</v>
      </c>
      <c r="E28" s="43">
        <f>COUNTIF(C5:C24,2)</f>
        <v>6</v>
      </c>
    </row>
    <row r="29" spans="1:22" s="2" customFormat="1">
      <c r="D29" s="44" t="s">
        <v>371</v>
      </c>
      <c r="E29" s="43">
        <f>COUNTIF(C5:C24,3)</f>
        <v>6</v>
      </c>
    </row>
    <row r="30" spans="1:22" s="2" customFormat="1">
      <c r="A30" s="8"/>
      <c r="B30" s="8"/>
      <c r="C30" s="8"/>
      <c r="D30" s="44" t="s">
        <v>372</v>
      </c>
      <c r="E30" s="43">
        <f>(2*E27)+(4*E28)</f>
        <v>40</v>
      </c>
    </row>
    <row r="31" spans="1:22" s="2" customFormat="1">
      <c r="A31" s="8"/>
      <c r="B31" s="8"/>
      <c r="C31" s="8"/>
      <c r="D31" s="44" t="s">
        <v>373</v>
      </c>
      <c r="E31" s="43">
        <f>SUM(F5:F18)</f>
        <v>0</v>
      </c>
    </row>
    <row r="32" spans="1:22" s="2" customFormat="1">
      <c r="A32" s="8"/>
      <c r="B32" s="8"/>
      <c r="C32" s="8"/>
      <c r="D32" s="44" t="s">
        <v>374</v>
      </c>
      <c r="E32" s="43" t="str">
        <f>IF(E31&gt;=E30,"Valid","Tidak Valid")</f>
        <v>Tidak Valid</v>
      </c>
    </row>
    <row r="33" spans="1:8" s="2" customFormat="1">
      <c r="A33" s="8"/>
      <c r="B33" s="8"/>
      <c r="C33" s="8"/>
      <c r="D33" s="133"/>
      <c r="E33" s="133"/>
    </row>
    <row r="34" spans="1:8" s="2" customFormat="1">
      <c r="A34" s="8"/>
      <c r="B34" s="8"/>
      <c r="C34" s="8"/>
      <c r="D34" s="44" t="s">
        <v>295</v>
      </c>
      <c r="E34" s="43">
        <f>SUM(F5:F15)</f>
        <v>0</v>
      </c>
      <c r="F34" s="133" t="s">
        <v>322</v>
      </c>
      <c r="G34" s="133"/>
      <c r="H34" s="133">
        <f>(8*3)+(3*6)</f>
        <v>42</v>
      </c>
    </row>
    <row r="35" spans="1:8" s="2" customFormat="1">
      <c r="A35" s="8"/>
      <c r="B35" s="8"/>
      <c r="C35" s="8"/>
      <c r="D35" s="141" t="s">
        <v>313</v>
      </c>
      <c r="E35" s="142">
        <f>(4*2)+(4*1)</f>
        <v>12</v>
      </c>
      <c r="F35" s="133" t="s">
        <v>334</v>
      </c>
      <c r="G35" s="133"/>
      <c r="H35" s="143"/>
    </row>
    <row r="36" spans="1:8" s="2" customFormat="1">
      <c r="A36" s="8"/>
      <c r="B36" s="8"/>
      <c r="C36" s="8"/>
      <c r="D36" s="141" t="s">
        <v>314</v>
      </c>
      <c r="E36" s="142">
        <f>(8*2)+(3*4)</f>
        <v>28</v>
      </c>
      <c r="F36" s="133" t="s">
        <v>335</v>
      </c>
      <c r="G36" s="133"/>
      <c r="H36" s="143"/>
    </row>
    <row r="37" spans="1:8" s="2" customFormat="1">
      <c r="A37" s="8"/>
      <c r="B37" s="8"/>
      <c r="C37" s="8"/>
      <c r="D37" s="44" t="s">
        <v>315</v>
      </c>
      <c r="E37" s="43" t="str">
        <f>IF(E34&gt;=E36,"II",IF(E34&gt;=E35,"I+","No"))</f>
        <v>No</v>
      </c>
      <c r="F37" s="133">
        <f>0.8*((8*3)+(3*6))</f>
        <v>33.6</v>
      </c>
      <c r="G37" s="133" t="s">
        <v>368</v>
      </c>
    </row>
    <row r="38" spans="1:8" s="2" customFormat="1">
      <c r="A38" s="8"/>
      <c r="B38" s="8"/>
      <c r="C38" s="8"/>
      <c r="D38" s="44" t="s">
        <v>296</v>
      </c>
      <c r="E38" s="43">
        <f>SUM(F16:F18)</f>
        <v>0</v>
      </c>
      <c r="F38" s="133" t="s">
        <v>323</v>
      </c>
      <c r="G38" s="133"/>
      <c r="H38" s="133">
        <f>3*6</f>
        <v>18</v>
      </c>
    </row>
    <row r="39" spans="1:8" s="2" customFormat="1">
      <c r="A39" s="8"/>
      <c r="B39" s="8"/>
      <c r="C39" s="8"/>
      <c r="D39" s="141" t="s">
        <v>318</v>
      </c>
      <c r="E39" s="43" t="str">
        <f>IF(E34&gt;=F37,"Yes","No")</f>
        <v>No</v>
      </c>
      <c r="F39" s="133"/>
      <c r="G39" s="133"/>
    </row>
    <row r="40" spans="1:8" s="2" customFormat="1">
      <c r="A40" s="8"/>
      <c r="B40" s="8"/>
      <c r="C40" s="8"/>
      <c r="D40" s="141" t="s">
        <v>316</v>
      </c>
      <c r="E40" s="43">
        <f>(2*2)+(1*4)</f>
        <v>8</v>
      </c>
      <c r="F40" s="144" t="s">
        <v>376</v>
      </c>
      <c r="G40" s="133"/>
      <c r="H40" s="143"/>
    </row>
    <row r="41" spans="1:8" s="2" customFormat="1">
      <c r="A41" s="8"/>
      <c r="B41" s="8"/>
      <c r="C41" s="8"/>
      <c r="D41" s="141" t="s">
        <v>317</v>
      </c>
      <c r="E41" s="43">
        <f>(2*4)+(1*6)</f>
        <v>14</v>
      </c>
      <c r="F41" s="144" t="s">
        <v>377</v>
      </c>
      <c r="G41" s="133"/>
      <c r="H41" s="143"/>
    </row>
    <row r="42" spans="1:8" s="2" customFormat="1">
      <c r="A42" s="8"/>
      <c r="B42" s="8"/>
      <c r="C42" s="8"/>
      <c r="D42" s="44" t="s">
        <v>315</v>
      </c>
      <c r="E42" s="43" t="str">
        <f>IF(E39="Yes",IF(E38&gt;=E41,"III",IF(E38&gt;=E40,"II+","No")),"No")</f>
        <v>No</v>
      </c>
      <c r="F42" s="133">
        <f>(1*4)+(2*6)</f>
        <v>16</v>
      </c>
      <c r="G42" s="133" t="s">
        <v>378</v>
      </c>
    </row>
    <row r="43" spans="1:8" s="2" customFormat="1">
      <c r="A43" s="8"/>
      <c r="B43" s="8"/>
      <c r="C43" s="8"/>
      <c r="D43" s="44" t="s">
        <v>297</v>
      </c>
      <c r="E43" s="43">
        <f>SUM(F19:F24)</f>
        <v>0</v>
      </c>
      <c r="F43" s="133" t="s">
        <v>324</v>
      </c>
      <c r="G43" s="133"/>
    </row>
    <row r="44" spans="1:8" s="2" customFormat="1">
      <c r="A44" s="8"/>
      <c r="B44" s="8"/>
      <c r="C44" s="8"/>
      <c r="D44" s="141" t="s">
        <v>319</v>
      </c>
      <c r="E44" s="43" t="str">
        <f>IF(AND(E39="Yes",E38&gt;=F42),"Yes","No")</f>
        <v>No</v>
      </c>
      <c r="F44" s="133"/>
      <c r="G44" s="133"/>
    </row>
    <row r="45" spans="1:8" s="2" customFormat="1">
      <c r="A45" s="8"/>
      <c r="B45" s="8"/>
      <c r="C45" s="8"/>
      <c r="D45" s="141" t="s">
        <v>320</v>
      </c>
      <c r="E45" s="43">
        <f>(2*6)+(4*3)</f>
        <v>24</v>
      </c>
      <c r="F45" s="133" t="s">
        <v>336</v>
      </c>
      <c r="G45" s="133"/>
      <c r="H45" s="143"/>
    </row>
    <row r="46" spans="1:8" s="2" customFormat="1">
      <c r="A46" s="8"/>
      <c r="B46" s="8"/>
      <c r="C46" s="8"/>
      <c r="D46" s="141" t="s">
        <v>321</v>
      </c>
      <c r="E46" s="43">
        <f>6*9</f>
        <v>54</v>
      </c>
      <c r="F46" s="133" t="s">
        <v>337</v>
      </c>
      <c r="G46" s="133"/>
      <c r="H46" s="143"/>
    </row>
    <row r="47" spans="1:8" s="2" customFormat="1">
      <c r="A47" s="8"/>
      <c r="B47" s="8"/>
      <c r="C47" s="8"/>
      <c r="D47" s="44" t="s">
        <v>315</v>
      </c>
      <c r="E47" s="43" t="str">
        <f>IF(E44="Yes",IF(AND(E34=H34,E38=H38,E43&gt;=E46),"IV",IF(E43&gt;=E45,"III+","No")),"No")</f>
        <v>No</v>
      </c>
      <c r="F47" s="133">
        <v>54</v>
      </c>
      <c r="G47" s="133"/>
    </row>
    <row r="48" spans="1:8" s="2" customFormat="1">
      <c r="A48" s="8"/>
      <c r="B48" s="8"/>
      <c r="C48" s="8"/>
    </row>
    <row r="49" spans="1:3" s="2" customFormat="1">
      <c r="A49" s="8"/>
      <c r="B49" s="8"/>
      <c r="C49" s="8"/>
    </row>
    <row r="50" spans="1:3" s="2" customFormat="1">
      <c r="A50" s="8"/>
      <c r="B50" s="8"/>
      <c r="C50" s="8"/>
    </row>
    <row r="51" spans="1:3" s="2" customFormat="1">
      <c r="A51" s="8"/>
      <c r="B51" s="8"/>
      <c r="C51" s="8"/>
    </row>
    <row r="52" spans="1:3" s="2" customFormat="1">
      <c r="A52" s="8"/>
      <c r="B52" s="8"/>
      <c r="C52" s="8"/>
    </row>
    <row r="53" spans="1:3" s="2" customFormat="1">
      <c r="A53" s="8"/>
      <c r="B53" s="8"/>
      <c r="C53" s="8"/>
    </row>
    <row r="54" spans="1:3" s="2" customFormat="1">
      <c r="A54" s="8"/>
      <c r="B54" s="8"/>
      <c r="C54" s="8"/>
    </row>
    <row r="55" spans="1:3" s="2" customFormat="1">
      <c r="A55" s="8"/>
      <c r="B55" s="8"/>
      <c r="C55" s="8"/>
    </row>
    <row r="56" spans="1:3" s="2" customFormat="1">
      <c r="A56" s="8"/>
      <c r="B56" s="8"/>
      <c r="C56" s="8"/>
    </row>
    <row r="57" spans="1:3" s="2" customFormat="1">
      <c r="A57" s="8"/>
      <c r="B57" s="8"/>
      <c r="C57" s="8"/>
    </row>
    <row r="58" spans="1:3" s="2" customFormat="1">
      <c r="A58" s="8"/>
      <c r="B58" s="8"/>
      <c r="C58" s="8"/>
    </row>
    <row r="59" spans="1:3" s="2" customFormat="1">
      <c r="A59" s="8"/>
      <c r="B59" s="8"/>
      <c r="C59" s="8"/>
    </row>
    <row r="60" spans="1:3" s="2" customFormat="1">
      <c r="A60" s="8"/>
      <c r="B60" s="8"/>
      <c r="C60" s="8"/>
    </row>
    <row r="61" spans="1:3" s="2" customFormat="1">
      <c r="A61" s="8"/>
      <c r="B61" s="8"/>
      <c r="C61" s="8"/>
    </row>
    <row r="62" spans="1:3" s="2" customFormat="1">
      <c r="A62" s="8"/>
      <c r="B62" s="8"/>
      <c r="C62" s="8"/>
    </row>
    <row r="63" spans="1:3" s="2" customFormat="1">
      <c r="A63" s="8"/>
      <c r="B63" s="8"/>
      <c r="C63" s="8"/>
    </row>
    <row r="64" spans="1:3" s="2" customFormat="1">
      <c r="A64" s="8"/>
      <c r="B64" s="8"/>
      <c r="C64" s="8"/>
    </row>
    <row r="65" spans="1:3" s="2" customFormat="1">
      <c r="A65" s="8"/>
      <c r="B65" s="8"/>
      <c r="C65" s="8"/>
    </row>
    <row r="66" spans="1:3" s="2" customFormat="1">
      <c r="A66" s="8"/>
      <c r="B66" s="8"/>
      <c r="C66" s="8"/>
    </row>
    <row r="67" spans="1:3" s="2" customFormat="1">
      <c r="A67" s="8"/>
      <c r="B67" s="8"/>
      <c r="C67" s="8"/>
    </row>
    <row r="68" spans="1:3" s="2" customFormat="1">
      <c r="A68" s="8"/>
      <c r="B68" s="8"/>
      <c r="C68" s="8"/>
    </row>
    <row r="69" spans="1:3" s="2" customFormat="1">
      <c r="A69" s="8"/>
      <c r="B69" s="8"/>
      <c r="C69" s="8"/>
    </row>
    <row r="70" spans="1:3" s="2" customFormat="1">
      <c r="A70" s="8"/>
      <c r="B70" s="8"/>
      <c r="C70" s="8"/>
    </row>
    <row r="71" spans="1:3" s="2" customFormat="1">
      <c r="A71" s="8"/>
      <c r="B71" s="8"/>
      <c r="C71" s="8"/>
    </row>
    <row r="72" spans="1:3" s="2" customFormat="1">
      <c r="A72" s="8"/>
      <c r="B72" s="8"/>
      <c r="C72" s="8"/>
    </row>
    <row r="73" spans="1:3" s="2" customFormat="1">
      <c r="A73" s="8"/>
      <c r="B73" s="8"/>
      <c r="C73" s="8"/>
    </row>
    <row r="74" spans="1:3" s="2" customFormat="1">
      <c r="A74" s="8"/>
      <c r="B74" s="8"/>
      <c r="C74" s="8"/>
    </row>
    <row r="75" spans="1:3" s="2" customFormat="1">
      <c r="A75" s="8"/>
      <c r="B75" s="8"/>
      <c r="C75" s="8"/>
    </row>
    <row r="76" spans="1:3" s="2" customFormat="1">
      <c r="A76" s="8"/>
      <c r="B76" s="8"/>
      <c r="C76" s="8"/>
    </row>
    <row r="77" spans="1:3" s="2" customFormat="1">
      <c r="A77" s="8"/>
      <c r="B77" s="8"/>
      <c r="C77" s="8"/>
    </row>
    <row r="78" spans="1:3" s="2" customFormat="1">
      <c r="A78" s="8"/>
      <c r="B78" s="8"/>
      <c r="C78" s="8"/>
    </row>
    <row r="79" spans="1:3" s="2" customFormat="1">
      <c r="A79" s="8"/>
      <c r="B79" s="8"/>
      <c r="C79" s="8"/>
    </row>
    <row r="80" spans="1:3" s="2" customFormat="1">
      <c r="A80" s="8"/>
      <c r="B80" s="8"/>
      <c r="C80" s="8"/>
    </row>
    <row r="81" spans="1:3" s="2" customFormat="1">
      <c r="A81" s="8"/>
      <c r="B81" s="8"/>
      <c r="C81" s="8"/>
    </row>
    <row r="82" spans="1:3" s="2" customFormat="1">
      <c r="A82" s="8"/>
      <c r="B82" s="8"/>
      <c r="C82" s="8"/>
    </row>
    <row r="83" spans="1:3" s="2" customFormat="1">
      <c r="A83" s="8"/>
      <c r="B83" s="8"/>
      <c r="C83" s="8"/>
    </row>
    <row r="84" spans="1:3" s="2" customFormat="1">
      <c r="A84" s="8"/>
      <c r="B84" s="8"/>
      <c r="C84" s="8"/>
    </row>
    <row r="85" spans="1:3" s="2" customFormat="1">
      <c r="A85" s="8"/>
      <c r="B85" s="8"/>
      <c r="C85" s="8"/>
    </row>
    <row r="86" spans="1:3" s="2" customFormat="1">
      <c r="A86" s="8"/>
      <c r="B86" s="8"/>
      <c r="C86" s="8"/>
    </row>
    <row r="87" spans="1:3" s="2" customFormat="1">
      <c r="A87" s="8"/>
      <c r="B87" s="8"/>
      <c r="C87" s="8"/>
    </row>
    <row r="88" spans="1:3" s="2" customFormat="1">
      <c r="A88" s="8"/>
      <c r="B88" s="8"/>
      <c r="C88" s="8"/>
    </row>
  </sheetData>
  <sheetProtection sheet="1" objects="1" scenarios="1"/>
  <dataConsolidate/>
  <mergeCells count="4">
    <mergeCell ref="A3:D3"/>
    <mergeCell ref="A1:E1"/>
    <mergeCell ref="A2:E2"/>
    <mergeCell ref="C4:E4"/>
  </mergeCells>
  <phoneticPr fontId="5" type="noConversion"/>
  <conditionalFormatting sqref="E5:E24">
    <cfRule type="cellIs" dxfId="36" priority="0" stopIfTrue="1" operator="equal">
      <formula>"Tidak Dilakukan"</formula>
    </cfRule>
    <cfRule type="cellIs" dxfId="35" priority="1" stopIfTrue="1" operator="equal">
      <formula>"Dalam Perencanaan"</formula>
    </cfRule>
    <cfRule type="cellIs" dxfId="34" priority="2" stopIfTrue="1" operator="equal">
      <formula>"Dalam Penerapan / Diterapkan Sebagian"</formula>
    </cfRule>
  </conditionalFormatting>
  <conditionalFormatting sqref="F19:F24">
    <cfRule type="cellIs" dxfId="33" priority="3" stopIfTrue="1" operator="equal">
      <formula>0</formula>
    </cfRule>
  </conditionalFormatting>
  <dataValidations count="1">
    <dataValidation type="list" allowBlank="1" showInputMessage="1" showErrorMessage="1" sqref="E5:E24">
      <formula1>StatusPenerapan</formula1>
    </dataValidation>
  </dataValidations>
  <pageMargins left="0.75000000000000011" right="0.75000000000000011" top="1" bottom="1" header="0.5" footer="0.5"/>
  <pageSetup paperSize="9" scale="63" orientation="portrait" horizontalDpi="4294967292" verticalDpi="4294967292"/>
  <headerFooter>
    <oddFooter>&amp;L&amp;"Arial,Regular"&amp;9&amp;K000000Direktorat Keamanan Informasi&amp;C&amp;"Arial,Regular"&amp;9&amp;K000000Kementerian Komunikasi dan Informasi&amp;R&amp;"Arial,Regular"&amp;8&amp;K000000Indeks KAMI, Versi  2.3, 19 April 2012</oddFooter>
  </headerFooter>
  <ignoredErrors>
    <ignoredError sqref="A14:A21 A22:A24" numberStoredAsText="1"/>
  </ignoredErrors>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sheetPr enableFormatConditionsCalculation="0">
    <pageSetUpPr fitToPage="1"/>
  </sheetPr>
  <dimension ref="A1:V118"/>
  <sheetViews>
    <sheetView zoomScaleNormal="100" zoomScalePageLayoutView="125" workbookViewId="0">
      <pane xSplit="5" ySplit="3" topLeftCell="AG19" activePane="bottomRight" state="frozen"/>
      <selection pane="topRight" activeCell="E1" sqref="E1"/>
      <selection pane="bottomLeft" activeCell="A4" sqref="A4"/>
      <selection pane="bottomRight" activeCell="D12" sqref="D12"/>
    </sheetView>
  </sheetViews>
  <sheetFormatPr defaultColWidth="7.875" defaultRowHeight="12.75"/>
  <cols>
    <col min="1" max="1" width="4.125" style="11" bestFit="1" customWidth="1"/>
    <col min="2" max="2" width="2.75" style="11" customWidth="1"/>
    <col min="3" max="3" width="2.625" style="11" customWidth="1"/>
    <col min="4" max="4" width="80.625" style="3" customWidth="1"/>
    <col min="5" max="5" width="30.75" style="3" customWidth="1"/>
    <col min="6" max="6" width="4.75" style="3" customWidth="1"/>
    <col min="7" max="7" width="6.125" style="3" customWidth="1"/>
    <col min="8" max="16384" width="7.875" style="3"/>
  </cols>
  <sheetData>
    <row r="1" spans="1:22" ht="30" customHeight="1">
      <c r="A1" s="166" t="s">
        <v>188</v>
      </c>
      <c r="B1" s="189"/>
      <c r="C1" s="167"/>
      <c r="D1" s="167"/>
      <c r="E1" s="168"/>
      <c r="F1" s="2"/>
      <c r="G1" s="2"/>
      <c r="H1" s="2"/>
      <c r="I1" s="2"/>
      <c r="J1" s="2"/>
      <c r="K1" s="2"/>
      <c r="L1" s="2"/>
      <c r="M1" s="2"/>
      <c r="N1" s="2"/>
      <c r="O1" s="2"/>
      <c r="P1" s="2"/>
      <c r="Q1" s="2"/>
      <c r="R1" s="2"/>
      <c r="S1" s="2"/>
      <c r="T1" s="2"/>
      <c r="U1" s="2"/>
      <c r="V1" s="2"/>
    </row>
    <row r="2" spans="1:22" s="2" customFormat="1" ht="30" customHeight="1">
      <c r="A2" s="169" t="s">
        <v>54</v>
      </c>
      <c r="B2" s="190"/>
      <c r="C2" s="170"/>
      <c r="D2" s="170"/>
      <c r="E2" s="171"/>
    </row>
    <row r="3" spans="1:22" s="17" customFormat="1" ht="30" customHeight="1">
      <c r="A3" s="172" t="s">
        <v>100</v>
      </c>
      <c r="B3" s="186"/>
      <c r="C3" s="187"/>
      <c r="D3" s="188"/>
      <c r="E3" s="32" t="s">
        <v>55</v>
      </c>
      <c r="F3" s="29" t="s">
        <v>216</v>
      </c>
    </row>
    <row r="4" spans="1:22" ht="14.1" customHeight="1">
      <c r="A4" s="63" t="s">
        <v>213</v>
      </c>
      <c r="B4" s="103"/>
      <c r="C4" s="192" t="s">
        <v>217</v>
      </c>
      <c r="D4" s="193"/>
      <c r="E4" s="194"/>
      <c r="F4" s="2"/>
      <c r="G4" s="2"/>
      <c r="H4" s="2"/>
      <c r="I4" s="2"/>
      <c r="J4" s="2"/>
      <c r="K4" s="2"/>
      <c r="L4" s="2"/>
      <c r="M4" s="2"/>
      <c r="N4" s="2"/>
      <c r="O4" s="2"/>
      <c r="P4" s="2"/>
      <c r="Q4" s="2"/>
      <c r="R4" s="2"/>
      <c r="S4" s="2"/>
      <c r="T4" s="2"/>
      <c r="U4" s="2"/>
      <c r="V4" s="2"/>
    </row>
    <row r="5" spans="1:22" ht="28.5">
      <c r="A5" s="48">
        <v>3.1</v>
      </c>
      <c r="B5" s="105" t="s">
        <v>289</v>
      </c>
      <c r="C5" s="110">
        <v>1</v>
      </c>
      <c r="D5" s="108" t="s">
        <v>21</v>
      </c>
      <c r="E5" s="33" t="s">
        <v>283</v>
      </c>
      <c r="F5" s="46">
        <f t="shared" ref="F5:F17" si="0">INDEX(SkorAkhir, MATCH(E5,StatusPenerapanHasil,0), MATCH(C5,TingkatKematangan,0))</f>
        <v>0</v>
      </c>
      <c r="G5" s="2"/>
      <c r="H5" s="2"/>
      <c r="I5" s="2"/>
      <c r="J5" s="2"/>
      <c r="K5" s="2"/>
      <c r="L5" s="2"/>
      <c r="M5" s="2"/>
      <c r="N5" s="2"/>
      <c r="O5" s="2"/>
      <c r="P5" s="2"/>
      <c r="Q5" s="2"/>
      <c r="R5" s="2"/>
      <c r="S5" s="2"/>
      <c r="T5" s="2"/>
      <c r="U5" s="2"/>
      <c r="V5" s="2"/>
    </row>
    <row r="6" spans="1:22" ht="28.5">
      <c r="A6" s="48">
        <v>3.2</v>
      </c>
      <c r="B6" s="105" t="s">
        <v>289</v>
      </c>
      <c r="C6" s="110">
        <v>1</v>
      </c>
      <c r="D6" s="108" t="s">
        <v>49</v>
      </c>
      <c r="E6" s="33" t="s">
        <v>283</v>
      </c>
      <c r="F6" s="46">
        <f t="shared" si="0"/>
        <v>0</v>
      </c>
      <c r="G6" s="2"/>
      <c r="H6" s="2"/>
      <c r="I6" s="2"/>
      <c r="J6" s="2"/>
      <c r="K6" s="2"/>
      <c r="L6" s="2"/>
      <c r="M6" s="2"/>
      <c r="N6" s="2"/>
      <c r="O6" s="2"/>
      <c r="P6" s="2"/>
      <c r="Q6" s="2"/>
      <c r="R6" s="2"/>
      <c r="S6" s="2"/>
      <c r="T6" s="2"/>
      <c r="U6" s="2"/>
      <c r="V6" s="2"/>
    </row>
    <row r="7" spans="1:22" ht="42.75">
      <c r="A7" s="48">
        <v>3.3</v>
      </c>
      <c r="B7" s="105" t="s">
        <v>289</v>
      </c>
      <c r="C7" s="110">
        <v>1</v>
      </c>
      <c r="D7" s="108" t="s">
        <v>22</v>
      </c>
      <c r="E7" s="33" t="s">
        <v>283</v>
      </c>
      <c r="F7" s="46">
        <f t="shared" si="0"/>
        <v>0</v>
      </c>
      <c r="G7" s="2"/>
      <c r="H7" s="2"/>
      <c r="I7" s="2"/>
      <c r="J7" s="2"/>
      <c r="K7" s="2"/>
      <c r="L7" s="2"/>
      <c r="M7" s="2"/>
      <c r="N7" s="2"/>
      <c r="O7" s="2"/>
      <c r="P7" s="2"/>
      <c r="Q7" s="2"/>
      <c r="R7" s="2"/>
      <c r="S7" s="2"/>
      <c r="T7" s="2"/>
      <c r="U7" s="2"/>
      <c r="V7" s="2"/>
    </row>
    <row r="8" spans="1:22" ht="14.25">
      <c r="A8" s="48">
        <v>3.4</v>
      </c>
      <c r="B8" s="105" t="s">
        <v>289</v>
      </c>
      <c r="C8" s="110">
        <v>1</v>
      </c>
      <c r="D8" s="108" t="s">
        <v>23</v>
      </c>
      <c r="E8" s="33" t="s">
        <v>283</v>
      </c>
      <c r="F8" s="46">
        <f t="shared" si="0"/>
        <v>0</v>
      </c>
      <c r="G8" s="2"/>
      <c r="H8" s="2"/>
      <c r="I8" s="2"/>
      <c r="J8" s="2"/>
      <c r="K8" s="2"/>
      <c r="L8" s="2"/>
      <c r="M8" s="2"/>
      <c r="N8" s="2"/>
      <c r="O8" s="2"/>
      <c r="P8" s="2"/>
      <c r="Q8" s="2"/>
      <c r="R8" s="2"/>
      <c r="S8" s="2"/>
      <c r="T8" s="2"/>
      <c r="U8" s="2"/>
      <c r="V8" s="2"/>
    </row>
    <row r="9" spans="1:22" ht="42.75">
      <c r="A9" s="48">
        <v>3.5</v>
      </c>
      <c r="B9" s="105" t="s">
        <v>289</v>
      </c>
      <c r="C9" s="110">
        <v>1</v>
      </c>
      <c r="D9" s="108" t="s">
        <v>24</v>
      </c>
      <c r="E9" s="33" t="s">
        <v>283</v>
      </c>
      <c r="F9" s="46">
        <f t="shared" si="0"/>
        <v>0</v>
      </c>
      <c r="G9" s="2"/>
      <c r="H9" s="2"/>
      <c r="I9" s="2"/>
      <c r="J9" s="2"/>
      <c r="K9" s="2"/>
      <c r="L9" s="2"/>
      <c r="M9" s="2"/>
      <c r="N9" s="2"/>
      <c r="O9" s="2"/>
      <c r="P9" s="2"/>
      <c r="Q9" s="2"/>
      <c r="R9" s="2"/>
      <c r="S9" s="2"/>
      <c r="T9" s="2"/>
      <c r="U9" s="2"/>
      <c r="V9" s="2"/>
    </row>
    <row r="10" spans="1:22" ht="28.5">
      <c r="A10" s="48">
        <v>3.6</v>
      </c>
      <c r="B10" s="105" t="s">
        <v>289</v>
      </c>
      <c r="C10" s="110">
        <v>1</v>
      </c>
      <c r="D10" s="108" t="s">
        <v>238</v>
      </c>
      <c r="E10" s="33" t="s">
        <v>283</v>
      </c>
      <c r="F10" s="46">
        <f t="shared" si="0"/>
        <v>0</v>
      </c>
      <c r="G10" s="2"/>
      <c r="H10" s="2"/>
      <c r="I10" s="2"/>
      <c r="J10" s="2"/>
      <c r="K10" s="2"/>
      <c r="L10" s="2"/>
      <c r="M10" s="2"/>
      <c r="N10" s="2"/>
      <c r="O10" s="2"/>
      <c r="P10" s="2"/>
      <c r="Q10" s="2"/>
      <c r="R10" s="2"/>
      <c r="S10" s="2"/>
      <c r="T10" s="2"/>
      <c r="U10" s="2"/>
      <c r="V10" s="2"/>
    </row>
    <row r="11" spans="1:22" ht="28.5">
      <c r="A11" s="48">
        <v>3.7</v>
      </c>
      <c r="B11" s="105" t="s">
        <v>289</v>
      </c>
      <c r="C11" s="110">
        <v>1</v>
      </c>
      <c r="D11" s="23" t="s">
        <v>294</v>
      </c>
      <c r="E11" s="33" t="s">
        <v>283</v>
      </c>
      <c r="F11" s="46">
        <f t="shared" si="0"/>
        <v>0</v>
      </c>
      <c r="G11" s="2"/>
      <c r="H11" s="2"/>
      <c r="I11" s="2"/>
      <c r="J11" s="2"/>
      <c r="K11" s="2"/>
      <c r="L11" s="2"/>
      <c r="M11" s="2"/>
      <c r="N11" s="2"/>
      <c r="O11" s="2"/>
      <c r="P11" s="2"/>
      <c r="Q11" s="2"/>
      <c r="R11" s="2"/>
      <c r="S11" s="2"/>
      <c r="T11" s="2"/>
      <c r="U11" s="2"/>
      <c r="V11" s="2"/>
    </row>
    <row r="12" spans="1:22" ht="57">
      <c r="A12" s="48">
        <v>3.8</v>
      </c>
      <c r="B12" s="105" t="s">
        <v>289</v>
      </c>
      <c r="C12" s="110">
        <v>1</v>
      </c>
      <c r="D12" s="23" t="s">
        <v>25</v>
      </c>
      <c r="E12" s="33" t="s">
        <v>283</v>
      </c>
      <c r="F12" s="46">
        <f t="shared" si="0"/>
        <v>0</v>
      </c>
      <c r="G12" s="2"/>
      <c r="H12" s="2"/>
      <c r="I12" s="2"/>
      <c r="J12" s="2"/>
      <c r="K12" s="2"/>
      <c r="L12" s="2"/>
      <c r="M12" s="2"/>
      <c r="N12" s="2"/>
      <c r="O12" s="2"/>
      <c r="P12" s="2"/>
      <c r="Q12" s="2"/>
      <c r="R12" s="2"/>
      <c r="S12" s="2"/>
      <c r="T12" s="2"/>
      <c r="U12" s="2"/>
      <c r="V12" s="2"/>
    </row>
    <row r="13" spans="1:22" ht="14.25">
      <c r="A13" s="48">
        <v>3.9</v>
      </c>
      <c r="B13" s="105" t="s">
        <v>289</v>
      </c>
      <c r="C13" s="110">
        <v>1</v>
      </c>
      <c r="D13" s="23" t="s">
        <v>3</v>
      </c>
      <c r="E13" s="33" t="s">
        <v>283</v>
      </c>
      <c r="F13" s="46">
        <f t="shared" si="0"/>
        <v>0</v>
      </c>
      <c r="G13" s="2"/>
      <c r="H13" s="2"/>
      <c r="I13" s="2"/>
      <c r="J13" s="2"/>
      <c r="K13" s="2"/>
      <c r="L13" s="2"/>
      <c r="M13" s="2"/>
      <c r="N13" s="2"/>
      <c r="O13" s="2"/>
      <c r="P13" s="2"/>
      <c r="Q13" s="2"/>
      <c r="R13" s="2"/>
      <c r="S13" s="2"/>
      <c r="T13" s="2"/>
      <c r="U13" s="2"/>
      <c r="V13" s="2"/>
    </row>
    <row r="14" spans="1:22" ht="57">
      <c r="A14" s="49" t="s">
        <v>239</v>
      </c>
      <c r="B14" s="115" t="s">
        <v>290</v>
      </c>
      <c r="C14" s="111">
        <v>2</v>
      </c>
      <c r="D14" s="23" t="s">
        <v>195</v>
      </c>
      <c r="E14" s="33" t="s">
        <v>283</v>
      </c>
      <c r="F14" s="46">
        <f t="shared" si="0"/>
        <v>0</v>
      </c>
      <c r="G14" s="2"/>
      <c r="H14" s="2"/>
      <c r="I14" s="2"/>
      <c r="J14" s="2"/>
      <c r="K14" s="2"/>
      <c r="L14" s="2"/>
      <c r="M14" s="2"/>
      <c r="N14" s="2"/>
      <c r="O14" s="2"/>
      <c r="P14" s="2"/>
      <c r="Q14" s="2"/>
      <c r="R14" s="2"/>
      <c r="S14" s="2"/>
      <c r="T14" s="2"/>
      <c r="U14" s="2"/>
      <c r="V14" s="2"/>
    </row>
    <row r="15" spans="1:22" ht="28.5">
      <c r="A15" s="49" t="s">
        <v>196</v>
      </c>
      <c r="B15" s="115" t="s">
        <v>290</v>
      </c>
      <c r="C15" s="111">
        <v>2</v>
      </c>
      <c r="D15" s="23" t="s">
        <v>176</v>
      </c>
      <c r="E15" s="33" t="s">
        <v>283</v>
      </c>
      <c r="F15" s="46">
        <f t="shared" si="0"/>
        <v>0</v>
      </c>
      <c r="G15" s="2"/>
      <c r="H15" s="2"/>
      <c r="I15" s="2"/>
      <c r="J15" s="2"/>
      <c r="K15" s="2"/>
      <c r="L15" s="2"/>
      <c r="M15" s="2"/>
      <c r="N15" s="2"/>
      <c r="O15" s="2"/>
      <c r="P15" s="2"/>
      <c r="Q15" s="2"/>
      <c r="R15" s="2"/>
      <c r="S15" s="2"/>
      <c r="T15" s="2"/>
      <c r="U15" s="2"/>
      <c r="V15" s="2"/>
    </row>
    <row r="16" spans="1:22" ht="28.5">
      <c r="A16" s="49" t="s">
        <v>197</v>
      </c>
      <c r="B16" s="114" t="s">
        <v>292</v>
      </c>
      <c r="C16" s="111">
        <v>2</v>
      </c>
      <c r="D16" s="23" t="s">
        <v>252</v>
      </c>
      <c r="E16" s="33" t="s">
        <v>283</v>
      </c>
      <c r="F16" s="46">
        <f t="shared" si="0"/>
        <v>0</v>
      </c>
      <c r="G16" s="2"/>
      <c r="H16" s="2"/>
      <c r="I16" s="2"/>
      <c r="J16" s="2"/>
      <c r="K16" s="2"/>
      <c r="L16" s="2"/>
      <c r="M16" s="2"/>
      <c r="N16" s="2"/>
      <c r="O16" s="2"/>
      <c r="P16" s="2"/>
      <c r="Q16" s="2"/>
      <c r="R16" s="2"/>
      <c r="S16" s="2"/>
      <c r="T16" s="2"/>
      <c r="U16" s="2"/>
      <c r="V16" s="2"/>
    </row>
    <row r="17" spans="1:22" ht="42.75">
      <c r="A17" s="49" t="s">
        <v>198</v>
      </c>
      <c r="B17" s="114" t="s">
        <v>292</v>
      </c>
      <c r="C17" s="111">
        <v>2</v>
      </c>
      <c r="D17" s="23" t="s">
        <v>293</v>
      </c>
      <c r="E17" s="33" t="s">
        <v>283</v>
      </c>
      <c r="F17" s="46">
        <f t="shared" si="0"/>
        <v>0</v>
      </c>
      <c r="G17" s="2"/>
      <c r="H17" s="2"/>
      <c r="I17" s="2"/>
      <c r="J17" s="2"/>
      <c r="K17" s="2"/>
      <c r="L17" s="2"/>
      <c r="M17" s="2"/>
      <c r="N17" s="2"/>
      <c r="O17" s="2"/>
      <c r="P17" s="2"/>
      <c r="Q17" s="2"/>
      <c r="R17" s="2"/>
      <c r="S17" s="2"/>
      <c r="T17" s="2"/>
      <c r="U17" s="2"/>
      <c r="V17" s="2"/>
    </row>
    <row r="18" spans="1:22" ht="15" customHeight="1">
      <c r="A18" s="48" t="s">
        <v>175</v>
      </c>
      <c r="B18" s="113" t="s">
        <v>291</v>
      </c>
      <c r="C18" s="112">
        <v>3</v>
      </c>
      <c r="D18" s="23" t="s">
        <v>215</v>
      </c>
      <c r="E18" s="33" t="s">
        <v>283</v>
      </c>
      <c r="F18" s="46">
        <f>IF(E27="Valid",INDEX(SkorAkhir, MATCH(E18,StatusPenerapanHasil,0), MATCH(C18,TingkatKematangan,0)),0)</f>
        <v>0</v>
      </c>
      <c r="G18" s="2"/>
      <c r="H18" s="2"/>
      <c r="I18" s="2"/>
      <c r="J18" s="2"/>
      <c r="K18" s="2"/>
      <c r="L18" s="2"/>
      <c r="M18" s="2"/>
      <c r="N18" s="2"/>
      <c r="O18" s="2"/>
      <c r="P18" s="2"/>
      <c r="Q18" s="2"/>
      <c r="R18" s="2"/>
      <c r="S18" s="2"/>
      <c r="T18" s="2"/>
      <c r="U18" s="2"/>
      <c r="V18" s="2"/>
    </row>
    <row r="19" spans="1:22" ht="28.5">
      <c r="A19" s="48" t="s">
        <v>174</v>
      </c>
      <c r="B19" s="113" t="s">
        <v>291</v>
      </c>
      <c r="C19" s="112">
        <v>3</v>
      </c>
      <c r="D19" s="23" t="s">
        <v>253</v>
      </c>
      <c r="E19" s="33" t="s">
        <v>283</v>
      </c>
      <c r="F19" s="46">
        <f>IF(E27="Valid",INDEX(SkorAkhir, MATCH(E19,StatusPenerapanHasil,0), MATCH(C19,TingkatKematangan,0)),0)</f>
        <v>0</v>
      </c>
      <c r="G19" s="2"/>
      <c r="H19" s="2"/>
      <c r="I19" s="2"/>
      <c r="J19" s="2"/>
      <c r="K19" s="2"/>
      <c r="L19" s="2"/>
      <c r="M19" s="2"/>
      <c r="N19" s="2"/>
      <c r="O19" s="2"/>
      <c r="P19" s="2"/>
      <c r="Q19" s="2"/>
      <c r="R19" s="2"/>
      <c r="S19" s="2"/>
      <c r="T19" s="2"/>
      <c r="U19" s="2"/>
      <c r="V19" s="2"/>
    </row>
    <row r="20" spans="1:22" ht="18.75">
      <c r="A20" s="24"/>
      <c r="B20" s="24"/>
      <c r="C20" s="24"/>
      <c r="D20" s="47" t="s">
        <v>88</v>
      </c>
      <c r="E20" s="50">
        <f>SUM(F5:F19)</f>
        <v>0</v>
      </c>
      <c r="F20" s="2"/>
      <c r="G20" s="2"/>
      <c r="H20" s="2"/>
      <c r="I20" s="2"/>
      <c r="J20" s="2"/>
      <c r="K20" s="2"/>
      <c r="L20" s="2"/>
      <c r="M20" s="2"/>
      <c r="N20" s="2"/>
      <c r="O20" s="2"/>
      <c r="P20" s="2"/>
      <c r="Q20" s="2"/>
      <c r="R20" s="2"/>
      <c r="S20" s="2"/>
      <c r="T20" s="2"/>
      <c r="U20" s="2"/>
      <c r="V20" s="2"/>
    </row>
    <row r="21" spans="1:22" ht="19.5">
      <c r="A21" s="18"/>
      <c r="B21" s="18"/>
      <c r="C21" s="18"/>
      <c r="D21" s="19"/>
      <c r="E21" s="2"/>
      <c r="F21" s="2"/>
      <c r="G21" s="2"/>
      <c r="H21" s="2"/>
      <c r="I21" s="2"/>
      <c r="J21" s="2"/>
      <c r="K21" s="2"/>
      <c r="L21" s="2"/>
      <c r="M21" s="2"/>
      <c r="N21" s="2"/>
      <c r="O21" s="2"/>
      <c r="P21" s="2"/>
      <c r="Q21" s="2"/>
      <c r="R21" s="2"/>
      <c r="S21" s="2"/>
      <c r="T21" s="2"/>
      <c r="U21" s="2"/>
      <c r="V21" s="2"/>
    </row>
    <row r="22" spans="1:22">
      <c r="A22" s="8"/>
      <c r="B22" s="8"/>
      <c r="C22" s="8"/>
      <c r="D22" s="44" t="s">
        <v>369</v>
      </c>
      <c r="E22" s="43">
        <f>COUNTIF(C5:C19,1)</f>
        <v>9</v>
      </c>
      <c r="F22" s="2"/>
      <c r="G22" s="2"/>
      <c r="H22" s="2"/>
      <c r="I22" s="2"/>
      <c r="J22" s="2"/>
      <c r="K22" s="2"/>
      <c r="L22" s="2"/>
      <c r="M22" s="2"/>
      <c r="N22" s="2"/>
      <c r="O22" s="2"/>
      <c r="P22" s="2"/>
      <c r="Q22" s="2"/>
      <c r="R22" s="2"/>
      <c r="S22" s="2"/>
      <c r="T22" s="2"/>
      <c r="U22" s="2"/>
      <c r="V22" s="2"/>
    </row>
    <row r="23" spans="1:22">
      <c r="A23" s="8"/>
      <c r="B23" s="8"/>
      <c r="C23" s="8"/>
      <c r="D23" s="44" t="s">
        <v>370</v>
      </c>
      <c r="E23" s="43">
        <f>COUNTIF(C5:C19,2)</f>
        <v>4</v>
      </c>
      <c r="F23" s="2"/>
      <c r="G23" s="2"/>
      <c r="H23" s="2"/>
      <c r="I23" s="2"/>
      <c r="J23" s="2"/>
      <c r="K23" s="2"/>
      <c r="L23" s="2"/>
      <c r="M23" s="2"/>
      <c r="N23" s="2"/>
      <c r="O23" s="2"/>
      <c r="P23" s="2"/>
      <c r="Q23" s="2"/>
      <c r="R23" s="2"/>
      <c r="S23" s="2"/>
      <c r="T23" s="2"/>
      <c r="U23" s="2"/>
      <c r="V23" s="2"/>
    </row>
    <row r="24" spans="1:22">
      <c r="A24" s="8"/>
      <c r="B24" s="8"/>
      <c r="C24" s="8"/>
      <c r="D24" s="44" t="s">
        <v>371</v>
      </c>
      <c r="E24" s="43">
        <f>COUNTIF(C5:C19,3)</f>
        <v>2</v>
      </c>
      <c r="F24" s="2"/>
      <c r="G24" s="2"/>
      <c r="H24" s="2"/>
      <c r="I24" s="2"/>
      <c r="J24" s="2"/>
      <c r="K24" s="2"/>
      <c r="L24" s="2"/>
      <c r="M24" s="2"/>
      <c r="N24" s="2"/>
      <c r="O24" s="2"/>
      <c r="P24" s="2"/>
      <c r="Q24" s="2"/>
      <c r="R24" s="2"/>
      <c r="S24" s="2"/>
      <c r="T24" s="2"/>
      <c r="U24" s="2"/>
      <c r="V24" s="2"/>
    </row>
    <row r="25" spans="1:22">
      <c r="A25" s="8"/>
      <c r="B25" s="8"/>
      <c r="C25" s="8"/>
      <c r="D25" s="44" t="s">
        <v>372</v>
      </c>
      <c r="E25" s="43">
        <f>(2*E22)+(4*E23)</f>
        <v>34</v>
      </c>
      <c r="F25" s="2"/>
      <c r="G25" s="2"/>
      <c r="H25" s="2"/>
      <c r="I25" s="2"/>
      <c r="J25" s="2"/>
      <c r="K25" s="2"/>
      <c r="L25" s="2"/>
      <c r="M25" s="2"/>
      <c r="N25" s="2"/>
      <c r="O25" s="2"/>
      <c r="P25" s="2"/>
      <c r="Q25" s="2"/>
      <c r="R25" s="2"/>
      <c r="S25" s="2"/>
      <c r="T25" s="2"/>
      <c r="U25" s="2"/>
      <c r="V25" s="2"/>
    </row>
    <row r="26" spans="1:22">
      <c r="A26" s="8"/>
      <c r="B26" s="8"/>
      <c r="C26" s="8"/>
      <c r="D26" s="44" t="s">
        <v>373</v>
      </c>
      <c r="E26" s="43">
        <f>SUM(F5:F17)</f>
        <v>0</v>
      </c>
      <c r="F26" s="2"/>
      <c r="G26" s="2"/>
      <c r="H26" s="2"/>
      <c r="I26" s="2"/>
      <c r="J26" s="2"/>
      <c r="K26" s="2"/>
      <c r="L26" s="2"/>
      <c r="M26" s="2"/>
      <c r="N26" s="2"/>
      <c r="O26" s="2"/>
      <c r="P26" s="2"/>
      <c r="Q26" s="2"/>
      <c r="R26" s="2"/>
      <c r="S26" s="2"/>
      <c r="T26" s="2"/>
      <c r="U26" s="2"/>
      <c r="V26" s="2"/>
    </row>
    <row r="27" spans="1:22">
      <c r="A27" s="8"/>
      <c r="B27" s="8"/>
      <c r="C27" s="8"/>
      <c r="D27" s="44" t="s">
        <v>374</v>
      </c>
      <c r="E27" s="43" t="str">
        <f>IF(E26&gt;=E25,"Valid","Tidak Valid")</f>
        <v>Tidak Valid</v>
      </c>
      <c r="F27" s="2"/>
      <c r="G27" s="2"/>
      <c r="H27" s="2"/>
      <c r="I27" s="2"/>
      <c r="J27" s="2"/>
      <c r="K27" s="2"/>
      <c r="L27" s="2"/>
      <c r="M27" s="2"/>
      <c r="N27" s="2"/>
      <c r="O27" s="2"/>
      <c r="P27" s="2"/>
      <c r="Q27" s="2"/>
      <c r="R27" s="2"/>
      <c r="S27" s="2"/>
      <c r="T27" s="2"/>
      <c r="U27" s="2"/>
      <c r="V27" s="2"/>
    </row>
    <row r="28" spans="1:22">
      <c r="A28" s="8"/>
      <c r="B28" s="8"/>
      <c r="C28" s="8"/>
      <c r="D28" s="2"/>
      <c r="E28" s="133"/>
      <c r="F28" s="2"/>
      <c r="G28" s="2"/>
      <c r="H28" s="2"/>
      <c r="I28" s="2"/>
      <c r="J28" s="2"/>
      <c r="K28" s="2"/>
      <c r="L28" s="2"/>
      <c r="M28" s="2"/>
      <c r="N28" s="2"/>
      <c r="O28" s="2"/>
      <c r="P28" s="2"/>
      <c r="Q28" s="2"/>
      <c r="R28" s="2"/>
      <c r="S28" s="2"/>
      <c r="T28" s="2"/>
      <c r="U28" s="2"/>
      <c r="V28" s="2"/>
    </row>
    <row r="29" spans="1:22">
      <c r="A29" s="8"/>
      <c r="B29" s="8"/>
      <c r="C29" s="8"/>
      <c r="D29" s="44" t="s">
        <v>295</v>
      </c>
      <c r="E29" s="43">
        <f>SUM(F5:F13)</f>
        <v>0</v>
      </c>
      <c r="F29" s="133" t="s">
        <v>325</v>
      </c>
      <c r="G29" s="2"/>
      <c r="H29" s="133">
        <f>9*3</f>
        <v>27</v>
      </c>
      <c r="I29" s="2"/>
      <c r="J29" s="2"/>
      <c r="K29" s="2"/>
      <c r="L29" s="2"/>
      <c r="M29" s="2"/>
      <c r="N29" s="2"/>
      <c r="O29" s="2"/>
      <c r="P29" s="2"/>
      <c r="Q29" s="2"/>
      <c r="R29" s="2"/>
      <c r="S29" s="2"/>
      <c r="T29" s="2"/>
      <c r="U29" s="2"/>
      <c r="V29" s="2"/>
    </row>
    <row r="30" spans="1:22">
      <c r="A30" s="8"/>
      <c r="B30" s="8"/>
      <c r="C30" s="8"/>
      <c r="D30" s="141" t="s">
        <v>313</v>
      </c>
      <c r="E30" s="43">
        <f>(4*2)+(5*1)</f>
        <v>13</v>
      </c>
      <c r="F30" s="133" t="s">
        <v>334</v>
      </c>
      <c r="G30" s="2"/>
      <c r="H30" s="2"/>
      <c r="I30" s="2"/>
      <c r="J30" s="2"/>
      <c r="K30" s="2"/>
      <c r="L30" s="2"/>
      <c r="M30" s="2"/>
      <c r="N30" s="2"/>
      <c r="O30" s="2"/>
      <c r="P30" s="2"/>
      <c r="Q30" s="2"/>
      <c r="R30" s="2"/>
      <c r="S30" s="2"/>
      <c r="T30" s="2"/>
      <c r="U30" s="2"/>
      <c r="V30" s="2"/>
    </row>
    <row r="31" spans="1:22">
      <c r="A31" s="8"/>
      <c r="B31" s="8"/>
      <c r="C31" s="8"/>
      <c r="D31" s="141" t="s">
        <v>314</v>
      </c>
      <c r="E31" s="43">
        <f>(9*2)</f>
        <v>18</v>
      </c>
      <c r="F31" s="133" t="s">
        <v>335</v>
      </c>
      <c r="G31" s="2"/>
      <c r="H31" s="2"/>
      <c r="I31" s="2"/>
      <c r="J31" s="2"/>
      <c r="K31" s="2"/>
      <c r="L31" s="2"/>
      <c r="M31" s="2"/>
      <c r="N31" s="2"/>
      <c r="O31" s="2"/>
      <c r="P31" s="2"/>
      <c r="Q31" s="2"/>
      <c r="R31" s="2"/>
      <c r="S31" s="2"/>
      <c r="T31" s="2"/>
      <c r="U31" s="2"/>
      <c r="V31" s="2"/>
    </row>
    <row r="32" spans="1:22">
      <c r="A32" s="8"/>
      <c r="B32" s="8"/>
      <c r="C32" s="8"/>
      <c r="D32" s="44" t="s">
        <v>315</v>
      </c>
      <c r="E32" s="43" t="str">
        <f>IF(E29&gt;=E31,"II",IF(E29&gt;=E30,"I+","No"))</f>
        <v>No</v>
      </c>
      <c r="F32" s="133">
        <f>0.8*9*3</f>
        <v>21.6</v>
      </c>
      <c r="G32" s="133" t="s">
        <v>368</v>
      </c>
      <c r="H32" s="2"/>
      <c r="I32" s="2"/>
      <c r="J32" s="2"/>
      <c r="K32" s="2"/>
      <c r="L32" s="2"/>
      <c r="M32" s="2"/>
      <c r="N32" s="2"/>
      <c r="O32" s="2"/>
      <c r="P32" s="2"/>
      <c r="Q32" s="2"/>
      <c r="R32" s="2"/>
      <c r="S32" s="2"/>
      <c r="T32" s="2"/>
      <c r="U32" s="2"/>
      <c r="V32" s="2"/>
    </row>
    <row r="33" spans="1:22">
      <c r="A33" s="8"/>
      <c r="B33" s="8"/>
      <c r="C33" s="8"/>
      <c r="D33" s="44" t="s">
        <v>296</v>
      </c>
      <c r="E33" s="43">
        <f>SUM(F14:F15)</f>
        <v>0</v>
      </c>
      <c r="F33" s="133" t="s">
        <v>326</v>
      </c>
      <c r="G33" s="2"/>
      <c r="H33" s="133">
        <f>2*6</f>
        <v>12</v>
      </c>
      <c r="I33" s="2"/>
      <c r="J33" s="2"/>
      <c r="K33" s="2"/>
      <c r="L33" s="2"/>
      <c r="M33" s="2"/>
      <c r="N33" s="2"/>
      <c r="O33" s="2"/>
      <c r="P33" s="2"/>
      <c r="Q33" s="2"/>
      <c r="R33" s="2"/>
      <c r="S33" s="2"/>
      <c r="T33" s="2"/>
      <c r="U33" s="2"/>
      <c r="V33" s="2"/>
    </row>
    <row r="34" spans="1:22">
      <c r="A34" s="8"/>
      <c r="B34" s="8"/>
      <c r="C34" s="8"/>
      <c r="D34" s="141" t="s">
        <v>318</v>
      </c>
      <c r="E34" s="43" t="str">
        <f>IF(E29&gt;=F32,"Yes","No")</f>
        <v>No</v>
      </c>
      <c r="F34" s="133"/>
      <c r="G34" s="2"/>
      <c r="H34" s="2"/>
      <c r="I34" s="2"/>
      <c r="J34" s="2"/>
      <c r="K34" s="2"/>
      <c r="L34" s="2"/>
      <c r="M34" s="2"/>
      <c r="N34" s="2"/>
      <c r="O34" s="2"/>
      <c r="P34" s="2"/>
      <c r="Q34" s="2"/>
      <c r="R34" s="2"/>
      <c r="S34" s="2"/>
      <c r="T34" s="2"/>
      <c r="U34" s="2"/>
      <c r="V34" s="2"/>
    </row>
    <row r="35" spans="1:22">
      <c r="A35" s="8"/>
      <c r="B35" s="8"/>
      <c r="C35" s="8"/>
      <c r="D35" s="141" t="s">
        <v>316</v>
      </c>
      <c r="E35" s="43">
        <f>(2*2)+(0*4)</f>
        <v>4</v>
      </c>
      <c r="F35" s="144" t="s">
        <v>376</v>
      </c>
      <c r="G35" s="2"/>
      <c r="H35" s="2"/>
      <c r="I35" s="2"/>
      <c r="J35" s="2"/>
      <c r="K35" s="2"/>
      <c r="L35" s="2"/>
      <c r="M35" s="2"/>
      <c r="N35" s="2"/>
      <c r="O35" s="2"/>
      <c r="P35" s="2"/>
      <c r="Q35" s="2"/>
      <c r="R35" s="2"/>
      <c r="S35" s="2"/>
      <c r="T35" s="2"/>
      <c r="U35" s="2"/>
      <c r="V35" s="2"/>
    </row>
    <row r="36" spans="1:22">
      <c r="A36" s="8"/>
      <c r="B36" s="8"/>
      <c r="C36" s="8"/>
      <c r="D36" s="141" t="s">
        <v>317</v>
      </c>
      <c r="E36" s="43">
        <f>2*4</f>
        <v>8</v>
      </c>
      <c r="F36" s="144" t="s">
        <v>375</v>
      </c>
      <c r="G36" s="2"/>
      <c r="H36" s="2"/>
      <c r="I36" s="2"/>
      <c r="J36" s="2"/>
      <c r="K36" s="2"/>
      <c r="L36" s="2"/>
      <c r="M36" s="2"/>
      <c r="N36" s="2"/>
      <c r="O36" s="2"/>
      <c r="P36" s="2"/>
      <c r="Q36" s="2"/>
      <c r="R36" s="2"/>
      <c r="S36" s="2"/>
      <c r="T36" s="2"/>
      <c r="U36" s="2"/>
      <c r="V36" s="2"/>
    </row>
    <row r="37" spans="1:22">
      <c r="A37" s="8"/>
      <c r="B37" s="8"/>
      <c r="C37" s="8"/>
      <c r="D37" s="44" t="s">
        <v>315</v>
      </c>
      <c r="E37" s="43" t="str">
        <f>IF(E34="Yes",IF(E33&gt;=E36,"III",IF(E33&gt;=E35,"II+","No")),"No")</f>
        <v>No</v>
      </c>
      <c r="F37" s="133">
        <f>(1*4)+(1*6)</f>
        <v>10</v>
      </c>
      <c r="G37" s="133" t="s">
        <v>378</v>
      </c>
      <c r="H37" s="2"/>
      <c r="I37" s="2"/>
      <c r="J37" s="2"/>
      <c r="K37" s="2"/>
      <c r="L37" s="2"/>
      <c r="M37" s="2"/>
      <c r="N37" s="2"/>
      <c r="O37" s="2"/>
      <c r="P37" s="2"/>
      <c r="Q37" s="2"/>
      <c r="R37" s="2"/>
      <c r="S37" s="2"/>
      <c r="T37" s="2"/>
      <c r="U37" s="2"/>
      <c r="V37" s="2"/>
    </row>
    <row r="38" spans="1:22">
      <c r="A38" s="8"/>
      <c r="B38" s="8"/>
      <c r="C38" s="8"/>
      <c r="D38" s="44" t="s">
        <v>297</v>
      </c>
      <c r="E38" s="43">
        <f>SUM(F16:F17)</f>
        <v>0</v>
      </c>
      <c r="F38" s="133" t="s">
        <v>326</v>
      </c>
      <c r="G38" s="2"/>
      <c r="H38" s="2"/>
      <c r="I38" s="2"/>
      <c r="J38" s="2"/>
      <c r="K38" s="2"/>
      <c r="L38" s="2"/>
      <c r="M38" s="2"/>
      <c r="N38" s="2"/>
      <c r="O38" s="2"/>
      <c r="P38" s="2"/>
      <c r="Q38" s="2"/>
      <c r="R38" s="2"/>
      <c r="S38" s="2"/>
      <c r="T38" s="2"/>
      <c r="U38" s="2"/>
      <c r="V38" s="2"/>
    </row>
    <row r="39" spans="1:22">
      <c r="A39" s="8"/>
      <c r="B39" s="8"/>
      <c r="C39" s="8"/>
      <c r="D39" s="141" t="s">
        <v>319</v>
      </c>
      <c r="E39" s="43" t="str">
        <f>IF(AND(E34="Yes",E33&gt;=F37),"Yes","No")</f>
        <v>No</v>
      </c>
      <c r="F39" s="133"/>
      <c r="G39" s="2"/>
      <c r="H39" s="2"/>
      <c r="I39" s="2"/>
      <c r="J39" s="2"/>
      <c r="K39" s="2"/>
      <c r="L39" s="2"/>
      <c r="M39" s="2"/>
      <c r="N39" s="2"/>
      <c r="O39" s="2"/>
      <c r="P39" s="2"/>
      <c r="Q39" s="2"/>
      <c r="R39" s="2"/>
      <c r="S39" s="2"/>
      <c r="T39" s="2"/>
      <c r="U39" s="2"/>
      <c r="V39" s="2"/>
    </row>
    <row r="40" spans="1:22">
      <c r="A40" s="8"/>
      <c r="B40" s="8"/>
      <c r="C40" s="8"/>
      <c r="D40" s="141" t="s">
        <v>320</v>
      </c>
      <c r="E40" s="43">
        <v>8</v>
      </c>
      <c r="F40" s="133" t="s">
        <v>381</v>
      </c>
      <c r="G40" s="2"/>
      <c r="H40" s="2"/>
      <c r="I40" s="2"/>
      <c r="J40" s="2"/>
      <c r="K40" s="2"/>
      <c r="L40" s="2"/>
      <c r="M40" s="2"/>
      <c r="N40" s="2"/>
      <c r="O40" s="2"/>
      <c r="P40" s="2"/>
      <c r="Q40" s="2"/>
      <c r="R40" s="2"/>
      <c r="S40" s="2"/>
      <c r="T40" s="2"/>
      <c r="U40" s="2"/>
      <c r="V40" s="2"/>
    </row>
    <row r="41" spans="1:22">
      <c r="A41" s="8"/>
      <c r="B41" s="8"/>
      <c r="C41" s="8"/>
      <c r="D41" s="141" t="s">
        <v>321</v>
      </c>
      <c r="E41" s="43">
        <f>2*6</f>
        <v>12</v>
      </c>
      <c r="F41" s="133" t="s">
        <v>337</v>
      </c>
      <c r="G41" s="2"/>
      <c r="H41" s="2"/>
      <c r="I41" s="2"/>
      <c r="J41" s="2"/>
      <c r="K41" s="2"/>
      <c r="L41" s="2"/>
      <c r="M41" s="2"/>
      <c r="N41" s="2"/>
      <c r="O41" s="2"/>
      <c r="P41" s="2"/>
      <c r="Q41" s="2"/>
      <c r="R41" s="2"/>
      <c r="S41" s="2"/>
      <c r="T41" s="2"/>
      <c r="U41" s="2"/>
      <c r="V41" s="2"/>
    </row>
    <row r="42" spans="1:22">
      <c r="A42" s="8"/>
      <c r="B42" s="8"/>
      <c r="C42" s="8"/>
      <c r="D42" s="44" t="s">
        <v>315</v>
      </c>
      <c r="E42" s="43" t="str">
        <f>IF(E39="Yes",IF(AND(E29=H29,E33=H33,E38&gt;=E41),"IV",IF(E38&gt;=E40,"III+","No")),"No")</f>
        <v>No</v>
      </c>
      <c r="F42" s="133">
        <f>2*6</f>
        <v>12</v>
      </c>
      <c r="G42" s="2"/>
      <c r="H42" s="2"/>
      <c r="I42" s="2"/>
      <c r="J42" s="2"/>
      <c r="K42" s="2"/>
      <c r="L42" s="2"/>
      <c r="M42" s="2"/>
      <c r="N42" s="2"/>
      <c r="O42" s="2"/>
      <c r="P42" s="2"/>
      <c r="Q42" s="2"/>
      <c r="R42" s="2"/>
      <c r="S42" s="2"/>
      <c r="T42" s="2"/>
      <c r="U42" s="2"/>
      <c r="V42" s="2"/>
    </row>
    <row r="43" spans="1:22">
      <c r="A43" s="8"/>
      <c r="B43" s="8"/>
      <c r="C43" s="8"/>
      <c r="D43" s="44" t="s">
        <v>304</v>
      </c>
      <c r="E43" s="31">
        <f>SUM(F18:F19)</f>
        <v>0</v>
      </c>
      <c r="F43" s="133" t="s">
        <v>327</v>
      </c>
      <c r="G43" s="2"/>
      <c r="H43" s="2"/>
      <c r="I43" s="2"/>
      <c r="J43" s="2"/>
      <c r="K43" s="2"/>
      <c r="L43" s="2"/>
      <c r="M43" s="2"/>
      <c r="N43" s="2"/>
      <c r="O43" s="2"/>
      <c r="P43" s="2"/>
      <c r="Q43" s="2"/>
      <c r="R43" s="2"/>
      <c r="S43" s="2"/>
      <c r="T43" s="2"/>
      <c r="U43" s="2"/>
      <c r="V43" s="2"/>
    </row>
    <row r="44" spans="1:22">
      <c r="A44" s="8"/>
      <c r="B44" s="8"/>
      <c r="C44" s="8"/>
      <c r="D44" s="141" t="s">
        <v>328</v>
      </c>
      <c r="E44" s="43" t="str">
        <f>IF(AND(E39="Yes",E38&gt;=F42),"Yes","No")</f>
        <v>No</v>
      </c>
      <c r="F44" s="2"/>
      <c r="G44" s="2"/>
      <c r="H44" s="2"/>
      <c r="I44" s="2"/>
      <c r="J44" s="2"/>
      <c r="K44" s="2"/>
      <c r="L44" s="2"/>
      <c r="M44" s="2"/>
      <c r="N44" s="2"/>
      <c r="O44" s="2"/>
      <c r="P44" s="2"/>
      <c r="Q44" s="2"/>
      <c r="R44" s="2"/>
      <c r="S44" s="2"/>
      <c r="T44" s="2"/>
      <c r="U44" s="2"/>
      <c r="V44" s="2"/>
    </row>
    <row r="45" spans="1:22">
      <c r="A45" s="8"/>
      <c r="B45" s="8"/>
      <c r="C45" s="8"/>
      <c r="D45" s="141" t="s">
        <v>329</v>
      </c>
      <c r="E45" s="43">
        <f>2*6</f>
        <v>12</v>
      </c>
      <c r="F45" s="133" t="s">
        <v>336</v>
      </c>
      <c r="G45" s="2"/>
      <c r="H45" s="2"/>
      <c r="I45" s="2"/>
      <c r="J45" s="2"/>
      <c r="K45" s="2"/>
      <c r="L45" s="2"/>
      <c r="M45" s="2"/>
      <c r="N45" s="2"/>
      <c r="O45" s="2"/>
      <c r="P45" s="2"/>
      <c r="Q45" s="2"/>
      <c r="R45" s="2"/>
      <c r="S45" s="2"/>
      <c r="T45" s="2"/>
      <c r="U45" s="2"/>
      <c r="V45" s="2"/>
    </row>
    <row r="46" spans="1:22">
      <c r="A46" s="8"/>
      <c r="B46" s="8"/>
      <c r="C46" s="8"/>
      <c r="D46" s="141" t="s">
        <v>330</v>
      </c>
      <c r="E46" s="43">
        <f>2*9</f>
        <v>18</v>
      </c>
      <c r="F46" s="133" t="s">
        <v>337</v>
      </c>
      <c r="G46" s="2"/>
      <c r="H46" s="2"/>
      <c r="I46" s="2"/>
      <c r="J46" s="2"/>
      <c r="K46" s="2"/>
      <c r="L46" s="2"/>
      <c r="M46" s="2"/>
      <c r="N46" s="2"/>
      <c r="O46" s="2"/>
      <c r="P46" s="2"/>
      <c r="Q46" s="2"/>
      <c r="R46" s="2"/>
      <c r="S46" s="2"/>
      <c r="T46" s="2"/>
      <c r="U46" s="2"/>
      <c r="V46" s="2"/>
    </row>
    <row r="47" spans="1:22">
      <c r="A47" s="8"/>
      <c r="B47" s="8"/>
      <c r="C47" s="8"/>
      <c r="D47" s="44" t="s">
        <v>315</v>
      </c>
      <c r="E47" s="43" t="str">
        <f>IF(E44="Yes",IF(E43&gt;=E46,"V",IF(E43&gt;=E45,"IV+","No")),"No")</f>
        <v>No</v>
      </c>
      <c r="F47" s="133"/>
      <c r="G47" s="2"/>
      <c r="H47" s="2"/>
      <c r="I47" s="2"/>
      <c r="J47" s="2"/>
      <c r="K47" s="2"/>
      <c r="L47" s="2"/>
      <c r="M47" s="2"/>
      <c r="N47" s="2"/>
      <c r="O47" s="2"/>
      <c r="P47" s="2"/>
      <c r="Q47" s="2"/>
      <c r="R47" s="2"/>
      <c r="S47" s="2"/>
      <c r="T47" s="2"/>
      <c r="U47" s="2"/>
      <c r="V47" s="2"/>
    </row>
    <row r="48" spans="1:22">
      <c r="A48" s="8"/>
      <c r="B48" s="8"/>
      <c r="C48" s="8"/>
      <c r="D48" s="2"/>
      <c r="E48" s="2"/>
      <c r="F48" s="2"/>
      <c r="G48" s="2"/>
      <c r="H48" s="2"/>
      <c r="I48" s="2"/>
      <c r="J48" s="2"/>
      <c r="K48" s="2"/>
      <c r="L48" s="2"/>
      <c r="M48" s="2"/>
      <c r="N48" s="2"/>
      <c r="O48" s="2"/>
      <c r="P48" s="2"/>
      <c r="Q48" s="2"/>
      <c r="R48" s="2"/>
      <c r="S48" s="2"/>
      <c r="T48" s="2"/>
      <c r="U48" s="2"/>
      <c r="V48" s="2"/>
    </row>
    <row r="49" spans="1:22">
      <c r="A49" s="8"/>
      <c r="B49" s="8"/>
      <c r="C49" s="8"/>
      <c r="D49" s="2"/>
      <c r="E49" s="2"/>
      <c r="F49" s="2"/>
      <c r="G49" s="2"/>
      <c r="H49" s="2"/>
      <c r="I49" s="2"/>
      <c r="J49" s="2"/>
      <c r="K49" s="2"/>
      <c r="L49" s="2"/>
      <c r="M49" s="2"/>
      <c r="N49" s="2"/>
      <c r="O49" s="2"/>
      <c r="P49" s="2"/>
      <c r="Q49" s="2"/>
      <c r="R49" s="2"/>
      <c r="S49" s="2"/>
      <c r="T49" s="2"/>
      <c r="U49" s="2"/>
      <c r="V49" s="2"/>
    </row>
    <row r="50" spans="1:22">
      <c r="A50" s="8"/>
      <c r="B50" s="8"/>
      <c r="C50" s="8"/>
      <c r="D50" s="2"/>
      <c r="E50" s="2"/>
      <c r="F50" s="2"/>
      <c r="G50" s="2"/>
      <c r="H50" s="2"/>
      <c r="I50" s="2"/>
      <c r="J50" s="2"/>
      <c r="K50" s="2"/>
      <c r="L50" s="2"/>
      <c r="M50" s="2"/>
      <c r="N50" s="2"/>
      <c r="O50" s="2"/>
      <c r="P50" s="2"/>
      <c r="Q50" s="2"/>
      <c r="R50" s="2"/>
      <c r="S50" s="2"/>
      <c r="T50" s="2"/>
      <c r="U50" s="2"/>
      <c r="V50" s="2"/>
    </row>
    <row r="51" spans="1:22">
      <c r="A51" s="8"/>
      <c r="B51" s="8"/>
      <c r="C51" s="8"/>
      <c r="D51" s="2"/>
      <c r="E51" s="2"/>
      <c r="F51" s="2"/>
      <c r="G51" s="2"/>
      <c r="H51" s="2"/>
      <c r="I51" s="2"/>
      <c r="J51" s="2"/>
      <c r="K51" s="2"/>
      <c r="L51" s="2"/>
      <c r="M51" s="2"/>
      <c r="N51" s="2"/>
      <c r="O51" s="2"/>
      <c r="P51" s="2"/>
      <c r="Q51" s="2"/>
      <c r="R51" s="2"/>
      <c r="S51" s="2"/>
      <c r="T51" s="2"/>
      <c r="U51" s="2"/>
      <c r="V51" s="2"/>
    </row>
    <row r="52" spans="1:22">
      <c r="A52" s="8"/>
      <c r="B52" s="8"/>
      <c r="C52" s="8"/>
      <c r="D52" s="2"/>
      <c r="E52" s="2"/>
      <c r="F52" s="2"/>
      <c r="G52" s="2"/>
      <c r="H52" s="2"/>
      <c r="I52" s="2"/>
      <c r="J52" s="2"/>
      <c r="K52" s="2"/>
      <c r="L52" s="2"/>
      <c r="M52" s="2"/>
      <c r="N52" s="2"/>
      <c r="O52" s="2"/>
      <c r="P52" s="2"/>
      <c r="Q52" s="2"/>
      <c r="R52" s="2"/>
      <c r="S52" s="2"/>
      <c r="T52" s="2"/>
      <c r="U52" s="2"/>
      <c r="V52" s="2"/>
    </row>
    <row r="53" spans="1:22">
      <c r="A53" s="8"/>
      <c r="B53" s="8"/>
      <c r="C53" s="8"/>
      <c r="D53" s="2"/>
      <c r="E53" s="2"/>
      <c r="F53" s="2"/>
      <c r="G53" s="2"/>
      <c r="H53" s="2"/>
      <c r="I53" s="2"/>
      <c r="J53" s="2"/>
      <c r="K53" s="2"/>
      <c r="L53" s="2"/>
      <c r="M53" s="2"/>
      <c r="N53" s="2"/>
      <c r="O53" s="2"/>
      <c r="P53" s="2"/>
      <c r="Q53" s="2"/>
      <c r="R53" s="2"/>
      <c r="S53" s="2"/>
      <c r="T53" s="2"/>
      <c r="U53" s="2"/>
      <c r="V53" s="2"/>
    </row>
    <row r="54" spans="1:22">
      <c r="A54" s="8"/>
      <c r="B54" s="8"/>
      <c r="C54" s="8"/>
      <c r="D54" s="2"/>
      <c r="E54" s="2"/>
      <c r="F54" s="2"/>
      <c r="G54" s="2"/>
      <c r="H54" s="2"/>
      <c r="I54" s="2"/>
      <c r="J54" s="2"/>
      <c r="K54" s="2"/>
      <c r="L54" s="2"/>
      <c r="M54" s="2"/>
      <c r="N54" s="2"/>
      <c r="O54" s="2"/>
      <c r="P54" s="2"/>
      <c r="Q54" s="2"/>
      <c r="R54" s="2"/>
      <c r="S54" s="2"/>
      <c r="T54" s="2"/>
      <c r="U54" s="2"/>
      <c r="V54" s="2"/>
    </row>
    <row r="55" spans="1:22">
      <c r="A55" s="8"/>
      <c r="B55" s="8"/>
      <c r="C55" s="8"/>
      <c r="D55" s="2"/>
      <c r="E55" s="2"/>
      <c r="F55" s="2"/>
      <c r="G55" s="2"/>
      <c r="H55" s="2"/>
      <c r="I55" s="2"/>
      <c r="J55" s="2"/>
      <c r="K55" s="2"/>
      <c r="L55" s="2"/>
      <c r="M55" s="2"/>
      <c r="N55" s="2"/>
      <c r="O55" s="2"/>
      <c r="P55" s="2"/>
      <c r="Q55" s="2"/>
      <c r="R55" s="2"/>
      <c r="S55" s="2"/>
      <c r="T55" s="2"/>
      <c r="U55" s="2"/>
      <c r="V55" s="2"/>
    </row>
    <row r="56" spans="1:22">
      <c r="A56" s="8"/>
      <c r="B56" s="8"/>
      <c r="C56" s="8"/>
      <c r="D56" s="2"/>
      <c r="E56" s="2"/>
      <c r="F56" s="2"/>
      <c r="G56" s="2"/>
      <c r="H56" s="2"/>
      <c r="I56" s="2"/>
      <c r="J56" s="2"/>
      <c r="K56" s="2"/>
      <c r="L56" s="2"/>
      <c r="M56" s="2"/>
      <c r="N56" s="2"/>
      <c r="O56" s="2"/>
      <c r="P56" s="2"/>
      <c r="Q56" s="2"/>
      <c r="R56" s="2"/>
      <c r="S56" s="2"/>
      <c r="T56" s="2"/>
      <c r="U56" s="2"/>
      <c r="V56" s="2"/>
    </row>
    <row r="57" spans="1:22">
      <c r="A57" s="8"/>
      <c r="B57" s="8"/>
      <c r="C57" s="8"/>
      <c r="D57" s="2"/>
      <c r="E57" s="2"/>
      <c r="F57" s="2"/>
      <c r="G57" s="2"/>
      <c r="H57" s="2"/>
      <c r="I57" s="2"/>
      <c r="J57" s="2"/>
      <c r="K57" s="2"/>
      <c r="L57" s="2"/>
      <c r="M57" s="2"/>
      <c r="N57" s="2"/>
      <c r="O57" s="2"/>
      <c r="P57" s="2"/>
      <c r="Q57" s="2"/>
      <c r="R57" s="2"/>
      <c r="S57" s="2"/>
      <c r="T57" s="2"/>
      <c r="U57" s="2"/>
      <c r="V57" s="2"/>
    </row>
    <row r="58" spans="1:22">
      <c r="A58" s="8"/>
      <c r="B58" s="8"/>
      <c r="C58" s="8"/>
      <c r="D58" s="2"/>
      <c r="E58" s="2"/>
      <c r="F58" s="2"/>
      <c r="G58" s="2"/>
      <c r="H58" s="2"/>
      <c r="I58" s="2"/>
      <c r="J58" s="2"/>
      <c r="K58" s="2"/>
      <c r="L58" s="2"/>
      <c r="M58" s="2"/>
      <c r="N58" s="2"/>
      <c r="O58" s="2"/>
      <c r="P58" s="2"/>
      <c r="Q58" s="2"/>
      <c r="R58" s="2"/>
      <c r="S58" s="2"/>
      <c r="T58" s="2"/>
      <c r="U58" s="2"/>
      <c r="V58" s="2"/>
    </row>
    <row r="59" spans="1:22">
      <c r="A59" s="8"/>
      <c r="B59" s="8"/>
      <c r="C59" s="8"/>
      <c r="D59" s="2"/>
      <c r="E59" s="2"/>
      <c r="F59" s="2"/>
      <c r="G59" s="2"/>
      <c r="H59" s="2"/>
      <c r="I59" s="2"/>
      <c r="J59" s="2"/>
      <c r="K59" s="2"/>
      <c r="L59" s="2"/>
      <c r="M59" s="2"/>
      <c r="N59" s="2"/>
      <c r="O59" s="2"/>
      <c r="P59" s="2"/>
      <c r="Q59" s="2"/>
      <c r="R59" s="2"/>
      <c r="S59" s="2"/>
      <c r="T59" s="2"/>
      <c r="U59" s="2"/>
      <c r="V59" s="2"/>
    </row>
    <row r="60" spans="1:22">
      <c r="A60" s="8"/>
      <c r="B60" s="8"/>
      <c r="C60" s="8"/>
      <c r="D60" s="2"/>
      <c r="E60" s="2"/>
      <c r="F60" s="2"/>
      <c r="G60" s="2"/>
      <c r="H60" s="2"/>
      <c r="I60" s="2"/>
      <c r="J60" s="2"/>
      <c r="K60" s="2"/>
      <c r="L60" s="2"/>
      <c r="M60" s="2"/>
      <c r="N60" s="2"/>
      <c r="O60" s="2"/>
      <c r="P60" s="2"/>
      <c r="Q60" s="2"/>
      <c r="R60" s="2"/>
      <c r="S60" s="2"/>
      <c r="T60" s="2"/>
      <c r="U60" s="2"/>
      <c r="V60" s="2"/>
    </row>
    <row r="61" spans="1:22">
      <c r="A61" s="8"/>
      <c r="B61" s="8"/>
      <c r="C61" s="8"/>
      <c r="D61" s="2"/>
      <c r="E61" s="2"/>
      <c r="F61" s="2"/>
      <c r="G61" s="2"/>
      <c r="H61" s="2"/>
      <c r="I61" s="2"/>
      <c r="J61" s="2"/>
      <c r="K61" s="2"/>
      <c r="L61" s="2"/>
      <c r="M61" s="2"/>
      <c r="N61" s="2"/>
      <c r="O61" s="2"/>
      <c r="P61" s="2"/>
      <c r="Q61" s="2"/>
      <c r="R61" s="2"/>
      <c r="S61" s="2"/>
      <c r="T61" s="2"/>
      <c r="U61" s="2"/>
      <c r="V61" s="2"/>
    </row>
    <row r="62" spans="1:22">
      <c r="A62" s="8"/>
      <c r="B62" s="8"/>
      <c r="C62" s="8"/>
      <c r="D62" s="2"/>
      <c r="E62" s="2"/>
      <c r="F62" s="2"/>
      <c r="G62" s="2"/>
      <c r="H62" s="2"/>
      <c r="I62" s="2"/>
      <c r="J62" s="2"/>
      <c r="K62" s="2"/>
      <c r="L62" s="2"/>
      <c r="M62" s="2"/>
      <c r="N62" s="2"/>
      <c r="O62" s="2"/>
      <c r="P62" s="2"/>
      <c r="Q62" s="2"/>
      <c r="R62" s="2"/>
      <c r="S62" s="2"/>
      <c r="T62" s="2"/>
      <c r="U62" s="2"/>
      <c r="V62" s="2"/>
    </row>
    <row r="63" spans="1:22">
      <c r="A63" s="8"/>
      <c r="B63" s="8"/>
      <c r="C63" s="8"/>
      <c r="D63" s="2"/>
      <c r="E63" s="2"/>
      <c r="F63" s="2"/>
      <c r="G63" s="2"/>
      <c r="H63" s="2"/>
      <c r="I63" s="2"/>
      <c r="J63" s="2"/>
      <c r="K63" s="2"/>
      <c r="L63" s="2"/>
      <c r="M63" s="2"/>
      <c r="N63" s="2"/>
      <c r="O63" s="2"/>
      <c r="P63" s="2"/>
      <c r="Q63" s="2"/>
      <c r="R63" s="2"/>
      <c r="S63" s="2"/>
      <c r="T63" s="2"/>
      <c r="U63" s="2"/>
      <c r="V63" s="2"/>
    </row>
    <row r="64" spans="1:22">
      <c r="A64" s="8"/>
      <c r="B64" s="8"/>
      <c r="C64" s="8"/>
      <c r="D64" s="2"/>
      <c r="E64" s="2"/>
      <c r="F64" s="2"/>
      <c r="G64" s="2"/>
      <c r="H64" s="2"/>
      <c r="I64" s="2"/>
      <c r="J64" s="2"/>
      <c r="K64" s="2"/>
      <c r="L64" s="2"/>
      <c r="M64" s="2"/>
      <c r="N64" s="2"/>
      <c r="O64" s="2"/>
      <c r="P64" s="2"/>
      <c r="Q64" s="2"/>
      <c r="R64" s="2"/>
      <c r="S64" s="2"/>
      <c r="T64" s="2"/>
      <c r="U64" s="2"/>
      <c r="V64" s="2"/>
    </row>
    <row r="65" spans="1:22">
      <c r="A65" s="8"/>
      <c r="B65" s="8"/>
      <c r="C65" s="8"/>
      <c r="D65" s="2"/>
      <c r="E65" s="2"/>
      <c r="F65" s="2"/>
      <c r="G65" s="2"/>
      <c r="H65" s="2"/>
      <c r="I65" s="2"/>
      <c r="J65" s="2"/>
      <c r="K65" s="2"/>
      <c r="L65" s="2"/>
      <c r="M65" s="2"/>
      <c r="N65" s="2"/>
      <c r="O65" s="2"/>
      <c r="P65" s="2"/>
      <c r="Q65" s="2"/>
      <c r="R65" s="2"/>
      <c r="S65" s="2"/>
      <c r="T65" s="2"/>
      <c r="U65" s="2"/>
      <c r="V65" s="2"/>
    </row>
    <row r="66" spans="1:22">
      <c r="A66" s="8"/>
      <c r="B66" s="8"/>
      <c r="C66" s="8"/>
      <c r="D66" s="2"/>
      <c r="E66" s="2"/>
      <c r="F66" s="2"/>
      <c r="G66" s="2"/>
      <c r="H66" s="2"/>
      <c r="I66" s="2"/>
      <c r="J66" s="2"/>
      <c r="K66" s="2"/>
      <c r="L66" s="2"/>
      <c r="M66" s="2"/>
      <c r="N66" s="2"/>
      <c r="O66" s="2"/>
      <c r="P66" s="2"/>
      <c r="Q66" s="2"/>
      <c r="R66" s="2"/>
      <c r="S66" s="2"/>
      <c r="T66" s="2"/>
      <c r="U66" s="2"/>
      <c r="V66" s="2"/>
    </row>
    <row r="67" spans="1:22">
      <c r="A67" s="8"/>
      <c r="B67" s="8"/>
      <c r="C67" s="8"/>
      <c r="D67" s="2"/>
      <c r="E67" s="2"/>
      <c r="F67" s="2"/>
      <c r="G67" s="2"/>
      <c r="H67" s="2"/>
      <c r="I67" s="2"/>
      <c r="J67" s="2"/>
      <c r="K67" s="2"/>
      <c r="L67" s="2"/>
      <c r="M67" s="2"/>
      <c r="N67" s="2"/>
      <c r="O67" s="2"/>
      <c r="P67" s="2"/>
      <c r="Q67" s="2"/>
      <c r="R67" s="2"/>
      <c r="S67" s="2"/>
      <c r="T67" s="2"/>
      <c r="U67" s="2"/>
      <c r="V67" s="2"/>
    </row>
    <row r="68" spans="1:22">
      <c r="A68" s="8"/>
      <c r="B68" s="8"/>
      <c r="C68" s="8"/>
      <c r="D68" s="2"/>
      <c r="E68" s="2"/>
      <c r="F68" s="2"/>
      <c r="G68" s="2"/>
      <c r="H68" s="2"/>
      <c r="I68" s="2"/>
      <c r="J68" s="2"/>
      <c r="K68" s="2"/>
      <c r="L68" s="2"/>
      <c r="M68" s="2"/>
      <c r="N68" s="2"/>
      <c r="O68" s="2"/>
      <c r="P68" s="2"/>
      <c r="Q68" s="2"/>
      <c r="R68" s="2"/>
      <c r="S68" s="2"/>
      <c r="T68" s="2"/>
      <c r="U68" s="2"/>
      <c r="V68" s="2"/>
    </row>
    <row r="69" spans="1:22">
      <c r="A69" s="8"/>
      <c r="B69" s="8"/>
      <c r="C69" s="8"/>
      <c r="D69" s="2"/>
      <c r="E69" s="2"/>
      <c r="F69" s="2"/>
      <c r="G69" s="2"/>
      <c r="H69" s="2"/>
      <c r="I69" s="2"/>
      <c r="J69" s="2"/>
      <c r="K69" s="2"/>
      <c r="L69" s="2"/>
      <c r="M69" s="2"/>
      <c r="N69" s="2"/>
      <c r="O69" s="2"/>
      <c r="P69" s="2"/>
      <c r="Q69" s="2"/>
      <c r="R69" s="2"/>
      <c r="S69" s="2"/>
      <c r="T69" s="2"/>
      <c r="U69" s="2"/>
      <c r="V69" s="2"/>
    </row>
    <row r="70" spans="1:22">
      <c r="A70" s="8"/>
      <c r="B70" s="8"/>
      <c r="C70" s="8"/>
      <c r="D70" s="2"/>
      <c r="E70" s="2"/>
      <c r="F70" s="2"/>
      <c r="G70" s="2"/>
      <c r="H70" s="2"/>
      <c r="I70" s="2"/>
      <c r="J70" s="2"/>
      <c r="K70" s="2"/>
      <c r="L70" s="2"/>
      <c r="M70" s="2"/>
      <c r="N70" s="2"/>
      <c r="O70" s="2"/>
      <c r="P70" s="2"/>
      <c r="Q70" s="2"/>
      <c r="R70" s="2"/>
      <c r="S70" s="2"/>
      <c r="T70" s="2"/>
      <c r="U70" s="2"/>
      <c r="V70" s="2"/>
    </row>
    <row r="71" spans="1:22">
      <c r="A71" s="8"/>
      <c r="B71" s="8"/>
      <c r="C71" s="8"/>
      <c r="D71" s="2"/>
      <c r="E71" s="2"/>
      <c r="F71" s="2"/>
      <c r="G71" s="2"/>
      <c r="H71" s="2"/>
      <c r="I71" s="2"/>
      <c r="J71" s="2"/>
      <c r="K71" s="2"/>
      <c r="L71" s="2"/>
      <c r="M71" s="2"/>
      <c r="N71" s="2"/>
      <c r="O71" s="2"/>
      <c r="P71" s="2"/>
      <c r="Q71" s="2"/>
      <c r="R71" s="2"/>
      <c r="S71" s="2"/>
      <c r="T71" s="2"/>
      <c r="U71" s="2"/>
      <c r="V71" s="2"/>
    </row>
    <row r="72" spans="1:22">
      <c r="A72" s="8"/>
      <c r="B72" s="8"/>
      <c r="C72" s="8"/>
      <c r="D72" s="2"/>
      <c r="E72" s="2"/>
      <c r="F72" s="2"/>
      <c r="G72" s="2"/>
      <c r="H72" s="2"/>
      <c r="I72" s="2"/>
      <c r="J72" s="2"/>
      <c r="K72" s="2"/>
      <c r="L72" s="2"/>
      <c r="M72" s="2"/>
      <c r="N72" s="2"/>
      <c r="O72" s="2"/>
      <c r="P72" s="2"/>
      <c r="Q72" s="2"/>
      <c r="R72" s="2"/>
      <c r="S72" s="2"/>
      <c r="T72" s="2"/>
      <c r="U72" s="2"/>
      <c r="V72" s="2"/>
    </row>
    <row r="73" spans="1:22">
      <c r="A73" s="8"/>
      <c r="B73" s="8"/>
      <c r="C73" s="8"/>
      <c r="D73" s="2"/>
      <c r="E73" s="2"/>
      <c r="F73" s="2"/>
      <c r="G73" s="2"/>
      <c r="H73" s="2"/>
      <c r="I73" s="2"/>
      <c r="J73" s="2"/>
      <c r="K73" s="2"/>
      <c r="L73" s="2"/>
      <c r="M73" s="2"/>
      <c r="N73" s="2"/>
      <c r="O73" s="2"/>
      <c r="P73" s="2"/>
      <c r="Q73" s="2"/>
      <c r="R73" s="2"/>
      <c r="S73" s="2"/>
      <c r="T73" s="2"/>
      <c r="U73" s="2"/>
      <c r="V73" s="2"/>
    </row>
    <row r="74" spans="1:22">
      <c r="A74" s="8"/>
      <c r="B74" s="8"/>
      <c r="C74" s="8"/>
      <c r="D74" s="2"/>
      <c r="E74" s="2"/>
      <c r="F74" s="2"/>
      <c r="G74" s="2"/>
      <c r="H74" s="2"/>
      <c r="I74" s="2"/>
      <c r="J74" s="2"/>
      <c r="K74" s="2"/>
      <c r="L74" s="2"/>
      <c r="M74" s="2"/>
      <c r="N74" s="2"/>
      <c r="O74" s="2"/>
      <c r="P74" s="2"/>
      <c r="Q74" s="2"/>
      <c r="R74" s="2"/>
      <c r="S74" s="2"/>
      <c r="T74" s="2"/>
      <c r="U74" s="2"/>
      <c r="V74" s="2"/>
    </row>
    <row r="75" spans="1:22">
      <c r="A75" s="8"/>
      <c r="B75" s="8"/>
      <c r="C75" s="8"/>
      <c r="D75" s="2"/>
      <c r="E75" s="2"/>
      <c r="F75" s="2"/>
      <c r="G75" s="2"/>
      <c r="H75" s="2"/>
      <c r="I75" s="2"/>
      <c r="J75" s="2"/>
      <c r="K75" s="2"/>
      <c r="L75" s="2"/>
      <c r="M75" s="2"/>
      <c r="N75" s="2"/>
      <c r="O75" s="2"/>
      <c r="P75" s="2"/>
      <c r="Q75" s="2"/>
      <c r="R75" s="2"/>
      <c r="S75" s="2"/>
      <c r="T75" s="2"/>
      <c r="U75" s="2"/>
      <c r="V75" s="2"/>
    </row>
    <row r="76" spans="1:22">
      <c r="A76" s="8"/>
      <c r="B76" s="8"/>
      <c r="C76" s="8"/>
      <c r="D76" s="2"/>
      <c r="E76" s="2"/>
      <c r="F76" s="2"/>
      <c r="G76" s="2"/>
      <c r="H76" s="2"/>
      <c r="I76" s="2"/>
      <c r="J76" s="2"/>
      <c r="K76" s="2"/>
      <c r="L76" s="2"/>
      <c r="M76" s="2"/>
      <c r="N76" s="2"/>
      <c r="O76" s="2"/>
      <c r="P76" s="2"/>
      <c r="Q76" s="2"/>
      <c r="R76" s="2"/>
      <c r="S76" s="2"/>
      <c r="T76" s="2"/>
      <c r="U76" s="2"/>
      <c r="V76" s="2"/>
    </row>
    <row r="77" spans="1:22">
      <c r="A77" s="8"/>
      <c r="B77" s="8"/>
      <c r="C77" s="8"/>
      <c r="D77" s="2"/>
      <c r="E77" s="2"/>
      <c r="F77" s="2"/>
      <c r="G77" s="2"/>
      <c r="H77" s="2"/>
      <c r="I77" s="2"/>
      <c r="J77" s="2"/>
      <c r="K77" s="2"/>
      <c r="L77" s="2"/>
      <c r="M77" s="2"/>
      <c r="N77" s="2"/>
      <c r="O77" s="2"/>
      <c r="P77" s="2"/>
      <c r="Q77" s="2"/>
      <c r="R77" s="2"/>
      <c r="S77" s="2"/>
      <c r="T77" s="2"/>
      <c r="U77" s="2"/>
      <c r="V77" s="2"/>
    </row>
    <row r="78" spans="1:22">
      <c r="A78" s="8"/>
      <c r="B78" s="8"/>
      <c r="C78" s="8"/>
      <c r="D78" s="2"/>
      <c r="E78" s="2"/>
      <c r="F78" s="2"/>
      <c r="G78" s="2"/>
      <c r="H78" s="2"/>
      <c r="I78" s="2"/>
      <c r="J78" s="2"/>
      <c r="K78" s="2"/>
      <c r="L78" s="2"/>
      <c r="M78" s="2"/>
      <c r="N78" s="2"/>
      <c r="O78" s="2"/>
      <c r="P78" s="2"/>
      <c r="Q78" s="2"/>
      <c r="R78" s="2"/>
      <c r="S78" s="2"/>
      <c r="T78" s="2"/>
      <c r="U78" s="2"/>
      <c r="V78" s="2"/>
    </row>
    <row r="79" spans="1:22">
      <c r="A79" s="8"/>
      <c r="B79" s="8"/>
      <c r="C79" s="8"/>
      <c r="D79" s="2"/>
      <c r="E79" s="2"/>
      <c r="F79" s="2"/>
      <c r="G79" s="2"/>
      <c r="H79" s="2"/>
      <c r="I79" s="2"/>
      <c r="J79" s="2"/>
      <c r="K79" s="2"/>
      <c r="L79" s="2"/>
      <c r="M79" s="2"/>
      <c r="N79" s="2"/>
      <c r="O79" s="2"/>
      <c r="P79" s="2"/>
      <c r="Q79" s="2"/>
      <c r="R79" s="2"/>
      <c r="S79" s="2"/>
      <c r="T79" s="2"/>
      <c r="U79" s="2"/>
      <c r="V79" s="2"/>
    </row>
    <row r="80" spans="1:22">
      <c r="A80" s="8"/>
      <c r="B80" s="8"/>
      <c r="C80" s="8"/>
      <c r="D80" s="2"/>
      <c r="E80" s="2"/>
      <c r="F80" s="2"/>
      <c r="G80" s="2"/>
      <c r="H80" s="2"/>
      <c r="I80" s="2"/>
      <c r="J80" s="2"/>
      <c r="K80" s="2"/>
      <c r="L80" s="2"/>
      <c r="M80" s="2"/>
      <c r="N80" s="2"/>
      <c r="O80" s="2"/>
      <c r="P80" s="2"/>
      <c r="Q80" s="2"/>
      <c r="R80" s="2"/>
      <c r="S80" s="2"/>
      <c r="T80" s="2"/>
      <c r="U80" s="2"/>
      <c r="V80" s="2"/>
    </row>
    <row r="81" spans="1:22">
      <c r="A81" s="8"/>
      <c r="B81" s="8"/>
      <c r="C81" s="8"/>
      <c r="D81" s="2"/>
      <c r="E81" s="2"/>
      <c r="F81" s="2"/>
      <c r="G81" s="2"/>
      <c r="H81" s="2"/>
      <c r="I81" s="2"/>
      <c r="J81" s="2"/>
      <c r="K81" s="2"/>
      <c r="L81" s="2"/>
      <c r="M81" s="2"/>
      <c r="N81" s="2"/>
      <c r="O81" s="2"/>
      <c r="P81" s="2"/>
      <c r="Q81" s="2"/>
      <c r="R81" s="2"/>
      <c r="S81" s="2"/>
      <c r="T81" s="2"/>
      <c r="U81" s="2"/>
      <c r="V81" s="2"/>
    </row>
    <row r="82" spans="1:22">
      <c r="A82" s="8"/>
      <c r="B82" s="8"/>
      <c r="C82" s="8"/>
      <c r="D82" s="2"/>
      <c r="E82" s="2"/>
      <c r="F82" s="2"/>
      <c r="G82" s="2"/>
      <c r="H82" s="2"/>
      <c r="I82" s="2"/>
      <c r="J82" s="2"/>
      <c r="K82" s="2"/>
      <c r="L82" s="2"/>
      <c r="M82" s="2"/>
      <c r="N82" s="2"/>
      <c r="O82" s="2"/>
      <c r="P82" s="2"/>
      <c r="Q82" s="2"/>
      <c r="R82" s="2"/>
      <c r="S82" s="2"/>
      <c r="T82" s="2"/>
      <c r="U82" s="2"/>
      <c r="V82" s="2"/>
    </row>
    <row r="83" spans="1:22">
      <c r="A83" s="8"/>
      <c r="B83" s="8"/>
      <c r="C83" s="8"/>
      <c r="D83" s="2"/>
      <c r="E83" s="2"/>
      <c r="F83" s="2"/>
      <c r="G83" s="2"/>
      <c r="H83" s="2"/>
      <c r="I83" s="2"/>
      <c r="J83" s="2"/>
      <c r="K83" s="2"/>
      <c r="L83" s="2"/>
      <c r="M83" s="2"/>
      <c r="N83" s="2"/>
      <c r="O83" s="2"/>
      <c r="P83" s="2"/>
      <c r="Q83" s="2"/>
      <c r="R83" s="2"/>
      <c r="S83" s="2"/>
      <c r="T83" s="2"/>
      <c r="U83" s="2"/>
      <c r="V83" s="2"/>
    </row>
    <row r="84" spans="1:22">
      <c r="A84" s="8"/>
      <c r="B84" s="8"/>
      <c r="C84" s="8"/>
      <c r="D84" s="2"/>
      <c r="E84" s="2"/>
      <c r="F84" s="2"/>
      <c r="G84" s="2"/>
      <c r="H84" s="2"/>
      <c r="I84" s="2"/>
      <c r="J84" s="2"/>
      <c r="K84" s="2"/>
      <c r="L84" s="2"/>
      <c r="M84" s="2"/>
      <c r="N84" s="2"/>
      <c r="O84" s="2"/>
      <c r="P84" s="2"/>
      <c r="Q84" s="2"/>
      <c r="R84" s="2"/>
      <c r="S84" s="2"/>
      <c r="T84" s="2"/>
      <c r="U84" s="2"/>
      <c r="V84" s="2"/>
    </row>
    <row r="85" spans="1:22">
      <c r="A85" s="8"/>
      <c r="B85" s="8"/>
      <c r="C85" s="8"/>
      <c r="D85" s="2"/>
      <c r="E85" s="2"/>
      <c r="F85" s="2"/>
      <c r="G85" s="2"/>
      <c r="H85" s="2"/>
      <c r="I85" s="2"/>
      <c r="J85" s="2"/>
      <c r="K85" s="2"/>
      <c r="L85" s="2"/>
      <c r="M85" s="2"/>
      <c r="N85" s="2"/>
      <c r="O85" s="2"/>
      <c r="P85" s="2"/>
      <c r="Q85" s="2"/>
      <c r="R85" s="2"/>
      <c r="S85" s="2"/>
      <c r="T85" s="2"/>
      <c r="U85" s="2"/>
      <c r="V85" s="2"/>
    </row>
    <row r="86" spans="1:22">
      <c r="A86" s="8"/>
      <c r="B86" s="8"/>
      <c r="C86" s="8"/>
      <c r="D86" s="2"/>
      <c r="E86" s="2"/>
      <c r="F86" s="2"/>
      <c r="G86" s="2"/>
      <c r="H86" s="2"/>
      <c r="I86" s="2"/>
      <c r="J86" s="2"/>
      <c r="K86" s="2"/>
      <c r="L86" s="2"/>
      <c r="M86" s="2"/>
      <c r="N86" s="2"/>
      <c r="O86" s="2"/>
      <c r="P86" s="2"/>
      <c r="Q86" s="2"/>
      <c r="R86" s="2"/>
      <c r="S86" s="2"/>
      <c r="T86" s="2"/>
      <c r="U86" s="2"/>
      <c r="V86" s="2"/>
    </row>
    <row r="87" spans="1:22">
      <c r="A87" s="8"/>
      <c r="B87" s="8"/>
      <c r="C87" s="8"/>
      <c r="D87" s="2"/>
      <c r="E87" s="2"/>
      <c r="F87" s="2"/>
      <c r="G87" s="2"/>
      <c r="H87" s="2"/>
      <c r="I87" s="2"/>
      <c r="J87" s="2"/>
      <c r="K87" s="2"/>
      <c r="L87" s="2"/>
      <c r="M87" s="2"/>
      <c r="N87" s="2"/>
      <c r="O87" s="2"/>
      <c r="P87" s="2"/>
      <c r="Q87" s="2"/>
      <c r="R87" s="2"/>
      <c r="S87" s="2"/>
      <c r="T87" s="2"/>
      <c r="U87" s="2"/>
      <c r="V87" s="2"/>
    </row>
    <row r="88" spans="1:22">
      <c r="A88" s="8"/>
      <c r="B88" s="8"/>
      <c r="C88" s="8"/>
      <c r="D88" s="2"/>
      <c r="E88" s="2"/>
      <c r="F88" s="2"/>
      <c r="G88" s="2"/>
      <c r="H88" s="2"/>
      <c r="I88" s="2"/>
      <c r="J88" s="2"/>
      <c r="K88" s="2"/>
      <c r="L88" s="2"/>
      <c r="M88" s="2"/>
      <c r="N88" s="2"/>
      <c r="O88" s="2"/>
      <c r="P88" s="2"/>
      <c r="Q88" s="2"/>
      <c r="R88" s="2"/>
      <c r="S88" s="2"/>
      <c r="T88" s="2"/>
      <c r="U88" s="2"/>
      <c r="V88" s="2"/>
    </row>
    <row r="89" spans="1:22">
      <c r="A89" s="8"/>
      <c r="B89" s="8"/>
      <c r="C89" s="8"/>
      <c r="D89" s="2"/>
      <c r="E89" s="2"/>
      <c r="F89" s="2"/>
      <c r="G89" s="2"/>
      <c r="H89" s="2"/>
      <c r="I89" s="2"/>
      <c r="J89" s="2"/>
      <c r="K89" s="2"/>
      <c r="L89" s="2"/>
      <c r="M89" s="2"/>
      <c r="N89" s="2"/>
      <c r="O89" s="2"/>
      <c r="P89" s="2"/>
      <c r="Q89" s="2"/>
      <c r="R89" s="2"/>
      <c r="S89" s="2"/>
      <c r="T89" s="2"/>
      <c r="U89" s="2"/>
      <c r="V89" s="2"/>
    </row>
    <row r="90" spans="1:22">
      <c r="A90" s="8"/>
      <c r="B90" s="8"/>
      <c r="C90" s="8"/>
      <c r="D90" s="2"/>
      <c r="E90" s="2"/>
      <c r="F90" s="2"/>
      <c r="G90" s="2"/>
      <c r="H90" s="2"/>
      <c r="I90" s="2"/>
      <c r="J90" s="2"/>
      <c r="K90" s="2"/>
      <c r="L90" s="2"/>
      <c r="M90" s="2"/>
      <c r="N90" s="2"/>
      <c r="O90" s="2"/>
      <c r="P90" s="2"/>
      <c r="Q90" s="2"/>
      <c r="R90" s="2"/>
      <c r="S90" s="2"/>
      <c r="T90" s="2"/>
      <c r="U90" s="2"/>
      <c r="V90" s="2"/>
    </row>
    <row r="91" spans="1:22">
      <c r="A91" s="8"/>
      <c r="B91" s="8"/>
      <c r="C91" s="8"/>
      <c r="D91" s="2"/>
      <c r="E91" s="2"/>
      <c r="F91" s="2"/>
      <c r="G91" s="2"/>
      <c r="H91" s="2"/>
      <c r="I91" s="2"/>
      <c r="J91" s="2"/>
      <c r="K91" s="2"/>
      <c r="L91" s="2"/>
      <c r="M91" s="2"/>
      <c r="N91" s="2"/>
      <c r="O91" s="2"/>
      <c r="P91" s="2"/>
      <c r="Q91" s="2"/>
      <c r="R91" s="2"/>
      <c r="S91" s="2"/>
      <c r="T91" s="2"/>
      <c r="U91" s="2"/>
      <c r="V91" s="2"/>
    </row>
    <row r="92" spans="1:22">
      <c r="A92" s="8"/>
      <c r="B92" s="8"/>
      <c r="C92" s="8"/>
      <c r="D92" s="2"/>
      <c r="E92" s="2"/>
      <c r="F92" s="2"/>
      <c r="G92" s="2"/>
      <c r="H92" s="2"/>
      <c r="I92" s="2"/>
      <c r="J92" s="2"/>
      <c r="K92" s="2"/>
      <c r="L92" s="2"/>
      <c r="M92" s="2"/>
      <c r="N92" s="2"/>
      <c r="O92" s="2"/>
      <c r="P92" s="2"/>
      <c r="Q92" s="2"/>
      <c r="R92" s="2"/>
      <c r="S92" s="2"/>
      <c r="T92" s="2"/>
      <c r="U92" s="2"/>
      <c r="V92" s="2"/>
    </row>
    <row r="93" spans="1:22">
      <c r="A93" s="8"/>
      <c r="B93" s="8"/>
      <c r="C93" s="8"/>
      <c r="D93" s="2"/>
      <c r="E93" s="2"/>
      <c r="F93" s="2"/>
      <c r="G93" s="2"/>
      <c r="H93" s="2"/>
      <c r="I93" s="2"/>
      <c r="J93" s="2"/>
      <c r="K93" s="2"/>
      <c r="L93" s="2"/>
      <c r="M93" s="2"/>
      <c r="N93" s="2"/>
      <c r="O93" s="2"/>
      <c r="P93" s="2"/>
      <c r="Q93" s="2"/>
      <c r="R93" s="2"/>
      <c r="S93" s="2"/>
      <c r="T93" s="2"/>
      <c r="U93" s="2"/>
      <c r="V93" s="2"/>
    </row>
    <row r="94" spans="1:22">
      <c r="A94" s="8"/>
      <c r="B94" s="8"/>
      <c r="C94" s="8"/>
      <c r="D94" s="2"/>
      <c r="E94" s="2"/>
      <c r="F94" s="2"/>
      <c r="G94" s="2"/>
      <c r="H94" s="2"/>
      <c r="I94" s="2"/>
      <c r="J94" s="2"/>
      <c r="K94" s="2"/>
      <c r="L94" s="2"/>
      <c r="M94" s="2"/>
      <c r="N94" s="2"/>
      <c r="O94" s="2"/>
      <c r="P94" s="2"/>
      <c r="Q94" s="2"/>
      <c r="R94" s="2"/>
      <c r="S94" s="2"/>
      <c r="T94" s="2"/>
      <c r="U94" s="2"/>
      <c r="V94" s="2"/>
    </row>
    <row r="95" spans="1:22">
      <c r="A95" s="8"/>
      <c r="B95" s="8"/>
      <c r="C95" s="8"/>
      <c r="D95" s="2"/>
      <c r="E95" s="2"/>
      <c r="F95" s="2"/>
      <c r="G95" s="2"/>
      <c r="H95" s="2"/>
      <c r="I95" s="2"/>
      <c r="J95" s="2"/>
      <c r="K95" s="2"/>
      <c r="L95" s="2"/>
      <c r="M95" s="2"/>
      <c r="N95" s="2"/>
      <c r="O95" s="2"/>
      <c r="P95" s="2"/>
      <c r="Q95" s="2"/>
      <c r="R95" s="2"/>
      <c r="S95" s="2"/>
      <c r="T95" s="2"/>
      <c r="U95" s="2"/>
      <c r="V95" s="2"/>
    </row>
    <row r="96" spans="1:22">
      <c r="A96" s="8"/>
      <c r="B96" s="8"/>
      <c r="C96" s="8"/>
      <c r="D96" s="2"/>
      <c r="E96" s="2"/>
      <c r="F96" s="2"/>
      <c r="G96" s="2"/>
      <c r="H96" s="2"/>
      <c r="I96" s="2"/>
      <c r="J96" s="2"/>
      <c r="K96" s="2"/>
      <c r="L96" s="2"/>
      <c r="M96" s="2"/>
      <c r="N96" s="2"/>
      <c r="O96" s="2"/>
      <c r="P96" s="2"/>
      <c r="Q96" s="2"/>
      <c r="R96" s="2"/>
      <c r="S96" s="2"/>
      <c r="T96" s="2"/>
      <c r="U96" s="2"/>
      <c r="V96" s="2"/>
    </row>
    <row r="97" spans="1:22">
      <c r="A97" s="8"/>
      <c r="B97" s="8"/>
      <c r="C97" s="8"/>
      <c r="D97" s="2"/>
      <c r="E97" s="2"/>
      <c r="F97" s="2"/>
      <c r="G97" s="2"/>
      <c r="H97" s="2"/>
      <c r="I97" s="2"/>
      <c r="J97" s="2"/>
      <c r="K97" s="2"/>
      <c r="L97" s="2"/>
      <c r="M97" s="2"/>
      <c r="N97" s="2"/>
      <c r="O97" s="2"/>
      <c r="P97" s="2"/>
      <c r="Q97" s="2"/>
      <c r="R97" s="2"/>
      <c r="S97" s="2"/>
      <c r="T97" s="2"/>
      <c r="U97" s="2"/>
      <c r="V97" s="2"/>
    </row>
    <row r="98" spans="1:22">
      <c r="A98" s="8"/>
      <c r="B98" s="8"/>
      <c r="C98" s="8"/>
      <c r="D98" s="2"/>
      <c r="E98" s="2"/>
      <c r="F98" s="2"/>
      <c r="G98" s="2"/>
      <c r="H98" s="2"/>
      <c r="I98" s="2"/>
      <c r="J98" s="2"/>
      <c r="K98" s="2"/>
      <c r="L98" s="2"/>
      <c r="M98" s="2"/>
      <c r="N98" s="2"/>
      <c r="O98" s="2"/>
      <c r="P98" s="2"/>
      <c r="Q98" s="2"/>
      <c r="R98" s="2"/>
      <c r="S98" s="2"/>
      <c r="T98" s="2"/>
      <c r="U98" s="2"/>
      <c r="V98" s="2"/>
    </row>
    <row r="99" spans="1:22">
      <c r="A99" s="8"/>
      <c r="B99" s="8"/>
      <c r="C99" s="8"/>
      <c r="D99" s="2"/>
      <c r="E99" s="2"/>
      <c r="F99" s="2"/>
      <c r="G99" s="2"/>
      <c r="H99" s="2"/>
      <c r="I99" s="2"/>
      <c r="J99" s="2"/>
      <c r="K99" s="2"/>
      <c r="L99" s="2"/>
      <c r="M99" s="2"/>
      <c r="N99" s="2"/>
      <c r="O99" s="2"/>
      <c r="P99" s="2"/>
      <c r="Q99" s="2"/>
      <c r="R99" s="2"/>
      <c r="S99" s="2"/>
      <c r="T99" s="2"/>
      <c r="U99" s="2"/>
      <c r="V99" s="2"/>
    </row>
    <row r="100" spans="1:22">
      <c r="A100" s="8"/>
      <c r="B100" s="8"/>
      <c r="C100" s="8"/>
      <c r="D100" s="2"/>
      <c r="E100" s="2"/>
      <c r="F100" s="2"/>
      <c r="G100" s="2"/>
      <c r="H100" s="2"/>
      <c r="I100" s="2"/>
      <c r="J100" s="2"/>
      <c r="K100" s="2"/>
      <c r="L100" s="2"/>
      <c r="M100" s="2"/>
      <c r="N100" s="2"/>
      <c r="O100" s="2"/>
      <c r="P100" s="2"/>
      <c r="Q100" s="2"/>
      <c r="R100" s="2"/>
      <c r="S100" s="2"/>
      <c r="T100" s="2"/>
      <c r="U100" s="2"/>
      <c r="V100" s="2"/>
    </row>
    <row r="101" spans="1:22">
      <c r="A101" s="8"/>
      <c r="B101" s="8"/>
      <c r="C101" s="8"/>
      <c r="D101" s="2"/>
      <c r="E101" s="2"/>
      <c r="F101" s="2"/>
      <c r="G101" s="2"/>
      <c r="H101" s="2"/>
      <c r="I101" s="2"/>
      <c r="J101" s="2"/>
      <c r="K101" s="2"/>
      <c r="L101" s="2"/>
      <c r="M101" s="2"/>
      <c r="N101" s="2"/>
      <c r="O101" s="2"/>
      <c r="P101" s="2"/>
      <c r="Q101" s="2"/>
      <c r="R101" s="2"/>
      <c r="S101" s="2"/>
      <c r="T101" s="2"/>
      <c r="U101" s="2"/>
      <c r="V101" s="2"/>
    </row>
    <row r="102" spans="1:22">
      <c r="A102" s="8"/>
      <c r="B102" s="8"/>
      <c r="C102" s="8"/>
      <c r="D102" s="2"/>
      <c r="E102" s="2"/>
      <c r="F102" s="2"/>
      <c r="G102" s="2"/>
      <c r="H102" s="2"/>
      <c r="I102" s="2"/>
      <c r="J102" s="2"/>
      <c r="K102" s="2"/>
      <c r="L102" s="2"/>
      <c r="M102" s="2"/>
      <c r="N102" s="2"/>
      <c r="O102" s="2"/>
      <c r="P102" s="2"/>
      <c r="Q102" s="2"/>
      <c r="R102" s="2"/>
      <c r="S102" s="2"/>
      <c r="T102" s="2"/>
      <c r="U102" s="2"/>
      <c r="V102" s="2"/>
    </row>
    <row r="103" spans="1:22">
      <c r="A103" s="8"/>
      <c r="B103" s="8"/>
      <c r="C103" s="8"/>
      <c r="D103" s="2"/>
      <c r="E103" s="2"/>
      <c r="F103" s="20"/>
    </row>
    <row r="104" spans="1:22">
      <c r="A104" s="8"/>
      <c r="B104" s="8"/>
      <c r="C104" s="8"/>
      <c r="D104" s="2"/>
      <c r="E104" s="2"/>
      <c r="F104" s="20"/>
    </row>
    <row r="105" spans="1:22">
      <c r="A105" s="8"/>
      <c r="B105" s="8"/>
      <c r="C105" s="8"/>
      <c r="D105" s="2"/>
      <c r="E105" s="2"/>
      <c r="F105" s="20"/>
    </row>
    <row r="106" spans="1:22">
      <c r="A106" s="8"/>
      <c r="B106" s="8"/>
      <c r="C106" s="8"/>
      <c r="D106" s="2"/>
      <c r="E106" s="2"/>
      <c r="F106" s="20"/>
    </row>
    <row r="107" spans="1:22">
      <c r="A107" s="8"/>
      <c r="B107" s="8"/>
      <c r="C107" s="8"/>
      <c r="D107" s="2"/>
      <c r="E107" s="2"/>
      <c r="F107" s="20"/>
    </row>
    <row r="108" spans="1:22">
      <c r="A108" s="8"/>
      <c r="B108" s="8"/>
      <c r="C108" s="8"/>
      <c r="D108" s="2"/>
      <c r="E108" s="2"/>
      <c r="F108" s="20"/>
    </row>
    <row r="109" spans="1:22">
      <c r="A109" s="8"/>
      <c r="B109" s="8"/>
      <c r="C109" s="8"/>
      <c r="D109" s="2"/>
      <c r="E109" s="2"/>
      <c r="F109" s="20"/>
    </row>
    <row r="110" spans="1:22">
      <c r="A110" s="8"/>
      <c r="B110" s="8"/>
      <c r="C110" s="8"/>
      <c r="D110" s="2"/>
      <c r="E110" s="2"/>
      <c r="F110" s="20"/>
    </row>
    <row r="111" spans="1:22">
      <c r="A111" s="8"/>
      <c r="B111" s="8"/>
      <c r="C111" s="8"/>
      <c r="D111" s="2"/>
      <c r="E111" s="2"/>
      <c r="F111" s="20"/>
    </row>
    <row r="112" spans="1:22">
      <c r="A112" s="8"/>
      <c r="B112" s="8"/>
      <c r="C112" s="8"/>
      <c r="D112" s="2"/>
      <c r="E112" s="2"/>
      <c r="F112" s="20"/>
    </row>
    <row r="113" spans="1:6">
      <c r="A113" s="8"/>
      <c r="B113" s="8"/>
      <c r="C113" s="8"/>
      <c r="D113" s="2"/>
      <c r="E113" s="2"/>
      <c r="F113" s="20"/>
    </row>
    <row r="114" spans="1:6">
      <c r="A114" s="8"/>
      <c r="B114" s="8"/>
      <c r="C114" s="8"/>
      <c r="D114" s="2"/>
      <c r="E114" s="2"/>
      <c r="F114" s="20"/>
    </row>
    <row r="115" spans="1:6">
      <c r="A115" s="8"/>
      <c r="B115" s="8"/>
      <c r="C115" s="8"/>
      <c r="D115" s="2"/>
      <c r="E115" s="2"/>
      <c r="F115" s="20"/>
    </row>
    <row r="116" spans="1:6">
      <c r="A116" s="8"/>
      <c r="B116" s="8"/>
      <c r="C116" s="8"/>
      <c r="D116" s="2"/>
      <c r="E116" s="2"/>
      <c r="F116" s="20"/>
    </row>
    <row r="117" spans="1:6">
      <c r="A117" s="8"/>
      <c r="B117" s="8"/>
      <c r="C117" s="8"/>
      <c r="D117" s="2"/>
      <c r="E117" s="2"/>
      <c r="F117" s="20"/>
    </row>
    <row r="118" spans="1:6">
      <c r="A118" s="8"/>
      <c r="B118" s="8"/>
      <c r="C118" s="8"/>
      <c r="D118" s="2"/>
      <c r="E118" s="2"/>
      <c r="F118" s="20"/>
    </row>
  </sheetData>
  <sheetProtection sheet="1" objects="1" scenarios="1"/>
  <mergeCells count="4">
    <mergeCell ref="A1:E1"/>
    <mergeCell ref="A3:D3"/>
    <mergeCell ref="A2:E2"/>
    <mergeCell ref="C4:E4"/>
  </mergeCells>
  <phoneticPr fontId="5" type="noConversion"/>
  <conditionalFormatting sqref="E5:E19">
    <cfRule type="cellIs" dxfId="32" priority="0" stopIfTrue="1" operator="equal">
      <formula>"Tidak Dilakukan"</formula>
    </cfRule>
    <cfRule type="cellIs" dxfId="31" priority="1" stopIfTrue="1" operator="equal">
      <formula>"Dalam Perencanaan"</formula>
    </cfRule>
    <cfRule type="cellIs" dxfId="30" priority="2" stopIfTrue="1" operator="equal">
      <formula>"Dalam Penerapan / Diterapkan Sebagian"</formula>
    </cfRule>
  </conditionalFormatting>
  <conditionalFormatting sqref="F18:F19">
    <cfRule type="cellIs" dxfId="29" priority="3" stopIfTrue="1" operator="equal">
      <formula>0</formula>
    </cfRule>
  </conditionalFormatting>
  <dataValidations count="1">
    <dataValidation type="list" allowBlank="1" showInputMessage="1" showErrorMessage="1" sqref="E5:E19">
      <formula1>StatusPenerapan</formula1>
    </dataValidation>
  </dataValidations>
  <pageMargins left="0.75000000000000011" right="0.75000000000000011" top="1" bottom="1" header="0.5" footer="0.5"/>
  <pageSetup paperSize="9" scale="63" orientation="portrait" horizontalDpi="4294967292" verticalDpi="4294967292"/>
  <headerFooter>
    <oddFooter>&amp;L&amp;"Arial,Regular"&amp;9&amp;K000000Direktorat Keamanan Informasi&amp;C&amp;"Arial,Regular"&amp;9&amp;K000000Kementerian Komunikasi dan Informasi&amp;R&amp;"Arial,Regular"&amp;9&amp;K000000Indeks KAMI, Versi  2.3, 19 April 2012</oddFooter>
  </headerFooter>
  <ignoredErrors>
    <ignoredError sqref="A14:A15 A16:A19" numberStoredAsText="1"/>
  </ignoredError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sheetPr enableFormatConditionsCalculation="0">
    <pageSetUpPr fitToPage="1"/>
  </sheetPr>
  <dimension ref="A1:EA149"/>
  <sheetViews>
    <sheetView tabSelected="1" zoomScaleNormal="100" zoomScalePageLayoutView="125" workbookViewId="0">
      <pane xSplit="5" ySplit="3" topLeftCell="F70" activePane="bottomRight" state="frozen"/>
      <selection pane="topRight" activeCell="E1" sqref="E1"/>
      <selection pane="bottomLeft" activeCell="A4" sqref="A4"/>
      <selection pane="bottomRight" activeCell="E6" sqref="E6"/>
    </sheetView>
  </sheetViews>
  <sheetFormatPr defaultColWidth="7.875" defaultRowHeight="12.75"/>
  <cols>
    <col min="1" max="1" width="4.875" style="11" bestFit="1" customWidth="1"/>
    <col min="2" max="2" width="2.625" style="11" customWidth="1"/>
    <col min="3" max="3" width="2.375" style="11" customWidth="1"/>
    <col min="4" max="4" width="80.75" style="3" customWidth="1"/>
    <col min="5" max="5" width="30.75" style="3" customWidth="1"/>
    <col min="6" max="6" width="4.75" style="3" customWidth="1"/>
    <col min="7" max="7" width="6.375" style="3" customWidth="1"/>
    <col min="8" max="16384" width="7.875" style="3"/>
  </cols>
  <sheetData>
    <row r="1" spans="1:131" s="14" customFormat="1" ht="30" customHeight="1">
      <c r="A1" s="166" t="s">
        <v>148</v>
      </c>
      <c r="B1" s="189"/>
      <c r="C1" s="167"/>
      <c r="D1" s="167"/>
      <c r="E1" s="168"/>
      <c r="F1" s="12"/>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row>
    <row r="2" spans="1:131" ht="30" customHeight="1">
      <c r="A2" s="169" t="s">
        <v>56</v>
      </c>
      <c r="B2" s="190"/>
      <c r="C2" s="170"/>
      <c r="D2" s="170"/>
      <c r="E2" s="171"/>
      <c r="F2" s="29"/>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row>
    <row r="3" spans="1:131" ht="30" customHeight="1">
      <c r="A3" s="172" t="s">
        <v>100</v>
      </c>
      <c r="B3" s="186"/>
      <c r="C3" s="187"/>
      <c r="D3" s="188"/>
      <c r="E3" s="32" t="s">
        <v>55</v>
      </c>
      <c r="F3" s="29" t="s">
        <v>216</v>
      </c>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row>
    <row r="4" spans="1:131" ht="14.1" customHeight="1">
      <c r="A4" s="63" t="s">
        <v>213</v>
      </c>
      <c r="B4" s="103"/>
      <c r="C4" s="192" t="s">
        <v>199</v>
      </c>
      <c r="D4" s="193"/>
      <c r="E4" s="194"/>
      <c r="F4" s="1"/>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row>
    <row r="5" spans="1:131" ht="42.75">
      <c r="A5" s="22">
        <v>4.0999999999999996</v>
      </c>
      <c r="B5" s="117" t="s">
        <v>289</v>
      </c>
      <c r="C5" s="110">
        <v>1</v>
      </c>
      <c r="D5" s="108" t="s">
        <v>177</v>
      </c>
      <c r="E5" s="33" t="s">
        <v>283</v>
      </c>
      <c r="F5" s="46">
        <f t="shared" ref="F5:F16" si="0">INDEX(SkorAkhir, MATCH(E5,StatusPenerapanHasil,0), MATCH(C5,TingkatKematangan,0))</f>
        <v>0</v>
      </c>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row>
    <row r="6" spans="1:131" ht="28.5">
      <c r="A6" s="22">
        <v>4.2</v>
      </c>
      <c r="B6" s="117" t="s">
        <v>289</v>
      </c>
      <c r="C6" s="110">
        <v>1</v>
      </c>
      <c r="D6" s="108" t="s">
        <v>141</v>
      </c>
      <c r="E6" s="33" t="s">
        <v>283</v>
      </c>
      <c r="F6" s="46">
        <f t="shared" si="0"/>
        <v>0</v>
      </c>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row>
    <row r="7" spans="1:131" ht="42.75">
      <c r="A7" s="22">
        <v>4.3</v>
      </c>
      <c r="B7" s="117" t="s">
        <v>289</v>
      </c>
      <c r="C7" s="110">
        <v>1</v>
      </c>
      <c r="D7" s="108" t="s">
        <v>134</v>
      </c>
      <c r="E7" s="33" t="s">
        <v>283</v>
      </c>
      <c r="F7" s="46">
        <f t="shared" si="0"/>
        <v>0</v>
      </c>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row>
    <row r="8" spans="1:131" ht="28.5">
      <c r="A8" s="22">
        <v>4.4000000000000004</v>
      </c>
      <c r="B8" s="117" t="s">
        <v>289</v>
      </c>
      <c r="C8" s="110">
        <v>1</v>
      </c>
      <c r="D8" s="108" t="s">
        <v>158</v>
      </c>
      <c r="E8" s="33" t="s">
        <v>283</v>
      </c>
      <c r="F8" s="46">
        <f t="shared" si="0"/>
        <v>0</v>
      </c>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row>
    <row r="9" spans="1:131" ht="28.5">
      <c r="A9" s="53">
        <v>4.5</v>
      </c>
      <c r="B9" s="117" t="s">
        <v>289</v>
      </c>
      <c r="C9" s="110">
        <v>1</v>
      </c>
      <c r="D9" s="23" t="s">
        <v>285</v>
      </c>
      <c r="E9" s="33" t="s">
        <v>283</v>
      </c>
      <c r="F9" s="46">
        <f t="shared" si="0"/>
        <v>0</v>
      </c>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row>
    <row r="10" spans="1:131" ht="42.75">
      <c r="A10" s="53">
        <v>4.5999999999999996</v>
      </c>
      <c r="B10" s="117" t="s">
        <v>289</v>
      </c>
      <c r="C10" s="110">
        <v>1</v>
      </c>
      <c r="D10" s="23" t="s">
        <v>218</v>
      </c>
      <c r="E10" s="33" t="s">
        <v>283</v>
      </c>
      <c r="F10" s="46">
        <f t="shared" si="0"/>
        <v>0</v>
      </c>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row>
    <row r="11" spans="1:131" ht="28.5">
      <c r="A11" s="53">
        <v>4.7</v>
      </c>
      <c r="B11" s="117" t="s">
        <v>289</v>
      </c>
      <c r="C11" s="111">
        <v>2</v>
      </c>
      <c r="D11" s="23" t="s">
        <v>159</v>
      </c>
      <c r="E11" s="33" t="s">
        <v>283</v>
      </c>
      <c r="F11" s="46">
        <f t="shared" si="0"/>
        <v>0</v>
      </c>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row>
    <row r="12" spans="1:131" ht="28.5">
      <c r="A12" s="53">
        <v>4.8</v>
      </c>
      <c r="B12" s="117" t="s">
        <v>289</v>
      </c>
      <c r="C12" s="111">
        <v>2</v>
      </c>
      <c r="D12" s="23" t="s">
        <v>179</v>
      </c>
      <c r="E12" s="33" t="s">
        <v>283</v>
      </c>
      <c r="F12" s="46">
        <f t="shared" si="0"/>
        <v>0</v>
      </c>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row>
    <row r="13" spans="1:131" ht="42.75">
      <c r="A13" s="53">
        <v>4.9000000000000004</v>
      </c>
      <c r="B13" s="106" t="s">
        <v>290</v>
      </c>
      <c r="C13" s="111">
        <v>2</v>
      </c>
      <c r="D13" s="23" t="s">
        <v>157</v>
      </c>
      <c r="E13" s="33" t="s">
        <v>283</v>
      </c>
      <c r="F13" s="46">
        <f t="shared" si="0"/>
        <v>0</v>
      </c>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row>
    <row r="14" spans="1:131" ht="28.5">
      <c r="A14" s="53" t="s">
        <v>200</v>
      </c>
      <c r="B14" s="106" t="s">
        <v>290</v>
      </c>
      <c r="C14" s="111">
        <v>2</v>
      </c>
      <c r="D14" s="23" t="s">
        <v>178</v>
      </c>
      <c r="E14" s="33" t="s">
        <v>283</v>
      </c>
      <c r="F14" s="46">
        <f t="shared" si="0"/>
        <v>0</v>
      </c>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row>
    <row r="15" spans="1:131" ht="42.75">
      <c r="A15" s="53">
        <v>4.1100000000000003</v>
      </c>
      <c r="B15" s="106" t="s">
        <v>290</v>
      </c>
      <c r="C15" s="111">
        <v>2</v>
      </c>
      <c r="D15" s="23" t="s">
        <v>202</v>
      </c>
      <c r="E15" s="33" t="s">
        <v>283</v>
      </c>
      <c r="F15" s="46">
        <f t="shared" si="0"/>
        <v>0</v>
      </c>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row>
    <row r="16" spans="1:131" ht="42.75">
      <c r="A16" s="53">
        <v>4.12</v>
      </c>
      <c r="B16" s="106" t="s">
        <v>290</v>
      </c>
      <c r="C16" s="122">
        <v>2</v>
      </c>
      <c r="D16" s="23" t="s">
        <v>119</v>
      </c>
      <c r="E16" s="33" t="s">
        <v>283</v>
      </c>
      <c r="F16" s="46">
        <f t="shared" si="0"/>
        <v>0</v>
      </c>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row>
    <row r="17" spans="1:131" ht="28.5">
      <c r="A17" s="53">
        <v>4.13</v>
      </c>
      <c r="B17" s="106" t="s">
        <v>290</v>
      </c>
      <c r="C17" s="121">
        <v>3</v>
      </c>
      <c r="D17" s="23" t="s">
        <v>117</v>
      </c>
      <c r="E17" s="33" t="s">
        <v>283</v>
      </c>
      <c r="F17" s="46">
        <f>IF($E$39="Valid",INDEX(SkorAkhir, MATCH(E17,StatusPenerapanHasil,0), MATCH(C17,TingkatKematangan,0)),0)</f>
        <v>0</v>
      </c>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row>
    <row r="18" spans="1:131" ht="28.5">
      <c r="A18" s="53">
        <v>4.1399999999999997</v>
      </c>
      <c r="B18" s="106" t="s">
        <v>290</v>
      </c>
      <c r="C18" s="121">
        <v>3</v>
      </c>
      <c r="D18" s="23" t="s">
        <v>78</v>
      </c>
      <c r="E18" s="33" t="s">
        <v>283</v>
      </c>
      <c r="F18" s="46">
        <f t="shared" ref="F18:F20" si="1">IF($E$39="Valid",INDEX(SkorAkhir, MATCH(E18,StatusPenerapanHasil,0), MATCH(C18,TingkatKematangan,0)),0)</f>
        <v>0</v>
      </c>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row>
    <row r="19" spans="1:131" ht="57">
      <c r="A19" s="53">
        <v>4.1500000000000004</v>
      </c>
      <c r="B19" s="113" t="s">
        <v>292</v>
      </c>
      <c r="C19" s="121">
        <v>3</v>
      </c>
      <c r="D19" s="23" t="s">
        <v>120</v>
      </c>
      <c r="E19" s="33" t="s">
        <v>283</v>
      </c>
      <c r="F19" s="46">
        <f t="shared" si="1"/>
        <v>0</v>
      </c>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row>
    <row r="20" spans="1:131" ht="28.5">
      <c r="A20" s="53">
        <v>4.16</v>
      </c>
      <c r="B20" s="113" t="s">
        <v>292</v>
      </c>
      <c r="C20" s="121">
        <v>3</v>
      </c>
      <c r="D20" s="23" t="s">
        <v>121</v>
      </c>
      <c r="E20" s="33" t="s">
        <v>283</v>
      </c>
      <c r="F20" s="46">
        <f t="shared" si="1"/>
        <v>0</v>
      </c>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row>
    <row r="21" spans="1:131" ht="12.95" customHeight="1">
      <c r="A21" s="63" t="s">
        <v>213</v>
      </c>
      <c r="B21" s="116"/>
      <c r="C21" s="192" t="s">
        <v>219</v>
      </c>
      <c r="D21" s="193"/>
      <c r="E21" s="194"/>
      <c r="F21" s="1"/>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row>
    <row r="22" spans="1:131" ht="28.5">
      <c r="A22" s="53">
        <v>4.17</v>
      </c>
      <c r="B22" s="105" t="s">
        <v>289</v>
      </c>
      <c r="C22" s="110">
        <v>1</v>
      </c>
      <c r="D22" s="23" t="s">
        <v>173</v>
      </c>
      <c r="E22" s="33" t="s">
        <v>283</v>
      </c>
      <c r="F22" s="46">
        <f t="shared" ref="F22:F28" si="2">INDEX(SkorAkhir, MATCH(E22,StatusPenerapanHasil,0), MATCH(C22,TingkatKematangan,0))</f>
        <v>0</v>
      </c>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row>
    <row r="23" spans="1:131" ht="28.5">
      <c r="A23" s="53">
        <v>4.18</v>
      </c>
      <c r="B23" s="105" t="s">
        <v>289</v>
      </c>
      <c r="C23" s="110">
        <v>1</v>
      </c>
      <c r="D23" s="23" t="s">
        <v>223</v>
      </c>
      <c r="E23" s="33" t="s">
        <v>283</v>
      </c>
      <c r="F23" s="46">
        <f t="shared" si="2"/>
        <v>0</v>
      </c>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row>
    <row r="24" spans="1:131" ht="28.5">
      <c r="A24" s="53">
        <v>4.1900000000000004</v>
      </c>
      <c r="B24" s="106" t="s">
        <v>290</v>
      </c>
      <c r="C24" s="110">
        <v>1</v>
      </c>
      <c r="D24" s="23" t="s">
        <v>203</v>
      </c>
      <c r="E24" s="33" t="s">
        <v>283</v>
      </c>
      <c r="F24" s="46">
        <f t="shared" si="2"/>
        <v>0</v>
      </c>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row>
    <row r="25" spans="1:131" ht="42.75">
      <c r="A25" s="53" t="s">
        <v>204</v>
      </c>
      <c r="B25" s="106" t="s">
        <v>290</v>
      </c>
      <c r="C25" s="110">
        <v>1</v>
      </c>
      <c r="D25" s="23" t="s">
        <v>220</v>
      </c>
      <c r="E25" s="33" t="s">
        <v>283</v>
      </c>
      <c r="F25" s="46">
        <f t="shared" si="2"/>
        <v>0</v>
      </c>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row>
    <row r="26" spans="1:131" ht="28.5">
      <c r="A26" s="53">
        <v>4.21</v>
      </c>
      <c r="B26" s="106" t="s">
        <v>290</v>
      </c>
      <c r="C26" s="110">
        <v>1</v>
      </c>
      <c r="D26" s="23" t="s">
        <v>221</v>
      </c>
      <c r="E26" s="33" t="s">
        <v>283</v>
      </c>
      <c r="F26" s="46">
        <f t="shared" si="2"/>
        <v>0</v>
      </c>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row>
    <row r="27" spans="1:131" ht="28.5">
      <c r="A27" s="53" t="s">
        <v>130</v>
      </c>
      <c r="B27" s="106" t="s">
        <v>290</v>
      </c>
      <c r="C27" s="111">
        <v>2</v>
      </c>
      <c r="D27" s="23" t="s">
        <v>222</v>
      </c>
      <c r="E27" s="33" t="s">
        <v>283</v>
      </c>
      <c r="F27" s="46">
        <f t="shared" si="2"/>
        <v>0</v>
      </c>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row>
    <row r="28" spans="1:131" ht="28.5">
      <c r="A28" s="11">
        <v>4.2300000000000004</v>
      </c>
      <c r="B28" s="118" t="s">
        <v>290</v>
      </c>
      <c r="C28" s="111">
        <v>2</v>
      </c>
      <c r="D28" s="23" t="s">
        <v>150</v>
      </c>
      <c r="E28" s="33" t="s">
        <v>283</v>
      </c>
      <c r="F28" s="46">
        <f t="shared" si="2"/>
        <v>0</v>
      </c>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row>
    <row r="29" spans="1:131" ht="57">
      <c r="A29" s="11">
        <v>4.24</v>
      </c>
      <c r="B29" s="119" t="s">
        <v>292</v>
      </c>
      <c r="C29" s="112">
        <v>3</v>
      </c>
      <c r="D29" s="23" t="s">
        <v>300</v>
      </c>
      <c r="E29" s="33" t="s">
        <v>283</v>
      </c>
      <c r="F29" s="46">
        <f t="shared" ref="F29:F31" si="3">IF($E$39="Valid",INDEX(SkorAkhir, MATCH(E29,StatusPenerapanHasil,0), MATCH(C29,TingkatKematangan,0)),0)</f>
        <v>0</v>
      </c>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row>
    <row r="30" spans="1:131" ht="42.75">
      <c r="A30" s="11">
        <v>4.2</v>
      </c>
      <c r="B30" s="120" t="s">
        <v>291</v>
      </c>
      <c r="C30" s="112">
        <v>3</v>
      </c>
      <c r="D30" s="23" t="s">
        <v>299</v>
      </c>
      <c r="E30" s="33" t="s">
        <v>283</v>
      </c>
      <c r="F30" s="46">
        <f t="shared" si="3"/>
        <v>0</v>
      </c>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row>
    <row r="31" spans="1:131" s="5" customFormat="1" ht="28.5">
      <c r="A31" s="11">
        <v>4.26</v>
      </c>
      <c r="B31" s="120" t="s">
        <v>291</v>
      </c>
      <c r="C31" s="112">
        <v>3</v>
      </c>
      <c r="D31" s="23" t="s">
        <v>201</v>
      </c>
      <c r="E31" s="33" t="s">
        <v>283</v>
      </c>
      <c r="F31" s="46">
        <f t="shared" si="3"/>
        <v>0</v>
      </c>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row>
    <row r="32" spans="1:131" s="5" customFormat="1" ht="18.75">
      <c r="A32" s="24"/>
      <c r="B32" s="24"/>
      <c r="C32" s="52"/>
      <c r="D32" s="47" t="s">
        <v>132</v>
      </c>
      <c r="E32" s="50">
        <f>SUM(F5:F31)</f>
        <v>0</v>
      </c>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row>
    <row r="33" spans="1:8" s="2" customFormat="1">
      <c r="A33" s="8"/>
      <c r="B33" s="8"/>
      <c r="C33" s="8"/>
    </row>
    <row r="34" spans="1:8" s="2" customFormat="1">
      <c r="A34" s="8"/>
      <c r="B34" s="8"/>
      <c r="C34" s="8"/>
      <c r="D34" s="44" t="s">
        <v>369</v>
      </c>
      <c r="E34" s="43">
        <f>COUNTIF(C5:C31,1)</f>
        <v>11</v>
      </c>
    </row>
    <row r="35" spans="1:8" s="2" customFormat="1">
      <c r="A35" s="8"/>
      <c r="B35" s="8"/>
      <c r="C35" s="8"/>
      <c r="D35" s="44" t="s">
        <v>370</v>
      </c>
      <c r="E35" s="43">
        <f>COUNTIF(C5:C31,2)</f>
        <v>8</v>
      </c>
    </row>
    <row r="36" spans="1:8" s="2" customFormat="1">
      <c r="A36" s="8"/>
      <c r="B36" s="8"/>
      <c r="C36" s="8"/>
      <c r="D36" s="44" t="s">
        <v>371</v>
      </c>
      <c r="E36" s="43">
        <f>COUNTIF(C5:C31,3)</f>
        <v>7</v>
      </c>
    </row>
    <row r="37" spans="1:8" s="2" customFormat="1">
      <c r="A37" s="8"/>
      <c r="B37" s="8"/>
      <c r="C37" s="8"/>
      <c r="D37" s="44" t="s">
        <v>372</v>
      </c>
      <c r="E37" s="43">
        <f>(2*E34)+(4*E35)</f>
        <v>54</v>
      </c>
    </row>
    <row r="38" spans="1:8" s="2" customFormat="1">
      <c r="A38" s="8"/>
      <c r="B38" s="8"/>
      <c r="C38" s="8"/>
      <c r="D38" s="44" t="s">
        <v>373</v>
      </c>
      <c r="E38" s="43">
        <f>SUM(F22:F28)+SUM(F5:F16)</f>
        <v>0</v>
      </c>
    </row>
    <row r="39" spans="1:8" s="2" customFormat="1">
      <c r="A39" s="8"/>
      <c r="B39" s="8"/>
      <c r="C39" s="8"/>
      <c r="D39" s="44" t="s">
        <v>374</v>
      </c>
      <c r="E39" s="43" t="str">
        <f>IF(E38&gt;=E37,"Valid","Tidak Valid")</f>
        <v>Tidak Valid</v>
      </c>
    </row>
    <row r="40" spans="1:8" s="2" customFormat="1">
      <c r="A40" s="8"/>
      <c r="B40" s="8"/>
      <c r="C40" s="8"/>
    </row>
    <row r="41" spans="1:8" s="2" customFormat="1">
      <c r="A41" s="8"/>
      <c r="B41" s="8"/>
      <c r="C41" s="8"/>
      <c r="D41" s="44" t="s">
        <v>295</v>
      </c>
      <c r="E41" s="43">
        <f>SUM(F22:F23)+SUM(F5:F12)</f>
        <v>0</v>
      </c>
      <c r="F41" s="133" t="s">
        <v>331</v>
      </c>
      <c r="H41" s="133">
        <f>8*3+2*6</f>
        <v>36</v>
      </c>
    </row>
    <row r="42" spans="1:8" s="2" customFormat="1">
      <c r="A42" s="8"/>
      <c r="B42" s="8"/>
      <c r="C42" s="8"/>
      <c r="D42" s="141" t="s">
        <v>313</v>
      </c>
      <c r="E42" s="43">
        <f>(4*2)+(4*1)</f>
        <v>12</v>
      </c>
      <c r="F42" s="144" t="s">
        <v>334</v>
      </c>
    </row>
    <row r="43" spans="1:8" s="2" customFormat="1">
      <c r="A43" s="8"/>
      <c r="B43" s="8"/>
      <c r="C43" s="8"/>
      <c r="D43" s="141" t="s">
        <v>314</v>
      </c>
      <c r="E43" s="43">
        <f>(8*2)+(2*4)</f>
        <v>24</v>
      </c>
      <c r="F43" s="144" t="s">
        <v>335</v>
      </c>
    </row>
    <row r="44" spans="1:8" s="2" customFormat="1">
      <c r="A44" s="8"/>
      <c r="B44" s="8"/>
      <c r="C44" s="8"/>
      <c r="D44" s="44" t="s">
        <v>315</v>
      </c>
      <c r="E44" s="43" t="str">
        <f>IF(E41&gt;=E43,"II",IF(E41&gt;=E42,"I+","No"))</f>
        <v>No</v>
      </c>
      <c r="F44" s="133">
        <f>0.8*((8*3)+(2*6))</f>
        <v>28.8</v>
      </c>
      <c r="G44" s="133" t="s">
        <v>368</v>
      </c>
    </row>
    <row r="45" spans="1:8" s="2" customFormat="1">
      <c r="A45" s="8"/>
      <c r="B45" s="8"/>
      <c r="C45" s="8"/>
      <c r="D45" s="44" t="s">
        <v>296</v>
      </c>
      <c r="E45" s="43">
        <f>SUM(F24:F28)+SUM(F13:F18)</f>
        <v>0</v>
      </c>
      <c r="F45" s="133" t="s">
        <v>333</v>
      </c>
      <c r="H45" s="133">
        <f>3*3+6*6+2*9</f>
        <v>63</v>
      </c>
    </row>
    <row r="46" spans="1:8" s="2" customFormat="1">
      <c r="A46" s="8"/>
      <c r="B46" s="8"/>
      <c r="C46" s="8"/>
      <c r="D46" s="141" t="s">
        <v>318</v>
      </c>
      <c r="E46" s="43" t="str">
        <f>IF(E41&gt;=F44,"Yes","No")</f>
        <v>No</v>
      </c>
    </row>
    <row r="47" spans="1:8" s="2" customFormat="1">
      <c r="A47" s="8"/>
      <c r="B47" s="8"/>
      <c r="C47" s="8"/>
      <c r="D47" s="141" t="s">
        <v>316</v>
      </c>
      <c r="E47" s="43">
        <f>(3*3)+(2*2)+(4*4)+(1*3)+(1*6)</f>
        <v>38</v>
      </c>
      <c r="F47" s="133" t="s">
        <v>376</v>
      </c>
    </row>
    <row r="48" spans="1:8" s="2" customFormat="1">
      <c r="A48" s="8"/>
      <c r="B48" s="8"/>
      <c r="C48" s="8"/>
      <c r="D48" s="141" t="s">
        <v>317</v>
      </c>
      <c r="E48" s="43">
        <f>(3*3)+(2*4)+(4*6)+(2*6)</f>
        <v>53</v>
      </c>
      <c r="F48" s="144" t="s">
        <v>377</v>
      </c>
    </row>
    <row r="49" spans="1:7" s="2" customFormat="1">
      <c r="A49" s="8"/>
      <c r="B49" s="8"/>
      <c r="C49" s="8"/>
      <c r="D49" s="44" t="s">
        <v>315</v>
      </c>
      <c r="E49" s="43" t="str">
        <f>IF(E46="Yes",IF(E45&gt;=E48,"III",IF(E45&gt;=E47,"II+","No")),"No")</f>
        <v>No</v>
      </c>
      <c r="F49" s="133">
        <f>(3*3)+(1*4)+(5*6)+(1*6)+(1*9)</f>
        <v>58</v>
      </c>
      <c r="G49" s="133" t="s">
        <v>378</v>
      </c>
    </row>
    <row r="50" spans="1:7" s="2" customFormat="1">
      <c r="A50" s="8"/>
      <c r="B50" s="8"/>
      <c r="C50" s="8"/>
      <c r="D50" s="44" t="s">
        <v>297</v>
      </c>
      <c r="E50" s="43">
        <f>F29+SUM(F19:F20)</f>
        <v>0</v>
      </c>
      <c r="F50" s="133" t="s">
        <v>332</v>
      </c>
    </row>
    <row r="51" spans="1:7" s="2" customFormat="1">
      <c r="A51" s="8"/>
      <c r="B51" s="8"/>
      <c r="C51" s="8"/>
      <c r="D51" s="141" t="s">
        <v>319</v>
      </c>
      <c r="E51" s="43" t="str">
        <f>IF(AND(E46="Yes",E45&gt;=F49),"Yes","No")</f>
        <v>No</v>
      </c>
    </row>
    <row r="52" spans="1:7" s="2" customFormat="1">
      <c r="A52" s="8"/>
      <c r="B52" s="8"/>
      <c r="C52" s="8"/>
      <c r="D52" s="141" t="s">
        <v>320</v>
      </c>
      <c r="E52" s="43">
        <f>(2*6)+(1*3)</f>
        <v>15</v>
      </c>
      <c r="F52" s="133" t="s">
        <v>336</v>
      </c>
    </row>
    <row r="53" spans="1:7" s="2" customFormat="1">
      <c r="A53" s="8"/>
      <c r="B53" s="8"/>
      <c r="C53" s="8"/>
      <c r="D53" s="141" t="s">
        <v>321</v>
      </c>
      <c r="E53" s="43">
        <f>(3*9)</f>
        <v>27</v>
      </c>
      <c r="F53" s="133" t="s">
        <v>337</v>
      </c>
    </row>
    <row r="54" spans="1:7" s="2" customFormat="1">
      <c r="A54" s="8"/>
      <c r="B54" s="8"/>
      <c r="C54" s="8"/>
      <c r="D54" s="44" t="s">
        <v>315</v>
      </c>
      <c r="E54" s="43" t="str">
        <f>IF(E51="Yes",IF(AND(E41=H41,E45=H45,E50&gt;=E53),"IV",IF(E50&gt;=E52,"III+","No")),"No")</f>
        <v>No</v>
      </c>
      <c r="F54" s="133">
        <f>3*9</f>
        <v>27</v>
      </c>
    </row>
    <row r="55" spans="1:7" s="2" customFormat="1">
      <c r="A55" s="8"/>
      <c r="B55" s="8"/>
      <c r="C55" s="8"/>
      <c r="D55" s="44" t="s">
        <v>304</v>
      </c>
      <c r="E55" s="43">
        <f>SUM(F30:F31)</f>
        <v>0</v>
      </c>
      <c r="F55" s="133" t="s">
        <v>327</v>
      </c>
    </row>
    <row r="56" spans="1:7" s="2" customFormat="1">
      <c r="A56" s="8"/>
      <c r="B56" s="8"/>
      <c r="C56" s="8"/>
      <c r="D56" s="141" t="s">
        <v>328</v>
      </c>
      <c r="E56" s="43" t="str">
        <f>IF(AND(E51="Yes",E50&gt;=F54),"Yes","No")</f>
        <v>No</v>
      </c>
    </row>
    <row r="57" spans="1:7" s="2" customFormat="1">
      <c r="A57" s="8"/>
      <c r="B57" s="8"/>
      <c r="C57" s="8"/>
      <c r="D57" s="141" t="s">
        <v>329</v>
      </c>
      <c r="E57" s="43">
        <f>2*6</f>
        <v>12</v>
      </c>
      <c r="F57" s="144" t="s">
        <v>336</v>
      </c>
    </row>
    <row r="58" spans="1:7" s="2" customFormat="1">
      <c r="A58" s="8"/>
      <c r="B58" s="8"/>
      <c r="C58" s="8"/>
      <c r="D58" s="141" t="s">
        <v>330</v>
      </c>
      <c r="E58" s="43">
        <f>2*9</f>
        <v>18</v>
      </c>
      <c r="F58" s="133" t="s">
        <v>337</v>
      </c>
    </row>
    <row r="59" spans="1:7" s="2" customFormat="1">
      <c r="A59" s="8"/>
      <c r="B59" s="8"/>
      <c r="C59" s="8"/>
      <c r="D59" s="44" t="s">
        <v>315</v>
      </c>
      <c r="E59" s="43" t="str">
        <f>IF(E56="Yes",IF(E55&gt;=E58,"V",IF(E55&gt;=E57,"IV+","No")),"No")</f>
        <v>No</v>
      </c>
    </row>
    <row r="60" spans="1:7" s="2" customFormat="1">
      <c r="A60" s="8"/>
      <c r="B60" s="8"/>
      <c r="C60" s="8"/>
      <c r="F60" s="133"/>
    </row>
    <row r="61" spans="1:7" s="2" customFormat="1">
      <c r="A61" s="8"/>
      <c r="B61" s="8"/>
      <c r="C61" s="8"/>
      <c r="E61" s="133"/>
    </row>
    <row r="62" spans="1:7" s="2" customFormat="1">
      <c r="A62" s="8"/>
      <c r="B62" s="8"/>
      <c r="C62" s="8"/>
    </row>
    <row r="63" spans="1:7" s="2" customFormat="1">
      <c r="A63" s="8"/>
      <c r="B63" s="8"/>
      <c r="C63" s="8"/>
    </row>
    <row r="64" spans="1:7" s="2" customFormat="1">
      <c r="A64" s="8"/>
      <c r="B64" s="8"/>
      <c r="C64" s="8"/>
    </row>
    <row r="65" spans="1:3" s="2" customFormat="1">
      <c r="A65" s="8"/>
      <c r="B65" s="8"/>
      <c r="C65" s="8"/>
    </row>
    <row r="66" spans="1:3" s="2" customFormat="1">
      <c r="A66" s="8"/>
      <c r="B66" s="8"/>
      <c r="C66" s="8"/>
    </row>
    <row r="67" spans="1:3" s="2" customFormat="1">
      <c r="A67" s="8"/>
      <c r="B67" s="8"/>
      <c r="C67" s="8"/>
    </row>
    <row r="68" spans="1:3" s="2" customFormat="1">
      <c r="A68" s="8"/>
      <c r="B68" s="8"/>
      <c r="C68" s="8"/>
    </row>
    <row r="69" spans="1:3" s="2" customFormat="1">
      <c r="A69" s="8"/>
      <c r="B69" s="8"/>
      <c r="C69" s="8"/>
    </row>
    <row r="70" spans="1:3" s="2" customFormat="1">
      <c r="A70" s="8"/>
      <c r="B70" s="8"/>
      <c r="C70" s="8"/>
    </row>
    <row r="71" spans="1:3" s="2" customFormat="1">
      <c r="A71" s="8"/>
      <c r="B71" s="8"/>
      <c r="C71" s="8"/>
    </row>
    <row r="72" spans="1:3" s="2" customFormat="1">
      <c r="A72" s="8"/>
      <c r="B72" s="8"/>
      <c r="C72" s="8"/>
    </row>
    <row r="73" spans="1:3" s="2" customFormat="1">
      <c r="A73" s="8"/>
      <c r="B73" s="8"/>
      <c r="C73" s="8"/>
    </row>
    <row r="74" spans="1:3" s="2" customFormat="1">
      <c r="A74" s="8"/>
      <c r="B74" s="8"/>
      <c r="C74" s="8"/>
    </row>
    <row r="75" spans="1:3" s="2" customFormat="1">
      <c r="A75" s="8"/>
      <c r="B75" s="8"/>
      <c r="C75" s="8"/>
    </row>
    <row r="76" spans="1:3" s="2" customFormat="1">
      <c r="A76" s="8"/>
      <c r="B76" s="8"/>
      <c r="C76" s="8"/>
    </row>
    <row r="77" spans="1:3" s="2" customFormat="1">
      <c r="A77" s="8"/>
      <c r="B77" s="8"/>
      <c r="C77" s="8"/>
    </row>
    <row r="78" spans="1:3" s="2" customFormat="1">
      <c r="A78" s="8"/>
      <c r="B78" s="8"/>
      <c r="C78" s="8"/>
    </row>
    <row r="79" spans="1:3" s="2" customFormat="1">
      <c r="A79" s="8"/>
      <c r="B79" s="8"/>
      <c r="C79" s="8"/>
    </row>
    <row r="80" spans="1:3" s="2" customFormat="1">
      <c r="A80" s="8"/>
      <c r="B80" s="8"/>
      <c r="C80" s="8"/>
    </row>
    <row r="81" spans="1:3" s="2" customFormat="1">
      <c r="A81" s="8"/>
      <c r="B81" s="8"/>
      <c r="C81" s="8"/>
    </row>
    <row r="82" spans="1:3" s="2" customFormat="1">
      <c r="A82" s="8"/>
      <c r="B82" s="8"/>
      <c r="C82" s="8"/>
    </row>
    <row r="83" spans="1:3" s="2" customFormat="1">
      <c r="A83" s="8"/>
      <c r="B83" s="8"/>
      <c r="C83" s="8"/>
    </row>
    <row r="84" spans="1:3" s="2" customFormat="1">
      <c r="A84" s="8"/>
      <c r="B84" s="8"/>
      <c r="C84" s="8"/>
    </row>
    <row r="85" spans="1:3" s="2" customFormat="1">
      <c r="A85" s="8"/>
      <c r="B85" s="8"/>
      <c r="C85" s="8"/>
    </row>
    <row r="86" spans="1:3" s="2" customFormat="1">
      <c r="A86" s="8"/>
      <c r="B86" s="8"/>
      <c r="C86" s="8"/>
    </row>
    <row r="87" spans="1:3" s="2" customFormat="1">
      <c r="A87" s="8"/>
      <c r="B87" s="8"/>
      <c r="C87" s="8"/>
    </row>
    <row r="88" spans="1:3" s="2" customFormat="1">
      <c r="A88" s="8"/>
      <c r="B88" s="8"/>
      <c r="C88" s="8"/>
    </row>
    <row r="89" spans="1:3" s="2" customFormat="1">
      <c r="A89" s="8"/>
      <c r="B89" s="8"/>
      <c r="C89" s="8"/>
    </row>
    <row r="90" spans="1:3" s="2" customFormat="1">
      <c r="A90" s="8"/>
      <c r="B90" s="8"/>
      <c r="C90" s="8"/>
    </row>
    <row r="91" spans="1:3" s="2" customFormat="1">
      <c r="A91" s="8"/>
      <c r="B91" s="8"/>
      <c r="C91" s="8"/>
    </row>
    <row r="92" spans="1:3" s="2" customFormat="1">
      <c r="A92" s="8"/>
      <c r="B92" s="8"/>
      <c r="C92" s="8"/>
    </row>
    <row r="93" spans="1:3" s="2" customFormat="1">
      <c r="A93" s="8"/>
      <c r="B93" s="8"/>
      <c r="C93" s="8"/>
    </row>
    <row r="94" spans="1:3" s="2" customFormat="1">
      <c r="A94" s="8"/>
      <c r="B94" s="8"/>
      <c r="C94" s="8"/>
    </row>
    <row r="95" spans="1:3" s="2" customFormat="1">
      <c r="A95" s="8"/>
      <c r="B95" s="8"/>
      <c r="C95" s="8"/>
    </row>
    <row r="96" spans="1:3" s="2" customFormat="1">
      <c r="A96" s="8"/>
      <c r="B96" s="8"/>
      <c r="C96" s="8"/>
    </row>
    <row r="97" spans="1:3" s="2" customFormat="1">
      <c r="A97" s="8"/>
      <c r="B97" s="8"/>
      <c r="C97" s="8"/>
    </row>
    <row r="98" spans="1:3" s="2" customFormat="1">
      <c r="A98" s="8"/>
      <c r="B98" s="8"/>
      <c r="C98" s="8"/>
    </row>
    <row r="99" spans="1:3" s="2" customFormat="1">
      <c r="A99" s="8"/>
      <c r="B99" s="8"/>
      <c r="C99" s="8"/>
    </row>
    <row r="100" spans="1:3" s="2" customFormat="1">
      <c r="A100" s="8"/>
      <c r="B100" s="8"/>
      <c r="C100" s="8"/>
    </row>
    <row r="101" spans="1:3" s="2" customFormat="1">
      <c r="A101" s="8"/>
      <c r="B101" s="8"/>
      <c r="C101" s="8"/>
    </row>
    <row r="102" spans="1:3" s="2" customFormat="1">
      <c r="A102" s="8"/>
      <c r="B102" s="8"/>
      <c r="C102" s="8"/>
    </row>
    <row r="103" spans="1:3" s="2" customFormat="1">
      <c r="A103" s="8"/>
      <c r="B103" s="8"/>
      <c r="C103" s="8"/>
    </row>
    <row r="104" spans="1:3" s="2" customFormat="1">
      <c r="A104" s="8"/>
      <c r="B104" s="8"/>
      <c r="C104" s="8"/>
    </row>
    <row r="105" spans="1:3" s="2" customFormat="1">
      <c r="A105" s="8"/>
      <c r="B105" s="8"/>
      <c r="C105" s="8"/>
    </row>
    <row r="106" spans="1:3" s="2" customFormat="1">
      <c r="A106" s="8"/>
      <c r="B106" s="8"/>
      <c r="C106" s="8"/>
    </row>
    <row r="107" spans="1:3" s="2" customFormat="1">
      <c r="A107" s="8"/>
      <c r="B107" s="8"/>
      <c r="C107" s="8"/>
    </row>
    <row r="108" spans="1:3" s="2" customFormat="1">
      <c r="A108" s="8"/>
      <c r="B108" s="8"/>
      <c r="C108" s="8"/>
    </row>
    <row r="109" spans="1:3" s="2" customFormat="1">
      <c r="A109" s="8"/>
      <c r="B109" s="8"/>
      <c r="C109" s="8"/>
    </row>
    <row r="110" spans="1:3" s="2" customFormat="1">
      <c r="A110" s="8"/>
      <c r="B110" s="8"/>
      <c r="C110" s="8"/>
    </row>
    <row r="111" spans="1:3" s="2" customFormat="1">
      <c r="A111" s="8"/>
      <c r="B111" s="8"/>
      <c r="C111" s="8"/>
    </row>
    <row r="112" spans="1:3" s="2" customFormat="1">
      <c r="A112" s="8"/>
      <c r="B112" s="8"/>
      <c r="C112" s="8"/>
    </row>
    <row r="113" spans="1:3" s="2" customFormat="1">
      <c r="A113" s="8"/>
      <c r="B113" s="8"/>
      <c r="C113" s="8"/>
    </row>
    <row r="114" spans="1:3" s="2" customFormat="1">
      <c r="A114" s="8"/>
      <c r="B114" s="8"/>
      <c r="C114" s="8"/>
    </row>
    <row r="115" spans="1:3" s="2" customFormat="1">
      <c r="A115" s="8"/>
      <c r="B115" s="8"/>
      <c r="C115" s="8"/>
    </row>
    <row r="116" spans="1:3" s="2" customFormat="1">
      <c r="A116" s="8"/>
      <c r="B116" s="8"/>
      <c r="C116" s="8"/>
    </row>
    <row r="117" spans="1:3" s="2" customFormat="1">
      <c r="A117" s="8"/>
      <c r="B117" s="8"/>
      <c r="C117" s="8"/>
    </row>
    <row r="118" spans="1:3" s="2" customFormat="1">
      <c r="A118" s="8"/>
      <c r="B118" s="8"/>
      <c r="C118" s="8"/>
    </row>
    <row r="119" spans="1:3" s="2" customFormat="1">
      <c r="A119" s="8"/>
      <c r="B119" s="8"/>
      <c r="C119" s="8"/>
    </row>
    <row r="120" spans="1:3" s="2" customFormat="1">
      <c r="A120" s="8"/>
      <c r="B120" s="8"/>
      <c r="C120" s="8"/>
    </row>
    <row r="121" spans="1:3" s="2" customFormat="1">
      <c r="A121" s="8"/>
      <c r="B121" s="8"/>
      <c r="C121" s="8"/>
    </row>
    <row r="122" spans="1:3" s="2" customFormat="1">
      <c r="A122" s="8"/>
      <c r="B122" s="8"/>
      <c r="C122" s="8"/>
    </row>
    <row r="123" spans="1:3" s="2" customFormat="1">
      <c r="A123" s="8"/>
      <c r="B123" s="8"/>
      <c r="C123" s="8"/>
    </row>
    <row r="124" spans="1:3" s="2" customFormat="1">
      <c r="A124" s="8"/>
      <c r="B124" s="8"/>
      <c r="C124" s="8"/>
    </row>
    <row r="125" spans="1:3" s="2" customFormat="1">
      <c r="A125" s="8"/>
      <c r="B125" s="8"/>
      <c r="C125" s="8"/>
    </row>
    <row r="126" spans="1:3" s="2" customFormat="1">
      <c r="A126" s="8"/>
      <c r="B126" s="8"/>
      <c r="C126" s="8"/>
    </row>
    <row r="127" spans="1:3" s="2" customFormat="1">
      <c r="A127" s="8"/>
      <c r="B127" s="8"/>
      <c r="C127" s="8"/>
    </row>
    <row r="128" spans="1:3" s="2" customFormat="1">
      <c r="A128" s="8"/>
      <c r="B128" s="8"/>
      <c r="C128" s="8"/>
    </row>
    <row r="129" spans="1:3" s="2" customFormat="1">
      <c r="A129" s="8"/>
      <c r="B129" s="8"/>
      <c r="C129" s="8"/>
    </row>
    <row r="130" spans="1:3" s="2" customFormat="1">
      <c r="A130" s="8"/>
      <c r="B130" s="8"/>
      <c r="C130" s="8"/>
    </row>
    <row r="131" spans="1:3" s="2" customFormat="1">
      <c r="A131" s="8"/>
      <c r="B131" s="8"/>
      <c r="C131" s="8"/>
    </row>
    <row r="132" spans="1:3" s="2" customFormat="1">
      <c r="A132" s="8"/>
      <c r="B132" s="8"/>
      <c r="C132" s="8"/>
    </row>
    <row r="133" spans="1:3" s="2" customFormat="1">
      <c r="A133" s="8"/>
      <c r="B133" s="8"/>
      <c r="C133" s="8"/>
    </row>
    <row r="134" spans="1:3" s="2" customFormat="1">
      <c r="A134" s="8"/>
      <c r="B134" s="8"/>
      <c r="C134" s="8"/>
    </row>
    <row r="135" spans="1:3" s="2" customFormat="1">
      <c r="A135" s="8"/>
      <c r="B135" s="8"/>
      <c r="C135" s="8"/>
    </row>
    <row r="136" spans="1:3" s="2" customFormat="1">
      <c r="A136" s="8"/>
      <c r="B136" s="8"/>
      <c r="C136" s="8"/>
    </row>
    <row r="137" spans="1:3" s="2" customFormat="1">
      <c r="A137" s="8"/>
      <c r="B137" s="8"/>
      <c r="C137" s="8"/>
    </row>
    <row r="138" spans="1:3" s="2" customFormat="1">
      <c r="A138" s="8"/>
      <c r="B138" s="8"/>
      <c r="C138" s="8"/>
    </row>
    <row r="139" spans="1:3" s="2" customFormat="1">
      <c r="A139" s="8"/>
      <c r="B139" s="8"/>
      <c r="C139" s="8"/>
    </row>
    <row r="140" spans="1:3" s="2" customFormat="1">
      <c r="A140" s="8"/>
      <c r="B140" s="8"/>
      <c r="C140" s="8"/>
    </row>
    <row r="141" spans="1:3" s="2" customFormat="1">
      <c r="A141" s="8"/>
      <c r="B141" s="8"/>
      <c r="C141" s="8"/>
    </row>
    <row r="142" spans="1:3" s="2" customFormat="1">
      <c r="A142" s="8"/>
      <c r="B142" s="8"/>
      <c r="C142" s="8"/>
    </row>
    <row r="143" spans="1:3" s="2" customFormat="1">
      <c r="A143" s="8"/>
      <c r="B143" s="8"/>
      <c r="C143" s="8"/>
    </row>
    <row r="144" spans="1:3" s="2" customFormat="1">
      <c r="A144" s="8"/>
      <c r="B144" s="8"/>
      <c r="C144" s="8"/>
    </row>
    <row r="145" spans="1:3" s="2" customFormat="1">
      <c r="A145" s="8"/>
      <c r="B145" s="8"/>
      <c r="C145" s="8"/>
    </row>
    <row r="146" spans="1:3" s="2" customFormat="1">
      <c r="A146" s="8"/>
      <c r="B146" s="8"/>
      <c r="C146" s="8"/>
    </row>
    <row r="147" spans="1:3" s="2" customFormat="1">
      <c r="A147" s="8"/>
      <c r="B147" s="8"/>
      <c r="C147" s="8"/>
    </row>
    <row r="148" spans="1:3" s="2" customFormat="1">
      <c r="A148" s="8"/>
      <c r="B148" s="8"/>
      <c r="C148" s="8"/>
    </row>
    <row r="149" spans="1:3" s="2" customFormat="1">
      <c r="A149" s="8"/>
      <c r="B149" s="8"/>
      <c r="C149" s="8"/>
    </row>
  </sheetData>
  <sheetProtection sheet="1" objects="1" scenarios="1"/>
  <mergeCells count="5">
    <mergeCell ref="C21:E21"/>
    <mergeCell ref="A2:E2"/>
    <mergeCell ref="A1:E1"/>
    <mergeCell ref="A3:D3"/>
    <mergeCell ref="C4:E4"/>
  </mergeCells>
  <phoneticPr fontId="5" type="noConversion"/>
  <conditionalFormatting sqref="E5:E20 E22:E31">
    <cfRule type="cellIs" dxfId="28" priority="0" stopIfTrue="1" operator="equal">
      <formula>"Tidak Dilakukan"</formula>
    </cfRule>
    <cfRule type="cellIs" dxfId="27" priority="1" stopIfTrue="1" operator="equal">
      <formula>"Dalam Perencanaan"</formula>
    </cfRule>
    <cfRule type="cellIs" dxfId="26" priority="2" stopIfTrue="1" operator="equal">
      <formula>"Dalam Penerapan / Diterapkan Sebagian"</formula>
    </cfRule>
  </conditionalFormatting>
  <conditionalFormatting sqref="F17:F20 F29:F31">
    <cfRule type="cellIs" dxfId="25" priority="3" stopIfTrue="1" operator="equal">
      <formula>0</formula>
    </cfRule>
  </conditionalFormatting>
  <dataValidations count="1">
    <dataValidation type="list" allowBlank="1" showInputMessage="1" showErrorMessage="1" sqref="E22:E31 E5:E20">
      <formula1>StatusPenerapan</formula1>
    </dataValidation>
  </dataValidations>
  <pageMargins left="0.75000000000000011" right="0.75000000000000011" top="1" bottom="1" header="0.5" footer="0.5"/>
  <pageSetup paperSize="9" scale="62" orientation="portrait" horizontalDpi="4294967292" verticalDpi="4294967292"/>
  <headerFooter>
    <oddFooter>&amp;L&amp;"Arial,Regular"&amp;9&amp;K000000Direktorat Keamanan Informasi&amp;C&amp;"Arial,Regular"&amp;9&amp;K000000Kementerian Komunikasi dan Informasi&amp;R&amp;"Arial,Regular"&amp;8&amp;K000000Indeks KAMI, Versi  2.3, 19 April 2012</oddFooter>
  </headerFooter>
  <ignoredErrors>
    <ignoredError sqref="A14 A27 A25" numberStoredAsText="1"/>
    <ignoredError sqref="E32" emptyCellReference="1"/>
  </ignoredError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sheetPr enableFormatConditionsCalculation="0">
    <pageSetUpPr fitToPage="1"/>
  </sheetPr>
  <dimension ref="A1:EA98"/>
  <sheetViews>
    <sheetView zoomScaleNormal="100" zoomScalePageLayoutView="125" workbookViewId="0">
      <pane xSplit="5" ySplit="3" topLeftCell="F4" activePane="bottomRight" state="frozen"/>
      <selection pane="topRight" activeCell="E1" sqref="E1"/>
      <selection pane="bottomLeft" activeCell="A4" sqref="A4"/>
      <selection pane="bottomRight" sqref="A1:E1"/>
    </sheetView>
  </sheetViews>
  <sheetFormatPr defaultColWidth="7.875" defaultRowHeight="12.75"/>
  <cols>
    <col min="1" max="1" width="4.375" style="11" bestFit="1" customWidth="1"/>
    <col min="2" max="2" width="2.625" style="11" customWidth="1"/>
    <col min="3" max="3" width="2.375" style="11" customWidth="1"/>
    <col min="4" max="4" width="80.75" style="3" customWidth="1"/>
    <col min="5" max="5" width="30.75" style="3" customWidth="1"/>
    <col min="6" max="6" width="4.75" style="3" customWidth="1"/>
    <col min="7" max="16384" width="7.875" style="3"/>
  </cols>
  <sheetData>
    <row r="1" spans="1:131" ht="30" customHeight="1">
      <c r="A1" s="166" t="s">
        <v>149</v>
      </c>
      <c r="B1" s="189"/>
      <c r="C1" s="167"/>
      <c r="D1" s="167"/>
      <c r="E1" s="168"/>
      <c r="F1" s="2"/>
      <c r="G1" s="2"/>
      <c r="H1" s="2"/>
      <c r="I1" s="2"/>
      <c r="J1" s="2"/>
      <c r="K1" s="2"/>
      <c r="L1" s="2"/>
      <c r="M1" s="2"/>
      <c r="N1" s="2"/>
      <c r="O1" s="2"/>
      <c r="P1" s="2"/>
      <c r="Q1" s="2"/>
      <c r="R1" s="2"/>
      <c r="S1" s="2"/>
      <c r="T1" s="2"/>
      <c r="U1" s="2"/>
      <c r="V1" s="2"/>
    </row>
    <row r="2" spans="1:131" s="2" customFormat="1" ht="30" customHeight="1">
      <c r="A2" s="169" t="s">
        <v>57</v>
      </c>
      <c r="B2" s="190"/>
      <c r="C2" s="170"/>
      <c r="D2" s="170"/>
      <c r="E2" s="191"/>
    </row>
    <row r="3" spans="1:131" s="17" customFormat="1" ht="30" customHeight="1">
      <c r="A3" s="172" t="s">
        <v>100</v>
      </c>
      <c r="B3" s="186"/>
      <c r="C3" s="187"/>
      <c r="D3" s="188"/>
      <c r="E3" s="32" t="s">
        <v>207</v>
      </c>
      <c r="F3" s="29" t="s">
        <v>216</v>
      </c>
    </row>
    <row r="4" spans="1:131" ht="15" customHeight="1">
      <c r="A4" s="63" t="s">
        <v>213</v>
      </c>
      <c r="B4" s="103"/>
      <c r="C4" s="192" t="s">
        <v>122</v>
      </c>
      <c r="D4" s="193"/>
      <c r="E4" s="194"/>
      <c r="F4" s="2"/>
      <c r="G4" s="2"/>
      <c r="H4" s="2"/>
      <c r="I4" s="2"/>
      <c r="J4" s="2"/>
      <c r="K4" s="2"/>
      <c r="L4" s="2"/>
      <c r="M4" s="2"/>
      <c r="N4" s="2"/>
      <c r="O4" s="2"/>
      <c r="P4" s="2"/>
      <c r="Q4" s="2"/>
      <c r="R4" s="2"/>
      <c r="S4" s="2"/>
      <c r="T4" s="2"/>
      <c r="U4" s="2"/>
      <c r="V4" s="2"/>
    </row>
    <row r="5" spans="1:131" ht="14.25">
      <c r="A5" s="54">
        <v>3.1</v>
      </c>
      <c r="B5" s="105" t="s">
        <v>289</v>
      </c>
      <c r="C5" s="38">
        <v>1</v>
      </c>
      <c r="D5" s="23" t="s">
        <v>144</v>
      </c>
      <c r="E5" s="33" t="s">
        <v>283</v>
      </c>
      <c r="F5" s="46">
        <f t="shared" ref="F5:F26" si="0">INDEX(SkorAkhir, MATCH(E5,StatusPenerapanHasil,0), MATCH(C5,TingkatKematangan,0))</f>
        <v>0</v>
      </c>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row>
    <row r="6" spans="1:131" ht="28.5">
      <c r="A6" s="54">
        <v>3.2</v>
      </c>
      <c r="B6" s="105" t="s">
        <v>289</v>
      </c>
      <c r="C6" s="38">
        <v>1</v>
      </c>
      <c r="D6" s="61" t="s">
        <v>34</v>
      </c>
      <c r="E6" s="33" t="s">
        <v>283</v>
      </c>
      <c r="F6" s="46">
        <f t="shared" si="0"/>
        <v>0</v>
      </c>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row>
    <row r="7" spans="1:131" ht="14.25">
      <c r="A7" s="54">
        <v>3.3</v>
      </c>
      <c r="B7" s="105" t="s">
        <v>289</v>
      </c>
      <c r="C7" s="38">
        <v>1</v>
      </c>
      <c r="D7" s="25" t="s">
        <v>105</v>
      </c>
      <c r="E7" s="33" t="s">
        <v>283</v>
      </c>
      <c r="F7" s="46">
        <f t="shared" si="0"/>
        <v>0</v>
      </c>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row>
    <row r="8" spans="1:131" ht="28.5">
      <c r="A8" s="54">
        <v>3.4</v>
      </c>
      <c r="B8" s="105" t="s">
        <v>289</v>
      </c>
      <c r="C8" s="38">
        <v>1</v>
      </c>
      <c r="D8" s="23" t="s">
        <v>379</v>
      </c>
      <c r="E8" s="33" t="s">
        <v>283</v>
      </c>
      <c r="F8" s="46">
        <f t="shared" si="0"/>
        <v>0</v>
      </c>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row>
    <row r="9" spans="1:131" ht="14.25">
      <c r="A9" s="54">
        <v>3.5</v>
      </c>
      <c r="B9" s="105" t="s">
        <v>289</v>
      </c>
      <c r="C9" s="38">
        <v>1</v>
      </c>
      <c r="D9" s="23" t="s">
        <v>102</v>
      </c>
      <c r="E9" s="33" t="s">
        <v>283</v>
      </c>
      <c r="F9" s="46">
        <f t="shared" si="0"/>
        <v>0</v>
      </c>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row>
    <row r="10" spans="1:131" ht="28.5">
      <c r="A10" s="54">
        <v>3.6</v>
      </c>
      <c r="B10" s="105" t="s">
        <v>289</v>
      </c>
      <c r="C10" s="38">
        <v>1</v>
      </c>
      <c r="D10" s="23" t="s">
        <v>142</v>
      </c>
      <c r="E10" s="33" t="s">
        <v>283</v>
      </c>
      <c r="F10" s="46">
        <f t="shared" si="0"/>
        <v>0</v>
      </c>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row>
    <row r="11" spans="1:131" ht="28.5">
      <c r="A11" s="3"/>
      <c r="B11" s="104"/>
      <c r="C11" s="38"/>
      <c r="D11" s="23" t="s">
        <v>4</v>
      </c>
      <c r="E11" s="64"/>
      <c r="F11" s="1"/>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row>
    <row r="12" spans="1:131" ht="28.5">
      <c r="A12" s="54">
        <v>3.7</v>
      </c>
      <c r="B12" s="105" t="s">
        <v>289</v>
      </c>
      <c r="C12" s="38">
        <v>1</v>
      </c>
      <c r="D12" s="62" t="s">
        <v>5</v>
      </c>
      <c r="E12" s="33" t="s">
        <v>283</v>
      </c>
      <c r="F12" s="46">
        <f t="shared" si="0"/>
        <v>0</v>
      </c>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row>
    <row r="13" spans="1:131" ht="14.25">
      <c r="A13" s="54">
        <v>3.8</v>
      </c>
      <c r="B13" s="105" t="s">
        <v>289</v>
      </c>
      <c r="C13" s="38">
        <v>1</v>
      </c>
      <c r="D13" s="62" t="s">
        <v>180</v>
      </c>
      <c r="E13" s="33" t="s">
        <v>283</v>
      </c>
      <c r="F13" s="46">
        <f t="shared" si="0"/>
        <v>0</v>
      </c>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row>
    <row r="14" spans="1:131" ht="14.25">
      <c r="A14" s="54">
        <v>3.9</v>
      </c>
      <c r="B14" s="105" t="s">
        <v>289</v>
      </c>
      <c r="C14" s="38">
        <v>1</v>
      </c>
      <c r="D14" s="62" t="s">
        <v>6</v>
      </c>
      <c r="E14" s="33" t="s">
        <v>283</v>
      </c>
      <c r="F14" s="46">
        <f t="shared" si="0"/>
        <v>0</v>
      </c>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row>
    <row r="15" spans="1:131" ht="14.25">
      <c r="A15" s="55" t="s">
        <v>154</v>
      </c>
      <c r="B15" s="105" t="s">
        <v>289</v>
      </c>
      <c r="C15" s="38">
        <v>1</v>
      </c>
      <c r="D15" s="62" t="s">
        <v>181</v>
      </c>
      <c r="E15" s="33" t="s">
        <v>283</v>
      </c>
      <c r="F15" s="46">
        <f t="shared" si="0"/>
        <v>0</v>
      </c>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row>
    <row r="16" spans="1:131" ht="28.5">
      <c r="A16" s="55" t="s">
        <v>196</v>
      </c>
      <c r="B16" s="105" t="s">
        <v>289</v>
      </c>
      <c r="C16" s="38">
        <v>1</v>
      </c>
      <c r="D16" s="62" t="s">
        <v>160</v>
      </c>
      <c r="E16" s="33" t="s">
        <v>283</v>
      </c>
      <c r="F16" s="46">
        <f t="shared" si="0"/>
        <v>0</v>
      </c>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row>
    <row r="17" spans="1:131" ht="28.5">
      <c r="A17" s="55" t="s">
        <v>197</v>
      </c>
      <c r="B17" s="105" t="s">
        <v>289</v>
      </c>
      <c r="C17" s="38">
        <v>1</v>
      </c>
      <c r="D17" s="62" t="s">
        <v>182</v>
      </c>
      <c r="E17" s="33" t="s">
        <v>283</v>
      </c>
      <c r="F17" s="46">
        <f t="shared" si="0"/>
        <v>0</v>
      </c>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row>
    <row r="18" spans="1:131" ht="28.5">
      <c r="A18" s="54" t="s">
        <v>155</v>
      </c>
      <c r="B18" s="105" t="s">
        <v>289</v>
      </c>
      <c r="C18" s="38">
        <v>1</v>
      </c>
      <c r="D18" s="62" t="s">
        <v>171</v>
      </c>
      <c r="E18" s="33" t="s">
        <v>283</v>
      </c>
      <c r="F18" s="46">
        <f t="shared" si="0"/>
        <v>0</v>
      </c>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row>
    <row r="19" spans="1:131" ht="14.25">
      <c r="A19" s="54" t="s">
        <v>156</v>
      </c>
      <c r="B19" s="105" t="s">
        <v>289</v>
      </c>
      <c r="C19" s="38">
        <v>1</v>
      </c>
      <c r="D19" s="62" t="s">
        <v>103</v>
      </c>
      <c r="E19" s="33" t="s">
        <v>283</v>
      </c>
      <c r="F19" s="46">
        <f t="shared" si="0"/>
        <v>0</v>
      </c>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row>
    <row r="20" spans="1:131" ht="28.5">
      <c r="A20" s="54" t="s">
        <v>123</v>
      </c>
      <c r="B20" s="105" t="s">
        <v>289</v>
      </c>
      <c r="C20" s="38">
        <v>1</v>
      </c>
      <c r="D20" s="62" t="s">
        <v>143</v>
      </c>
      <c r="E20" s="33" t="s">
        <v>283</v>
      </c>
      <c r="F20" s="46">
        <f t="shared" si="0"/>
        <v>0</v>
      </c>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row>
    <row r="21" spans="1:131" ht="14.25">
      <c r="A21" s="56" t="s">
        <v>124</v>
      </c>
      <c r="B21" s="105" t="s">
        <v>289</v>
      </c>
      <c r="C21" s="38">
        <v>1</v>
      </c>
      <c r="D21" s="62" t="s">
        <v>185</v>
      </c>
      <c r="E21" s="33" t="s">
        <v>283</v>
      </c>
      <c r="F21" s="46">
        <f t="shared" si="0"/>
        <v>0</v>
      </c>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row>
    <row r="22" spans="1:131" ht="28.5">
      <c r="A22" s="56" t="s">
        <v>151</v>
      </c>
      <c r="B22" s="105" t="s">
        <v>289</v>
      </c>
      <c r="C22" s="38">
        <v>2</v>
      </c>
      <c r="D22" s="62" t="s">
        <v>183</v>
      </c>
      <c r="E22" s="33" t="s">
        <v>283</v>
      </c>
      <c r="F22" s="46">
        <f t="shared" si="0"/>
        <v>0</v>
      </c>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row>
    <row r="23" spans="1:131" ht="14.25">
      <c r="A23" s="56" t="s">
        <v>152</v>
      </c>
      <c r="B23" s="123" t="s">
        <v>290</v>
      </c>
      <c r="C23" s="38">
        <v>2</v>
      </c>
      <c r="D23" s="62" t="s">
        <v>184</v>
      </c>
      <c r="E23" s="33" t="s">
        <v>283</v>
      </c>
      <c r="F23" s="46">
        <f t="shared" si="0"/>
        <v>0</v>
      </c>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row>
    <row r="24" spans="1:131" ht="28.5">
      <c r="A24" s="57" t="s">
        <v>153</v>
      </c>
      <c r="B24" s="123" t="s">
        <v>290</v>
      </c>
      <c r="C24" s="38">
        <v>2</v>
      </c>
      <c r="D24" s="62" t="s">
        <v>104</v>
      </c>
      <c r="E24" s="33" t="s">
        <v>283</v>
      </c>
      <c r="F24" s="46">
        <f t="shared" si="0"/>
        <v>0</v>
      </c>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row>
    <row r="25" spans="1:131" ht="14.25">
      <c r="A25" s="58" t="s">
        <v>125</v>
      </c>
      <c r="B25" s="123" t="s">
        <v>290</v>
      </c>
      <c r="C25" s="38">
        <v>2</v>
      </c>
      <c r="D25" s="62" t="s">
        <v>186</v>
      </c>
      <c r="E25" s="33" t="s">
        <v>283</v>
      </c>
      <c r="F25" s="46">
        <f t="shared" si="0"/>
        <v>0</v>
      </c>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row>
    <row r="26" spans="1:131" ht="28.5">
      <c r="A26" s="54" t="s">
        <v>126</v>
      </c>
      <c r="B26" s="123" t="s">
        <v>290</v>
      </c>
      <c r="C26" s="38">
        <v>2</v>
      </c>
      <c r="D26" s="62" t="s">
        <v>161</v>
      </c>
      <c r="E26" s="33" t="s">
        <v>283</v>
      </c>
      <c r="F26" s="46">
        <f t="shared" si="0"/>
        <v>0</v>
      </c>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row>
    <row r="27" spans="1:131" ht="28.5">
      <c r="A27" s="56" t="s">
        <v>127</v>
      </c>
      <c r="B27" s="123" t="s">
        <v>290</v>
      </c>
      <c r="C27" s="38">
        <v>3</v>
      </c>
      <c r="D27" s="34" t="s">
        <v>170</v>
      </c>
      <c r="E27" s="33" t="s">
        <v>283</v>
      </c>
      <c r="F27" s="46">
        <f>IF($E$48="Valid",INDEX(SkorAkhir, MATCH(E27,StatusPenerapanHasil,0), MATCH(C27,TingkatKematangan,0)),0)</f>
        <v>0</v>
      </c>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row>
    <row r="28" spans="1:131" ht="28.5">
      <c r="A28" s="54" t="s">
        <v>128</v>
      </c>
      <c r="B28" s="123" t="s">
        <v>290</v>
      </c>
      <c r="C28" s="38">
        <v>3</v>
      </c>
      <c r="D28" s="34" t="s">
        <v>147</v>
      </c>
      <c r="E28" s="33" t="s">
        <v>283</v>
      </c>
      <c r="F28" s="46">
        <f t="shared" ref="F28:F29" si="1">IF($E$48="Valid",INDEX(SkorAkhir, MATCH(E28,StatusPenerapanHasil,0), MATCH(C28,TingkatKematangan,0)),0)</f>
        <v>0</v>
      </c>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row>
    <row r="29" spans="1:131" ht="42.75">
      <c r="A29" s="56" t="s">
        <v>129</v>
      </c>
      <c r="B29" s="123" t="s">
        <v>290</v>
      </c>
      <c r="C29" s="38">
        <v>3</v>
      </c>
      <c r="D29" s="34" t="s">
        <v>133</v>
      </c>
      <c r="E29" s="33" t="s">
        <v>283</v>
      </c>
      <c r="F29" s="46">
        <f t="shared" si="1"/>
        <v>0</v>
      </c>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row>
    <row r="30" spans="1:131" ht="15" customHeight="1">
      <c r="A30" s="63" t="s">
        <v>213</v>
      </c>
      <c r="B30" s="116"/>
      <c r="C30" s="192" t="s">
        <v>187</v>
      </c>
      <c r="D30" s="193"/>
      <c r="E30" s="194"/>
      <c r="F30" s="1"/>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row>
    <row r="31" spans="1:131" s="16" customFormat="1" ht="42.75">
      <c r="A31" s="54">
        <v>3.25</v>
      </c>
      <c r="B31" s="105" t="s">
        <v>289</v>
      </c>
      <c r="C31" s="59">
        <v>1</v>
      </c>
      <c r="D31" s="60" t="s">
        <v>108</v>
      </c>
      <c r="E31" s="33" t="s">
        <v>283</v>
      </c>
      <c r="F31" s="46">
        <f t="shared" ref="F31:F39" si="2">INDEX(SkorAkhir, MATCH(E31,StatusPenerapanHasil,0), MATCH(C31,TingkatKematangan,0))</f>
        <v>0</v>
      </c>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c r="CT31" s="15"/>
      <c r="CU31" s="15"/>
      <c r="CV31" s="15"/>
      <c r="CW31" s="15"/>
      <c r="CX31" s="15"/>
      <c r="CY31" s="15"/>
      <c r="CZ31" s="15"/>
      <c r="DA31" s="15"/>
      <c r="DB31" s="15"/>
      <c r="DC31" s="15"/>
      <c r="DD31" s="15"/>
      <c r="DE31" s="15"/>
      <c r="DF31" s="15"/>
      <c r="DG31" s="15"/>
      <c r="DH31" s="15"/>
      <c r="DI31" s="15"/>
      <c r="DJ31" s="15"/>
      <c r="DK31" s="15"/>
      <c r="DL31" s="15"/>
      <c r="DM31" s="15"/>
      <c r="DN31" s="15"/>
      <c r="DO31" s="15"/>
      <c r="DP31" s="15"/>
      <c r="DQ31" s="15"/>
      <c r="DR31" s="15"/>
      <c r="DS31" s="15"/>
      <c r="DT31" s="15"/>
      <c r="DU31" s="15"/>
      <c r="DV31" s="15"/>
      <c r="DW31" s="15"/>
      <c r="DX31" s="15"/>
      <c r="DY31" s="15"/>
      <c r="DZ31" s="15"/>
      <c r="EA31" s="15"/>
    </row>
    <row r="32" spans="1:131" ht="28.5">
      <c r="A32" s="54">
        <v>3.26</v>
      </c>
      <c r="B32" s="105" t="s">
        <v>289</v>
      </c>
      <c r="C32" s="38">
        <v>1</v>
      </c>
      <c r="D32" s="23" t="s">
        <v>172</v>
      </c>
      <c r="E32" s="33" t="s">
        <v>283</v>
      </c>
      <c r="F32" s="46">
        <f t="shared" si="2"/>
        <v>0</v>
      </c>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row>
    <row r="33" spans="1:131" ht="28.5">
      <c r="A33" s="54" t="s">
        <v>162</v>
      </c>
      <c r="B33" s="105" t="s">
        <v>289</v>
      </c>
      <c r="C33" s="38">
        <v>1</v>
      </c>
      <c r="D33" s="23" t="s">
        <v>74</v>
      </c>
      <c r="E33" s="33" t="s">
        <v>283</v>
      </c>
      <c r="F33" s="46">
        <f t="shared" si="2"/>
        <v>0</v>
      </c>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row>
    <row r="34" spans="1:131" ht="28.5">
      <c r="A34" s="54" t="s">
        <v>163</v>
      </c>
      <c r="B34" s="105" t="s">
        <v>289</v>
      </c>
      <c r="C34" s="38">
        <v>1</v>
      </c>
      <c r="D34" s="23" t="s">
        <v>118</v>
      </c>
      <c r="E34" s="33" t="s">
        <v>283</v>
      </c>
      <c r="F34" s="46">
        <f t="shared" si="2"/>
        <v>0</v>
      </c>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row>
    <row r="35" spans="1:131" ht="28.5">
      <c r="A35" s="54" t="s">
        <v>164</v>
      </c>
      <c r="B35" s="105" t="s">
        <v>289</v>
      </c>
      <c r="C35" s="38">
        <v>1</v>
      </c>
      <c r="D35" s="23" t="s">
        <v>7</v>
      </c>
      <c r="E35" s="33" t="s">
        <v>283</v>
      </c>
      <c r="F35" s="46">
        <f t="shared" si="2"/>
        <v>0</v>
      </c>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row>
    <row r="36" spans="1:131" ht="57">
      <c r="A36" s="54" t="s">
        <v>165</v>
      </c>
      <c r="B36" s="105" t="s">
        <v>289</v>
      </c>
      <c r="C36" s="38">
        <v>2</v>
      </c>
      <c r="D36" s="23" t="s">
        <v>146</v>
      </c>
      <c r="E36" s="33" t="s">
        <v>283</v>
      </c>
      <c r="F36" s="46">
        <f t="shared" si="2"/>
        <v>0</v>
      </c>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row>
    <row r="37" spans="1:131" ht="42.75">
      <c r="A37" s="54" t="s">
        <v>166</v>
      </c>
      <c r="B37" s="105" t="s">
        <v>289</v>
      </c>
      <c r="C37" s="38">
        <v>2</v>
      </c>
      <c r="D37" s="23" t="s">
        <v>75</v>
      </c>
      <c r="E37" s="33" t="s">
        <v>283</v>
      </c>
      <c r="F37" s="46">
        <f t="shared" si="2"/>
        <v>0</v>
      </c>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row>
    <row r="38" spans="1:131" ht="28.5">
      <c r="A38" s="54" t="s">
        <v>167</v>
      </c>
      <c r="B38" s="105" t="s">
        <v>289</v>
      </c>
      <c r="C38" s="38">
        <v>2</v>
      </c>
      <c r="D38" s="23" t="s">
        <v>98</v>
      </c>
      <c r="E38" s="33" t="s">
        <v>283</v>
      </c>
      <c r="F38" s="46">
        <f t="shared" si="2"/>
        <v>0</v>
      </c>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row>
    <row r="39" spans="1:131" ht="57">
      <c r="A39" s="54" t="s">
        <v>168</v>
      </c>
      <c r="B39" s="105" t="s">
        <v>289</v>
      </c>
      <c r="C39" s="38">
        <v>2</v>
      </c>
      <c r="D39" s="23" t="s">
        <v>145</v>
      </c>
      <c r="E39" s="33" t="s">
        <v>283</v>
      </c>
      <c r="F39" s="46">
        <f t="shared" si="2"/>
        <v>0</v>
      </c>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row>
    <row r="40" spans="1:131" ht="28.5">
      <c r="A40" s="54" t="s">
        <v>169</v>
      </c>
      <c r="B40" s="123" t="s">
        <v>290</v>
      </c>
      <c r="C40" s="38">
        <v>3</v>
      </c>
      <c r="D40" s="23" t="s">
        <v>32</v>
      </c>
      <c r="E40" s="33" t="s">
        <v>283</v>
      </c>
      <c r="F40" s="46">
        <f>IF(E48="Valid",INDEX(SkorAkhir, MATCH(E40,StatusPenerapanHasil,0), MATCH(C40,TingkatKematangan,0)),0)</f>
        <v>0</v>
      </c>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row>
    <row r="41" spans="1:131" ht="19.5">
      <c r="A41" s="4"/>
      <c r="B41" s="4"/>
      <c r="C41" s="4"/>
      <c r="D41" s="47" t="s">
        <v>131</v>
      </c>
      <c r="E41" s="50">
        <f>SUM(F5:F40)</f>
        <v>0</v>
      </c>
      <c r="F41" s="2"/>
      <c r="G41" s="2"/>
      <c r="H41" s="2"/>
      <c r="I41" s="2"/>
      <c r="J41" s="2"/>
      <c r="K41" s="2"/>
      <c r="L41" s="2"/>
      <c r="M41" s="2"/>
      <c r="N41" s="2"/>
      <c r="O41" s="2"/>
      <c r="P41" s="2"/>
      <c r="Q41" s="2"/>
      <c r="R41" s="2"/>
      <c r="S41" s="2"/>
      <c r="T41" s="2"/>
      <c r="U41" s="2"/>
      <c r="V41" s="2"/>
    </row>
    <row r="42" spans="1:131">
      <c r="A42" s="8"/>
      <c r="B42" s="8"/>
      <c r="C42" s="8"/>
      <c r="D42" s="2"/>
      <c r="E42" s="2"/>
      <c r="F42" s="2"/>
      <c r="G42" s="2"/>
      <c r="H42" s="2"/>
      <c r="I42" s="2"/>
      <c r="J42" s="2"/>
      <c r="K42" s="2"/>
      <c r="L42" s="2"/>
      <c r="M42" s="2"/>
      <c r="N42" s="2"/>
      <c r="O42" s="2"/>
      <c r="P42" s="2"/>
      <c r="Q42" s="2"/>
      <c r="R42" s="2"/>
      <c r="S42" s="2"/>
      <c r="T42" s="2"/>
      <c r="U42" s="2"/>
      <c r="V42" s="2"/>
    </row>
    <row r="43" spans="1:131">
      <c r="A43" s="8"/>
      <c r="B43" s="8"/>
      <c r="C43" s="8"/>
      <c r="D43" s="44" t="s">
        <v>369</v>
      </c>
      <c r="E43" s="43">
        <f>COUNTIF(C5:C40,1)</f>
        <v>21</v>
      </c>
      <c r="F43" s="2"/>
      <c r="G43" s="2"/>
      <c r="H43" s="2"/>
      <c r="I43" s="2"/>
      <c r="J43" s="2"/>
      <c r="K43" s="2"/>
      <c r="L43" s="2"/>
      <c r="M43" s="2"/>
      <c r="N43" s="2"/>
      <c r="O43" s="2"/>
      <c r="P43" s="2"/>
      <c r="Q43" s="2"/>
      <c r="R43" s="2"/>
      <c r="S43" s="2"/>
      <c r="T43" s="2"/>
      <c r="U43" s="2"/>
      <c r="V43" s="2"/>
    </row>
    <row r="44" spans="1:131">
      <c r="A44" s="8"/>
      <c r="B44" s="8"/>
      <c r="C44" s="8"/>
      <c r="D44" s="44" t="s">
        <v>370</v>
      </c>
      <c r="E44" s="43">
        <f>COUNTIF(C5:C40,2)</f>
        <v>9</v>
      </c>
      <c r="F44" s="2"/>
      <c r="G44" s="2"/>
      <c r="H44" s="2"/>
      <c r="I44" s="2"/>
      <c r="J44" s="2"/>
      <c r="K44" s="2"/>
      <c r="L44" s="2"/>
      <c r="M44" s="2"/>
      <c r="N44" s="2"/>
      <c r="O44" s="2"/>
      <c r="P44" s="2"/>
      <c r="Q44" s="2"/>
      <c r="R44" s="2"/>
      <c r="S44" s="2"/>
      <c r="T44" s="2"/>
      <c r="U44" s="2"/>
      <c r="V44" s="2"/>
    </row>
    <row r="45" spans="1:131">
      <c r="A45" s="8"/>
      <c r="B45" s="8"/>
      <c r="C45" s="8"/>
      <c r="D45" s="44" t="s">
        <v>371</v>
      </c>
      <c r="E45" s="43">
        <f>COUNTIF(C5:C40,3)</f>
        <v>4</v>
      </c>
      <c r="F45" s="2"/>
      <c r="G45" s="2"/>
      <c r="H45" s="2"/>
      <c r="I45" s="2"/>
      <c r="J45" s="2"/>
      <c r="K45" s="2"/>
      <c r="L45" s="2"/>
      <c r="M45" s="2"/>
      <c r="N45" s="2"/>
      <c r="O45" s="2"/>
      <c r="P45" s="2"/>
      <c r="Q45" s="2"/>
      <c r="R45" s="2"/>
      <c r="S45" s="2"/>
      <c r="T45" s="2"/>
      <c r="U45" s="2"/>
      <c r="V45" s="2"/>
    </row>
    <row r="46" spans="1:131">
      <c r="A46" s="8"/>
      <c r="B46" s="8"/>
      <c r="C46" s="8"/>
      <c r="D46" s="44" t="s">
        <v>372</v>
      </c>
      <c r="E46" s="43">
        <f>(2*E43)+(4*E44)</f>
        <v>78</v>
      </c>
      <c r="F46" s="2"/>
      <c r="G46" s="2"/>
      <c r="H46" s="2"/>
      <c r="I46" s="2"/>
      <c r="J46" s="2"/>
      <c r="K46" s="2"/>
      <c r="L46" s="2"/>
      <c r="M46" s="2"/>
      <c r="N46" s="2"/>
      <c r="O46" s="2"/>
      <c r="P46" s="2"/>
      <c r="Q46" s="2"/>
      <c r="R46" s="2"/>
      <c r="S46" s="2"/>
      <c r="T46" s="2"/>
      <c r="U46" s="2"/>
      <c r="V46" s="2"/>
    </row>
    <row r="47" spans="1:131">
      <c r="A47" s="8"/>
      <c r="B47" s="8"/>
      <c r="C47" s="8"/>
      <c r="D47" s="44" t="s">
        <v>373</v>
      </c>
      <c r="E47" s="43">
        <f>SUM(F31:F39)+SUM(F5:F26)</f>
        <v>0</v>
      </c>
      <c r="F47" s="2"/>
      <c r="G47" s="2"/>
      <c r="H47" s="2"/>
      <c r="I47" s="2"/>
      <c r="J47" s="2"/>
      <c r="K47" s="2"/>
      <c r="L47" s="2"/>
      <c r="M47" s="2"/>
      <c r="N47" s="2"/>
      <c r="O47" s="2"/>
      <c r="P47" s="2"/>
      <c r="Q47" s="2"/>
      <c r="R47" s="2"/>
      <c r="S47" s="2"/>
      <c r="T47" s="2"/>
      <c r="U47" s="2"/>
      <c r="V47" s="2"/>
    </row>
    <row r="48" spans="1:131">
      <c r="A48" s="8"/>
      <c r="B48" s="8"/>
      <c r="C48" s="8"/>
      <c r="D48" s="44" t="s">
        <v>374</v>
      </c>
      <c r="E48" s="43" t="str">
        <f>IF(E47&gt;=E46,"Valid","Tidak Valid")</f>
        <v>Tidak Valid</v>
      </c>
      <c r="F48" s="2"/>
      <c r="G48" s="2"/>
      <c r="H48" s="2"/>
      <c r="I48" s="2"/>
      <c r="J48" s="2"/>
      <c r="K48" s="2"/>
      <c r="L48" s="2"/>
      <c r="M48" s="2"/>
      <c r="N48" s="2"/>
      <c r="O48" s="2"/>
      <c r="P48" s="2"/>
      <c r="Q48" s="2"/>
      <c r="R48" s="2"/>
      <c r="S48" s="2"/>
      <c r="T48" s="2"/>
      <c r="U48" s="2"/>
      <c r="V48" s="2"/>
    </row>
    <row r="49" spans="1:22">
      <c r="A49" s="8"/>
      <c r="B49" s="8"/>
      <c r="C49" s="8"/>
      <c r="D49" s="2"/>
      <c r="E49" s="2"/>
      <c r="F49" s="2"/>
      <c r="G49" s="2"/>
      <c r="H49" s="2"/>
      <c r="I49" s="2"/>
      <c r="J49" s="2"/>
      <c r="K49" s="2"/>
      <c r="L49" s="2"/>
      <c r="M49" s="2"/>
      <c r="N49" s="2"/>
      <c r="O49" s="2"/>
      <c r="P49" s="2"/>
      <c r="Q49" s="2"/>
      <c r="R49" s="2"/>
      <c r="S49" s="2"/>
      <c r="T49" s="2"/>
      <c r="U49" s="2"/>
      <c r="V49" s="2"/>
    </row>
    <row r="50" spans="1:22">
      <c r="A50" s="8"/>
      <c r="B50" s="8"/>
      <c r="C50" s="8"/>
      <c r="D50" s="44" t="s">
        <v>295</v>
      </c>
      <c r="E50" s="134">
        <f>SUM(F5:F10)+SUM(F12:F22)+SUM(F31:F39)</f>
        <v>0</v>
      </c>
      <c r="F50" s="133" t="s">
        <v>340</v>
      </c>
      <c r="G50" s="2"/>
      <c r="H50" s="133">
        <f>21*3+5*6</f>
        <v>93</v>
      </c>
      <c r="I50" s="2"/>
      <c r="J50" s="2"/>
      <c r="K50" s="2"/>
      <c r="L50" s="2"/>
      <c r="M50" s="2"/>
      <c r="N50" s="2"/>
      <c r="O50" s="2"/>
      <c r="P50" s="2"/>
      <c r="Q50" s="2"/>
      <c r="R50" s="2"/>
      <c r="S50" s="2"/>
      <c r="T50" s="2"/>
      <c r="U50" s="2"/>
      <c r="V50" s="2"/>
    </row>
    <row r="51" spans="1:22">
      <c r="A51" s="8"/>
      <c r="B51" s="8"/>
      <c r="C51" s="8"/>
      <c r="D51" s="141" t="s">
        <v>313</v>
      </c>
      <c r="E51" s="134">
        <f>(4*2)+(17*1)</f>
        <v>25</v>
      </c>
      <c r="F51" s="144" t="s">
        <v>334</v>
      </c>
      <c r="G51" s="2"/>
      <c r="H51" s="2"/>
      <c r="I51" s="2"/>
      <c r="J51" s="2"/>
      <c r="K51" s="2"/>
      <c r="L51" s="2"/>
      <c r="M51" s="2"/>
      <c r="N51" s="2"/>
      <c r="O51" s="2"/>
      <c r="P51" s="2"/>
      <c r="Q51" s="2"/>
      <c r="R51" s="2"/>
      <c r="S51" s="2"/>
      <c r="T51" s="2"/>
      <c r="U51" s="2"/>
      <c r="V51" s="2"/>
    </row>
    <row r="52" spans="1:22">
      <c r="A52" s="8"/>
      <c r="B52" s="8"/>
      <c r="C52" s="8"/>
      <c r="D52" s="141" t="s">
        <v>314</v>
      </c>
      <c r="E52" s="134">
        <f>(21*2)+(5*4)</f>
        <v>62</v>
      </c>
      <c r="F52" s="144" t="s">
        <v>335</v>
      </c>
      <c r="G52" s="2"/>
      <c r="H52" s="2"/>
      <c r="I52" s="2"/>
      <c r="J52" s="2"/>
      <c r="K52" s="2"/>
      <c r="L52" s="2"/>
      <c r="M52" s="2"/>
      <c r="N52" s="2"/>
      <c r="O52" s="2"/>
      <c r="P52" s="2"/>
      <c r="Q52" s="2"/>
      <c r="R52" s="2"/>
      <c r="S52" s="2"/>
      <c r="T52" s="2"/>
      <c r="U52" s="2"/>
      <c r="V52" s="2"/>
    </row>
    <row r="53" spans="1:22">
      <c r="A53" s="8"/>
      <c r="B53" s="8"/>
      <c r="C53" s="8"/>
      <c r="D53" s="44" t="s">
        <v>315</v>
      </c>
      <c r="E53" s="43" t="str">
        <f>IF(E50&gt;=E52,"II",IF(E50&gt;=E51,"I+","No"))</f>
        <v>No</v>
      </c>
      <c r="F53" s="133">
        <f>0.8*((21*3)+(5*6))</f>
        <v>74.400000000000006</v>
      </c>
      <c r="G53" s="133" t="s">
        <v>368</v>
      </c>
      <c r="H53" s="2"/>
      <c r="I53" s="2"/>
      <c r="J53" s="2"/>
      <c r="K53" s="2"/>
      <c r="L53" s="2"/>
      <c r="M53" s="2"/>
      <c r="N53" s="2"/>
      <c r="O53" s="2"/>
      <c r="P53" s="2"/>
      <c r="Q53" s="2"/>
      <c r="R53" s="2"/>
      <c r="S53" s="2"/>
      <c r="T53" s="2"/>
      <c r="U53" s="2"/>
      <c r="V53" s="2"/>
    </row>
    <row r="54" spans="1:22">
      <c r="A54" s="8"/>
      <c r="B54" s="8"/>
      <c r="C54" s="8"/>
      <c r="D54" s="44" t="s">
        <v>296</v>
      </c>
      <c r="E54" s="135">
        <f>SUM(F23:F29)+SUM(F40)</f>
        <v>0</v>
      </c>
      <c r="F54" s="133" t="s">
        <v>341</v>
      </c>
      <c r="G54" s="2"/>
      <c r="H54" s="133">
        <f>4*6+4*9</f>
        <v>60</v>
      </c>
      <c r="I54" s="2"/>
      <c r="J54" s="2"/>
      <c r="K54" s="2"/>
      <c r="L54" s="2"/>
      <c r="M54" s="2"/>
      <c r="N54" s="2"/>
      <c r="O54" s="2"/>
      <c r="P54" s="2"/>
      <c r="Q54" s="2"/>
      <c r="R54" s="2"/>
      <c r="S54" s="2"/>
      <c r="T54" s="2"/>
      <c r="U54" s="2"/>
      <c r="V54" s="2"/>
    </row>
    <row r="55" spans="1:22">
      <c r="A55" s="8"/>
      <c r="B55" s="8"/>
      <c r="C55" s="8"/>
      <c r="D55" s="141" t="s">
        <v>318</v>
      </c>
      <c r="E55" s="43" t="str">
        <f>IF(E50&gt;=F53,"Yes","No")</f>
        <v>No</v>
      </c>
      <c r="F55" s="2"/>
      <c r="G55" s="2"/>
      <c r="H55" s="2"/>
      <c r="I55" s="2"/>
      <c r="J55" s="2"/>
      <c r="K55" s="2"/>
      <c r="L55" s="2"/>
      <c r="M55" s="2"/>
      <c r="N55" s="2"/>
      <c r="O55" s="2"/>
      <c r="P55" s="2"/>
      <c r="Q55" s="2"/>
      <c r="R55" s="2"/>
      <c r="S55" s="2"/>
      <c r="T55" s="2"/>
      <c r="U55" s="2"/>
      <c r="V55" s="2"/>
    </row>
    <row r="56" spans="1:22">
      <c r="A56" s="8"/>
      <c r="B56" s="8"/>
      <c r="C56" s="8"/>
      <c r="D56" s="141" t="s">
        <v>316</v>
      </c>
      <c r="E56" s="135">
        <f>(2*2)+(2*4)+(1*3)+(3*6)</f>
        <v>33</v>
      </c>
      <c r="F56" s="133" t="s">
        <v>376</v>
      </c>
      <c r="G56" s="2"/>
      <c r="H56" s="2"/>
      <c r="I56" s="2"/>
      <c r="J56" s="2"/>
      <c r="K56" s="2"/>
      <c r="L56" s="2"/>
      <c r="M56" s="2"/>
      <c r="N56" s="2"/>
      <c r="O56" s="2"/>
      <c r="P56" s="2"/>
      <c r="Q56" s="2"/>
      <c r="R56" s="2"/>
      <c r="S56" s="2"/>
      <c r="T56" s="2"/>
      <c r="U56" s="2"/>
      <c r="V56" s="2"/>
    </row>
    <row r="57" spans="1:22">
      <c r="A57" s="8"/>
      <c r="B57" s="8"/>
      <c r="C57" s="8"/>
      <c r="D57" s="141" t="s">
        <v>317</v>
      </c>
      <c r="E57" s="135">
        <f>(2*4)+(2*6)+(4*6)</f>
        <v>44</v>
      </c>
      <c r="F57" s="144" t="s">
        <v>377</v>
      </c>
      <c r="G57" s="2"/>
      <c r="H57" s="2"/>
      <c r="I57" s="2"/>
      <c r="J57" s="2"/>
      <c r="K57" s="2"/>
      <c r="L57" s="2"/>
      <c r="M57" s="2"/>
      <c r="N57" s="2"/>
      <c r="O57" s="2"/>
      <c r="P57" s="2"/>
      <c r="Q57" s="2"/>
      <c r="R57" s="2"/>
      <c r="S57" s="2"/>
      <c r="T57" s="2"/>
      <c r="U57" s="2"/>
      <c r="V57" s="2"/>
    </row>
    <row r="58" spans="1:22">
      <c r="A58" s="8"/>
      <c r="B58" s="8"/>
      <c r="C58" s="8"/>
      <c r="D58" s="44" t="s">
        <v>315</v>
      </c>
      <c r="E58" s="43" t="str">
        <f>IF(E55="Yes",IF(E54&gt;=E57,"III",IF(E54&gt;=E56,"II+","No")),"No")</f>
        <v>No</v>
      </c>
      <c r="F58" s="133">
        <f>(1*4)+(3*6)+(1*6)+(3*9)</f>
        <v>55</v>
      </c>
      <c r="G58" s="133" t="s">
        <v>378</v>
      </c>
      <c r="H58" s="2"/>
      <c r="I58" s="2"/>
      <c r="J58" s="2"/>
      <c r="K58" s="2"/>
      <c r="L58" s="2"/>
      <c r="M58" s="2"/>
      <c r="N58" s="2"/>
      <c r="O58" s="2"/>
      <c r="P58" s="2"/>
      <c r="Q58" s="2"/>
      <c r="R58" s="2"/>
      <c r="S58" s="2"/>
      <c r="T58" s="2"/>
      <c r="U58" s="2"/>
      <c r="V58" s="2"/>
    </row>
    <row r="59" spans="1:22">
      <c r="A59" s="8"/>
      <c r="B59" s="8"/>
      <c r="C59" s="8"/>
      <c r="D59" s="2"/>
      <c r="E59" s="2"/>
      <c r="F59" s="2"/>
      <c r="G59" s="2"/>
      <c r="H59" s="2"/>
      <c r="I59" s="2"/>
      <c r="J59" s="2"/>
      <c r="K59" s="2"/>
      <c r="L59" s="2"/>
      <c r="M59" s="2"/>
      <c r="N59" s="2"/>
      <c r="O59" s="2"/>
      <c r="P59" s="2"/>
      <c r="Q59" s="2"/>
      <c r="R59" s="2"/>
      <c r="S59" s="2"/>
      <c r="T59" s="2"/>
      <c r="U59" s="2"/>
      <c r="V59" s="2"/>
    </row>
    <row r="60" spans="1:22">
      <c r="A60" s="8"/>
      <c r="B60" s="8"/>
      <c r="C60" s="8"/>
      <c r="D60" s="2"/>
      <c r="E60" s="2"/>
      <c r="F60" s="2"/>
      <c r="G60" s="2"/>
      <c r="H60" s="2"/>
      <c r="I60" s="2"/>
      <c r="J60" s="2"/>
      <c r="K60" s="2"/>
      <c r="L60" s="2"/>
      <c r="M60" s="2"/>
      <c r="N60" s="2"/>
      <c r="O60" s="2"/>
      <c r="P60" s="2"/>
      <c r="Q60" s="2"/>
      <c r="R60" s="2"/>
      <c r="S60" s="2"/>
      <c r="T60" s="2"/>
      <c r="U60" s="2"/>
      <c r="V60" s="2"/>
    </row>
    <row r="61" spans="1:22">
      <c r="A61" s="8"/>
      <c r="B61" s="8"/>
      <c r="C61" s="8"/>
      <c r="D61" s="2"/>
      <c r="E61" s="2"/>
      <c r="F61" s="2"/>
      <c r="G61" s="2"/>
      <c r="H61" s="2"/>
      <c r="I61" s="2"/>
      <c r="J61" s="2"/>
      <c r="K61" s="2"/>
      <c r="L61" s="2"/>
      <c r="M61" s="2"/>
      <c r="N61" s="2"/>
      <c r="O61" s="2"/>
      <c r="P61" s="2"/>
      <c r="Q61" s="2"/>
      <c r="R61" s="2"/>
      <c r="S61" s="2"/>
      <c r="T61" s="2"/>
      <c r="U61" s="2"/>
      <c r="V61" s="2"/>
    </row>
    <row r="62" spans="1:22">
      <c r="A62" s="8"/>
      <c r="B62" s="8"/>
      <c r="C62" s="8"/>
      <c r="D62" s="2"/>
      <c r="E62" s="2"/>
      <c r="F62" s="2"/>
      <c r="G62" s="2"/>
      <c r="H62" s="2"/>
      <c r="I62" s="2"/>
      <c r="J62" s="2"/>
      <c r="K62" s="2"/>
      <c r="L62" s="2"/>
      <c r="M62" s="2"/>
      <c r="N62" s="2"/>
      <c r="O62" s="2"/>
      <c r="P62" s="2"/>
      <c r="Q62" s="2"/>
      <c r="R62" s="2"/>
      <c r="S62" s="2"/>
      <c r="T62" s="2"/>
      <c r="U62" s="2"/>
      <c r="V62" s="2"/>
    </row>
    <row r="63" spans="1:22">
      <c r="A63" s="8"/>
      <c r="B63" s="8"/>
      <c r="C63" s="8"/>
      <c r="D63" s="2"/>
      <c r="E63" s="2"/>
      <c r="F63" s="2"/>
      <c r="G63" s="2"/>
      <c r="H63" s="2"/>
      <c r="I63" s="2"/>
      <c r="J63" s="2"/>
      <c r="K63" s="2"/>
      <c r="L63" s="2"/>
      <c r="M63" s="2"/>
      <c r="N63" s="2"/>
      <c r="O63" s="2"/>
      <c r="P63" s="2"/>
      <c r="Q63" s="2"/>
      <c r="R63" s="2"/>
      <c r="S63" s="2"/>
      <c r="T63" s="2"/>
      <c r="U63" s="2"/>
      <c r="V63" s="2"/>
    </row>
    <row r="64" spans="1:22">
      <c r="A64" s="8"/>
      <c r="B64" s="8"/>
      <c r="C64" s="8"/>
      <c r="D64" s="2"/>
      <c r="E64" s="2"/>
      <c r="F64" s="2"/>
      <c r="G64" s="2"/>
      <c r="H64" s="2"/>
      <c r="I64" s="2"/>
      <c r="J64" s="2"/>
      <c r="K64" s="2"/>
      <c r="L64" s="2"/>
      <c r="M64" s="2"/>
      <c r="N64" s="2"/>
      <c r="O64" s="2"/>
      <c r="P64" s="2"/>
      <c r="Q64" s="2"/>
      <c r="R64" s="2"/>
      <c r="S64" s="2"/>
      <c r="T64" s="2"/>
      <c r="U64" s="2"/>
      <c r="V64" s="2"/>
    </row>
    <row r="65" spans="1:22">
      <c r="A65" s="8"/>
      <c r="B65" s="8"/>
      <c r="C65" s="8"/>
      <c r="D65" s="2"/>
      <c r="E65" s="2"/>
      <c r="F65" s="2"/>
      <c r="G65" s="2"/>
      <c r="H65" s="2"/>
      <c r="I65" s="2"/>
      <c r="J65" s="2"/>
      <c r="K65" s="2"/>
      <c r="L65" s="2"/>
      <c r="M65" s="2"/>
      <c r="N65" s="2"/>
      <c r="O65" s="2"/>
      <c r="P65" s="2"/>
      <c r="Q65" s="2"/>
      <c r="R65" s="2"/>
      <c r="S65" s="2"/>
      <c r="T65" s="2"/>
      <c r="U65" s="2"/>
      <c r="V65" s="2"/>
    </row>
    <row r="66" spans="1:22">
      <c r="A66" s="8"/>
      <c r="B66" s="8"/>
      <c r="C66" s="8"/>
      <c r="D66" s="2"/>
      <c r="E66" s="2"/>
      <c r="F66" s="2"/>
      <c r="G66" s="2"/>
      <c r="H66" s="2"/>
      <c r="I66" s="2"/>
      <c r="J66" s="2"/>
      <c r="K66" s="2"/>
      <c r="L66" s="2"/>
      <c r="M66" s="2"/>
      <c r="N66" s="2"/>
      <c r="O66" s="2"/>
      <c r="P66" s="2"/>
      <c r="Q66" s="2"/>
      <c r="R66" s="2"/>
      <c r="S66" s="2"/>
      <c r="T66" s="2"/>
      <c r="U66" s="2"/>
      <c r="V66" s="2"/>
    </row>
    <row r="67" spans="1:22">
      <c r="A67" s="8"/>
      <c r="B67" s="8"/>
      <c r="C67" s="8"/>
      <c r="D67" s="2"/>
      <c r="E67" s="2"/>
      <c r="F67" s="2"/>
      <c r="G67" s="2"/>
      <c r="H67" s="2"/>
      <c r="I67" s="2"/>
      <c r="J67" s="2"/>
      <c r="K67" s="2"/>
      <c r="L67" s="2"/>
      <c r="M67" s="2"/>
      <c r="N67" s="2"/>
      <c r="O67" s="2"/>
      <c r="P67" s="2"/>
      <c r="Q67" s="2"/>
      <c r="R67" s="2"/>
      <c r="S67" s="2"/>
      <c r="T67" s="2"/>
      <c r="U67" s="2"/>
      <c r="V67" s="2"/>
    </row>
    <row r="68" spans="1:22">
      <c r="A68" s="8"/>
      <c r="B68" s="8"/>
      <c r="C68" s="8"/>
      <c r="D68" s="2"/>
      <c r="E68" s="2"/>
      <c r="F68" s="2"/>
      <c r="G68" s="2"/>
      <c r="H68" s="2"/>
      <c r="I68" s="2"/>
      <c r="J68" s="2"/>
      <c r="K68" s="2"/>
      <c r="L68" s="2"/>
      <c r="M68" s="2"/>
      <c r="N68" s="2"/>
      <c r="O68" s="2"/>
      <c r="P68" s="2"/>
      <c r="Q68" s="2"/>
      <c r="R68" s="2"/>
      <c r="S68" s="2"/>
      <c r="T68" s="2"/>
      <c r="U68" s="2"/>
      <c r="V68" s="2"/>
    </row>
    <row r="69" spans="1:22">
      <c r="A69" s="8"/>
      <c r="B69" s="8"/>
      <c r="C69" s="8"/>
      <c r="D69" s="2"/>
      <c r="E69" s="2"/>
      <c r="F69" s="2"/>
      <c r="G69" s="2"/>
      <c r="H69" s="2"/>
      <c r="I69" s="2"/>
      <c r="J69" s="2"/>
      <c r="K69" s="2"/>
      <c r="L69" s="2"/>
      <c r="M69" s="2"/>
      <c r="N69" s="2"/>
      <c r="O69" s="2"/>
      <c r="P69" s="2"/>
      <c r="Q69" s="2"/>
      <c r="R69" s="2"/>
      <c r="S69" s="2"/>
      <c r="T69" s="2"/>
      <c r="U69" s="2"/>
      <c r="V69" s="2"/>
    </row>
    <row r="70" spans="1:22">
      <c r="A70" s="8"/>
      <c r="B70" s="8"/>
      <c r="C70" s="8"/>
      <c r="D70" s="2"/>
      <c r="E70" s="2"/>
      <c r="F70" s="2"/>
      <c r="G70" s="2"/>
      <c r="H70" s="2"/>
      <c r="I70" s="2"/>
      <c r="J70" s="2"/>
      <c r="K70" s="2"/>
      <c r="L70" s="2"/>
      <c r="M70" s="2"/>
      <c r="N70" s="2"/>
      <c r="O70" s="2"/>
      <c r="P70" s="2"/>
      <c r="Q70" s="2"/>
      <c r="R70" s="2"/>
      <c r="S70" s="2"/>
      <c r="T70" s="2"/>
      <c r="U70" s="2"/>
      <c r="V70" s="2"/>
    </row>
    <row r="71" spans="1:22">
      <c r="A71" s="8"/>
      <c r="B71" s="8"/>
      <c r="C71" s="8"/>
      <c r="D71" s="2"/>
      <c r="E71" s="2"/>
      <c r="F71" s="2"/>
      <c r="G71" s="2"/>
      <c r="H71" s="2"/>
      <c r="I71" s="2"/>
      <c r="J71" s="2"/>
      <c r="K71" s="2"/>
      <c r="L71" s="2"/>
      <c r="M71" s="2"/>
      <c r="N71" s="2"/>
      <c r="O71" s="2"/>
      <c r="P71" s="2"/>
      <c r="Q71" s="2"/>
      <c r="R71" s="2"/>
      <c r="S71" s="2"/>
      <c r="T71" s="2"/>
      <c r="U71" s="2"/>
      <c r="V71" s="2"/>
    </row>
    <row r="72" spans="1:22">
      <c r="A72" s="8"/>
      <c r="B72" s="8"/>
      <c r="C72" s="8"/>
      <c r="D72" s="2"/>
      <c r="E72" s="2"/>
      <c r="F72" s="2"/>
      <c r="G72" s="2"/>
      <c r="H72" s="2"/>
      <c r="I72" s="2"/>
      <c r="J72" s="2"/>
      <c r="K72" s="2"/>
      <c r="L72" s="2"/>
      <c r="M72" s="2"/>
      <c r="N72" s="2"/>
      <c r="O72" s="2"/>
      <c r="P72" s="2"/>
      <c r="Q72" s="2"/>
      <c r="R72" s="2"/>
      <c r="S72" s="2"/>
      <c r="T72" s="2"/>
      <c r="U72" s="2"/>
      <c r="V72" s="2"/>
    </row>
    <row r="73" spans="1:22">
      <c r="A73" s="8"/>
      <c r="B73" s="8"/>
      <c r="C73" s="8"/>
      <c r="D73" s="2"/>
      <c r="E73" s="2"/>
      <c r="F73" s="2"/>
      <c r="G73" s="2"/>
      <c r="H73" s="2"/>
      <c r="I73" s="2"/>
      <c r="J73" s="2"/>
      <c r="K73" s="2"/>
      <c r="L73" s="2"/>
      <c r="M73" s="2"/>
      <c r="N73" s="2"/>
      <c r="O73" s="2"/>
      <c r="P73" s="2"/>
      <c r="Q73" s="2"/>
      <c r="R73" s="2"/>
      <c r="S73" s="2"/>
      <c r="T73" s="2"/>
      <c r="U73" s="2"/>
      <c r="V73" s="2"/>
    </row>
    <row r="74" spans="1:22">
      <c r="A74" s="8"/>
      <c r="B74" s="8"/>
      <c r="C74" s="8"/>
      <c r="D74" s="2"/>
      <c r="E74" s="2"/>
      <c r="F74" s="2"/>
      <c r="G74" s="2"/>
      <c r="H74" s="2"/>
      <c r="I74" s="2"/>
      <c r="J74" s="2"/>
      <c r="K74" s="2"/>
      <c r="L74" s="2"/>
      <c r="M74" s="2"/>
      <c r="N74" s="2"/>
      <c r="O74" s="2"/>
      <c r="P74" s="2"/>
      <c r="Q74" s="2"/>
      <c r="R74" s="2"/>
      <c r="S74" s="2"/>
      <c r="T74" s="2"/>
      <c r="U74" s="2"/>
      <c r="V74" s="2"/>
    </row>
    <row r="75" spans="1:22">
      <c r="A75" s="8"/>
      <c r="B75" s="8"/>
      <c r="C75" s="8"/>
      <c r="D75" s="2"/>
      <c r="E75" s="2"/>
      <c r="F75" s="2"/>
      <c r="G75" s="2"/>
      <c r="H75" s="2"/>
      <c r="I75" s="2"/>
      <c r="J75" s="2"/>
      <c r="K75" s="2"/>
      <c r="L75" s="2"/>
      <c r="M75" s="2"/>
      <c r="N75" s="2"/>
      <c r="O75" s="2"/>
      <c r="P75" s="2"/>
      <c r="Q75" s="2"/>
      <c r="R75" s="2"/>
      <c r="S75" s="2"/>
      <c r="T75" s="2"/>
      <c r="U75" s="2"/>
      <c r="V75" s="2"/>
    </row>
    <row r="76" spans="1:22">
      <c r="A76" s="8"/>
      <c r="B76" s="8"/>
      <c r="C76" s="8"/>
      <c r="D76" s="2"/>
      <c r="E76" s="2"/>
      <c r="F76" s="2"/>
      <c r="G76" s="2"/>
      <c r="H76" s="2"/>
      <c r="I76" s="2"/>
      <c r="J76" s="2"/>
      <c r="K76" s="2"/>
      <c r="L76" s="2"/>
      <c r="M76" s="2"/>
      <c r="N76" s="2"/>
      <c r="O76" s="2"/>
      <c r="P76" s="2"/>
      <c r="Q76" s="2"/>
      <c r="R76" s="2"/>
      <c r="S76" s="2"/>
      <c r="T76" s="2"/>
      <c r="U76" s="2"/>
      <c r="V76" s="2"/>
    </row>
    <row r="77" spans="1:22">
      <c r="A77" s="8"/>
      <c r="B77" s="8"/>
      <c r="C77" s="8"/>
      <c r="D77" s="2"/>
      <c r="E77" s="2"/>
      <c r="F77" s="2"/>
      <c r="G77" s="2"/>
      <c r="H77" s="2"/>
      <c r="I77" s="2"/>
      <c r="J77" s="2"/>
      <c r="K77" s="2"/>
      <c r="L77" s="2"/>
      <c r="M77" s="2"/>
      <c r="N77" s="2"/>
      <c r="O77" s="2"/>
      <c r="P77" s="2"/>
      <c r="Q77" s="2"/>
      <c r="R77" s="2"/>
      <c r="S77" s="2"/>
      <c r="T77" s="2"/>
      <c r="U77" s="2"/>
      <c r="V77" s="2"/>
    </row>
    <row r="78" spans="1:22">
      <c r="A78" s="8"/>
      <c r="B78" s="8"/>
      <c r="C78" s="8"/>
      <c r="D78" s="2"/>
      <c r="E78" s="2"/>
      <c r="F78" s="2"/>
      <c r="G78" s="2"/>
      <c r="H78" s="2"/>
      <c r="I78" s="2"/>
      <c r="J78" s="2"/>
      <c r="K78" s="2"/>
      <c r="L78" s="2"/>
      <c r="M78" s="2"/>
      <c r="N78" s="2"/>
      <c r="O78" s="2"/>
      <c r="P78" s="2"/>
      <c r="Q78" s="2"/>
      <c r="R78" s="2"/>
      <c r="S78" s="2"/>
      <c r="T78" s="2"/>
      <c r="U78" s="2"/>
      <c r="V78" s="2"/>
    </row>
    <row r="79" spans="1:22">
      <c r="A79" s="8"/>
      <c r="B79" s="8"/>
      <c r="C79" s="8"/>
      <c r="D79" s="2"/>
      <c r="E79" s="2"/>
      <c r="F79" s="2"/>
      <c r="G79" s="2"/>
      <c r="H79" s="2"/>
      <c r="I79" s="2"/>
      <c r="J79" s="2"/>
      <c r="K79" s="2"/>
      <c r="L79" s="2"/>
      <c r="M79" s="2"/>
      <c r="N79" s="2"/>
      <c r="O79" s="2"/>
      <c r="P79" s="2"/>
      <c r="Q79" s="2"/>
      <c r="R79" s="2"/>
      <c r="S79" s="2"/>
      <c r="T79" s="2"/>
      <c r="U79" s="2"/>
      <c r="V79" s="2"/>
    </row>
    <row r="80" spans="1:22">
      <c r="A80" s="8"/>
      <c r="B80" s="8"/>
      <c r="C80" s="8"/>
      <c r="D80" s="2"/>
      <c r="E80" s="2"/>
      <c r="F80" s="2"/>
      <c r="G80" s="2"/>
      <c r="H80" s="2"/>
      <c r="I80" s="2"/>
      <c r="J80" s="2"/>
      <c r="K80" s="2"/>
      <c r="L80" s="2"/>
      <c r="M80" s="2"/>
      <c r="N80" s="2"/>
      <c r="O80" s="2"/>
      <c r="P80" s="2"/>
      <c r="Q80" s="2"/>
      <c r="R80" s="2"/>
      <c r="S80" s="2"/>
      <c r="T80" s="2"/>
      <c r="U80" s="2"/>
      <c r="V80" s="2"/>
    </row>
    <row r="81" spans="1:22">
      <c r="A81" s="8"/>
      <c r="B81" s="8"/>
      <c r="C81" s="8"/>
      <c r="D81" s="2"/>
      <c r="E81" s="2"/>
      <c r="F81" s="2"/>
      <c r="G81" s="2"/>
      <c r="H81" s="2"/>
      <c r="I81" s="2"/>
      <c r="J81" s="2"/>
      <c r="K81" s="2"/>
      <c r="L81" s="2"/>
      <c r="M81" s="2"/>
      <c r="N81" s="2"/>
      <c r="O81" s="2"/>
      <c r="P81" s="2"/>
      <c r="Q81" s="2"/>
      <c r="R81" s="2"/>
      <c r="S81" s="2"/>
      <c r="T81" s="2"/>
      <c r="U81" s="2"/>
      <c r="V81" s="2"/>
    </row>
    <row r="82" spans="1:22">
      <c r="A82" s="8"/>
      <c r="B82" s="8"/>
      <c r="C82" s="8"/>
      <c r="D82" s="2"/>
      <c r="E82" s="2"/>
      <c r="F82" s="2"/>
      <c r="G82" s="2"/>
      <c r="H82" s="2"/>
      <c r="I82" s="2"/>
      <c r="J82" s="2"/>
      <c r="K82" s="2"/>
      <c r="L82" s="2"/>
      <c r="M82" s="2"/>
      <c r="N82" s="2"/>
      <c r="O82" s="2"/>
      <c r="P82" s="2"/>
      <c r="Q82" s="2"/>
      <c r="R82" s="2"/>
      <c r="S82" s="2"/>
      <c r="T82" s="2"/>
      <c r="U82" s="2"/>
      <c r="V82" s="2"/>
    </row>
    <row r="83" spans="1:22">
      <c r="A83" s="8"/>
      <c r="B83" s="8"/>
      <c r="C83" s="8"/>
      <c r="D83" s="2"/>
      <c r="E83" s="2"/>
      <c r="F83" s="20"/>
    </row>
    <row r="84" spans="1:22">
      <c r="A84" s="8"/>
      <c r="B84" s="8"/>
      <c r="C84" s="8"/>
      <c r="D84" s="2"/>
      <c r="E84" s="2"/>
      <c r="F84" s="20"/>
    </row>
    <row r="85" spans="1:22">
      <c r="A85" s="8"/>
      <c r="B85" s="8"/>
      <c r="C85" s="8"/>
      <c r="D85" s="2"/>
      <c r="E85" s="2"/>
      <c r="F85" s="20"/>
    </row>
    <row r="86" spans="1:22">
      <c r="A86" s="8"/>
      <c r="B86" s="8"/>
      <c r="C86" s="8"/>
      <c r="D86" s="2"/>
      <c r="E86" s="2"/>
      <c r="F86" s="20"/>
    </row>
    <row r="87" spans="1:22">
      <c r="A87" s="8"/>
      <c r="B87" s="8"/>
      <c r="C87" s="8"/>
      <c r="D87" s="2"/>
      <c r="E87" s="2"/>
      <c r="F87" s="20"/>
    </row>
    <row r="88" spans="1:22">
      <c r="A88" s="8"/>
      <c r="B88" s="8"/>
      <c r="C88" s="8"/>
      <c r="D88" s="2"/>
      <c r="E88" s="2"/>
      <c r="F88" s="20"/>
    </row>
    <row r="89" spans="1:22">
      <c r="A89" s="8"/>
      <c r="B89" s="8"/>
      <c r="C89" s="8"/>
      <c r="D89" s="2"/>
      <c r="E89" s="2"/>
      <c r="F89" s="20"/>
    </row>
    <row r="90" spans="1:22">
      <c r="A90" s="8"/>
      <c r="B90" s="8"/>
      <c r="C90" s="8"/>
      <c r="D90" s="2"/>
      <c r="E90" s="2"/>
      <c r="F90" s="20"/>
    </row>
    <row r="91" spans="1:22">
      <c r="A91" s="8"/>
      <c r="B91" s="8"/>
      <c r="C91" s="8"/>
      <c r="D91" s="2"/>
      <c r="E91" s="2"/>
      <c r="F91" s="20"/>
    </row>
    <row r="92" spans="1:22">
      <c r="A92" s="8"/>
      <c r="B92" s="8"/>
      <c r="C92" s="8"/>
      <c r="D92" s="2"/>
      <c r="E92" s="2"/>
      <c r="F92" s="20"/>
    </row>
    <row r="93" spans="1:22">
      <c r="A93" s="8"/>
      <c r="B93" s="8"/>
      <c r="C93" s="8"/>
      <c r="D93" s="2"/>
      <c r="E93" s="2"/>
      <c r="F93" s="20"/>
    </row>
    <row r="94" spans="1:22">
      <c r="A94" s="8"/>
      <c r="B94" s="8"/>
      <c r="C94" s="8"/>
      <c r="D94" s="2"/>
      <c r="E94" s="2"/>
      <c r="F94" s="20"/>
    </row>
    <row r="95" spans="1:22">
      <c r="A95" s="8"/>
      <c r="B95" s="8"/>
      <c r="C95" s="8"/>
      <c r="D95" s="2"/>
      <c r="E95" s="2"/>
      <c r="F95" s="20"/>
    </row>
    <row r="96" spans="1:22">
      <c r="A96" s="8"/>
      <c r="B96" s="8"/>
      <c r="C96" s="8"/>
      <c r="D96" s="2"/>
      <c r="E96" s="2"/>
      <c r="F96" s="20"/>
    </row>
    <row r="97" spans="1:6">
      <c r="A97" s="8"/>
      <c r="B97" s="8"/>
      <c r="C97" s="8"/>
      <c r="D97" s="2"/>
      <c r="E97" s="2"/>
      <c r="F97" s="20"/>
    </row>
    <row r="98" spans="1:6">
      <c r="A98" s="8"/>
      <c r="B98" s="8"/>
      <c r="C98" s="8"/>
      <c r="D98" s="2"/>
      <c r="E98" s="2"/>
      <c r="F98" s="20"/>
    </row>
  </sheetData>
  <sheetProtection sheet="1" objects="1" scenarios="1"/>
  <mergeCells count="5">
    <mergeCell ref="C30:E30"/>
    <mergeCell ref="A1:E1"/>
    <mergeCell ref="A3:D3"/>
    <mergeCell ref="A2:E2"/>
    <mergeCell ref="C4:E4"/>
  </mergeCells>
  <phoneticPr fontId="5" type="noConversion"/>
  <conditionalFormatting sqref="E5:E10 E12:E29 E31:E40">
    <cfRule type="cellIs" dxfId="24" priority="0" stopIfTrue="1" operator="equal">
      <formula>"Tidak Dilakukan"</formula>
    </cfRule>
    <cfRule type="cellIs" dxfId="23" priority="1" stopIfTrue="1" operator="equal">
      <formula>"Dalam Perencanaan"</formula>
    </cfRule>
    <cfRule type="cellIs" dxfId="22" priority="2" stopIfTrue="1" operator="equal">
      <formula>"Dalam Penerapan / Diterapkan Sebagian"</formula>
    </cfRule>
  </conditionalFormatting>
  <conditionalFormatting sqref="F27:F29 F40">
    <cfRule type="cellIs" dxfId="21" priority="3" stopIfTrue="1" operator="equal">
      <formula>0</formula>
    </cfRule>
  </conditionalFormatting>
  <dataValidations count="1">
    <dataValidation type="list" allowBlank="1" showInputMessage="1" showErrorMessage="1" sqref="E5:E10 E12:E29 E31:E40">
      <formula1>StatusPenerapan</formula1>
    </dataValidation>
  </dataValidations>
  <pageMargins left="0.75000000000000011" right="0.75000000000000011" top="1" bottom="1" header="0.5" footer="0.5"/>
  <pageSetup paperSize="9" scale="63" orientation="portrait" horizontalDpi="4294967292" verticalDpi="4294967292"/>
  <headerFooter>
    <oddFooter>&amp;L&amp;"Arial,Regular"&amp;9&amp;K000000Direktorat Keamanan Informasi&amp;C&amp;"Arial,Regular"&amp;9&amp;K000000Kementerian Komunikasi dan Informasi&amp;R&amp;"Arial,Regular"&amp;8&amp;K000000Indeks KAMI, Versi  2.3, 19 April 2012</oddFooter>
  </headerFooter>
  <ignoredErrors>
    <ignoredError sqref="A5:A9 A12:A19 A20:A25 A26:A29 A33:A40" numberStoredAsText="1"/>
    <ignoredError sqref="E41 E43:E45" emptyCellReference="1"/>
  </ignoredError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sheetPr enableFormatConditionsCalculation="0">
    <pageSetUpPr fitToPage="1"/>
  </sheetPr>
  <dimension ref="A1:AF128"/>
  <sheetViews>
    <sheetView zoomScaleNormal="100" zoomScalePageLayoutView="125" workbookViewId="0">
      <pane xSplit="5" ySplit="3" topLeftCell="F4" activePane="bottomRight" state="frozen"/>
      <selection pane="topRight" activeCell="E1" sqref="E1"/>
      <selection pane="bottomLeft" activeCell="A4" sqref="A4"/>
      <selection pane="bottomRight" sqref="A1:E1"/>
    </sheetView>
  </sheetViews>
  <sheetFormatPr defaultColWidth="7.875" defaultRowHeight="12.75"/>
  <cols>
    <col min="1" max="1" width="4.75" style="11" bestFit="1" customWidth="1"/>
    <col min="2" max="3" width="2.625" style="11" customWidth="1"/>
    <col min="4" max="4" width="80.75" style="3" customWidth="1"/>
    <col min="5" max="5" width="30.75" style="3" customWidth="1"/>
    <col min="6" max="6" width="4.75" style="3" customWidth="1"/>
    <col min="7" max="7" width="5.25" style="3" customWidth="1"/>
    <col min="8" max="16384" width="7.875" style="3"/>
  </cols>
  <sheetData>
    <row r="1" spans="1:22" ht="30" customHeight="1">
      <c r="A1" s="166" t="s">
        <v>106</v>
      </c>
      <c r="B1" s="189"/>
      <c r="C1" s="167"/>
      <c r="D1" s="167"/>
      <c r="E1" s="168"/>
      <c r="F1" s="1"/>
      <c r="G1" s="2"/>
      <c r="H1" s="2"/>
      <c r="I1" s="2"/>
      <c r="J1" s="2"/>
      <c r="K1" s="2"/>
      <c r="L1" s="2"/>
      <c r="M1" s="2"/>
      <c r="N1" s="2"/>
      <c r="O1" s="2"/>
      <c r="P1" s="2"/>
      <c r="Q1" s="2"/>
      <c r="R1" s="2"/>
      <c r="S1" s="2"/>
      <c r="T1" s="2"/>
      <c r="U1" s="2"/>
      <c r="V1" s="2"/>
    </row>
    <row r="2" spans="1:22" ht="30" customHeight="1">
      <c r="A2" s="169" t="s">
        <v>58</v>
      </c>
      <c r="B2" s="190"/>
      <c r="C2" s="170"/>
      <c r="D2" s="170"/>
      <c r="E2" s="191"/>
      <c r="F2" s="2"/>
      <c r="G2" s="2"/>
      <c r="H2" s="2"/>
      <c r="I2" s="2"/>
      <c r="J2" s="2"/>
      <c r="K2" s="2"/>
      <c r="L2" s="2"/>
      <c r="M2" s="2"/>
      <c r="N2" s="2"/>
      <c r="O2" s="2"/>
      <c r="P2" s="2"/>
      <c r="Q2" s="2"/>
      <c r="R2" s="2"/>
      <c r="S2" s="2"/>
      <c r="T2" s="2"/>
      <c r="U2" s="2"/>
      <c r="V2" s="2"/>
    </row>
    <row r="3" spans="1:22" ht="29.1" customHeight="1">
      <c r="A3" s="172" t="s">
        <v>100</v>
      </c>
      <c r="B3" s="186"/>
      <c r="C3" s="187"/>
      <c r="D3" s="188"/>
      <c r="E3" s="32" t="s">
        <v>207</v>
      </c>
      <c r="F3" s="29" t="s">
        <v>216</v>
      </c>
      <c r="G3" s="2"/>
      <c r="H3" s="2"/>
      <c r="I3" s="2"/>
      <c r="J3" s="2"/>
      <c r="K3" s="2"/>
      <c r="L3" s="2"/>
      <c r="M3" s="2"/>
      <c r="N3" s="2"/>
      <c r="O3" s="2"/>
      <c r="P3" s="2"/>
      <c r="Q3" s="2"/>
      <c r="R3" s="2"/>
      <c r="S3" s="2"/>
      <c r="T3" s="2"/>
      <c r="U3" s="2"/>
      <c r="V3" s="2"/>
    </row>
    <row r="4" spans="1:22" ht="14.25">
      <c r="A4" s="63" t="s">
        <v>213</v>
      </c>
      <c r="B4" s="103"/>
      <c r="C4" s="192" t="s">
        <v>107</v>
      </c>
      <c r="D4" s="193"/>
      <c r="E4" s="194"/>
      <c r="F4" s="1"/>
      <c r="G4" s="2"/>
      <c r="H4" s="2"/>
      <c r="I4" s="2"/>
      <c r="J4" s="2"/>
      <c r="K4" s="2"/>
      <c r="L4" s="2"/>
      <c r="M4" s="2"/>
      <c r="N4" s="2"/>
      <c r="O4" s="2"/>
      <c r="P4" s="2"/>
      <c r="Q4" s="2"/>
      <c r="R4" s="2"/>
      <c r="S4" s="2"/>
      <c r="T4" s="2"/>
      <c r="U4" s="2"/>
      <c r="V4" s="2"/>
    </row>
    <row r="5" spans="1:22" ht="28.5">
      <c r="A5" s="65">
        <v>6.1</v>
      </c>
      <c r="B5" s="105" t="s">
        <v>289</v>
      </c>
      <c r="C5" s="38">
        <v>1</v>
      </c>
      <c r="D5" s="108" t="s">
        <v>237</v>
      </c>
      <c r="E5" s="33" t="s">
        <v>283</v>
      </c>
      <c r="F5" s="46">
        <f>INDEX(SkorAkhir, MATCH(E5,StatusPenerapanHasil,0), MATCH(C5,TingkatKematangan,0))</f>
        <v>0</v>
      </c>
      <c r="G5" s="2"/>
      <c r="H5" s="2"/>
      <c r="I5" s="2"/>
      <c r="J5" s="2"/>
      <c r="K5" s="2"/>
      <c r="L5" s="2"/>
      <c r="M5" s="2"/>
      <c r="N5" s="2"/>
      <c r="O5" s="2"/>
      <c r="P5" s="2"/>
      <c r="Q5" s="2"/>
      <c r="R5" s="2"/>
      <c r="S5" s="2"/>
      <c r="T5" s="2"/>
      <c r="U5" s="2"/>
      <c r="V5" s="2"/>
    </row>
    <row r="6" spans="1:22" ht="28.5">
      <c r="A6" s="65">
        <v>6.2</v>
      </c>
      <c r="B6" s="105" t="s">
        <v>289</v>
      </c>
      <c r="C6" s="38">
        <v>1</v>
      </c>
      <c r="D6" s="108" t="s">
        <v>8</v>
      </c>
      <c r="E6" s="33" t="s">
        <v>283</v>
      </c>
      <c r="F6" s="46">
        <f t="shared" ref="F6:F27" si="0">INDEX(SkorAkhir, MATCH(E6,StatusPenerapanHasil,0), MATCH(C6,TingkatKematangan,0))</f>
        <v>0</v>
      </c>
      <c r="G6" s="2"/>
      <c r="H6" s="2"/>
      <c r="I6" s="2"/>
      <c r="J6" s="2"/>
      <c r="K6" s="2"/>
      <c r="L6" s="2"/>
      <c r="M6" s="2"/>
      <c r="N6" s="2"/>
      <c r="O6" s="2"/>
      <c r="P6" s="2"/>
      <c r="Q6" s="2"/>
      <c r="R6" s="2"/>
      <c r="S6" s="2"/>
      <c r="T6" s="2"/>
      <c r="U6" s="2"/>
      <c r="V6" s="2"/>
    </row>
    <row r="7" spans="1:22" ht="28.5">
      <c r="A7" s="65">
        <v>6.3</v>
      </c>
      <c r="B7" s="105" t="s">
        <v>289</v>
      </c>
      <c r="C7" s="38">
        <v>1</v>
      </c>
      <c r="D7" s="108" t="s">
        <v>80</v>
      </c>
      <c r="E7" s="33" t="s">
        <v>283</v>
      </c>
      <c r="F7" s="46">
        <f t="shared" si="0"/>
        <v>0</v>
      </c>
      <c r="G7" s="2"/>
      <c r="H7" s="2"/>
      <c r="I7" s="2"/>
      <c r="J7" s="2"/>
      <c r="K7" s="2"/>
      <c r="L7" s="2"/>
      <c r="M7" s="2"/>
      <c r="N7" s="2"/>
      <c r="O7" s="2"/>
      <c r="P7" s="2"/>
      <c r="Q7" s="2"/>
      <c r="R7" s="2"/>
      <c r="S7" s="2"/>
      <c r="T7" s="2"/>
      <c r="U7" s="2"/>
      <c r="V7" s="2"/>
    </row>
    <row r="8" spans="1:22" ht="28.5">
      <c r="A8" s="65">
        <v>6.4</v>
      </c>
      <c r="B8" s="136" t="s">
        <v>289</v>
      </c>
      <c r="C8" s="38">
        <v>1</v>
      </c>
      <c r="D8" s="23" t="s">
        <v>9</v>
      </c>
      <c r="E8" s="33" t="s">
        <v>283</v>
      </c>
      <c r="F8" s="46">
        <f t="shared" si="0"/>
        <v>0</v>
      </c>
      <c r="G8" s="2"/>
      <c r="H8" s="2"/>
      <c r="I8" s="2"/>
      <c r="J8" s="2"/>
      <c r="K8" s="2"/>
      <c r="L8" s="2"/>
      <c r="M8" s="2"/>
      <c r="N8" s="2"/>
      <c r="O8" s="2"/>
      <c r="P8" s="2"/>
      <c r="Q8" s="2"/>
      <c r="R8" s="2"/>
      <c r="S8" s="2"/>
      <c r="T8" s="2"/>
      <c r="U8" s="2"/>
      <c r="V8" s="2"/>
    </row>
    <row r="9" spans="1:22" ht="28.5">
      <c r="A9" s="65">
        <v>6.5</v>
      </c>
      <c r="B9" s="136" t="s">
        <v>289</v>
      </c>
      <c r="C9" s="38">
        <v>1</v>
      </c>
      <c r="D9" s="23" t="s">
        <v>81</v>
      </c>
      <c r="E9" s="33" t="s">
        <v>283</v>
      </c>
      <c r="F9" s="46">
        <f t="shared" si="0"/>
        <v>0</v>
      </c>
      <c r="G9" s="2"/>
      <c r="H9" s="2"/>
      <c r="I9" s="2"/>
      <c r="J9" s="2"/>
      <c r="K9" s="2"/>
      <c r="L9" s="2"/>
      <c r="M9" s="2"/>
      <c r="N9" s="2"/>
      <c r="O9" s="2"/>
      <c r="P9" s="2"/>
      <c r="Q9" s="2"/>
      <c r="R9" s="2"/>
      <c r="S9" s="2"/>
      <c r="T9" s="2"/>
      <c r="U9" s="2"/>
      <c r="V9" s="2"/>
    </row>
    <row r="10" spans="1:22" ht="28.5">
      <c r="A10" s="65">
        <v>6.6</v>
      </c>
      <c r="B10" s="136" t="s">
        <v>289</v>
      </c>
      <c r="C10" s="38">
        <v>1</v>
      </c>
      <c r="D10" s="23" t="s">
        <v>138</v>
      </c>
      <c r="E10" s="33" t="s">
        <v>283</v>
      </c>
      <c r="F10" s="46">
        <f t="shared" si="0"/>
        <v>0</v>
      </c>
      <c r="G10" s="2"/>
      <c r="H10" s="2"/>
      <c r="I10" s="2"/>
      <c r="J10" s="2"/>
      <c r="K10" s="2"/>
      <c r="L10" s="2"/>
      <c r="M10" s="2"/>
      <c r="N10" s="2"/>
      <c r="O10" s="2"/>
      <c r="P10" s="2"/>
      <c r="Q10" s="2"/>
      <c r="R10" s="2"/>
      <c r="S10" s="2"/>
      <c r="T10" s="2"/>
      <c r="U10" s="2"/>
      <c r="V10" s="2"/>
    </row>
    <row r="11" spans="1:22" ht="15" customHeight="1">
      <c r="A11" s="65">
        <v>6.7</v>
      </c>
      <c r="B11" s="136" t="s">
        <v>289</v>
      </c>
      <c r="C11" s="38">
        <v>1</v>
      </c>
      <c r="D11" s="23" t="s">
        <v>139</v>
      </c>
      <c r="E11" s="33" t="s">
        <v>283</v>
      </c>
      <c r="F11" s="46">
        <f t="shared" si="0"/>
        <v>0</v>
      </c>
      <c r="G11" s="2"/>
      <c r="H11" s="2"/>
      <c r="I11" s="2"/>
      <c r="J11" s="2"/>
      <c r="K11" s="2"/>
      <c r="L11" s="2"/>
      <c r="M11" s="2"/>
      <c r="N11" s="2"/>
      <c r="O11" s="2"/>
      <c r="P11" s="2"/>
      <c r="Q11" s="2"/>
      <c r="R11" s="2"/>
      <c r="S11" s="2"/>
      <c r="T11" s="2"/>
      <c r="U11" s="2"/>
      <c r="V11" s="2"/>
    </row>
    <row r="12" spans="1:22" ht="14.25">
      <c r="A12" s="65">
        <v>6.8</v>
      </c>
      <c r="B12" s="136" t="s">
        <v>289</v>
      </c>
      <c r="C12" s="38">
        <v>1</v>
      </c>
      <c r="D12" s="23" t="s">
        <v>140</v>
      </c>
      <c r="E12" s="33" t="s">
        <v>283</v>
      </c>
      <c r="F12" s="46">
        <f t="shared" si="0"/>
        <v>0</v>
      </c>
      <c r="G12" s="2"/>
      <c r="H12" s="2"/>
      <c r="I12" s="2"/>
      <c r="J12" s="2"/>
      <c r="K12" s="2"/>
      <c r="L12" s="2"/>
      <c r="M12" s="2"/>
      <c r="N12" s="2"/>
      <c r="O12" s="2"/>
      <c r="P12" s="2"/>
      <c r="Q12" s="2"/>
      <c r="R12" s="2"/>
      <c r="S12" s="2"/>
      <c r="T12" s="2"/>
      <c r="U12" s="2"/>
      <c r="V12" s="2"/>
    </row>
    <row r="13" spans="1:22" ht="28.5">
      <c r="A13" s="65">
        <v>6.9</v>
      </c>
      <c r="B13" s="136" t="s">
        <v>289</v>
      </c>
      <c r="C13" s="38">
        <v>1</v>
      </c>
      <c r="D13" s="23" t="s">
        <v>101</v>
      </c>
      <c r="E13" s="33" t="s">
        <v>283</v>
      </c>
      <c r="F13" s="46">
        <f t="shared" si="0"/>
        <v>0</v>
      </c>
      <c r="G13" s="2"/>
      <c r="H13" s="2"/>
      <c r="I13" s="2"/>
      <c r="J13" s="2"/>
      <c r="K13" s="2"/>
      <c r="L13" s="2"/>
      <c r="M13" s="2"/>
      <c r="N13" s="2"/>
      <c r="O13" s="2"/>
      <c r="P13" s="2"/>
      <c r="Q13" s="2"/>
      <c r="R13" s="2"/>
      <c r="S13" s="2"/>
      <c r="T13" s="2"/>
      <c r="U13" s="2"/>
      <c r="V13" s="2"/>
    </row>
    <row r="14" spans="1:22" ht="28.5">
      <c r="A14" s="66" t="s">
        <v>189</v>
      </c>
      <c r="B14" s="136" t="s">
        <v>289</v>
      </c>
      <c r="C14" s="38">
        <v>1</v>
      </c>
      <c r="D14" s="23" t="s">
        <v>10</v>
      </c>
      <c r="E14" s="33" t="s">
        <v>283</v>
      </c>
      <c r="F14" s="46">
        <f t="shared" si="0"/>
        <v>0</v>
      </c>
      <c r="G14" s="2"/>
      <c r="H14" s="2"/>
      <c r="I14" s="2"/>
      <c r="J14" s="2"/>
      <c r="K14" s="2"/>
      <c r="L14" s="2"/>
      <c r="M14" s="2"/>
      <c r="N14" s="2"/>
      <c r="O14" s="2"/>
      <c r="P14" s="2"/>
      <c r="Q14" s="2"/>
      <c r="R14" s="2"/>
      <c r="S14" s="2"/>
      <c r="T14" s="2"/>
      <c r="U14" s="2"/>
      <c r="V14" s="2"/>
    </row>
    <row r="15" spans="1:22" ht="14.25">
      <c r="A15" s="66" t="s">
        <v>190</v>
      </c>
      <c r="B15" s="123" t="s">
        <v>290</v>
      </c>
      <c r="C15" s="38">
        <v>2</v>
      </c>
      <c r="D15" s="23" t="s">
        <v>11</v>
      </c>
      <c r="E15" s="33" t="s">
        <v>283</v>
      </c>
      <c r="F15" s="46">
        <f t="shared" si="0"/>
        <v>0</v>
      </c>
      <c r="G15" s="2"/>
      <c r="H15" s="2"/>
      <c r="I15" s="2"/>
      <c r="J15" s="2"/>
      <c r="K15" s="2"/>
      <c r="L15" s="2"/>
      <c r="M15" s="2"/>
      <c r="N15" s="2"/>
      <c r="O15" s="2"/>
      <c r="P15" s="2"/>
      <c r="Q15" s="2"/>
      <c r="R15" s="2"/>
      <c r="S15" s="2"/>
      <c r="T15" s="2"/>
      <c r="U15" s="2"/>
      <c r="V15" s="2"/>
    </row>
    <row r="16" spans="1:22" ht="28.5">
      <c r="A16" s="66" t="s">
        <v>191</v>
      </c>
      <c r="B16" s="123" t="s">
        <v>290</v>
      </c>
      <c r="C16" s="38">
        <v>2</v>
      </c>
      <c r="D16" s="23" t="s">
        <v>12</v>
      </c>
      <c r="E16" s="33" t="s">
        <v>283</v>
      </c>
      <c r="F16" s="46">
        <f t="shared" si="0"/>
        <v>0</v>
      </c>
      <c r="G16" s="2"/>
      <c r="H16" s="2"/>
      <c r="I16" s="2"/>
      <c r="J16" s="2"/>
      <c r="K16" s="2"/>
      <c r="L16" s="2"/>
      <c r="M16" s="2"/>
      <c r="N16" s="2"/>
      <c r="O16" s="2"/>
      <c r="P16" s="2"/>
      <c r="Q16" s="2"/>
      <c r="R16" s="2"/>
      <c r="S16" s="2"/>
      <c r="T16" s="2"/>
      <c r="U16" s="2"/>
      <c r="V16" s="2"/>
    </row>
    <row r="17" spans="1:32" ht="42.75">
      <c r="A17" s="66" t="s">
        <v>192</v>
      </c>
      <c r="B17" s="123" t="s">
        <v>290</v>
      </c>
      <c r="C17" s="38">
        <v>2</v>
      </c>
      <c r="D17" s="23" t="s">
        <v>90</v>
      </c>
      <c r="E17" s="33" t="s">
        <v>283</v>
      </c>
      <c r="F17" s="46">
        <f t="shared" si="0"/>
        <v>0</v>
      </c>
      <c r="G17" s="2"/>
      <c r="H17" s="2"/>
      <c r="I17" s="2"/>
      <c r="J17" s="2"/>
      <c r="K17" s="2"/>
      <c r="L17" s="2"/>
      <c r="M17" s="2"/>
      <c r="N17" s="2"/>
      <c r="O17" s="2"/>
      <c r="P17" s="2"/>
      <c r="Q17" s="2"/>
      <c r="R17" s="2"/>
      <c r="S17" s="2"/>
      <c r="T17" s="2"/>
      <c r="U17" s="2"/>
      <c r="V17" s="2"/>
    </row>
    <row r="18" spans="1:32" ht="28.5">
      <c r="A18" s="66" t="s">
        <v>193</v>
      </c>
      <c r="B18" s="123" t="s">
        <v>290</v>
      </c>
      <c r="C18" s="38">
        <v>2</v>
      </c>
      <c r="D18" s="23" t="s">
        <v>91</v>
      </c>
      <c r="E18" s="33" t="s">
        <v>283</v>
      </c>
      <c r="F18" s="46">
        <f t="shared" si="0"/>
        <v>0</v>
      </c>
      <c r="G18" s="2"/>
      <c r="H18" s="2"/>
      <c r="I18" s="2"/>
      <c r="J18" s="2"/>
      <c r="K18" s="2"/>
      <c r="L18" s="2"/>
      <c r="M18" s="2"/>
      <c r="N18" s="2"/>
      <c r="O18" s="2"/>
      <c r="P18" s="2"/>
      <c r="Q18" s="2"/>
      <c r="R18" s="2"/>
      <c r="S18" s="2"/>
      <c r="T18" s="2"/>
      <c r="U18" s="2"/>
      <c r="V18" s="2"/>
    </row>
    <row r="19" spans="1:32" ht="28.5">
      <c r="A19" s="66" t="s">
        <v>194</v>
      </c>
      <c r="B19" s="123" t="s">
        <v>290</v>
      </c>
      <c r="C19" s="38">
        <v>2</v>
      </c>
      <c r="D19" s="23" t="s">
        <v>137</v>
      </c>
      <c r="E19" s="33" t="s">
        <v>283</v>
      </c>
      <c r="F19" s="46">
        <f t="shared" si="0"/>
        <v>0</v>
      </c>
      <c r="G19" s="2"/>
      <c r="H19" s="2"/>
      <c r="I19" s="2"/>
      <c r="J19" s="2"/>
      <c r="K19" s="2"/>
      <c r="L19" s="2"/>
      <c r="M19" s="2"/>
      <c r="N19" s="2"/>
      <c r="O19" s="2"/>
      <c r="P19" s="2"/>
      <c r="Q19" s="2"/>
      <c r="R19" s="2"/>
      <c r="S19" s="2"/>
      <c r="T19" s="2"/>
      <c r="U19" s="2"/>
      <c r="V19" s="2"/>
    </row>
    <row r="20" spans="1:32" ht="28.5">
      <c r="A20" s="66" t="s">
        <v>241</v>
      </c>
      <c r="B20" s="123" t="s">
        <v>290</v>
      </c>
      <c r="C20" s="38">
        <v>2</v>
      </c>
      <c r="D20" s="23" t="s">
        <v>13</v>
      </c>
      <c r="E20" s="33" t="s">
        <v>283</v>
      </c>
      <c r="F20" s="46">
        <f t="shared" si="0"/>
        <v>0</v>
      </c>
      <c r="G20" s="2"/>
      <c r="H20" s="2"/>
      <c r="I20" s="2"/>
      <c r="J20" s="2"/>
      <c r="K20" s="2"/>
      <c r="L20" s="2"/>
      <c r="M20" s="2"/>
      <c r="N20" s="2"/>
      <c r="O20" s="2"/>
      <c r="P20" s="2"/>
      <c r="Q20" s="2"/>
      <c r="R20" s="2"/>
      <c r="S20" s="2"/>
      <c r="T20" s="2"/>
      <c r="U20" s="2"/>
      <c r="V20" s="2"/>
    </row>
    <row r="21" spans="1:32" ht="28.5">
      <c r="A21" s="66" t="s">
        <v>242</v>
      </c>
      <c r="B21" s="136" t="s">
        <v>289</v>
      </c>
      <c r="C21" s="38">
        <v>1</v>
      </c>
      <c r="D21" s="23" t="s">
        <v>14</v>
      </c>
      <c r="E21" s="33" t="s">
        <v>283</v>
      </c>
      <c r="F21" s="46">
        <f t="shared" si="0"/>
        <v>0</v>
      </c>
      <c r="G21" s="2"/>
      <c r="H21" s="2"/>
      <c r="I21" s="2"/>
      <c r="J21" s="2"/>
      <c r="K21" s="2"/>
      <c r="L21" s="2"/>
      <c r="M21" s="2"/>
      <c r="N21" s="2"/>
      <c r="O21" s="2"/>
      <c r="P21" s="2"/>
      <c r="Q21" s="2"/>
      <c r="R21" s="2"/>
      <c r="S21" s="2"/>
      <c r="T21" s="2"/>
      <c r="U21" s="2"/>
      <c r="V21" s="2"/>
    </row>
    <row r="22" spans="1:32" ht="28.5">
      <c r="A22" s="66" t="s">
        <v>243</v>
      </c>
      <c r="B22" s="136" t="s">
        <v>289</v>
      </c>
      <c r="C22" s="38">
        <v>1</v>
      </c>
      <c r="D22" s="23" t="s">
        <v>113</v>
      </c>
      <c r="E22" s="33" t="s">
        <v>283</v>
      </c>
      <c r="F22" s="46">
        <f t="shared" si="0"/>
        <v>0</v>
      </c>
      <c r="G22" s="2"/>
      <c r="H22" s="2"/>
      <c r="I22" s="2"/>
      <c r="J22" s="2"/>
      <c r="K22" s="2"/>
      <c r="L22" s="2"/>
      <c r="M22" s="2"/>
      <c r="N22" s="2"/>
      <c r="O22" s="2"/>
      <c r="P22" s="2"/>
      <c r="Q22" s="2"/>
      <c r="R22" s="2"/>
      <c r="S22" s="2"/>
      <c r="T22" s="2"/>
      <c r="U22" s="2"/>
      <c r="V22" s="2"/>
    </row>
    <row r="23" spans="1:32" ht="14.25">
      <c r="A23" s="66" t="s">
        <v>244</v>
      </c>
      <c r="B23" s="136" t="s">
        <v>289</v>
      </c>
      <c r="C23" s="38">
        <v>1</v>
      </c>
      <c r="D23" s="23" t="s">
        <v>114</v>
      </c>
      <c r="E23" s="33" t="s">
        <v>283</v>
      </c>
      <c r="F23" s="46">
        <f t="shared" si="0"/>
        <v>0</v>
      </c>
      <c r="G23" s="2"/>
      <c r="H23" s="2"/>
      <c r="I23" s="2"/>
      <c r="J23" s="2"/>
      <c r="K23" s="2"/>
      <c r="L23" s="2"/>
      <c r="M23" s="2"/>
      <c r="N23" s="2"/>
      <c r="O23" s="2"/>
      <c r="P23" s="2"/>
      <c r="Q23" s="2"/>
      <c r="R23" s="2"/>
      <c r="S23" s="2"/>
      <c r="T23" s="2"/>
      <c r="U23" s="2"/>
      <c r="V23" s="2"/>
    </row>
    <row r="24" spans="1:32" ht="28.5">
      <c r="A24" s="66" t="s">
        <v>245</v>
      </c>
      <c r="B24" s="123" t="s">
        <v>290</v>
      </c>
      <c r="C24" s="38">
        <v>2</v>
      </c>
      <c r="D24" s="23" t="s">
        <v>115</v>
      </c>
      <c r="E24" s="33" t="s">
        <v>283</v>
      </c>
      <c r="F24" s="46">
        <f t="shared" si="0"/>
        <v>0</v>
      </c>
      <c r="G24" s="2"/>
      <c r="H24" s="2"/>
      <c r="I24" s="2"/>
      <c r="J24" s="2"/>
      <c r="K24" s="2"/>
      <c r="L24" s="2"/>
      <c r="M24" s="2"/>
      <c r="N24" s="2"/>
      <c r="O24" s="2"/>
      <c r="P24" s="2"/>
      <c r="Q24" s="2"/>
      <c r="R24" s="2"/>
      <c r="S24" s="2"/>
      <c r="T24" s="2"/>
      <c r="U24" s="2"/>
      <c r="V24" s="2"/>
    </row>
    <row r="25" spans="1:32" ht="14.25">
      <c r="A25" s="66" t="s">
        <v>246</v>
      </c>
      <c r="B25" s="123" t="s">
        <v>290</v>
      </c>
      <c r="C25" s="38">
        <v>2</v>
      </c>
      <c r="D25" s="61" t="s">
        <v>116</v>
      </c>
      <c r="E25" s="33" t="s">
        <v>283</v>
      </c>
      <c r="F25" s="46">
        <f t="shared" si="0"/>
        <v>0</v>
      </c>
      <c r="G25" s="2"/>
      <c r="H25" s="2"/>
      <c r="I25" s="2"/>
      <c r="J25" s="2"/>
      <c r="K25" s="2"/>
      <c r="L25" s="2"/>
      <c r="M25" s="2"/>
      <c r="N25" s="2"/>
      <c r="O25" s="2"/>
      <c r="P25" s="2"/>
      <c r="Q25" s="2"/>
      <c r="R25" s="2"/>
      <c r="S25" s="2"/>
      <c r="T25" s="2"/>
      <c r="U25" s="2"/>
      <c r="V25" s="2"/>
    </row>
    <row r="26" spans="1:32" ht="28.5">
      <c r="A26" s="66" t="s">
        <v>247</v>
      </c>
      <c r="B26" s="123" t="s">
        <v>290</v>
      </c>
      <c r="C26" s="67">
        <v>2</v>
      </c>
      <c r="D26" s="61" t="s">
        <v>87</v>
      </c>
      <c r="E26" s="33" t="s">
        <v>283</v>
      </c>
      <c r="F26" s="46">
        <f t="shared" si="0"/>
        <v>0</v>
      </c>
      <c r="G26" s="2"/>
      <c r="H26" s="2"/>
      <c r="I26" s="2"/>
      <c r="J26" s="2"/>
      <c r="K26" s="2"/>
      <c r="L26" s="2"/>
      <c r="M26" s="2"/>
      <c r="N26" s="2"/>
      <c r="O26" s="2"/>
      <c r="P26" s="2"/>
      <c r="Q26" s="2"/>
      <c r="R26" s="2"/>
      <c r="S26" s="2"/>
      <c r="T26" s="2"/>
      <c r="U26" s="2"/>
      <c r="V26" s="2"/>
    </row>
    <row r="27" spans="1:32" ht="28.5">
      <c r="A27" s="66" t="s">
        <v>248</v>
      </c>
      <c r="B27" s="123" t="s">
        <v>290</v>
      </c>
      <c r="C27" s="67">
        <v>2</v>
      </c>
      <c r="D27" s="61" t="s">
        <v>82</v>
      </c>
      <c r="E27" s="33" t="s">
        <v>283</v>
      </c>
      <c r="F27" s="46">
        <f t="shared" si="0"/>
        <v>0</v>
      </c>
      <c r="G27" s="2"/>
      <c r="H27" s="2"/>
      <c r="I27" s="2"/>
      <c r="J27" s="2"/>
      <c r="K27" s="2"/>
      <c r="L27" s="2"/>
      <c r="M27" s="2"/>
      <c r="N27" s="2"/>
      <c r="O27" s="2"/>
      <c r="P27" s="2"/>
      <c r="Q27" s="2"/>
      <c r="R27" s="2"/>
      <c r="S27" s="2"/>
      <c r="T27" s="2"/>
      <c r="U27" s="2"/>
      <c r="V27" s="2"/>
    </row>
    <row r="28" spans="1:32" s="5" customFormat="1" ht="28.5">
      <c r="A28" s="66" t="s">
        <v>249</v>
      </c>
      <c r="B28" s="119" t="s">
        <v>292</v>
      </c>
      <c r="C28" s="38">
        <v>3</v>
      </c>
      <c r="D28" s="23" t="s">
        <v>15</v>
      </c>
      <c r="E28" s="33" t="s">
        <v>283</v>
      </c>
      <c r="F28" s="46">
        <f>IF(E36="Valid",INDEX(SkorAkhir, MATCH(E28,StatusPenerapanHasil,0), MATCH(C28,TingkatKematangan,0)),0)</f>
        <v>0</v>
      </c>
      <c r="G28" s="2"/>
      <c r="H28" s="2"/>
      <c r="I28" s="2"/>
      <c r="J28" s="2"/>
      <c r="K28" s="2"/>
      <c r="L28" s="2"/>
      <c r="M28" s="2"/>
      <c r="N28" s="2"/>
      <c r="O28" s="2"/>
      <c r="P28" s="2"/>
      <c r="Q28" s="2"/>
      <c r="R28" s="2"/>
      <c r="S28" s="2"/>
      <c r="T28" s="2"/>
      <c r="U28" s="2"/>
      <c r="V28" s="2"/>
    </row>
    <row r="29" spans="1:32" s="5" customFormat="1" ht="18.75">
      <c r="A29" s="24"/>
      <c r="B29" s="24"/>
      <c r="C29" s="24"/>
      <c r="D29" s="47" t="s">
        <v>65</v>
      </c>
      <c r="E29" s="50">
        <f>SUM(F5:F28)</f>
        <v>0</v>
      </c>
      <c r="F29" s="1"/>
      <c r="G29" s="2"/>
      <c r="H29" s="2"/>
      <c r="I29" s="2"/>
      <c r="J29" s="2"/>
      <c r="K29" s="2"/>
      <c r="L29" s="2"/>
      <c r="M29" s="2"/>
      <c r="N29" s="2"/>
      <c r="O29" s="2"/>
      <c r="P29" s="2"/>
      <c r="Q29" s="2"/>
      <c r="R29" s="2"/>
      <c r="S29" s="2"/>
      <c r="T29" s="2"/>
      <c r="U29" s="2"/>
      <c r="V29" s="2"/>
    </row>
    <row r="30" spans="1:32" s="7" customFormat="1">
      <c r="A30" s="6"/>
      <c r="B30" s="6"/>
      <c r="C30" s="6"/>
      <c r="F30" s="2"/>
      <c r="G30" s="2"/>
      <c r="H30" s="2"/>
      <c r="I30" s="2"/>
      <c r="J30" s="2"/>
      <c r="K30" s="2"/>
      <c r="L30" s="2"/>
      <c r="M30" s="2"/>
      <c r="N30" s="2"/>
      <c r="O30" s="2"/>
      <c r="P30" s="2"/>
      <c r="Q30" s="2"/>
      <c r="R30" s="2"/>
      <c r="S30" s="2"/>
      <c r="T30" s="2"/>
      <c r="U30" s="2"/>
      <c r="V30" s="2"/>
      <c r="W30" s="2"/>
      <c r="X30" s="2"/>
      <c r="Y30" s="2"/>
      <c r="Z30" s="2"/>
      <c r="AA30" s="2"/>
      <c r="AB30" s="2"/>
      <c r="AC30" s="2"/>
      <c r="AD30" s="2"/>
      <c r="AE30" s="2"/>
      <c r="AF30" s="2"/>
    </row>
    <row r="31" spans="1:32" s="2" customFormat="1">
      <c r="A31" s="8"/>
      <c r="B31" s="8"/>
      <c r="C31" s="8"/>
      <c r="D31" s="154" t="s">
        <v>369</v>
      </c>
      <c r="E31" s="43">
        <f>COUNTIF($C$5:$C$28,1)</f>
        <v>13</v>
      </c>
    </row>
    <row r="32" spans="1:32" s="2" customFormat="1">
      <c r="A32" s="8"/>
      <c r="B32" s="8"/>
      <c r="C32" s="8"/>
      <c r="D32" s="154" t="s">
        <v>370</v>
      </c>
      <c r="E32" s="43">
        <f>COUNTIF($C$5:$C$28,2)</f>
        <v>10</v>
      </c>
    </row>
    <row r="33" spans="1:8" s="2" customFormat="1">
      <c r="A33" s="8"/>
      <c r="B33" s="8"/>
      <c r="C33" s="8"/>
      <c r="D33" s="154" t="s">
        <v>371</v>
      </c>
      <c r="E33" s="43">
        <f>COUNTIF($C$5:$C$28,3)</f>
        <v>1</v>
      </c>
    </row>
    <row r="34" spans="1:8" s="2" customFormat="1">
      <c r="A34" s="8"/>
      <c r="B34" s="8"/>
      <c r="C34" s="8"/>
      <c r="D34" s="154" t="s">
        <v>372</v>
      </c>
      <c r="E34" s="43">
        <f>(2*E31)+(4*E32)</f>
        <v>66</v>
      </c>
    </row>
    <row r="35" spans="1:8" s="2" customFormat="1">
      <c r="A35" s="8"/>
      <c r="B35" s="8"/>
      <c r="C35" s="8"/>
      <c r="D35" s="154" t="s">
        <v>373</v>
      </c>
      <c r="E35" s="43">
        <f>SUM(F5:F27)</f>
        <v>0</v>
      </c>
    </row>
    <row r="36" spans="1:8" s="2" customFormat="1">
      <c r="A36" s="8"/>
      <c r="B36" s="8"/>
      <c r="C36" s="8"/>
      <c r="D36" s="154" t="s">
        <v>374</v>
      </c>
      <c r="E36" s="43" t="str">
        <f>IF(E35&gt;=E34,"Valid","Tidak Valid")</f>
        <v>Tidak Valid</v>
      </c>
    </row>
    <row r="37" spans="1:8" s="2" customFormat="1">
      <c r="A37" s="8"/>
      <c r="B37" s="8"/>
      <c r="C37" s="8"/>
    </row>
    <row r="38" spans="1:8" s="2" customFormat="1">
      <c r="A38" s="8"/>
      <c r="B38" s="8"/>
      <c r="C38" s="8"/>
      <c r="D38" s="44" t="s">
        <v>295</v>
      </c>
      <c r="E38" s="43">
        <f>SUM(F5:F14)+SUM(F21:F23)</f>
        <v>0</v>
      </c>
      <c r="F38" s="133" t="s">
        <v>342</v>
      </c>
      <c r="H38" s="133">
        <f>13*3</f>
        <v>39</v>
      </c>
    </row>
    <row r="39" spans="1:8" s="2" customFormat="1">
      <c r="A39" s="8"/>
      <c r="B39" s="8"/>
      <c r="C39" s="8"/>
      <c r="D39" s="141" t="s">
        <v>313</v>
      </c>
      <c r="E39" s="43">
        <f>(4*2)+(9*1)</f>
        <v>17</v>
      </c>
      <c r="F39" s="144" t="s">
        <v>334</v>
      </c>
    </row>
    <row r="40" spans="1:8" s="2" customFormat="1">
      <c r="A40" s="8"/>
      <c r="B40" s="8"/>
      <c r="C40" s="8"/>
      <c r="D40" s="141" t="s">
        <v>314</v>
      </c>
      <c r="E40" s="43">
        <f>13*2</f>
        <v>26</v>
      </c>
      <c r="F40" s="144" t="s">
        <v>335</v>
      </c>
    </row>
    <row r="41" spans="1:8" s="2" customFormat="1">
      <c r="A41" s="8"/>
      <c r="B41" s="8"/>
      <c r="C41" s="8"/>
      <c r="D41" s="44" t="s">
        <v>315</v>
      </c>
      <c r="E41" s="43" t="str">
        <f>IF(E38&gt;=E40,"II",IF(E38&gt;=E39,"I+","No"))</f>
        <v>No</v>
      </c>
      <c r="F41" s="133">
        <f>0.8*13*3</f>
        <v>31.200000000000003</v>
      </c>
      <c r="G41" s="133" t="s">
        <v>368</v>
      </c>
    </row>
    <row r="42" spans="1:8" s="2" customFormat="1">
      <c r="A42" s="8"/>
      <c r="B42" s="8"/>
      <c r="C42" s="8"/>
      <c r="D42" s="44" t="s">
        <v>296</v>
      </c>
      <c r="E42" s="43">
        <f>SUM(F15:F20)+SUM(F24:F27)</f>
        <v>0</v>
      </c>
      <c r="F42" s="133" t="s">
        <v>343</v>
      </c>
      <c r="H42" s="133">
        <f>10*6</f>
        <v>60</v>
      </c>
    </row>
    <row r="43" spans="1:8" s="2" customFormat="1">
      <c r="A43" s="8"/>
      <c r="B43" s="8"/>
      <c r="C43" s="8"/>
      <c r="D43" s="141" t="s">
        <v>318</v>
      </c>
      <c r="E43" s="43" t="str">
        <f>IF(E38&gt;=F41,"Yes","No")</f>
        <v>No</v>
      </c>
    </row>
    <row r="44" spans="1:8" s="2" customFormat="1">
      <c r="A44" s="8"/>
      <c r="B44" s="8"/>
      <c r="C44" s="8"/>
      <c r="D44" s="141" t="s">
        <v>316</v>
      </c>
      <c r="E44" s="43">
        <f>(2*2)+(8*4)</f>
        <v>36</v>
      </c>
      <c r="F44" s="133" t="s">
        <v>376</v>
      </c>
    </row>
    <row r="45" spans="1:8" s="2" customFormat="1">
      <c r="A45" s="8"/>
      <c r="B45" s="8"/>
      <c r="C45" s="8"/>
      <c r="D45" s="141" t="s">
        <v>317</v>
      </c>
      <c r="E45" s="43">
        <f>(2*4)+(8*6)</f>
        <v>56</v>
      </c>
      <c r="F45" s="144" t="s">
        <v>377</v>
      </c>
    </row>
    <row r="46" spans="1:8" s="2" customFormat="1">
      <c r="A46" s="8"/>
      <c r="B46" s="8"/>
      <c r="C46" s="8"/>
      <c r="D46" s="44" t="s">
        <v>315</v>
      </c>
      <c r="E46" s="43" t="str">
        <f>IF(E43="Yes",IF(E42&gt;=E45,"III",IF(E42&gt;=E44,"II+","No")),"No")</f>
        <v>No</v>
      </c>
      <c r="F46" s="133">
        <f>(1*4)+(9*6)</f>
        <v>58</v>
      </c>
      <c r="G46" s="133" t="s">
        <v>378</v>
      </c>
    </row>
    <row r="47" spans="1:8" s="2" customFormat="1">
      <c r="A47" s="8"/>
      <c r="B47" s="8"/>
      <c r="C47" s="8"/>
      <c r="D47" s="44" t="s">
        <v>297</v>
      </c>
      <c r="E47" s="43">
        <f>F28</f>
        <v>0</v>
      </c>
      <c r="F47" s="133" t="s">
        <v>344</v>
      </c>
    </row>
    <row r="48" spans="1:8" s="2" customFormat="1">
      <c r="A48" s="8"/>
      <c r="B48" s="8"/>
      <c r="C48" s="8"/>
      <c r="D48" s="141" t="s">
        <v>319</v>
      </c>
      <c r="E48" s="43" t="str">
        <f>IF(AND(E43="Yes",E42&gt;=F46),"Yes","No")</f>
        <v>No</v>
      </c>
      <c r="F48" s="133"/>
    </row>
    <row r="49" spans="1:6" s="2" customFormat="1">
      <c r="A49" s="8"/>
      <c r="B49" s="8"/>
      <c r="C49" s="8"/>
      <c r="D49" s="141" t="s">
        <v>320</v>
      </c>
      <c r="E49" s="43">
        <f>1*6</f>
        <v>6</v>
      </c>
      <c r="F49" s="133" t="s">
        <v>336</v>
      </c>
    </row>
    <row r="50" spans="1:6" s="2" customFormat="1">
      <c r="A50" s="8"/>
      <c r="B50" s="8"/>
      <c r="C50" s="8"/>
      <c r="D50" s="141" t="s">
        <v>321</v>
      </c>
      <c r="E50" s="43">
        <f>1*9</f>
        <v>9</v>
      </c>
      <c r="F50" s="133" t="s">
        <v>337</v>
      </c>
    </row>
    <row r="51" spans="1:6" s="2" customFormat="1">
      <c r="A51" s="8"/>
      <c r="B51" s="8"/>
      <c r="C51" s="8"/>
      <c r="D51" s="44" t="s">
        <v>315</v>
      </c>
      <c r="E51" s="43" t="str">
        <f>IF(E48="Yes",IF(AND(E38=H38,E42=H42,E47&gt;=E50),"IV",IF(E47&gt;=E49,"III+","No")),"No")</f>
        <v>No</v>
      </c>
      <c r="F51" s="133">
        <f>1*9</f>
        <v>9</v>
      </c>
    </row>
    <row r="52" spans="1:6" s="2" customFormat="1">
      <c r="A52" s="8"/>
      <c r="B52" s="8"/>
      <c r="C52" s="8"/>
    </row>
    <row r="53" spans="1:6" s="2" customFormat="1">
      <c r="A53" s="8"/>
      <c r="B53" s="8"/>
      <c r="C53" s="8"/>
    </row>
    <row r="54" spans="1:6" s="2" customFormat="1">
      <c r="A54" s="8"/>
      <c r="B54" s="8"/>
      <c r="C54" s="8"/>
    </row>
    <row r="55" spans="1:6" s="2" customFormat="1">
      <c r="A55" s="8"/>
      <c r="B55" s="8"/>
      <c r="C55" s="8"/>
    </row>
    <row r="56" spans="1:6" s="2" customFormat="1">
      <c r="A56" s="8"/>
      <c r="B56" s="8"/>
      <c r="C56" s="8"/>
    </row>
    <row r="57" spans="1:6" s="2" customFormat="1">
      <c r="A57" s="8"/>
      <c r="B57" s="8"/>
      <c r="C57" s="8"/>
    </row>
    <row r="58" spans="1:6" s="2" customFormat="1">
      <c r="A58" s="8"/>
      <c r="B58" s="8"/>
      <c r="C58" s="8"/>
    </row>
    <row r="59" spans="1:6" s="2" customFormat="1">
      <c r="A59" s="8"/>
      <c r="B59" s="8"/>
      <c r="C59" s="8"/>
    </row>
    <row r="60" spans="1:6" s="2" customFormat="1">
      <c r="A60" s="8"/>
      <c r="B60" s="8"/>
      <c r="C60" s="8"/>
    </row>
    <row r="61" spans="1:6" s="2" customFormat="1">
      <c r="A61" s="8"/>
      <c r="B61" s="8"/>
      <c r="C61" s="8"/>
    </row>
    <row r="62" spans="1:6" s="2" customFormat="1">
      <c r="A62" s="8"/>
      <c r="B62" s="8"/>
      <c r="C62" s="8"/>
    </row>
    <row r="63" spans="1:6" s="2" customFormat="1">
      <c r="A63" s="8"/>
      <c r="B63" s="8"/>
      <c r="C63" s="8"/>
    </row>
    <row r="64" spans="1:6" s="2" customFormat="1">
      <c r="A64" s="8"/>
      <c r="B64" s="8"/>
      <c r="C64" s="8"/>
    </row>
    <row r="65" spans="1:3" s="2" customFormat="1">
      <c r="A65" s="8"/>
      <c r="B65" s="8"/>
      <c r="C65" s="8"/>
    </row>
    <row r="66" spans="1:3" s="2" customFormat="1">
      <c r="A66" s="8"/>
      <c r="B66" s="8"/>
      <c r="C66" s="8"/>
    </row>
    <row r="67" spans="1:3" s="2" customFormat="1">
      <c r="A67" s="8"/>
      <c r="B67" s="8"/>
      <c r="C67" s="8"/>
    </row>
    <row r="68" spans="1:3" s="2" customFormat="1">
      <c r="A68" s="8"/>
      <c r="B68" s="8"/>
      <c r="C68" s="8"/>
    </row>
    <row r="69" spans="1:3" s="2" customFormat="1">
      <c r="A69" s="8"/>
      <c r="B69" s="8"/>
      <c r="C69" s="8"/>
    </row>
    <row r="70" spans="1:3" s="2" customFormat="1">
      <c r="A70" s="8"/>
      <c r="B70" s="8"/>
      <c r="C70" s="8"/>
    </row>
    <row r="71" spans="1:3" s="2" customFormat="1">
      <c r="A71" s="8"/>
      <c r="B71" s="8"/>
      <c r="C71" s="8"/>
    </row>
    <row r="72" spans="1:3" s="2" customFormat="1">
      <c r="A72" s="8"/>
      <c r="B72" s="8"/>
      <c r="C72" s="8"/>
    </row>
    <row r="73" spans="1:3" s="2" customFormat="1">
      <c r="A73" s="8"/>
      <c r="B73" s="8"/>
      <c r="C73" s="8"/>
    </row>
    <row r="74" spans="1:3" s="2" customFormat="1">
      <c r="A74" s="8"/>
      <c r="B74" s="8"/>
      <c r="C74" s="8"/>
    </row>
    <row r="75" spans="1:3" s="2" customFormat="1">
      <c r="A75" s="8"/>
      <c r="B75" s="8"/>
      <c r="C75" s="8"/>
    </row>
    <row r="76" spans="1:3" s="2" customFormat="1">
      <c r="A76" s="8"/>
      <c r="B76" s="8"/>
      <c r="C76" s="8"/>
    </row>
    <row r="77" spans="1:3" s="2" customFormat="1">
      <c r="A77" s="8"/>
      <c r="B77" s="8"/>
      <c r="C77" s="8"/>
    </row>
    <row r="78" spans="1:3" s="2" customFormat="1">
      <c r="A78" s="8"/>
      <c r="B78" s="8"/>
      <c r="C78" s="8"/>
    </row>
    <row r="79" spans="1:3" s="2" customFormat="1">
      <c r="A79" s="8"/>
      <c r="B79" s="8"/>
      <c r="C79" s="8"/>
    </row>
    <row r="80" spans="1:3" s="2" customFormat="1">
      <c r="A80" s="8"/>
      <c r="B80" s="8"/>
      <c r="C80" s="8"/>
    </row>
    <row r="81" spans="1:3" s="2" customFormat="1">
      <c r="A81" s="8"/>
      <c r="B81" s="8"/>
      <c r="C81" s="8"/>
    </row>
    <row r="82" spans="1:3" s="2" customFormat="1">
      <c r="A82" s="8"/>
      <c r="B82" s="8"/>
      <c r="C82" s="8"/>
    </row>
    <row r="83" spans="1:3" s="2" customFormat="1">
      <c r="A83" s="8"/>
      <c r="B83" s="8"/>
      <c r="C83" s="8"/>
    </row>
    <row r="84" spans="1:3" s="2" customFormat="1">
      <c r="A84" s="8"/>
      <c r="B84" s="8"/>
      <c r="C84" s="8"/>
    </row>
    <row r="85" spans="1:3" s="2" customFormat="1">
      <c r="A85" s="8"/>
      <c r="B85" s="8"/>
      <c r="C85" s="8"/>
    </row>
    <row r="86" spans="1:3" s="2" customFormat="1">
      <c r="A86" s="8"/>
      <c r="B86" s="8"/>
      <c r="C86" s="8"/>
    </row>
    <row r="87" spans="1:3" s="2" customFormat="1">
      <c r="A87" s="8"/>
      <c r="B87" s="8"/>
      <c r="C87" s="8"/>
    </row>
    <row r="88" spans="1:3" s="2" customFormat="1">
      <c r="A88" s="8"/>
      <c r="B88" s="8"/>
      <c r="C88" s="8"/>
    </row>
    <row r="89" spans="1:3" s="2" customFormat="1">
      <c r="A89" s="8"/>
      <c r="B89" s="8"/>
      <c r="C89" s="8"/>
    </row>
    <row r="90" spans="1:3" s="2" customFormat="1">
      <c r="A90" s="8"/>
      <c r="B90" s="8"/>
      <c r="C90" s="8"/>
    </row>
    <row r="91" spans="1:3" s="2" customFormat="1">
      <c r="A91" s="8"/>
      <c r="B91" s="8"/>
      <c r="C91" s="8"/>
    </row>
    <row r="92" spans="1:3" s="2" customFormat="1">
      <c r="A92" s="8"/>
      <c r="B92" s="8"/>
      <c r="C92" s="8"/>
    </row>
    <row r="93" spans="1:3" s="2" customFormat="1">
      <c r="A93" s="8"/>
      <c r="B93" s="8"/>
      <c r="C93" s="8"/>
    </row>
    <row r="94" spans="1:3" s="2" customFormat="1">
      <c r="A94" s="8"/>
      <c r="B94" s="8"/>
      <c r="C94" s="8"/>
    </row>
    <row r="95" spans="1:3" s="2" customFormat="1">
      <c r="A95" s="8"/>
      <c r="B95" s="8"/>
      <c r="C95" s="8"/>
    </row>
    <row r="96" spans="1:3" s="2" customFormat="1">
      <c r="A96" s="8"/>
      <c r="B96" s="8"/>
      <c r="C96" s="8"/>
    </row>
    <row r="97" spans="1:3" s="2" customFormat="1">
      <c r="A97" s="8"/>
      <c r="B97" s="8"/>
      <c r="C97" s="8"/>
    </row>
    <row r="98" spans="1:3" s="2" customFormat="1">
      <c r="A98" s="8"/>
      <c r="B98" s="8"/>
      <c r="C98" s="8"/>
    </row>
    <row r="99" spans="1:3" s="2" customFormat="1">
      <c r="A99" s="8"/>
      <c r="B99" s="8"/>
      <c r="C99" s="8"/>
    </row>
    <row r="100" spans="1:3" s="2" customFormat="1">
      <c r="A100" s="8"/>
      <c r="B100" s="8"/>
      <c r="C100" s="8"/>
    </row>
    <row r="101" spans="1:3" s="2" customFormat="1">
      <c r="A101" s="8"/>
      <c r="B101" s="8"/>
      <c r="C101" s="8"/>
    </row>
    <row r="102" spans="1:3" s="2" customFormat="1">
      <c r="A102" s="8"/>
      <c r="B102" s="8"/>
      <c r="C102" s="8"/>
    </row>
    <row r="103" spans="1:3" s="2" customFormat="1">
      <c r="A103" s="8"/>
      <c r="B103" s="8"/>
      <c r="C103" s="8"/>
    </row>
    <row r="104" spans="1:3" s="2" customFormat="1">
      <c r="A104" s="8"/>
      <c r="B104" s="8"/>
      <c r="C104" s="8"/>
    </row>
    <row r="105" spans="1:3" s="2" customFormat="1">
      <c r="A105" s="8"/>
      <c r="B105" s="8"/>
      <c r="C105" s="8"/>
    </row>
    <row r="106" spans="1:3" s="2" customFormat="1">
      <c r="A106" s="8"/>
      <c r="B106" s="8"/>
      <c r="C106" s="8"/>
    </row>
    <row r="107" spans="1:3" s="2" customFormat="1">
      <c r="A107" s="8"/>
      <c r="B107" s="8"/>
      <c r="C107" s="8"/>
    </row>
    <row r="108" spans="1:3" s="2" customFormat="1">
      <c r="A108" s="8"/>
      <c r="B108" s="8"/>
      <c r="C108" s="8"/>
    </row>
    <row r="109" spans="1:3" s="2" customFormat="1">
      <c r="A109" s="8"/>
      <c r="B109" s="8"/>
      <c r="C109" s="8"/>
    </row>
    <row r="110" spans="1:3" s="2" customFormat="1">
      <c r="A110" s="8"/>
      <c r="B110" s="8"/>
      <c r="C110" s="8"/>
    </row>
    <row r="111" spans="1:3" s="2" customFormat="1">
      <c r="A111" s="8"/>
      <c r="B111" s="8"/>
      <c r="C111" s="8"/>
    </row>
    <row r="112" spans="1:3" s="2" customFormat="1">
      <c r="A112" s="8"/>
      <c r="B112" s="8"/>
      <c r="C112" s="8"/>
    </row>
    <row r="113" spans="1:22" s="2" customFormat="1">
      <c r="A113" s="8"/>
      <c r="B113" s="8"/>
      <c r="C113" s="8"/>
    </row>
    <row r="114" spans="1:22" s="2" customFormat="1">
      <c r="A114" s="8"/>
      <c r="B114" s="8"/>
      <c r="C114" s="8"/>
    </row>
    <row r="115" spans="1:22" s="2" customFormat="1">
      <c r="A115" s="8"/>
      <c r="B115" s="8"/>
      <c r="C115" s="8"/>
    </row>
    <row r="116" spans="1:22" s="2" customFormat="1">
      <c r="A116" s="8"/>
      <c r="B116" s="8"/>
      <c r="C116" s="8"/>
    </row>
    <row r="117" spans="1:22" s="2" customFormat="1">
      <c r="A117" s="8"/>
      <c r="B117" s="8"/>
      <c r="C117" s="8"/>
    </row>
    <row r="118" spans="1:22" s="2" customFormat="1">
      <c r="A118" s="8"/>
      <c r="B118" s="8"/>
      <c r="C118" s="8"/>
    </row>
    <row r="119" spans="1:22" s="10" customFormat="1">
      <c r="A119" s="9"/>
      <c r="B119" s="9"/>
      <c r="C119" s="9"/>
      <c r="F119" s="1"/>
      <c r="G119" s="2"/>
      <c r="H119" s="2"/>
      <c r="I119" s="2"/>
      <c r="J119" s="2"/>
      <c r="K119" s="2"/>
      <c r="L119" s="2"/>
      <c r="M119" s="2"/>
      <c r="N119" s="2"/>
      <c r="O119" s="2"/>
      <c r="P119" s="2"/>
      <c r="Q119" s="2"/>
      <c r="R119" s="2"/>
      <c r="S119" s="2"/>
      <c r="T119" s="2"/>
      <c r="U119" s="2"/>
      <c r="V119" s="2"/>
    </row>
    <row r="120" spans="1:22">
      <c r="F120" s="1"/>
      <c r="G120" s="2"/>
      <c r="H120" s="2"/>
      <c r="I120" s="2"/>
      <c r="J120" s="2"/>
      <c r="K120" s="2"/>
      <c r="L120" s="2"/>
      <c r="M120" s="2"/>
      <c r="N120" s="2"/>
      <c r="O120" s="2"/>
      <c r="P120" s="2"/>
      <c r="Q120" s="2"/>
      <c r="R120" s="2"/>
      <c r="S120" s="2"/>
      <c r="T120" s="2"/>
      <c r="U120" s="2"/>
      <c r="V120" s="2"/>
    </row>
    <row r="121" spans="1:22">
      <c r="F121" s="1"/>
      <c r="G121" s="2"/>
      <c r="H121" s="2"/>
      <c r="I121" s="2"/>
      <c r="J121" s="2"/>
      <c r="K121" s="2"/>
      <c r="L121" s="2"/>
      <c r="M121" s="2"/>
      <c r="N121" s="2"/>
      <c r="O121" s="2"/>
      <c r="P121" s="2"/>
      <c r="Q121" s="2"/>
      <c r="R121" s="2"/>
      <c r="S121" s="2"/>
      <c r="T121" s="2"/>
      <c r="U121" s="2"/>
      <c r="V121" s="2"/>
    </row>
    <row r="122" spans="1:22">
      <c r="F122" s="1"/>
      <c r="G122" s="2"/>
      <c r="H122" s="2"/>
      <c r="I122" s="2"/>
      <c r="J122" s="2"/>
      <c r="K122" s="2"/>
      <c r="L122" s="2"/>
      <c r="M122" s="2"/>
      <c r="N122" s="2"/>
      <c r="O122" s="2"/>
      <c r="P122" s="2"/>
      <c r="Q122" s="2"/>
      <c r="R122" s="2"/>
      <c r="S122" s="2"/>
      <c r="T122" s="2"/>
      <c r="U122" s="2"/>
      <c r="V122" s="2"/>
    </row>
    <row r="123" spans="1:22">
      <c r="F123" s="1"/>
      <c r="G123" s="2"/>
      <c r="H123" s="2"/>
      <c r="I123" s="2"/>
      <c r="J123" s="2"/>
      <c r="K123" s="2"/>
      <c r="L123" s="2"/>
      <c r="M123" s="2"/>
      <c r="N123" s="2"/>
      <c r="O123" s="2"/>
      <c r="P123" s="2"/>
      <c r="Q123" s="2"/>
      <c r="R123" s="2"/>
      <c r="S123" s="2"/>
      <c r="T123" s="2"/>
      <c r="U123" s="2"/>
      <c r="V123" s="2"/>
    </row>
    <row r="124" spans="1:22">
      <c r="F124" s="1"/>
      <c r="G124" s="2"/>
      <c r="H124" s="2"/>
      <c r="I124" s="2"/>
      <c r="J124" s="2"/>
      <c r="K124" s="2"/>
      <c r="L124" s="2"/>
      <c r="M124" s="2"/>
      <c r="N124" s="2"/>
      <c r="O124" s="2"/>
      <c r="P124" s="2"/>
      <c r="Q124" s="2"/>
      <c r="R124" s="2"/>
      <c r="S124" s="2"/>
      <c r="T124" s="2"/>
      <c r="U124" s="2"/>
      <c r="V124" s="2"/>
    </row>
    <row r="125" spans="1:22">
      <c r="F125" s="1"/>
      <c r="G125" s="2"/>
      <c r="H125" s="2"/>
      <c r="I125" s="2"/>
      <c r="J125" s="2"/>
      <c r="K125" s="2"/>
      <c r="L125" s="2"/>
      <c r="M125" s="2"/>
      <c r="N125" s="2"/>
      <c r="O125" s="2"/>
      <c r="P125" s="2"/>
      <c r="Q125" s="2"/>
      <c r="R125" s="2"/>
      <c r="S125" s="2"/>
      <c r="T125" s="2"/>
      <c r="U125" s="2"/>
      <c r="V125" s="2"/>
    </row>
    <row r="126" spans="1:22">
      <c r="F126" s="1"/>
      <c r="G126" s="2"/>
      <c r="H126" s="2"/>
      <c r="I126" s="2"/>
      <c r="J126" s="2"/>
      <c r="K126" s="2"/>
      <c r="L126" s="2"/>
      <c r="M126" s="2"/>
      <c r="N126" s="2"/>
      <c r="O126" s="2"/>
      <c r="P126" s="2"/>
      <c r="Q126" s="2"/>
      <c r="R126" s="2"/>
      <c r="S126" s="2"/>
      <c r="T126" s="2"/>
      <c r="U126" s="2"/>
      <c r="V126" s="2"/>
    </row>
    <row r="127" spans="1:22">
      <c r="F127" s="1"/>
      <c r="G127" s="2"/>
      <c r="H127" s="2"/>
      <c r="I127" s="2"/>
      <c r="J127" s="2"/>
      <c r="K127" s="2"/>
      <c r="L127" s="2"/>
      <c r="M127" s="2"/>
      <c r="N127" s="2"/>
      <c r="O127" s="2"/>
      <c r="P127" s="2"/>
      <c r="Q127" s="2"/>
      <c r="R127" s="2"/>
      <c r="S127" s="2"/>
      <c r="T127" s="2"/>
      <c r="U127" s="2"/>
      <c r="V127" s="2"/>
    </row>
    <row r="128" spans="1:22">
      <c r="F128" s="1"/>
      <c r="G128" s="2"/>
      <c r="H128" s="2"/>
      <c r="I128" s="2"/>
      <c r="J128" s="2"/>
      <c r="K128" s="2"/>
      <c r="L128" s="2"/>
      <c r="M128" s="2"/>
      <c r="N128" s="2"/>
      <c r="O128" s="2"/>
      <c r="P128" s="2"/>
      <c r="Q128" s="2"/>
      <c r="R128" s="2"/>
      <c r="S128" s="2"/>
      <c r="T128" s="2"/>
      <c r="U128" s="2"/>
      <c r="V128" s="2"/>
    </row>
  </sheetData>
  <sheetProtection sheet="1" objects="1" scenarios="1"/>
  <mergeCells count="4">
    <mergeCell ref="A1:E1"/>
    <mergeCell ref="A3:D3"/>
    <mergeCell ref="A2:E2"/>
    <mergeCell ref="C4:E4"/>
  </mergeCells>
  <phoneticPr fontId="5" type="noConversion"/>
  <conditionalFormatting sqref="E5:E28">
    <cfRule type="cellIs" dxfId="20" priority="0" stopIfTrue="1" operator="equal">
      <formula>"Tidak Dilakukan"</formula>
    </cfRule>
    <cfRule type="cellIs" dxfId="19" priority="1" stopIfTrue="1" operator="equal">
      <formula>"Dalam Perencanaan"</formula>
    </cfRule>
    <cfRule type="cellIs" dxfId="18" priority="2" stopIfTrue="1" operator="equal">
      <formula>"Dalam Penerapan / Diterapkan Sebagian"</formula>
    </cfRule>
  </conditionalFormatting>
  <conditionalFormatting sqref="F28">
    <cfRule type="cellIs" dxfId="17" priority="3" stopIfTrue="1" operator="equal">
      <formula>0</formula>
    </cfRule>
  </conditionalFormatting>
  <dataValidations count="1">
    <dataValidation type="list" allowBlank="1" showInputMessage="1" showErrorMessage="1" sqref="E5:E28">
      <formula1>StatusPenerapan</formula1>
    </dataValidation>
  </dataValidations>
  <pageMargins left="0.75000000000000011" right="0.75000000000000011" top="1" bottom="1" header="0.5" footer="0.5"/>
  <pageSetup paperSize="9" scale="62" orientation="portrait" horizontalDpi="4294967292" verticalDpi="4294967292"/>
  <headerFooter>
    <oddFooter>&amp;L&amp;"Arial,Regular"&amp;9&amp;K000000Direktorat Keamanan Informasi&amp;C&amp;"Arial,Regular"&amp;9&amp;K000000Kementerian Komunikasi dan Informasi&amp;R&amp;"Arial,Regular"&amp;8&amp;K000000Indeks KAMI, Versi  2.3 19 April 2012</oddFooter>
  </headerFooter>
  <ignoredErrors>
    <ignoredError sqref="A15:A28 A14" numberStoredAsText="1"/>
  </ignoredError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dimension ref="A1:AU78"/>
  <sheetViews>
    <sheetView showWhiteSpace="0" view="pageLayout" topLeftCell="A28" zoomScale="125" zoomScalePageLayoutView="125" workbookViewId="0">
      <selection activeCell="AQ57" sqref="AQ57"/>
    </sheetView>
  </sheetViews>
  <sheetFormatPr defaultColWidth="11" defaultRowHeight="12.75"/>
  <cols>
    <col min="1" max="1" width="2.75" customWidth="1"/>
    <col min="2" max="2" width="32.75" customWidth="1"/>
    <col min="3" max="3" width="4.625" customWidth="1"/>
    <col min="4" max="4" width="2.625" customWidth="1"/>
    <col min="5" max="5" width="18.75" customWidth="1"/>
    <col min="6" max="35" width="1" customWidth="1"/>
    <col min="36" max="36" width="6.75" customWidth="1"/>
    <col min="37" max="37" width="4.625" customWidth="1"/>
    <col min="38" max="38" width="4.75" customWidth="1"/>
    <col min="39" max="39" width="13.625" customWidth="1"/>
    <col min="40" max="44" width="10.125" customWidth="1"/>
    <col min="45" max="47" width="10.75" customWidth="1"/>
  </cols>
  <sheetData>
    <row r="1" spans="1:47" ht="15.95" customHeight="1">
      <c r="A1" s="195" t="s">
        <v>67</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7"/>
    </row>
    <row r="2" spans="1:47">
      <c r="A2" s="84"/>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5"/>
      <c r="AJ2" s="85"/>
      <c r="AK2" s="86"/>
    </row>
    <row r="3" spans="1:47" ht="16.5">
      <c r="A3" s="84"/>
      <c r="B3" s="87" t="s">
        <v>68</v>
      </c>
      <c r="C3" s="85"/>
      <c r="D3" s="85"/>
      <c r="E3" s="131"/>
      <c r="F3" s="85"/>
      <c r="G3" s="85"/>
      <c r="H3" s="85"/>
      <c r="I3" s="85"/>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6"/>
    </row>
    <row r="4" spans="1:47" ht="12.95" customHeight="1">
      <c r="A4" s="84"/>
      <c r="B4" s="199" t="str">
        <f>'Identitas Responden'!C4</f>
        <v>Satuan Kerja
Direktorat
Departemen</v>
      </c>
      <c r="C4" s="85"/>
      <c r="D4" s="216" t="s">
        <v>312</v>
      </c>
      <c r="E4" s="216"/>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6"/>
    </row>
    <row r="5" spans="1:47">
      <c r="A5" s="84"/>
      <c r="B5" s="201"/>
      <c r="C5" s="85"/>
      <c r="D5" s="216"/>
      <c r="E5" s="216"/>
      <c r="F5" s="198"/>
      <c r="G5" s="198"/>
      <c r="H5" s="198"/>
      <c r="I5" s="198"/>
      <c r="J5" s="198"/>
      <c r="K5" s="198"/>
      <c r="L5" s="198"/>
      <c r="M5" s="198"/>
      <c r="N5" s="198"/>
      <c r="O5" s="198"/>
      <c r="P5" s="198"/>
      <c r="Q5" s="198"/>
      <c r="R5" s="198"/>
      <c r="S5" s="198"/>
      <c r="T5" s="198"/>
      <c r="U5" s="198"/>
      <c r="V5" s="198"/>
      <c r="W5" s="198"/>
      <c r="X5" s="198"/>
      <c r="Y5" s="198"/>
      <c r="Z5" s="198"/>
      <c r="AA5" s="198"/>
      <c r="AB5" s="198"/>
      <c r="AC5" s="198"/>
      <c r="AD5" s="198"/>
      <c r="AE5" s="198"/>
      <c r="AF5" s="198"/>
      <c r="AG5" s="198"/>
      <c r="AH5" s="198"/>
      <c r="AI5" s="198"/>
      <c r="AJ5" s="87"/>
      <c r="AK5" s="86"/>
    </row>
    <row r="6" spans="1:47">
      <c r="A6" s="84"/>
      <c r="B6" s="201"/>
      <c r="C6" s="88"/>
      <c r="D6" s="216"/>
      <c r="E6" s="216"/>
      <c r="F6" s="85"/>
      <c r="G6" s="85"/>
      <c r="H6" s="85"/>
      <c r="I6" s="85"/>
      <c r="J6" s="85"/>
      <c r="K6" s="85"/>
      <c r="L6" s="85"/>
      <c r="M6" s="85"/>
      <c r="N6" s="85"/>
      <c r="O6" s="85"/>
      <c r="P6" s="85"/>
      <c r="Q6" s="85"/>
      <c r="R6" s="85"/>
      <c r="S6" s="85"/>
      <c r="T6" s="85"/>
      <c r="U6" s="85"/>
      <c r="V6" s="85"/>
      <c r="W6" s="85"/>
      <c r="X6" s="85"/>
      <c r="Y6" s="85"/>
      <c r="Z6" s="85"/>
      <c r="AA6" s="85"/>
      <c r="AB6" s="85"/>
      <c r="AC6" s="85"/>
      <c r="AD6" s="85"/>
      <c r="AE6" s="85"/>
      <c r="AF6" s="85"/>
      <c r="AG6" s="85"/>
      <c r="AH6" s="85"/>
      <c r="AI6" s="85"/>
      <c r="AJ6" s="85"/>
      <c r="AK6" s="86"/>
    </row>
    <row r="7" spans="1:47">
      <c r="A7" s="84"/>
      <c r="B7" s="201"/>
      <c r="C7" s="88"/>
      <c r="D7" s="217" t="s">
        <v>298</v>
      </c>
      <c r="E7" s="218"/>
      <c r="F7" s="208" t="s">
        <v>303</v>
      </c>
      <c r="G7" s="209"/>
      <c r="H7" s="209"/>
      <c r="I7" s="210"/>
      <c r="J7" s="211" t="str">
        <f>IF($AS$56=2,"I+",IF($AS$56&gt;2,"II","-"))</f>
        <v>-</v>
      </c>
      <c r="K7" s="212"/>
      <c r="L7" s="212"/>
      <c r="M7" s="212"/>
      <c r="N7" s="212"/>
      <c r="O7" s="212"/>
      <c r="P7" s="212"/>
      <c r="Q7" s="212"/>
      <c r="R7" s="212"/>
      <c r="S7" s="212"/>
      <c r="T7" s="213"/>
      <c r="U7" s="214" t="str">
        <f>IF($AS$56=4,"II+",IF($AS$56&gt;4,"III","-"))</f>
        <v>-</v>
      </c>
      <c r="V7" s="215"/>
      <c r="W7" s="215"/>
      <c r="X7" s="215"/>
      <c r="Y7" s="215"/>
      <c r="Z7" s="215" t="str">
        <f>IF($AT$56=6,"III+",IF($AT$56&gt;6,"IV","-"))</f>
        <v>-</v>
      </c>
      <c r="AA7" s="215"/>
      <c r="AB7" s="215"/>
      <c r="AC7" s="215"/>
      <c r="AD7" s="215"/>
      <c r="AE7" s="215" t="str">
        <f>IF($AT$56=8,"IV+",IF($AT$56&gt;8,"V","-"))</f>
        <v>-</v>
      </c>
      <c r="AF7" s="215"/>
      <c r="AG7" s="215"/>
      <c r="AH7" s="215"/>
      <c r="AI7" s="215"/>
      <c r="AJ7" s="85"/>
      <c r="AK7" s="86"/>
    </row>
    <row r="8" spans="1:47" ht="8.1" customHeight="1">
      <c r="A8" s="84"/>
      <c r="B8" s="201"/>
      <c r="C8" s="89"/>
      <c r="D8" s="89"/>
      <c r="E8" s="132"/>
      <c r="F8" s="90">
        <v>1</v>
      </c>
      <c r="G8" s="90">
        <v>2</v>
      </c>
      <c r="H8" s="90">
        <v>3</v>
      </c>
      <c r="I8" s="90">
        <v>4</v>
      </c>
      <c r="J8" s="90">
        <v>5</v>
      </c>
      <c r="K8" s="90">
        <v>6</v>
      </c>
      <c r="L8" s="90">
        <v>7</v>
      </c>
      <c r="M8" s="90">
        <v>8</v>
      </c>
      <c r="N8" s="90">
        <v>9</v>
      </c>
      <c r="O8" s="90">
        <v>10</v>
      </c>
      <c r="P8" s="90">
        <v>11</v>
      </c>
      <c r="Q8" s="90">
        <v>12</v>
      </c>
      <c r="R8" s="90">
        <v>13</v>
      </c>
      <c r="S8" s="90">
        <v>14</v>
      </c>
      <c r="T8" s="90">
        <v>15</v>
      </c>
      <c r="U8" s="90">
        <v>16</v>
      </c>
      <c r="V8" s="90">
        <v>17</v>
      </c>
      <c r="W8" s="90">
        <v>18</v>
      </c>
      <c r="X8" s="90">
        <v>19</v>
      </c>
      <c r="Y8" s="90">
        <v>20</v>
      </c>
      <c r="Z8" s="90">
        <v>21</v>
      </c>
      <c r="AA8" s="90">
        <v>22</v>
      </c>
      <c r="AB8" s="90">
        <v>23</v>
      </c>
      <c r="AC8" s="90">
        <v>24</v>
      </c>
      <c r="AD8" s="90">
        <v>25</v>
      </c>
      <c r="AE8" s="90">
        <v>26</v>
      </c>
      <c r="AF8" s="90">
        <v>27</v>
      </c>
      <c r="AG8" s="90">
        <v>28</v>
      </c>
      <c r="AH8" s="90">
        <v>29</v>
      </c>
      <c r="AI8" s="90">
        <v>30</v>
      </c>
      <c r="AJ8" s="85"/>
      <c r="AK8" s="86"/>
    </row>
    <row r="9" spans="1:47" ht="8.1" customHeight="1">
      <c r="A9" s="84"/>
      <c r="B9" s="201"/>
      <c r="C9" s="89"/>
      <c r="D9" s="216" t="s">
        <v>357</v>
      </c>
      <c r="E9" s="216"/>
      <c r="F9" s="91"/>
      <c r="G9" s="91"/>
      <c r="H9" s="91"/>
      <c r="I9" s="91"/>
      <c r="J9" s="91"/>
      <c r="K9" s="91"/>
      <c r="L9" s="91"/>
      <c r="M9" s="91"/>
      <c r="N9" s="91"/>
      <c r="O9" s="91"/>
      <c r="P9" s="91"/>
      <c r="Q9" s="91"/>
      <c r="R9" s="91"/>
      <c r="S9" s="91"/>
      <c r="T9" s="91"/>
      <c r="U9" s="91"/>
      <c r="V9" s="91"/>
      <c r="W9" s="91"/>
      <c r="X9" s="91"/>
      <c r="Y9" s="91"/>
      <c r="Z9" s="91"/>
      <c r="AA9" s="91"/>
      <c r="AB9" s="91"/>
      <c r="AC9" s="91"/>
      <c r="AD9" s="91"/>
      <c r="AE9" s="91"/>
      <c r="AF9" s="91"/>
      <c r="AG9" s="91"/>
      <c r="AH9" s="91"/>
      <c r="AI9" s="91"/>
      <c r="AJ9" s="205">
        <f>SUM(P14:R18)</f>
        <v>0</v>
      </c>
      <c r="AK9" s="92"/>
    </row>
    <row r="10" spans="1:47" ht="6" customHeight="1">
      <c r="A10" s="84"/>
      <c r="B10" s="201"/>
      <c r="C10" s="89"/>
      <c r="D10" s="216"/>
      <c r="E10" s="216"/>
      <c r="F10" s="151"/>
      <c r="G10" s="151"/>
      <c r="H10" s="151"/>
      <c r="I10" s="151"/>
      <c r="J10" s="151"/>
      <c r="K10" s="151"/>
      <c r="L10" s="151"/>
      <c r="M10" s="151"/>
      <c r="N10" s="151"/>
      <c r="O10" s="151"/>
      <c r="P10" s="151"/>
      <c r="Q10" s="151"/>
      <c r="R10" s="151"/>
      <c r="S10" s="151"/>
      <c r="T10" s="151"/>
      <c r="U10" s="151"/>
      <c r="V10" s="151"/>
      <c r="W10" s="151"/>
      <c r="X10" s="151"/>
      <c r="Y10" s="151"/>
      <c r="Z10" s="151"/>
      <c r="AA10" s="151"/>
      <c r="AB10" s="151"/>
      <c r="AC10" s="151"/>
      <c r="AD10" s="151"/>
      <c r="AE10" s="151"/>
      <c r="AF10" s="151"/>
      <c r="AG10" s="151"/>
      <c r="AH10" s="151"/>
      <c r="AI10" s="151"/>
      <c r="AJ10" s="205"/>
      <c r="AK10" s="92"/>
    </row>
    <row r="11" spans="1:47" ht="8.1" customHeight="1">
      <c r="A11" s="84"/>
      <c r="B11" s="199" t="str">
        <f>'Identitas Responden'!C5</f>
        <v>Alamat 1
Alamat 2
Kota Kode Pos</v>
      </c>
      <c r="C11" s="89"/>
      <c r="D11" s="216"/>
      <c r="E11" s="216"/>
      <c r="F11" s="91"/>
      <c r="G11" s="91"/>
      <c r="H11" s="91"/>
      <c r="I11" s="91"/>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c r="AJ11" s="205"/>
      <c r="AK11" s="92"/>
    </row>
    <row r="12" spans="1:47">
      <c r="A12" s="84"/>
      <c r="B12" s="200"/>
      <c r="C12" s="87"/>
      <c r="D12" s="89"/>
      <c r="E12" s="89"/>
      <c r="F12" s="85"/>
      <c r="G12" s="85"/>
      <c r="H12" s="85"/>
      <c r="I12" s="85"/>
      <c r="J12" s="85"/>
      <c r="K12" s="85"/>
      <c r="L12" s="85"/>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6"/>
      <c r="AM12" s="70"/>
      <c r="AN12" s="71" t="s">
        <v>226</v>
      </c>
      <c r="AO12" s="71" t="s">
        <v>69</v>
      </c>
      <c r="AP12" s="71" t="s">
        <v>224</v>
      </c>
      <c r="AQ12" s="71" t="s">
        <v>225</v>
      </c>
      <c r="AR12" s="71" t="s">
        <v>70</v>
      </c>
      <c r="AS12" s="71" t="s">
        <v>112</v>
      </c>
    </row>
    <row r="13" spans="1:47">
      <c r="A13" s="84"/>
      <c r="B13" s="200"/>
      <c r="C13" s="87"/>
      <c r="D13" s="89"/>
      <c r="E13" s="206" t="s">
        <v>109</v>
      </c>
      <c r="F13" s="207"/>
      <c r="G13" s="207"/>
      <c r="H13" s="207"/>
      <c r="I13" s="207"/>
      <c r="J13" s="207"/>
      <c r="K13" s="207"/>
      <c r="L13" s="207"/>
      <c r="M13" s="207"/>
      <c r="N13" s="207"/>
      <c r="O13" s="128" t="s">
        <v>277</v>
      </c>
      <c r="P13" s="202">
        <f>'I Peran TIK'!D17</f>
        <v>0</v>
      </c>
      <c r="Q13" s="202"/>
      <c r="R13" s="202"/>
      <c r="S13" s="129"/>
      <c r="T13" s="129"/>
      <c r="U13" s="203" t="s">
        <v>276</v>
      </c>
      <c r="V13" s="204"/>
      <c r="W13" s="204"/>
      <c r="X13" s="204"/>
      <c r="Y13" s="204"/>
      <c r="Z13" s="204"/>
      <c r="AA13" s="204"/>
      <c r="AB13" s="204"/>
      <c r="AC13" s="204"/>
      <c r="AD13" s="204"/>
      <c r="AE13" s="204"/>
      <c r="AF13" s="204"/>
      <c r="AG13" s="204"/>
      <c r="AH13" s="204"/>
      <c r="AI13" s="128"/>
      <c r="AJ13" s="130" t="str">
        <f>AO36</f>
        <v>Rendah</v>
      </c>
      <c r="AK13" s="86"/>
      <c r="AM13" s="73" t="s">
        <v>307</v>
      </c>
      <c r="AN13" s="72"/>
      <c r="AO13" s="72"/>
      <c r="AP13" s="72"/>
      <c r="AQ13" s="72"/>
      <c r="AR13" s="72"/>
    </row>
    <row r="14" spans="1:47">
      <c r="A14" s="84"/>
      <c r="B14" s="200"/>
      <c r="C14" s="85"/>
      <c r="D14" s="85"/>
      <c r="E14" s="206" t="s">
        <v>83</v>
      </c>
      <c r="F14" s="207"/>
      <c r="G14" s="207"/>
      <c r="H14" s="207"/>
      <c r="I14" s="207"/>
      <c r="J14" s="207"/>
      <c r="K14" s="207"/>
      <c r="L14" s="207"/>
      <c r="M14" s="207"/>
      <c r="N14" s="207"/>
      <c r="O14" s="128" t="s">
        <v>277</v>
      </c>
      <c r="P14" s="202">
        <f>'II Tata Kelola'!E25</f>
        <v>0</v>
      </c>
      <c r="Q14" s="202"/>
      <c r="R14" s="202"/>
      <c r="S14" s="129"/>
      <c r="T14" s="129"/>
      <c r="U14" s="221" t="s">
        <v>347</v>
      </c>
      <c r="V14" s="221"/>
      <c r="W14" s="221"/>
      <c r="X14" s="221"/>
      <c r="Y14" s="221"/>
      <c r="Z14" s="221"/>
      <c r="AA14" s="221"/>
      <c r="AB14" s="221"/>
      <c r="AC14" s="221"/>
      <c r="AD14" s="221"/>
      <c r="AE14" s="221"/>
      <c r="AF14" s="221"/>
      <c r="AG14" s="219" t="str">
        <f>AN54</f>
        <v>I</v>
      </c>
      <c r="AH14" s="219"/>
      <c r="AI14" s="149"/>
      <c r="AJ14" s="155"/>
      <c r="AK14" s="86"/>
      <c r="AM14" s="73">
        <v>1</v>
      </c>
      <c r="AN14" s="72">
        <f>'II Tata Kelola'!E27</f>
        <v>8</v>
      </c>
      <c r="AO14" s="72">
        <f>'III Risiko'!E22</f>
        <v>9</v>
      </c>
      <c r="AP14" s="72">
        <f>'IV Kerangka Kerja'!E34</f>
        <v>11</v>
      </c>
      <c r="AQ14" s="72">
        <f>'V Pengelolaan Aset'!E43</f>
        <v>21</v>
      </c>
      <c r="AR14" s="72">
        <f>'VI Teknologi'!E31</f>
        <v>13</v>
      </c>
      <c r="AS14" s="72">
        <f>SUM(AN14:AR14)*3</f>
        <v>186</v>
      </c>
      <c r="AT14" s="72">
        <f>SUM(AN14:AR14)</f>
        <v>62</v>
      </c>
      <c r="AU14" s="72">
        <f>AT14*2</f>
        <v>124</v>
      </c>
    </row>
    <row r="15" spans="1:47">
      <c r="A15" s="84"/>
      <c r="B15" s="200"/>
      <c r="C15" s="85"/>
      <c r="D15" s="85"/>
      <c r="E15" s="206" t="s">
        <v>84</v>
      </c>
      <c r="F15" s="207"/>
      <c r="G15" s="207"/>
      <c r="H15" s="207"/>
      <c r="I15" s="207"/>
      <c r="J15" s="207"/>
      <c r="K15" s="207"/>
      <c r="L15" s="207"/>
      <c r="M15" s="207"/>
      <c r="N15" s="207"/>
      <c r="O15" s="128" t="s">
        <v>277</v>
      </c>
      <c r="P15" s="202">
        <f>'III Risiko'!E20</f>
        <v>0</v>
      </c>
      <c r="Q15" s="202"/>
      <c r="R15" s="202"/>
      <c r="S15" s="129"/>
      <c r="T15" s="129"/>
      <c r="U15" s="221" t="s">
        <v>347</v>
      </c>
      <c r="V15" s="221"/>
      <c r="W15" s="221"/>
      <c r="X15" s="221"/>
      <c r="Y15" s="221"/>
      <c r="Z15" s="221"/>
      <c r="AA15" s="221"/>
      <c r="AB15" s="221"/>
      <c r="AC15" s="221"/>
      <c r="AD15" s="221"/>
      <c r="AE15" s="221"/>
      <c r="AF15" s="221"/>
      <c r="AG15" s="220" t="str">
        <f>AO54</f>
        <v>I</v>
      </c>
      <c r="AH15" s="220"/>
      <c r="AI15" s="148"/>
      <c r="AJ15" s="156" t="str">
        <f>AS55</f>
        <v>I</v>
      </c>
      <c r="AK15" s="86"/>
      <c r="AM15" s="73">
        <v>2</v>
      </c>
      <c r="AN15" s="72">
        <f>'II Tata Kelola'!E28</f>
        <v>6</v>
      </c>
      <c r="AO15" s="72">
        <f>'III Risiko'!E23</f>
        <v>4</v>
      </c>
      <c r="AP15" s="72">
        <f>'IV Kerangka Kerja'!E35</f>
        <v>8</v>
      </c>
      <c r="AQ15" s="72">
        <f>'V Pengelolaan Aset'!E44</f>
        <v>9</v>
      </c>
      <c r="AR15" s="72">
        <f>'VI Teknologi'!E32</f>
        <v>10</v>
      </c>
      <c r="AS15" s="72">
        <f>SUM(AN15:AR15)*6</f>
        <v>222</v>
      </c>
      <c r="AT15" s="72">
        <f>SUM(AN15:AR15)</f>
        <v>37</v>
      </c>
      <c r="AU15" s="72">
        <f>AT15*4</f>
        <v>148</v>
      </c>
    </row>
    <row r="16" spans="1:47">
      <c r="A16" s="84"/>
      <c r="B16" s="93" t="str">
        <f>'Identitas Responden'!C6</f>
        <v>(Kode Area) Nomor Telpon</v>
      </c>
      <c r="C16" s="85"/>
      <c r="D16" s="85"/>
      <c r="E16" s="206" t="s">
        <v>85</v>
      </c>
      <c r="F16" s="207"/>
      <c r="G16" s="207"/>
      <c r="H16" s="207"/>
      <c r="I16" s="207"/>
      <c r="J16" s="207"/>
      <c r="K16" s="207"/>
      <c r="L16" s="207"/>
      <c r="M16" s="207"/>
      <c r="N16" s="207"/>
      <c r="O16" s="128" t="s">
        <v>277</v>
      </c>
      <c r="P16" s="202">
        <f>'IV Kerangka Kerja'!E32</f>
        <v>0</v>
      </c>
      <c r="Q16" s="202"/>
      <c r="R16" s="202"/>
      <c r="S16" s="129"/>
      <c r="T16" s="129"/>
      <c r="U16" s="221" t="s">
        <v>347</v>
      </c>
      <c r="V16" s="221"/>
      <c r="W16" s="221"/>
      <c r="X16" s="221"/>
      <c r="Y16" s="221"/>
      <c r="Z16" s="221"/>
      <c r="AA16" s="221"/>
      <c r="AB16" s="221"/>
      <c r="AC16" s="221"/>
      <c r="AD16" s="221"/>
      <c r="AE16" s="221"/>
      <c r="AF16" s="221"/>
      <c r="AG16" s="220" t="str">
        <f>AP54</f>
        <v>I</v>
      </c>
      <c r="AH16" s="220"/>
      <c r="AI16" s="148"/>
      <c r="AJ16" s="156" t="s">
        <v>380</v>
      </c>
      <c r="AK16" s="86"/>
      <c r="AM16" s="73">
        <v>3</v>
      </c>
      <c r="AN16" s="72">
        <f>'II Tata Kelola'!E29</f>
        <v>6</v>
      </c>
      <c r="AO16" s="72">
        <f>'III Risiko'!E24</f>
        <v>2</v>
      </c>
      <c r="AP16" s="72">
        <f>'IV Kerangka Kerja'!E36</f>
        <v>7</v>
      </c>
      <c r="AQ16" s="72">
        <f>'V Pengelolaan Aset'!E45</f>
        <v>4</v>
      </c>
      <c r="AR16" s="72">
        <f>'VI Teknologi'!E33</f>
        <v>1</v>
      </c>
      <c r="AS16" s="72">
        <f>SUM(AN16:AR16)*9</f>
        <v>180</v>
      </c>
      <c r="AT16" s="72">
        <f>SUM(AN16:AR16)</f>
        <v>20</v>
      </c>
      <c r="AU16" s="72">
        <f>AT16*6</f>
        <v>120</v>
      </c>
    </row>
    <row r="17" spans="1:47">
      <c r="A17" s="84"/>
      <c r="B17" s="93" t="str">
        <f>'Identitas Responden'!C7</f>
        <v>user@departemen_responden.go.id</v>
      </c>
      <c r="C17" s="85"/>
      <c r="D17" s="85"/>
      <c r="E17" s="206" t="s">
        <v>86</v>
      </c>
      <c r="F17" s="207"/>
      <c r="G17" s="207"/>
      <c r="H17" s="207"/>
      <c r="I17" s="207"/>
      <c r="J17" s="207"/>
      <c r="K17" s="207"/>
      <c r="L17" s="207"/>
      <c r="M17" s="207"/>
      <c r="N17" s="207"/>
      <c r="O17" s="128" t="s">
        <v>277</v>
      </c>
      <c r="P17" s="202">
        <f>'V Pengelolaan Aset'!E41</f>
        <v>0</v>
      </c>
      <c r="Q17" s="202"/>
      <c r="R17" s="202"/>
      <c r="S17" s="129"/>
      <c r="T17" s="129"/>
      <c r="U17" s="221" t="s">
        <v>347</v>
      </c>
      <c r="V17" s="221"/>
      <c r="W17" s="221"/>
      <c r="X17" s="221"/>
      <c r="Y17" s="221"/>
      <c r="Z17" s="221"/>
      <c r="AA17" s="221"/>
      <c r="AB17" s="221"/>
      <c r="AC17" s="221"/>
      <c r="AD17" s="221"/>
      <c r="AE17" s="221"/>
      <c r="AF17" s="221"/>
      <c r="AG17" s="220" t="str">
        <f>AQ54</f>
        <v>I</v>
      </c>
      <c r="AH17" s="220"/>
      <c r="AI17" s="148"/>
      <c r="AJ17" s="156" t="str">
        <f>AT55</f>
        <v>I</v>
      </c>
      <c r="AK17" s="86"/>
      <c r="AM17" s="73" t="s">
        <v>71</v>
      </c>
      <c r="AN17" s="71">
        <f t="shared" ref="AN17:AS17" si="0">SUM(AN14:AN16)</f>
        <v>20</v>
      </c>
      <c r="AO17" s="71">
        <f t="shared" si="0"/>
        <v>15</v>
      </c>
      <c r="AP17" s="71">
        <f t="shared" si="0"/>
        <v>26</v>
      </c>
      <c r="AQ17" s="71">
        <f t="shared" si="0"/>
        <v>34</v>
      </c>
      <c r="AR17" s="71">
        <f t="shared" si="0"/>
        <v>24</v>
      </c>
      <c r="AS17" s="72">
        <f t="shared" si="0"/>
        <v>588</v>
      </c>
    </row>
    <row r="18" spans="1:47">
      <c r="A18" s="84"/>
      <c r="B18" s="93" t="str">
        <f>'Identitas Responden'!C13</f>
        <v>HH/BB/TTTT</v>
      </c>
      <c r="C18" s="85"/>
      <c r="D18" s="85"/>
      <c r="E18" s="206" t="s">
        <v>66</v>
      </c>
      <c r="F18" s="207"/>
      <c r="G18" s="207"/>
      <c r="H18" s="207"/>
      <c r="I18" s="207"/>
      <c r="J18" s="207"/>
      <c r="K18" s="207"/>
      <c r="L18" s="207"/>
      <c r="M18" s="207"/>
      <c r="N18" s="207"/>
      <c r="O18" s="128" t="s">
        <v>277</v>
      </c>
      <c r="P18" s="202">
        <f>'VI Teknologi'!E29</f>
        <v>0</v>
      </c>
      <c r="Q18" s="202"/>
      <c r="R18" s="202"/>
      <c r="S18" s="129"/>
      <c r="T18" s="129"/>
      <c r="U18" s="221" t="s">
        <v>347</v>
      </c>
      <c r="V18" s="221"/>
      <c r="W18" s="221"/>
      <c r="X18" s="221"/>
      <c r="Y18" s="221"/>
      <c r="Z18" s="221"/>
      <c r="AA18" s="221"/>
      <c r="AB18" s="221"/>
      <c r="AC18" s="221"/>
      <c r="AD18" s="221"/>
      <c r="AE18" s="221"/>
      <c r="AF18" s="221"/>
      <c r="AG18" s="220" t="str">
        <f>AR54</f>
        <v>I</v>
      </c>
      <c r="AH18" s="220"/>
      <c r="AI18" s="150"/>
      <c r="AJ18" s="155"/>
      <c r="AK18" s="86"/>
      <c r="AM18" s="73" t="s">
        <v>72</v>
      </c>
      <c r="AN18" s="71">
        <v>1</v>
      </c>
      <c r="AO18" s="71">
        <v>1</v>
      </c>
      <c r="AP18" s="71">
        <v>1</v>
      </c>
      <c r="AQ18" s="71">
        <v>1</v>
      </c>
      <c r="AR18" s="71">
        <v>1</v>
      </c>
      <c r="AS18" s="72"/>
    </row>
    <row r="19" spans="1:47">
      <c r="A19" s="84"/>
      <c r="B19" s="85"/>
      <c r="C19" s="85"/>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6"/>
      <c r="AM19" s="73">
        <v>1</v>
      </c>
      <c r="AN19" s="72">
        <f>AN14*Referensi!$E$7*AN18</f>
        <v>24</v>
      </c>
      <c r="AO19" s="72">
        <f>AO14*Referensi!$E$7*AO18</f>
        <v>27</v>
      </c>
      <c r="AP19" s="72">
        <f>AP14*Referensi!$E$7*AP18</f>
        <v>33</v>
      </c>
      <c r="AQ19" s="72">
        <f>AQ14*Referensi!$E$7*AQ18</f>
        <v>63</v>
      </c>
      <c r="AR19" s="72">
        <f>AR14*Referensi!$E$7</f>
        <v>39</v>
      </c>
      <c r="AS19" s="72"/>
    </row>
    <row r="20" spans="1:47">
      <c r="A20" s="84"/>
      <c r="B20" s="85"/>
      <c r="C20" s="85"/>
      <c r="D20" s="85"/>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6"/>
      <c r="AM20" s="73">
        <v>2</v>
      </c>
      <c r="AN20" s="72">
        <f>AN19+(AN18*AN15*Referensi!$F$7)</f>
        <v>60</v>
      </c>
      <c r="AO20" s="72">
        <f>AO19+(AO18*AO15*Referensi!$F$7)</f>
        <v>51</v>
      </c>
      <c r="AP20" s="72">
        <f>AP19+(AP18*AP15*Referensi!$F$7)</f>
        <v>81</v>
      </c>
      <c r="AQ20" s="72">
        <f>AQ19+(AQ18*AQ15*Referensi!$F$7)</f>
        <v>117</v>
      </c>
      <c r="AR20" s="72">
        <f>AR19+(AR15*Referensi!$F$7)</f>
        <v>99</v>
      </c>
      <c r="AS20" s="72"/>
    </row>
    <row r="21" spans="1:47">
      <c r="A21" s="84"/>
      <c r="B21" s="85"/>
      <c r="C21" s="85"/>
      <c r="D21" s="85"/>
      <c r="E21" s="8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85"/>
      <c r="AK21" s="86"/>
      <c r="AM21" s="73">
        <v>3</v>
      </c>
      <c r="AN21" s="72">
        <f>AN20+(AN18*AN16*Referensi!$G$7)</f>
        <v>114</v>
      </c>
      <c r="AO21" s="72">
        <f>AO20+(AO18*AO16*Referensi!$G$7)</f>
        <v>69</v>
      </c>
      <c r="AP21" s="72">
        <f>AP20+(AP18*AP16*Referensi!$G$7)</f>
        <v>144</v>
      </c>
      <c r="AQ21" s="72">
        <f>AQ20+(AQ18*AQ16*Referensi!$G$7)</f>
        <v>153</v>
      </c>
      <c r="AR21" s="72">
        <f>AR20+AR16*Referensi!$G$7</f>
        <v>108</v>
      </c>
      <c r="AS21" s="72"/>
    </row>
    <row r="22" spans="1:47">
      <c r="A22" s="84"/>
      <c r="B22" s="85"/>
      <c r="C22" s="85"/>
      <c r="D22" s="85"/>
      <c r="E22" s="85"/>
      <c r="F22" s="85"/>
      <c r="G22" s="85"/>
      <c r="H22" s="85"/>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6"/>
      <c r="AM22" s="73" t="s">
        <v>73</v>
      </c>
      <c r="AN22" s="71">
        <f>'II Tata Kelola'!E25*AN18</f>
        <v>0</v>
      </c>
      <c r="AO22" s="71">
        <f>'III Risiko'!E20*AN18</f>
        <v>0</v>
      </c>
      <c r="AP22" s="71">
        <f>'IV Kerangka Kerja'!E32*AN18</f>
        <v>0</v>
      </c>
      <c r="AQ22" s="71">
        <f>'V Pengelolaan Aset'!E41*AN18</f>
        <v>0</v>
      </c>
      <c r="AR22" s="71">
        <f>'VI Teknologi'!E29*AN18</f>
        <v>0</v>
      </c>
      <c r="AS22" s="71">
        <f>SUM(AN22:AR22)</f>
        <v>0</v>
      </c>
    </row>
    <row r="23" spans="1:47">
      <c r="A23" s="84"/>
      <c r="B23" s="85"/>
      <c r="C23" s="85"/>
      <c r="D23" s="85"/>
      <c r="E23" s="85"/>
      <c r="F23" s="85"/>
      <c r="G23" s="85"/>
      <c r="H23" s="85"/>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85"/>
      <c r="AI23" s="85"/>
      <c r="AJ23" s="85"/>
      <c r="AK23" s="86"/>
      <c r="AM23" s="73" t="s">
        <v>271</v>
      </c>
      <c r="AN23" s="71" t="s">
        <v>272</v>
      </c>
      <c r="AO23" s="71" t="s">
        <v>273</v>
      </c>
      <c r="AP23" s="71" t="s">
        <v>274</v>
      </c>
      <c r="AQ23" s="72">
        <v>0</v>
      </c>
      <c r="AR23" s="72">
        <v>12</v>
      </c>
      <c r="AS23" s="72">
        <v>0</v>
      </c>
      <c r="AT23" s="72">
        <v>124</v>
      </c>
      <c r="AU23" s="79" t="s">
        <v>275</v>
      </c>
    </row>
    <row r="24" spans="1:47">
      <c r="A24" s="84"/>
      <c r="B24" s="85"/>
      <c r="C24" s="85"/>
      <c r="D24" s="85"/>
      <c r="E24" s="85"/>
      <c r="F24" s="85"/>
      <c r="G24" s="85"/>
      <c r="H24" s="85"/>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6"/>
      <c r="AN24" s="72">
        <v>0</v>
      </c>
      <c r="AO24" s="72">
        <v>12</v>
      </c>
      <c r="AP24" s="72" t="s">
        <v>94</v>
      </c>
      <c r="AS24" s="72">
        <v>125</v>
      </c>
      <c r="AT24" s="72">
        <v>272</v>
      </c>
      <c r="AU24" s="79" t="s">
        <v>278</v>
      </c>
    </row>
    <row r="25" spans="1:47">
      <c r="A25" s="84"/>
      <c r="B25" s="85"/>
      <c r="C25" s="85"/>
      <c r="D25" s="85"/>
      <c r="E25" s="85"/>
      <c r="F25" s="85"/>
      <c r="G25" s="85"/>
      <c r="H25" s="85"/>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85"/>
      <c r="AI25" s="85"/>
      <c r="AJ25" s="85"/>
      <c r="AK25" s="86"/>
      <c r="AN25" s="72">
        <v>13</v>
      </c>
      <c r="AO25" s="72">
        <v>24</v>
      </c>
      <c r="AP25" s="72" t="s">
        <v>95</v>
      </c>
      <c r="AS25" s="72">
        <v>273</v>
      </c>
      <c r="AT25" s="72">
        <v>588</v>
      </c>
      <c r="AU25" s="79" t="s">
        <v>214</v>
      </c>
    </row>
    <row r="26" spans="1:47">
      <c r="A26" s="84"/>
      <c r="B26" s="85"/>
      <c r="C26" s="85"/>
      <c r="D26" s="85"/>
      <c r="E26" s="85"/>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6"/>
      <c r="AN26" s="72">
        <v>25</v>
      </c>
      <c r="AO26" s="72">
        <v>36</v>
      </c>
      <c r="AP26" s="72" t="s">
        <v>96</v>
      </c>
      <c r="AQ26" s="72">
        <v>13</v>
      </c>
      <c r="AR26" s="72">
        <v>24</v>
      </c>
      <c r="AS26" s="72">
        <v>0</v>
      </c>
      <c r="AT26" s="72">
        <v>174</v>
      </c>
      <c r="AU26" s="79" t="s">
        <v>275</v>
      </c>
    </row>
    <row r="27" spans="1:47">
      <c r="A27" s="84"/>
      <c r="B27" s="85"/>
      <c r="C27" s="85"/>
      <c r="D27" s="85"/>
      <c r="E27" s="85"/>
      <c r="F27" s="85"/>
      <c r="G27" s="85"/>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6"/>
      <c r="AN27" s="72">
        <v>37</v>
      </c>
      <c r="AO27" s="72">
        <v>48</v>
      </c>
      <c r="AP27" s="72" t="s">
        <v>97</v>
      </c>
      <c r="AR27" s="71"/>
      <c r="AS27" s="72">
        <v>175</v>
      </c>
      <c r="AT27" s="72">
        <v>312</v>
      </c>
      <c r="AU27" s="79" t="s">
        <v>278</v>
      </c>
    </row>
    <row r="28" spans="1:47">
      <c r="A28" s="84"/>
      <c r="B28" s="85"/>
      <c r="C28" s="85"/>
      <c r="D28" s="85"/>
      <c r="E28" s="85"/>
      <c r="F28" s="85"/>
      <c r="G28" s="85"/>
      <c r="H28" s="85"/>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6"/>
      <c r="AN28" s="72"/>
      <c r="AO28" s="72"/>
      <c r="AP28" s="72"/>
      <c r="AR28" s="71"/>
      <c r="AS28" s="72">
        <v>313</v>
      </c>
      <c r="AT28" s="72">
        <v>588</v>
      </c>
      <c r="AU28" s="79" t="s">
        <v>214</v>
      </c>
    </row>
    <row r="29" spans="1:47">
      <c r="A29" s="84"/>
      <c r="B29" s="85"/>
      <c r="C29" s="85"/>
      <c r="D29" s="85"/>
      <c r="E29" s="85"/>
      <c r="F29" s="85"/>
      <c r="G29" s="85"/>
      <c r="H29" s="85"/>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6"/>
      <c r="AQ29" s="72">
        <v>25</v>
      </c>
      <c r="AR29" s="72">
        <v>36</v>
      </c>
      <c r="AS29" s="72">
        <v>0</v>
      </c>
      <c r="AT29" s="72">
        <v>272</v>
      </c>
      <c r="AU29" s="79" t="s">
        <v>275</v>
      </c>
    </row>
    <row r="30" spans="1:47">
      <c r="A30" s="84"/>
      <c r="B30" s="85"/>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6"/>
      <c r="AS30" s="72">
        <v>273</v>
      </c>
      <c r="AT30" s="72">
        <v>392</v>
      </c>
      <c r="AU30" s="79" t="s">
        <v>278</v>
      </c>
    </row>
    <row r="31" spans="1:47">
      <c r="A31" s="84"/>
      <c r="B31" s="85"/>
      <c r="C31" s="85"/>
      <c r="D31" s="85"/>
      <c r="E31" s="85"/>
      <c r="F31" s="85"/>
      <c r="G31" s="85"/>
      <c r="H31" s="85"/>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6"/>
      <c r="AS31" s="72">
        <v>393</v>
      </c>
      <c r="AT31" s="72">
        <v>588</v>
      </c>
      <c r="AU31" s="79" t="s">
        <v>214</v>
      </c>
    </row>
    <row r="32" spans="1:47" ht="12" customHeight="1">
      <c r="A32" s="84"/>
      <c r="B32" s="85"/>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6"/>
      <c r="AQ32" s="72">
        <v>37</v>
      </c>
      <c r="AR32" s="72">
        <v>48</v>
      </c>
      <c r="AS32" s="72">
        <v>0</v>
      </c>
      <c r="AT32" s="72">
        <v>333</v>
      </c>
      <c r="AU32" s="79" t="s">
        <v>275</v>
      </c>
    </row>
    <row r="33" spans="1:47">
      <c r="A33" s="84"/>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6"/>
      <c r="AS33" s="72">
        <v>334</v>
      </c>
      <c r="AT33" s="72">
        <v>453</v>
      </c>
      <c r="AU33" s="79" t="s">
        <v>278</v>
      </c>
    </row>
    <row r="34" spans="1:47" ht="13.5">
      <c r="A34" s="84"/>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86"/>
      <c r="AM34" s="139" t="s">
        <v>311</v>
      </c>
      <c r="AN34" s="140">
        <f>AN14*Referensi!$E$6*AN18</f>
        <v>16</v>
      </c>
      <c r="AO34" s="140">
        <f>AO14*Referensi!$E$6*AO18</f>
        <v>18</v>
      </c>
      <c r="AP34" s="140">
        <f>AP14*Referensi!$E$6*AP18</f>
        <v>22</v>
      </c>
      <c r="AQ34" s="140">
        <f>AQ14*Referensi!$E$5*AQ18</f>
        <v>21</v>
      </c>
      <c r="AR34" s="140">
        <f>AR14*Referensi!$E$5</f>
        <v>13</v>
      </c>
      <c r="AS34" s="72">
        <v>454</v>
      </c>
      <c r="AT34" s="72">
        <v>588</v>
      </c>
      <c r="AU34" s="79" t="s">
        <v>214</v>
      </c>
    </row>
    <row r="35" spans="1:47">
      <c r="A35" s="84"/>
      <c r="B35" s="85"/>
      <c r="C35" s="85"/>
      <c r="D35" s="85"/>
      <c r="E35" s="85"/>
      <c r="F35" s="85"/>
      <c r="G35" s="85"/>
      <c r="H35" s="85"/>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86"/>
      <c r="AP35" s="72" t="str">
        <f>IF(AND(AN22&gt;=AN34,AO22&gt;=AO34,AP22&gt;=AP34,AQ22&gt;=AQ34,AR22&gt;=AR34),"Valid","Not Valid")</f>
        <v>Not Valid</v>
      </c>
    </row>
    <row r="36" spans="1:47">
      <c r="A36" s="84"/>
      <c r="B36" s="85"/>
      <c r="C36" s="85"/>
      <c r="D36" s="85"/>
      <c r="E36" s="85"/>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86"/>
      <c r="AN36" s="73" t="s">
        <v>93</v>
      </c>
      <c r="AO36" s="72" t="str">
        <f>VLOOKUP('I Peran TIK'!D17,Dashboard!AN24:AP27,3)</f>
        <v>Rendah</v>
      </c>
      <c r="AP36" s="72" t="str">
        <f>IF(AP35="Valid",IF(AO36="Rendah",VLOOKUP(AJ9,AS23:AU25,3),IF(AO36="Sedang",VLOOKUP(AJ9,AS26:AU28,3),IF(AO36="Tinggi",VLOOKUP(AJ9,AS29:AU31,3),IF(AO36="Kritis",VLOOKUP(AJ9,AS32:AU34,3),0)))),"Tidak Layak")</f>
        <v>Tidak Layak</v>
      </c>
    </row>
    <row r="37" spans="1:47">
      <c r="A37" s="84"/>
      <c r="B37" s="85"/>
      <c r="C37" s="85"/>
      <c r="D37" s="85"/>
      <c r="E37" s="85"/>
      <c r="F37" s="85"/>
      <c r="G37" s="85"/>
      <c r="H37" s="85"/>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6"/>
      <c r="AN37" s="137" t="s">
        <v>355</v>
      </c>
      <c r="AO37" s="72">
        <f>IF(AO36="Kritis",AT32,IF(AO36="Tinggi",AT29,IF(AO36="Sedang",AT26,124)))</f>
        <v>124</v>
      </c>
    </row>
    <row r="38" spans="1:47">
      <c r="A38" s="84"/>
      <c r="B38" s="85"/>
      <c r="C38" s="85"/>
      <c r="D38" s="85"/>
      <c r="E38" s="85"/>
      <c r="F38" s="85"/>
      <c r="G38" s="85"/>
      <c r="H38" s="85"/>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5"/>
      <c r="AI38" s="85"/>
      <c r="AJ38" s="85"/>
      <c r="AK38" s="86"/>
      <c r="AN38" s="137" t="s">
        <v>356</v>
      </c>
      <c r="AO38" s="72">
        <f>IF(AO36="Kritis",AT33,IF(AO36="Tinggi",AT30,IF(AO36="Sedang",AT27,272)))</f>
        <v>272</v>
      </c>
    </row>
    <row r="39" spans="1:47" ht="13.5" thickBot="1">
      <c r="A39" s="94"/>
      <c r="B39" s="95"/>
      <c r="C39" s="95"/>
      <c r="D39" s="95"/>
      <c r="E39" s="95"/>
      <c r="F39" s="95"/>
      <c r="G39" s="95"/>
      <c r="H39" s="95"/>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6"/>
      <c r="AN39" s="137"/>
      <c r="AO39" s="72"/>
    </row>
    <row r="42" spans="1:47">
      <c r="AN42" s="71" t="s">
        <v>226</v>
      </c>
      <c r="AO42" s="71" t="s">
        <v>69</v>
      </c>
      <c r="AP42" s="71" t="s">
        <v>224</v>
      </c>
      <c r="AQ42" s="71" t="s">
        <v>225</v>
      </c>
      <c r="AR42" s="71" t="s">
        <v>70</v>
      </c>
    </row>
    <row r="43" spans="1:47">
      <c r="AM43" s="138" t="s">
        <v>306</v>
      </c>
    </row>
    <row r="44" spans="1:47">
      <c r="AM44" s="137" t="s">
        <v>315</v>
      </c>
      <c r="AN44" s="146" t="str">
        <f>'II Tata Kelola'!E37</f>
        <v>No</v>
      </c>
      <c r="AO44" s="146" t="str">
        <f>'III Risiko'!E32</f>
        <v>No</v>
      </c>
      <c r="AP44" s="146" t="str">
        <f>'IV Kerangka Kerja'!E44</f>
        <v>No</v>
      </c>
      <c r="AQ44" s="146" t="str">
        <f>'V Pengelolaan Aset'!E53</f>
        <v>No</v>
      </c>
      <c r="AR44" s="146" t="str">
        <f>'VI Teknologi'!E41</f>
        <v>No</v>
      </c>
    </row>
    <row r="45" spans="1:47">
      <c r="AM45" s="138" t="s">
        <v>308</v>
      </c>
      <c r="AN45" s="146"/>
      <c r="AO45" s="146"/>
      <c r="AP45" s="146"/>
      <c r="AQ45" s="146"/>
      <c r="AR45" s="146"/>
    </row>
    <row r="46" spans="1:47">
      <c r="AM46" s="137" t="s">
        <v>345</v>
      </c>
      <c r="AN46" s="146" t="str">
        <f>'II Tata Kelola'!E39</f>
        <v>No</v>
      </c>
      <c r="AO46" s="146" t="str">
        <f>'III Risiko'!E34</f>
        <v>No</v>
      </c>
      <c r="AP46" s="146" t="str">
        <f>'IV Kerangka Kerja'!E46</f>
        <v>No</v>
      </c>
      <c r="AQ46" s="146" t="str">
        <f>'V Pengelolaan Aset'!E55</f>
        <v>No</v>
      </c>
      <c r="AR46" s="146" t="str">
        <f>'VI Teknologi'!E43</f>
        <v>No</v>
      </c>
    </row>
    <row r="47" spans="1:47">
      <c r="AM47" s="137" t="s">
        <v>315</v>
      </c>
      <c r="AN47" s="146" t="str">
        <f>'II Tata Kelola'!E42</f>
        <v>No</v>
      </c>
      <c r="AO47" s="146" t="str">
        <f>'III Risiko'!E37</f>
        <v>No</v>
      </c>
      <c r="AP47" s="146" t="str">
        <f>'IV Kerangka Kerja'!E49</f>
        <v>No</v>
      </c>
      <c r="AQ47" s="146" t="str">
        <f>'V Pengelolaan Aset'!E58</f>
        <v>No</v>
      </c>
      <c r="AR47" s="146" t="str">
        <f>'VI Teknologi'!E46</f>
        <v>No</v>
      </c>
    </row>
    <row r="48" spans="1:47">
      <c r="AM48" s="138" t="s">
        <v>309</v>
      </c>
      <c r="AN48" s="146"/>
      <c r="AO48" s="146"/>
      <c r="AP48" s="146"/>
      <c r="AQ48" s="146"/>
      <c r="AR48" s="146"/>
    </row>
    <row r="49" spans="39:46">
      <c r="AM49" s="137" t="s">
        <v>345</v>
      </c>
      <c r="AN49" s="146" t="str">
        <f>'II Tata Kelola'!E44</f>
        <v>No</v>
      </c>
      <c r="AO49" s="146" t="str">
        <f>'III Risiko'!E39</f>
        <v>No</v>
      </c>
      <c r="AP49" s="146" t="str">
        <f>'IV Kerangka Kerja'!E51</f>
        <v>No</v>
      </c>
      <c r="AQ49" s="146" t="s">
        <v>382</v>
      </c>
      <c r="AR49" s="146" t="str">
        <f>'VI Teknologi'!E48</f>
        <v>No</v>
      </c>
    </row>
    <row r="50" spans="39:46">
      <c r="AM50" s="137" t="s">
        <v>315</v>
      </c>
      <c r="AN50" s="146" t="str">
        <f>'II Tata Kelola'!E47</f>
        <v>No</v>
      </c>
      <c r="AO50" s="146" t="str">
        <f>'III Risiko'!E42</f>
        <v>No</v>
      </c>
      <c r="AP50" s="146" t="str">
        <f>'IV Kerangka Kerja'!E54</f>
        <v>No</v>
      </c>
      <c r="AQ50" s="146" t="s">
        <v>382</v>
      </c>
      <c r="AR50" s="146" t="str">
        <f>'VI Teknologi'!E51</f>
        <v>No</v>
      </c>
    </row>
    <row r="51" spans="39:46">
      <c r="AM51" s="138" t="s">
        <v>310</v>
      </c>
      <c r="AN51" s="146"/>
      <c r="AO51" s="146"/>
      <c r="AP51" s="146"/>
      <c r="AQ51" s="146"/>
      <c r="AR51" s="146"/>
    </row>
    <row r="52" spans="39:46">
      <c r="AM52" s="137" t="s">
        <v>345</v>
      </c>
      <c r="AN52" s="146" t="s">
        <v>382</v>
      </c>
      <c r="AO52" s="146" t="str">
        <f>'III Risiko'!E44</f>
        <v>No</v>
      </c>
      <c r="AP52" s="146" t="str">
        <f>'IV Kerangka Kerja'!E56</f>
        <v>No</v>
      </c>
      <c r="AQ52" s="146" t="s">
        <v>382</v>
      </c>
      <c r="AR52" s="146" t="s">
        <v>382</v>
      </c>
    </row>
    <row r="53" spans="39:46">
      <c r="AM53" s="137" t="s">
        <v>315</v>
      </c>
      <c r="AN53" s="146" t="s">
        <v>382</v>
      </c>
      <c r="AO53" s="146" t="str">
        <f>'III Risiko'!E47</f>
        <v>No</v>
      </c>
      <c r="AP53" s="146" t="str">
        <f>'IV Kerangka Kerja'!E59</f>
        <v>No</v>
      </c>
      <c r="AQ53" s="146" t="s">
        <v>382</v>
      </c>
      <c r="AR53" s="146" t="s">
        <v>382</v>
      </c>
    </row>
    <row r="54" spans="39:46">
      <c r="AM54" s="138" t="s">
        <v>346</v>
      </c>
      <c r="AN54" s="147" t="str">
        <f>IF(AN52="Yes",AN53,IF(AN49="Yes",AN50,IF(AN46="Yes",AN47,IF(AN44="No","I",AN44))))</f>
        <v>I</v>
      </c>
      <c r="AO54" s="147" t="str">
        <f>IF(AO52="Yes",AO53,IF(AO49="Yes",AO50,IF(AO46="Yes",AO47,IF(AO44="No","I",AO44))))</f>
        <v>I</v>
      </c>
      <c r="AP54" s="147" t="str">
        <f>IF(AP52="Yes",AP53,IF(AP49="Yes",AP50,IF(AP46="Yes",AP47,IF(AP44="No","I",AP44))))</f>
        <v>I</v>
      </c>
      <c r="AQ54" s="147" t="str">
        <f>IF(AQ52="Yes",AQ53,IF(AQ49="Yes",AQ50,IF(AQ46="Yes",AQ47,IF(AQ44="No","I",AQ44))))</f>
        <v>I</v>
      </c>
      <c r="AR54" s="147" t="str">
        <f>IF(AR52="Yes",AR53,IF(AR49="Yes",AR50,IF(AR46="Yes",AR47,IF(AR44="No","I",AR44))))</f>
        <v>I</v>
      </c>
    </row>
    <row r="55" spans="39:46">
      <c r="AN55" s="145">
        <f>LOOKUP(AN54,TingkatKematangan2,TKM)</f>
        <v>1</v>
      </c>
      <c r="AO55" s="145">
        <f>LOOKUP(AO54,TingkatKematangan2,TKM)</f>
        <v>1</v>
      </c>
      <c r="AP55" s="145">
        <f>LOOKUP(AP54,TingkatKematangan2,TKM)</f>
        <v>1</v>
      </c>
      <c r="AQ55" s="145">
        <f>LOOKUP(AQ54,TingkatKematangan2,TKM)</f>
        <v>1</v>
      </c>
      <c r="AR55" s="145">
        <f>LOOKUP(AR54,TingkatKematangan2,TKM)</f>
        <v>1</v>
      </c>
      <c r="AS55" s="145" t="str">
        <f>LOOKUP(MIN(AN55:AR55),TKM,TingkatKematangan2)</f>
        <v>I</v>
      </c>
      <c r="AT55" s="145" t="str">
        <f>LOOKUP(MAX(AN55:AR55),TKM,TingkatKematangan2)</f>
        <v>I</v>
      </c>
    </row>
    <row r="56" spans="39:46">
      <c r="AS56" s="37">
        <f>MIN(AN55:AR55)</f>
        <v>1</v>
      </c>
      <c r="AT56" s="37">
        <f>MAX(AN55:AR55)</f>
        <v>1</v>
      </c>
    </row>
    <row r="78" spans="2:2">
      <c r="B78" s="30"/>
    </row>
  </sheetData>
  <sheetProtection sheet="1" objects="1" scenarios="1"/>
  <mergeCells count="36">
    <mergeCell ref="AG16:AH16"/>
    <mergeCell ref="AG17:AH17"/>
    <mergeCell ref="AG18:AH18"/>
    <mergeCell ref="P16:R16"/>
    <mergeCell ref="E17:N17"/>
    <mergeCell ref="E18:N18"/>
    <mergeCell ref="E16:N16"/>
    <mergeCell ref="P17:R17"/>
    <mergeCell ref="P18:R18"/>
    <mergeCell ref="U16:AF16"/>
    <mergeCell ref="U17:AF17"/>
    <mergeCell ref="U18:AF18"/>
    <mergeCell ref="D9:E11"/>
    <mergeCell ref="D7:E7"/>
    <mergeCell ref="D4:E6"/>
    <mergeCell ref="AG14:AH14"/>
    <mergeCell ref="AG15:AH15"/>
    <mergeCell ref="E15:N15"/>
    <mergeCell ref="U14:AF14"/>
    <mergeCell ref="U15:AF15"/>
    <mergeCell ref="A1:AK1"/>
    <mergeCell ref="F5:AI5"/>
    <mergeCell ref="B11:B15"/>
    <mergeCell ref="B4:B10"/>
    <mergeCell ref="P15:R15"/>
    <mergeCell ref="U13:AH13"/>
    <mergeCell ref="AJ9:AJ11"/>
    <mergeCell ref="E13:N13"/>
    <mergeCell ref="E14:N14"/>
    <mergeCell ref="P13:R13"/>
    <mergeCell ref="P14:R14"/>
    <mergeCell ref="F7:I7"/>
    <mergeCell ref="J7:T7"/>
    <mergeCell ref="U7:Y7"/>
    <mergeCell ref="Z7:AD7"/>
    <mergeCell ref="AE7:AI7"/>
  </mergeCells>
  <phoneticPr fontId="5" type="noConversion"/>
  <conditionalFormatting sqref="F5:AI5">
    <cfRule type="cellIs" dxfId="16" priority="0" stopIfTrue="1" operator="equal">
      <formula>"Tidak Layak"</formula>
    </cfRule>
    <cfRule type="cellIs" dxfId="15" priority="13" stopIfTrue="1" operator="equal">
      <formula>"Perlu Perbaikan"</formula>
    </cfRule>
    <cfRule type="cellIs" dxfId="14" priority="14" stopIfTrue="1" operator="equal">
      <formula>"Baik/Cukup"</formula>
    </cfRule>
  </conditionalFormatting>
  <conditionalFormatting sqref="F9:AI9 F11:AI11">
    <cfRule type="expression" dxfId="13" priority="15" stopIfTrue="1">
      <formula>F$8&lt;=($AO$37/20)</formula>
    </cfRule>
    <cfRule type="expression" dxfId="12" priority="16" stopIfTrue="1">
      <formula>F$8&lt;=($AO$38/20)</formula>
    </cfRule>
    <cfRule type="expression" dxfId="11" priority="17" stopIfTrue="1">
      <formula>F$8&lt;=(600/20)</formula>
    </cfRule>
  </conditionalFormatting>
  <conditionalFormatting sqref="F10:AI10">
    <cfRule type="expression" dxfId="10" priority="18" stopIfTrue="1">
      <formula>AND(F$8&gt;=($AJ$9/20),F$8&lt;=($AO$37/20))</formula>
    </cfRule>
    <cfRule type="expression" dxfId="9" priority="19" stopIfTrue="1">
      <formula>AND(F$8&gt;=($AJ$9/20),F$8&lt;=($AO$38/20))</formula>
    </cfRule>
    <cfRule type="expression" dxfId="8" priority="20" stopIfTrue="1">
      <formula>AND(F$8&gt;=($AJ$9/20),F$8&lt;=(600/20))</formula>
    </cfRule>
  </conditionalFormatting>
  <conditionalFormatting sqref="J7:T7">
    <cfRule type="containsText" dxfId="7" priority="11" operator="containsText" text="II">
      <formula>NOT(ISERROR(SEARCH("II",J7)))</formula>
    </cfRule>
    <cfRule type="containsText" dxfId="6" priority="12" operator="containsText" text="I+">
      <formula>NOT(ISERROR(SEARCH("I+",J7)))</formula>
    </cfRule>
  </conditionalFormatting>
  <conditionalFormatting sqref="U7:Y7">
    <cfRule type="containsText" dxfId="5" priority="9" operator="containsText" text="III">
      <formula>NOT(ISERROR(SEARCH("III",U7)))</formula>
    </cfRule>
    <cfRule type="containsText" dxfId="4" priority="10" operator="containsText" text="II+">
      <formula>NOT(ISERROR(SEARCH("II+",U7)))</formula>
    </cfRule>
  </conditionalFormatting>
  <conditionalFormatting sqref="Z7:AD7">
    <cfRule type="containsText" dxfId="3" priority="5" operator="containsText" text="IV">
      <formula>NOT(ISERROR(SEARCH("IV",Z7)))</formula>
    </cfRule>
    <cfRule type="containsText" dxfId="2" priority="6" operator="containsText" text="III+">
      <formula>NOT(ISERROR(SEARCH("III+",Z7)))</formula>
    </cfRule>
  </conditionalFormatting>
  <conditionalFormatting sqref="AE7:AI7">
    <cfRule type="containsText" dxfId="1" priority="1" operator="containsText" text="IV+">
      <formula>NOT(ISERROR(SEARCH("IV+",AE7)))</formula>
    </cfRule>
    <cfRule type="containsText" dxfId="0" priority="2" operator="containsText" text="V">
      <formula>NOT(ISERROR(SEARCH("V",AE7)))</formula>
    </cfRule>
  </conditionalFormatting>
  <pageMargins left="0.75000000000000011" right="0.75000000000000011" top="0.60000000000000009" bottom="0.8" header="0.5" footer="0.5"/>
  <pageSetup paperSize="10" orientation="landscape" horizontalDpi="4294967292" verticalDpi="4294967292" r:id="rId1"/>
  <headerFooter>
    <oddFooter>&amp;L&amp;"Arial,Regular"&amp;9_x000D_Direktorat Keamanan Informasi&amp;C&amp;"Arial,Regular"&amp;9Kementerian Komunikasi dan Informasi&amp;R&amp;"Arial,Regular"&amp;9Versi 2.3 - 19 April 2012</oddFooter>
  </headerFooter>
  <ignoredErrors>
    <ignoredError sqref="AJ9" emptyCellReference="1"/>
  </ignoredErrors>
  <drawing r:id="rId2"/>
  <extLst>
    <ext xmlns:mx="http://schemas.microsoft.com/office/mac/excel/2008/main" uri="{64002731-A6B0-56B0-2670-7721B7C09600}">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17</vt:i4>
      </vt:variant>
    </vt:vector>
  </HeadingPairs>
  <TitlesOfParts>
    <vt:vector size="28" baseType="lpstr">
      <vt:lpstr>Pengantar</vt:lpstr>
      <vt:lpstr>Identitas Responden</vt:lpstr>
      <vt:lpstr>I Peran TIK</vt:lpstr>
      <vt:lpstr>II Tata Kelola</vt:lpstr>
      <vt:lpstr>III Risiko</vt:lpstr>
      <vt:lpstr>IV Kerangka Kerja</vt:lpstr>
      <vt:lpstr>V Pengelolaan Aset</vt:lpstr>
      <vt:lpstr>VI Teknologi</vt:lpstr>
      <vt:lpstr>Dashboard</vt:lpstr>
      <vt:lpstr>Referensi</vt:lpstr>
      <vt:lpstr>Catatan Perubahan</vt:lpstr>
      <vt:lpstr>PeranTIK</vt:lpstr>
      <vt:lpstr>Dashboard!Print_Area</vt:lpstr>
      <vt:lpstr>'I Peran TIK'!Print_Area</vt:lpstr>
      <vt:lpstr>'Identitas Responden'!Print_Area</vt:lpstr>
      <vt:lpstr>'II Tata Kelola'!Print_Area</vt:lpstr>
      <vt:lpstr>'III Risiko'!Print_Area</vt:lpstr>
      <vt:lpstr>'IV Kerangka Kerja'!Print_Area</vt:lpstr>
      <vt:lpstr>'V Pengelolaan Aset'!Print_Area</vt:lpstr>
      <vt:lpstr>'VI Teknologi'!Print_Area</vt:lpstr>
      <vt:lpstr>Skor</vt:lpstr>
      <vt:lpstr>SkorAkhir</vt:lpstr>
      <vt:lpstr>SkorPeranTIK</vt:lpstr>
      <vt:lpstr>StatusPenerapan</vt:lpstr>
      <vt:lpstr>StatusPenerapanHasil</vt:lpstr>
      <vt:lpstr>TingkatKematangan</vt:lpstr>
      <vt:lpstr>TingkatKematangan2</vt:lpstr>
      <vt:lpstr>TKM</vt:lpstr>
    </vt:vector>
  </TitlesOfParts>
  <Company>Departemen Komunikasi &amp; Informasi</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Indeks KAMI Versi 1.0</dc:title>
  <dc:creator>DIT-SIPLK</dc:creator>
  <cp:lastModifiedBy>dosen</cp:lastModifiedBy>
  <cp:lastPrinted>2011-07-06T02:24:51Z</cp:lastPrinted>
  <dcterms:created xsi:type="dcterms:W3CDTF">2009-02-20T00:17:41Z</dcterms:created>
  <dcterms:modified xsi:type="dcterms:W3CDTF">2015-04-10T11:46:22Z</dcterms:modified>
</cp:coreProperties>
</file>