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\Downloads\"/>
    </mc:Choice>
  </mc:AlternateContent>
  <xr:revisionPtr revIDLastSave="0" documentId="13_ncr:1_{459E0980-0904-4D7E-A28D-CB3AD0DD33A4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Inputs" sheetId="1" r:id="rId1"/>
    <sheet name="SensIt Tornado 2" sheetId="5" r:id="rId2"/>
    <sheet name="SensIt Tornado 1" sheetId="4" r:id="rId3"/>
    <sheet name="Cash flows" sheetId="2" r:id="rId4"/>
  </sheets>
  <definedNames>
    <definedName name="Advertising_fraction">Inputs!$D$35</definedName>
    <definedName name="Bottle_clean_up_losses">Inputs!$D$20</definedName>
    <definedName name="Bottle_set_up_losses">Inputs!$D$18</definedName>
    <definedName name="Bottle_variable_losses">Inputs!$D$19</definedName>
    <definedName name="bottles_per_case">Inputs!$D$11</definedName>
    <definedName name="Bottling_set_up_costs">Inputs!$D$21</definedName>
    <definedName name="Broker_fee_1993">Inputs!$D$28</definedName>
    <definedName name="Broker_fee_after_1993">Inputs!$D$29</definedName>
    <definedName name="Cost_of_supplies">Inputs!$D$31</definedName>
    <definedName name="Demand_1993">Inputs!$D$23</definedName>
    <definedName name="Demand_1994">Inputs!$D$24</definedName>
    <definedName name="Demand_growth_rate">Inputs!$D$25</definedName>
    <definedName name="Freight_expenses_per_case">Inputs!$D$32</definedName>
    <definedName name="GA_Fraction">Inputs!$D$36</definedName>
    <definedName name="liters_per_bottle">Inputs!$D$10</definedName>
    <definedName name="liters_per_gal">Inputs!$D$12</definedName>
    <definedName name="Marketing_case_fraction">Inputs!$D$30</definedName>
    <definedName name="Oil_Ordered_for_93">Inputs!$D$6</definedName>
    <definedName name="Oil_Ordered_for_94">Inputs!$D$8</definedName>
    <definedName name="Oil_price_1993">Inputs!$D$7</definedName>
    <definedName name="Per_bottle_charge">Inputs!$D$22</definedName>
    <definedName name="_xlnm.Print_Area" localSheetId="3">'Cash flows'!$A$1:$I$60</definedName>
    <definedName name="_xlnm.Print_Area" localSheetId="0">Inputs!$A$4:$I$37</definedName>
    <definedName name="_xlnm.Print_Area" localSheetId="2">'SensIt Tornado 1'!$A$1:$I$77</definedName>
    <definedName name="_xlnm.Print_Area" localSheetId="1">'SensIt Tornado 2'!$A$1:$I$77</definedName>
    <definedName name="Printing_costs_per_case">Inputs!$D$33</definedName>
    <definedName name="Revenue_Per_case_sold">Inputs!$D$26</definedName>
    <definedName name="Salvage_percentage_value">Inputs!$D$27</definedName>
    <definedName name="SensItManyInOneOutRefEditBaseCase" localSheetId="0" hidden="1">Inputs!$H$18:$H$37</definedName>
    <definedName name="SensItManyInOneOutRefEditInputLabels" localSheetId="0" hidden="1">Inputs!$B$18:$B$37</definedName>
    <definedName name="SensItManyInOneOutRefEditInputValues" localSheetId="0" hidden="1">Inputs!$D$18:$D$37</definedName>
    <definedName name="SensItManyInOneOutRefEditOneExtreme" localSheetId="0" hidden="1">Inputs!$G$18:$G$37</definedName>
    <definedName name="SensItManyInOneOutRefEditOtherExtreme" localSheetId="0" hidden="1">Inputs!$I$18:$I$37</definedName>
    <definedName name="SensItManyInOneOutRefEditOutputLabel" localSheetId="0" hidden="1">Inputs!$B$41</definedName>
    <definedName name="SensItManyInOneOutRefEditOutputValue" localSheetId="0" hidden="1">Inputs!$D$41</definedName>
    <definedName name="Value_of_inventory">Inputs!$D$37</definedName>
    <definedName name="Warehouse_expenses">Inputs!$D$34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2" l="1"/>
  <c r="E4" i="2"/>
  <c r="F13" i="2"/>
  <c r="F14" i="2"/>
  <c r="E14" i="2"/>
  <c r="F28" i="2"/>
  <c r="G28" i="2"/>
  <c r="H28" i="2"/>
  <c r="I28" i="2"/>
  <c r="E28" i="2"/>
  <c r="E18" i="2"/>
  <c r="F23" i="2"/>
  <c r="E8" i="2"/>
  <c r="E10" i="2"/>
  <c r="E48" i="2"/>
  <c r="G27" i="1"/>
  <c r="F10" i="2"/>
  <c r="F48" i="2"/>
  <c r="F16" i="2"/>
  <c r="F18" i="2"/>
  <c r="F17" i="2"/>
  <c r="E17" i="2"/>
  <c r="E19" i="2"/>
  <c r="E49" i="2"/>
  <c r="E23" i="2"/>
  <c r="E24" i="2"/>
  <c r="F19" i="2"/>
  <c r="F49" i="2"/>
  <c r="E26" i="2"/>
  <c r="E50" i="2"/>
  <c r="E31" i="2"/>
  <c r="E32" i="2"/>
  <c r="E33" i="2"/>
  <c r="E38" i="2"/>
  <c r="E42" i="2"/>
  <c r="E37" i="2"/>
  <c r="F4" i="2"/>
  <c r="E34" i="2"/>
  <c r="F22" i="2"/>
  <c r="F24" i="2"/>
  <c r="F31" i="2"/>
  <c r="F32" i="2"/>
  <c r="G4" i="2"/>
  <c r="E39" i="2"/>
  <c r="E43" i="2"/>
  <c r="E44" i="2"/>
  <c r="F26" i="2"/>
  <c r="F50" i="2"/>
  <c r="E45" i="2"/>
  <c r="E51" i="2"/>
  <c r="E52" i="2"/>
  <c r="F37" i="2"/>
  <c r="F42" i="2"/>
  <c r="F33" i="2"/>
  <c r="F38" i="2"/>
  <c r="E54" i="2"/>
  <c r="G8" i="2"/>
  <c r="H4" i="2"/>
  <c r="F34" i="2"/>
  <c r="F59" i="2"/>
  <c r="E57" i="2"/>
  <c r="H8" i="2"/>
  <c r="I4" i="2"/>
  <c r="G10" i="2"/>
  <c r="G48" i="2"/>
  <c r="G13" i="2"/>
  <c r="G22" i="2"/>
  <c r="F39" i="2"/>
  <c r="F44" i="2"/>
  <c r="F43" i="2"/>
  <c r="G14" i="2"/>
  <c r="G16" i="2"/>
  <c r="F45" i="2"/>
  <c r="F51" i="2"/>
  <c r="F52" i="2"/>
  <c r="F54" i="2"/>
  <c r="I8" i="2"/>
  <c r="H13" i="2"/>
  <c r="H10" i="2"/>
  <c r="H48" i="2"/>
  <c r="G23" i="2"/>
  <c r="G24" i="2"/>
  <c r="G18" i="2"/>
  <c r="G17" i="2"/>
  <c r="G19" i="2"/>
  <c r="G49" i="2"/>
  <c r="H14" i="2"/>
  <c r="H16" i="2"/>
  <c r="F57" i="2"/>
  <c r="F60" i="2"/>
  <c r="D41" i="1"/>
  <c r="G26" i="2"/>
  <c r="G50" i="2"/>
  <c r="G31" i="2"/>
  <c r="G32" i="2"/>
  <c r="I13" i="2"/>
  <c r="I14" i="2"/>
  <c r="I10" i="2"/>
  <c r="I48" i="2"/>
  <c r="H17" i="2"/>
  <c r="H18" i="2"/>
  <c r="H23" i="2"/>
  <c r="H19" i="2"/>
  <c r="H49" i="2"/>
  <c r="G37" i="2"/>
  <c r="G42" i="2"/>
  <c r="I18" i="2"/>
  <c r="I23" i="2"/>
  <c r="I17" i="2"/>
  <c r="I16" i="2"/>
  <c r="G33" i="2"/>
  <c r="G38" i="2"/>
  <c r="G44" i="2"/>
  <c r="G43" i="2"/>
  <c r="G39" i="2"/>
  <c r="G34" i="2"/>
  <c r="H22" i="2"/>
  <c r="H24" i="2"/>
  <c r="I19" i="2"/>
  <c r="I49" i="2"/>
  <c r="G45" i="2"/>
  <c r="G51" i="2"/>
  <c r="G52" i="2"/>
  <c r="H26" i="2"/>
  <c r="H50" i="2"/>
  <c r="H31" i="2"/>
  <c r="H32" i="2"/>
  <c r="G54" i="2"/>
  <c r="G57" i="2"/>
  <c r="H37" i="2"/>
  <c r="H42" i="2"/>
  <c r="H33" i="2"/>
  <c r="H38" i="2"/>
  <c r="H34" i="2"/>
  <c r="I22" i="2"/>
  <c r="I24" i="2"/>
  <c r="I26" i="2"/>
  <c r="I50" i="2"/>
  <c r="H43" i="2"/>
  <c r="H39" i="2"/>
  <c r="H44" i="2"/>
  <c r="I31" i="2"/>
  <c r="I32" i="2"/>
  <c r="I42" i="2"/>
  <c r="H45" i="2"/>
  <c r="H51" i="2"/>
  <c r="H52" i="2"/>
  <c r="H54" i="2"/>
  <c r="I33" i="2"/>
  <c r="I38" i="2"/>
  <c r="H57" i="2"/>
  <c r="I37" i="2"/>
  <c r="I39" i="2"/>
  <c r="I34" i="2"/>
  <c r="I44" i="2"/>
  <c r="I43" i="2"/>
  <c r="I54" i="2"/>
  <c r="I45" i="2"/>
  <c r="I51" i="2"/>
  <c r="I52" i="2"/>
  <c r="I57" i="2"/>
</calcChain>
</file>

<file path=xl/sharedStrings.xml><?xml version="1.0" encoding="utf-8"?>
<sst xmlns="http://schemas.openxmlformats.org/spreadsheetml/2006/main" count="254" uniqueCount="165">
  <si>
    <t>Calambra A -- Basic Model</t>
  </si>
  <si>
    <t>Model Assumptions</t>
  </si>
  <si>
    <t>Cell Name</t>
  </si>
  <si>
    <t>Input Cells</t>
  </si>
  <si>
    <t>Oil prices for 1994</t>
  </si>
  <si>
    <t>Oil Data</t>
  </si>
  <si>
    <t>Quantity Ordered for 1993</t>
  </si>
  <si>
    <t>Oil Ordered for 93</t>
  </si>
  <si>
    <t>gallons</t>
  </si>
  <si>
    <t>first</t>
  </si>
  <si>
    <t>gallons at</t>
  </si>
  <si>
    <t>Oil price 1993</t>
  </si>
  <si>
    <t>per gallon</t>
  </si>
  <si>
    <t>next</t>
  </si>
  <si>
    <t>Quantity Ordered for 1994</t>
  </si>
  <si>
    <t>Oil Ordered for 94</t>
  </si>
  <si>
    <t>Gallons to case conversion factors</t>
  </si>
  <si>
    <t>liters/bottle</t>
  </si>
  <si>
    <t>liters per bottle</t>
  </si>
  <si>
    <t>additional</t>
  </si>
  <si>
    <t>bottles/case</t>
  </si>
  <si>
    <t>bottles per case</t>
  </si>
  <si>
    <t>liters/gal</t>
  </si>
  <si>
    <t>liters per gal</t>
  </si>
  <si>
    <t>Potential Uncertainties</t>
  </si>
  <si>
    <t>Ranges assigned by Frank</t>
  </si>
  <si>
    <t>Assumed Value</t>
  </si>
  <si>
    <t xml:space="preserve"> Low</t>
  </si>
  <si>
    <t>Base</t>
  </si>
  <si>
    <t>High</t>
  </si>
  <si>
    <t>Bottling Data</t>
  </si>
  <si>
    <t>Quantity lost in set up</t>
  </si>
  <si>
    <t>Bottle set up losses</t>
  </si>
  <si>
    <t>Variable losses in bottling</t>
  </si>
  <si>
    <t>Bottle variable losses</t>
  </si>
  <si>
    <t>of volume</t>
  </si>
  <si>
    <t>Quantity lost in clean up</t>
  </si>
  <si>
    <t>Bottle clean up losses</t>
  </si>
  <si>
    <t>Bottling Set up Costs</t>
  </si>
  <si>
    <t>Bottling set up costs</t>
  </si>
  <si>
    <t>Variable costs of bottling</t>
  </si>
  <si>
    <t>Per bottle charge</t>
  </si>
  <si>
    <t>per bottle</t>
  </si>
  <si>
    <t>Market Data</t>
  </si>
  <si>
    <t>Demand in 1993</t>
  </si>
  <si>
    <t>Demand_1993</t>
  </si>
  <si>
    <t>Demand in 1994</t>
  </si>
  <si>
    <t>Demand_1994</t>
  </si>
  <si>
    <t>Growth Rate thereafter</t>
  </si>
  <si>
    <t>Demand_growth_rate</t>
  </si>
  <si>
    <t>Wholesale price per case</t>
  </si>
  <si>
    <t>Revenue Per case sold</t>
  </si>
  <si>
    <t>Salvage value</t>
  </si>
  <si>
    <t>Salvage percentage value</t>
  </si>
  <si>
    <t>Broker Take 1993</t>
  </si>
  <si>
    <t>Broker fee</t>
  </si>
  <si>
    <t>of revenue</t>
  </si>
  <si>
    <t>Broker Take after 1993</t>
  </si>
  <si>
    <t>Marketing Cases</t>
  </si>
  <si>
    <t>Marketing_case_fraction</t>
  </si>
  <si>
    <t>of cases available for sale</t>
  </si>
  <si>
    <t>Miscellaneous Costs</t>
  </si>
  <si>
    <t>Material</t>
  </si>
  <si>
    <t>Cost of supplies</t>
  </si>
  <si>
    <t>per case</t>
  </si>
  <si>
    <t>Freight</t>
  </si>
  <si>
    <t>Freight expenses per case</t>
  </si>
  <si>
    <t>per case sold</t>
  </si>
  <si>
    <t>Printing</t>
  </si>
  <si>
    <t>Printing_costs_per_case</t>
  </si>
  <si>
    <t>Warehouse</t>
  </si>
  <si>
    <t>Warehouse expenses</t>
  </si>
  <si>
    <t>per case available for sale</t>
  </si>
  <si>
    <t>Advertising</t>
  </si>
  <si>
    <t>Advertising_fraction</t>
  </si>
  <si>
    <t>of retail sales</t>
  </si>
  <si>
    <t>General and administrative</t>
  </si>
  <si>
    <t>GA_Fraction</t>
  </si>
  <si>
    <t>Value of inventory</t>
  </si>
  <si>
    <t>Total cash by end of year two</t>
  </si>
  <si>
    <t>Calambra Olive Oil Cash Flows</t>
  </si>
  <si>
    <t>Reference</t>
  </si>
  <si>
    <t>Continue Business at end of year</t>
  </si>
  <si>
    <t>In_business</t>
  </si>
  <si>
    <t>Oil Supply</t>
  </si>
  <si>
    <t>Gallons planned</t>
  </si>
  <si>
    <t>Gallons of oil ordered</t>
  </si>
  <si>
    <t>Gallons_ordered</t>
  </si>
  <si>
    <t>Cost of Oil ($)</t>
  </si>
  <si>
    <t>Cost_of_oil</t>
  </si>
  <si>
    <t>Bottling</t>
  </si>
  <si>
    <t>Net gallons in bottles</t>
  </si>
  <si>
    <t>Net_gallons_in_bottles</t>
  </si>
  <si>
    <t>Cases produced</t>
  </si>
  <si>
    <t>Cases_produced</t>
  </si>
  <si>
    <t>Bottling costs</t>
  </si>
  <si>
    <t>Bottling_costs</t>
  </si>
  <si>
    <t>Printing_costs</t>
  </si>
  <si>
    <t>Other Materials</t>
  </si>
  <si>
    <t>Materials_Costs</t>
  </si>
  <si>
    <t xml:space="preserve">    Total Cost of Bottling</t>
  </si>
  <si>
    <t>Total bottling costs</t>
  </si>
  <si>
    <t>Cases Available</t>
  </si>
  <si>
    <t>Cases carried over from prev. year</t>
  </si>
  <si>
    <t>Cases_carried_over</t>
  </si>
  <si>
    <t xml:space="preserve">    Total Cases available</t>
  </si>
  <si>
    <t>Total_cases_available</t>
  </si>
  <si>
    <t>Warehouse Costs</t>
  </si>
  <si>
    <t>Warehouse_costs</t>
  </si>
  <si>
    <r>
      <t xml:space="preserve">Demand for Oil </t>
    </r>
    <r>
      <rPr>
        <sz val="10"/>
        <rFont val="Arial"/>
        <family val="2"/>
      </rPr>
      <t>(cases)</t>
    </r>
  </si>
  <si>
    <t>Demand</t>
  </si>
  <si>
    <t>Disposition of Oil</t>
  </si>
  <si>
    <t>Cases given away for marketing purposes</t>
  </si>
  <si>
    <t>Marketing_cases</t>
  </si>
  <si>
    <t>Cases sold at full price</t>
  </si>
  <si>
    <t>Cases_sold_retail</t>
  </si>
  <si>
    <t>Cases sold in liquidation</t>
  </si>
  <si>
    <t>Cases_sold_in_liquidation</t>
  </si>
  <si>
    <t>Cases left over at end of year</t>
  </si>
  <si>
    <t>Revenue</t>
  </si>
  <si>
    <t>Full price sales</t>
  </si>
  <si>
    <t>Retail_sales</t>
  </si>
  <si>
    <t>Liquidation sales</t>
  </si>
  <si>
    <t>Liquidation_sales</t>
  </si>
  <si>
    <t xml:space="preserve">   Total Revenue</t>
  </si>
  <si>
    <t>Selling expenses</t>
  </si>
  <si>
    <t>Freight_expenses</t>
  </si>
  <si>
    <t>Broker</t>
  </si>
  <si>
    <t>Broker_expenses</t>
  </si>
  <si>
    <t>Advertising_expenses</t>
  </si>
  <si>
    <t xml:space="preserve">    Total Selling Expenses</t>
  </si>
  <si>
    <t>Total_selling expenses</t>
  </si>
  <si>
    <t>Cost of Goods Sold</t>
  </si>
  <si>
    <t>Oil Costs</t>
  </si>
  <si>
    <t>Bottling Costs</t>
  </si>
  <si>
    <t>Selling Expenses</t>
  </si>
  <si>
    <t xml:space="preserve">   Total Cost of Goods Sold</t>
  </si>
  <si>
    <t>Total_cost_of_goods_sold</t>
  </si>
  <si>
    <t>General and Administrative Expenses</t>
  </si>
  <si>
    <t>GandA_expenses</t>
  </si>
  <si>
    <t>Start up expenses</t>
  </si>
  <si>
    <t>Startup expenses</t>
  </si>
  <si>
    <t>Profit</t>
  </si>
  <si>
    <t>Inventory credit</t>
  </si>
  <si>
    <t>Total value at end of year 2</t>
  </si>
  <si>
    <t>Many Inputs, One Output</t>
  </si>
  <si>
    <t xml:space="preserve">Date </t>
  </si>
  <si>
    <t xml:space="preserve">Time </t>
  </si>
  <si>
    <t xml:space="preserve">Workbook </t>
  </si>
  <si>
    <t>Liquidgold_base.xlsx</t>
  </si>
  <si>
    <t xml:space="preserve">Output Cell </t>
  </si>
  <si>
    <t>Inputs!$D$41</t>
  </si>
  <si>
    <t>Output Value</t>
  </si>
  <si>
    <t>Swing</t>
  </si>
  <si>
    <t>Low Output</t>
  </si>
  <si>
    <t>Base Case</t>
  </si>
  <si>
    <t>High Output</t>
  </si>
  <si>
    <t>Low</t>
  </si>
  <si>
    <t>SensIt 1.51, Only For Student Use</t>
  </si>
  <si>
    <t>www.TreePlan.com</t>
  </si>
  <si>
    <t>Single-Factor Sensitivity Analysis</t>
  </si>
  <si>
    <t>Corresponding Input Value</t>
  </si>
  <si>
    <t>Percent</t>
  </si>
  <si>
    <t>Input Variable</t>
  </si>
  <si>
    <t>Swing^2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</si>
</sst>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&quot;$&quot;#,##0.00"/>
    <numFmt numFmtId="166" formatCode="0_);\(0\)"/>
    <numFmt numFmtId="167" formatCode="&quot;$&quot;#,##0"/>
    <numFmt numFmtId="168" formatCode="0.0%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4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3" fontId="0" fillId="0" borderId="1" xfId="0" applyNumberFormat="1" applyBorder="1"/>
    <xf numFmtId="164" fontId="0" fillId="0" borderId="0" xfId="1" applyFont="1"/>
    <xf numFmtId="0" fontId="1" fillId="0" borderId="0" xfId="0" applyFont="1"/>
    <xf numFmtId="165" fontId="0" fillId="0" borderId="2" xfId="1" applyNumberFormat="1" applyFont="1" applyBorder="1"/>
    <xf numFmtId="166" fontId="0" fillId="0" borderId="2" xfId="0" applyNumberFormat="1" applyBorder="1"/>
    <xf numFmtId="0" fontId="0" fillId="0" borderId="2" xfId="0" applyBorder="1"/>
    <xf numFmtId="164" fontId="0" fillId="0" borderId="0" xfId="1" applyNumberFormat="1" applyFont="1"/>
    <xf numFmtId="0" fontId="0" fillId="0" borderId="0" xfId="0" applyBorder="1"/>
    <xf numFmtId="0" fontId="0" fillId="0" borderId="3" xfId="0" applyBorder="1"/>
    <xf numFmtId="0" fontId="2" fillId="0" borderId="0" xfId="0" applyFont="1" applyBorder="1"/>
    <xf numFmtId="0" fontId="0" fillId="0" borderId="4" xfId="0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 applyBorder="1"/>
    <xf numFmtId="9" fontId="0" fillId="0" borderId="2" xfId="2" applyFont="1" applyBorder="1"/>
    <xf numFmtId="9" fontId="0" fillId="0" borderId="0" xfId="2" applyFont="1" applyBorder="1"/>
    <xf numFmtId="167" fontId="0" fillId="0" borderId="2" xfId="1" applyNumberFormat="1" applyFont="1" applyBorder="1" applyAlignment="1"/>
    <xf numFmtId="167" fontId="0" fillId="0" borderId="0" xfId="1" applyNumberFormat="1" applyFont="1" applyBorder="1" applyAlignment="1"/>
    <xf numFmtId="165" fontId="0" fillId="0" borderId="0" xfId="1" applyNumberFormat="1" applyFont="1" applyBorder="1"/>
    <xf numFmtId="0" fontId="1" fillId="0" borderId="2" xfId="0" applyFont="1" applyBorder="1"/>
    <xf numFmtId="0" fontId="1" fillId="0" borderId="0" xfId="0" applyFont="1" applyBorder="1"/>
    <xf numFmtId="3" fontId="1" fillId="0" borderId="2" xfId="0" applyNumberFormat="1" applyFont="1" applyBorder="1"/>
    <xf numFmtId="3" fontId="0" fillId="0" borderId="0" xfId="0" applyNumberFormat="1" applyBorder="1"/>
    <xf numFmtId="3" fontId="1" fillId="0" borderId="0" xfId="0" applyNumberFormat="1" applyFont="1" applyBorder="1"/>
    <xf numFmtId="9" fontId="1" fillId="0" borderId="2" xfId="2" applyFont="1" applyBorder="1"/>
    <xf numFmtId="168" fontId="1" fillId="0" borderId="2" xfId="2" applyNumberFormat="1" applyFont="1" applyBorder="1"/>
    <xf numFmtId="168" fontId="1" fillId="0" borderId="0" xfId="2" applyNumberFormat="1" applyFont="1" applyBorder="1"/>
    <xf numFmtId="0" fontId="1" fillId="0" borderId="0" xfId="0" applyFont="1" applyAlignment="1">
      <alignment wrapText="1"/>
    </xf>
    <xf numFmtId="165" fontId="0" fillId="0" borderId="3" xfId="1" applyNumberFormat="1" applyFont="1" applyBorder="1"/>
    <xf numFmtId="0" fontId="2" fillId="0" borderId="0" xfId="0" applyFont="1" applyAlignment="1">
      <alignment horizontal="right"/>
    </xf>
    <xf numFmtId="0" fontId="4" fillId="0" borderId="0" xfId="0" applyFont="1"/>
    <xf numFmtId="0" fontId="0" fillId="0" borderId="0" xfId="0" applyNumberFormat="1"/>
    <xf numFmtId="0" fontId="1" fillId="0" borderId="0" xfId="0" applyFon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Fill="1"/>
    <xf numFmtId="3" fontId="0" fillId="0" borderId="0" xfId="0" applyNumberFormat="1"/>
    <xf numFmtId="167" fontId="1" fillId="0" borderId="0" xfId="0" applyNumberFormat="1" applyFont="1"/>
    <xf numFmtId="167" fontId="0" fillId="0" borderId="0" xfId="0" applyNumberFormat="1"/>
    <xf numFmtId="0" fontId="0" fillId="0" borderId="0" xfId="0" applyAlignment="1">
      <alignment horizontal="right"/>
    </xf>
    <xf numFmtId="167" fontId="0" fillId="0" borderId="4" xfId="0" applyNumberFormat="1" applyBorder="1"/>
    <xf numFmtId="3" fontId="0" fillId="0" borderId="0" xfId="0" applyNumberFormat="1" applyFill="1"/>
    <xf numFmtId="167" fontId="0" fillId="0" borderId="5" xfId="0" applyNumberFormat="1" applyBorder="1"/>
    <xf numFmtId="14" fontId="0" fillId="0" borderId="0" xfId="0" applyNumberFormat="1" applyAlignment="1">
      <alignment horizontal="left"/>
    </xf>
    <xf numFmtId="19" fontId="0" fillId="0" borderId="0" xfId="0" applyNumberFormat="1" applyAlignment="1">
      <alignment horizontal="left"/>
    </xf>
    <xf numFmtId="44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0" fillId="0" borderId="4" xfId="0" applyBorder="1" applyAlignment="1">
      <alignment horizontal="right"/>
    </xf>
    <xf numFmtId="0" fontId="0" fillId="0" borderId="6" xfId="0" applyBorder="1"/>
    <xf numFmtId="0" fontId="0" fillId="0" borderId="6" xfId="0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165" fontId="0" fillId="0" borderId="6" xfId="1" applyNumberFormat="1" applyFont="1" applyBorder="1"/>
    <xf numFmtId="168" fontId="1" fillId="0" borderId="6" xfId="2" applyNumberFormat="1" applyFont="1" applyBorder="1"/>
    <xf numFmtId="166" fontId="0" fillId="0" borderId="6" xfId="0" applyNumberFormat="1" applyBorder="1"/>
    <xf numFmtId="167" fontId="0" fillId="0" borderId="6" xfId="1" applyNumberFormat="1" applyFont="1" applyBorder="1" applyAlignment="1"/>
    <xf numFmtId="44" fontId="0" fillId="0" borderId="6" xfId="0" applyNumberFormat="1" applyBorder="1"/>
    <xf numFmtId="0" fontId="0" fillId="0" borderId="0" xfId="0" applyBorder="1" applyAlignment="1">
      <alignment horizontal="right"/>
    </xf>
    <xf numFmtId="9" fontId="0" fillId="0" borderId="0" xfId="2" applyNumberFormat="1" applyFont="1" applyBorder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7" xfId="0" applyBorder="1" applyAlignment="1">
      <alignment wrapText="1"/>
    </xf>
    <xf numFmtId="3" fontId="0" fillId="0" borderId="7" xfId="0" applyNumberFormat="1" applyBorder="1"/>
    <xf numFmtId="9" fontId="0" fillId="0" borderId="6" xfId="2" applyNumberFormat="1" applyFont="1" applyBorder="1"/>
    <xf numFmtId="0" fontId="0" fillId="0" borderId="6" xfId="0" applyNumberFormat="1" applyBorder="1"/>
    <xf numFmtId="44" fontId="0" fillId="0" borderId="7" xfId="0" applyNumberFormat="1" applyBorder="1"/>
    <xf numFmtId="7" fontId="0" fillId="0" borderId="6" xfId="0" applyNumberForma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CA" sz="1000" b="0" i="0"/>
              <a:t>SensIt 1.51 Student Version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1'!$B$11</c:f>
                  <c:strCache>
                    <c:ptCount val="1"/>
                    <c:pt idx="0">
                      <c:v>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{4C5A7EB1-C62D-4771-A405-F7CAF04CF219}</c15:txfldGUID>
                      <c15:f>'SensIt Tornado 1'!$B$11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1BFD-428D-B036-865D8EE94887}"/>
                </c:ext>
              </c:extLst>
            </c:dLbl>
            <c:dLbl>
              <c:idx val="1"/>
              <c:tx>
                <c:strRef>
                  <c:f>'SensIt Tornado 1'!$B$12</c:f>
                  <c:strCache>
                    <c:ptCount val="1"/>
                    <c:pt idx="0">
                      <c:v>$130.00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{C53FA8B7-52F2-4039-B318-E6FF05148E38}</c15:txfldGUID>
                      <c15:f>'SensIt Tornado 1'!$B$12</c15:f>
                      <c15:dlblFieldTableCache>
                        <c:ptCount val="1"/>
                        <c:pt idx="0">
                          <c:v>$130.00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1BFD-428D-B036-865D8EE94887}"/>
                </c:ext>
              </c:extLst>
            </c:dLbl>
            <c:dLbl>
              <c:idx val="2"/>
              <c:tx>
                <c:strRef>
                  <c:f>'SensIt Tornado 1'!$B$13</c:f>
                  <c:strCache>
                    <c:ptCount val="1"/>
                    <c:pt idx="0">
                      <c:v>25%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{8F4D1650-1CD3-4AA2-A1BC-E0AA1B4B1B69}</c15:txfldGUID>
                      <c15:f>'SensIt Tornado 1'!$B$13</c15:f>
                      <c15:dlblFieldTableCache>
                        <c:ptCount val="1"/>
                        <c:pt idx="0">
                          <c:v>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1BFD-428D-B036-865D8EE94887}"/>
                </c:ext>
              </c:extLst>
            </c:dLbl>
            <c:dLbl>
              <c:idx val="3"/>
              <c:tx>
                <c:strRef>
                  <c:f>'SensIt Tornado 1'!$B$14</c:f>
                  <c:strCache>
                    <c:ptCount val="1"/>
                    <c:pt idx="0">
                      <c:v>50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{45B754D5-7D4F-46FA-BF7B-49C962415EF4}</c15:txfldGUID>
                      <c15:f>'SensIt Tornado 1'!$B$14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1BFD-428D-B036-865D8EE94887}"/>
                </c:ext>
              </c:extLst>
            </c:dLbl>
            <c:dLbl>
              <c:idx val="4"/>
              <c:tx>
                <c:strRef>
                  <c:f>'SensIt Tornado 1'!$B$15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{34C5ADC5-F1ED-43B0-99EE-E470A679269F}</c15:txfldGUID>
                      <c15:f>'SensIt Tornado 1'!$B$15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1BFD-428D-B036-865D8EE94887}"/>
                </c:ext>
              </c:extLst>
            </c:dLbl>
            <c:dLbl>
              <c:idx val="5"/>
              <c:tx>
                <c:strRef>
                  <c:f>'SensIt Tornado 1'!$B$16</c:f>
                  <c:strCache>
                    <c:ptCount val="1"/>
                    <c:pt idx="0">
                      <c:v>5.0%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{B9D21218-7334-4638-AB16-A8BEB2CFF9CE}</c15:txfldGUID>
                      <c15:f>'SensIt Tornado 1'!$B$16</c15:f>
                      <c15:dlblFieldTableCache>
                        <c:ptCount val="1"/>
                        <c:pt idx="0">
                          <c:v>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1BFD-428D-B036-865D8EE94887}"/>
                </c:ext>
              </c:extLst>
            </c:dLbl>
            <c:dLbl>
              <c:idx val="6"/>
              <c:tx>
                <c:strRef>
                  <c:f>'SensIt Tornado 1'!$B$17</c:f>
                  <c:strCache>
                    <c:ptCount val="1"/>
                    <c:pt idx="0">
                      <c:v>4.0%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{CF69D681-3E38-447C-82C8-3B44B0D1E115}</c15:txfldGUID>
                      <c15:f>'SensIt Tornado 1'!$B$17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1BFD-428D-B036-865D8EE94887}"/>
                </c:ext>
              </c:extLst>
            </c:dLbl>
            <c:dLbl>
              <c:idx val="7"/>
              <c:tx>
                <c:strRef>
                  <c:f>'SensIt Tornado 1'!$B$18</c:f>
                  <c:strCache>
                    <c:ptCount val="1"/>
                    <c:pt idx="0">
                      <c:v>$8.00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{47E36D03-0D68-4CD2-BFDD-0D9754AE1CE2}</c15:txfldGUID>
                      <c15:f>'SensIt Tornado 1'!$B$18</c15:f>
                      <c15:dlblFieldTableCache>
                        <c:ptCount val="1"/>
                        <c:pt idx="0">
                          <c:v>$8.00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1BFD-428D-B036-865D8EE94887}"/>
                </c:ext>
              </c:extLst>
            </c:dLbl>
            <c:dLbl>
              <c:idx val="8"/>
              <c:tx>
                <c:strRef>
                  <c:f>'SensIt Tornado 1'!$B$19</c:f>
                  <c:strCache>
                    <c:ptCount val="1"/>
                    <c:pt idx="0">
                      <c:v>$6.00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{11A6E2FA-E42A-4BB8-BC61-43EDDC6A76D8}</c15:txfldGUID>
                      <c15:f>'SensIt Tornado 1'!$B$19</c15:f>
                      <c15:dlblFieldTableCache>
                        <c:ptCount val="1"/>
                        <c:pt idx="0">
                          <c:v>$6.00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BFD-428D-B036-865D8EE94887}"/>
                </c:ext>
              </c:extLst>
            </c:dLbl>
            <c:dLbl>
              <c:idx val="9"/>
              <c:tx>
                <c:strRef>
                  <c:f>'SensIt Tornado 1'!$B$20</c:f>
                  <c:strCache>
                    <c:ptCount val="1"/>
                    <c:pt idx="0">
                      <c:v>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{FA1D8A67-1967-4EA4-8D0F-A1235091083E}</c15:txfldGUID>
                      <c15:f>'SensIt Tornado 1'!$B$20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BFD-428D-B036-865D8EE94887}"/>
                </c:ext>
              </c:extLst>
            </c:dLbl>
            <c:dLbl>
              <c:idx val="10"/>
              <c:tx>
                <c:strRef>
                  <c:f>'SensIt Tornado 1'!$B$21</c:f>
                  <c:strCache>
                    <c:ptCount val="1"/>
                    <c:pt idx="0">
                      <c:v>$0.40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{E487BF74-2313-4CCC-8B33-880CDD44549A}</c15:txfldGUID>
                      <c15:f>'SensIt Tornado 1'!$B$21</c15:f>
                      <c15:dlblFieldTableCache>
                        <c:ptCount val="1"/>
                        <c:pt idx="0">
                          <c:v>$0.40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BFD-428D-B036-865D8EE94887}"/>
                </c:ext>
              </c:extLst>
            </c:dLbl>
            <c:dLbl>
              <c:idx val="11"/>
              <c:tx>
                <c:strRef>
                  <c:f>'SensIt Tornado 1'!$B$22</c:f>
                  <c:strCache>
                    <c:ptCount val="1"/>
                    <c:pt idx="0">
                      <c:v>$4,000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{D8D57D2E-5C2B-4150-B8F6-EA40397FDF4D}</c15:txfldGUID>
                      <c15:f>'SensIt Tornado 1'!$B$22</c15:f>
                      <c15:dlblFieldTableCache>
                        <c:ptCount val="1"/>
                        <c:pt idx="0">
                          <c:v>$4,000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1BFD-428D-B036-865D8EE94887}"/>
                </c:ext>
              </c:extLst>
            </c:dLbl>
            <c:dLbl>
              <c:idx val="12"/>
              <c:tx>
                <c:strRef>
                  <c:f>'SensIt Tornado 1'!$B$23</c:f>
                  <c:strCache>
                    <c:ptCount val="1"/>
                    <c:pt idx="0">
                      <c:v>$4.00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{294480D4-A431-4AFF-8CB7-7996B8250864}</c15:txfldGUID>
                      <c15:f>'SensIt Tornado 1'!$B$23</c15:f>
                      <c15:dlblFieldTableCache>
                        <c:ptCount val="1"/>
                        <c:pt idx="0">
                          <c:v>$4.00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1BFD-428D-B036-865D8EE94887}"/>
                </c:ext>
              </c:extLst>
            </c:dLbl>
            <c:dLbl>
              <c:idx val="13"/>
              <c:tx>
                <c:strRef>
                  <c:f>'SensIt Tornado 1'!$B$24</c:f>
                  <c:strCache>
                    <c:ptCount val="1"/>
                    <c:pt idx="0">
                      <c:v>50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{3A77822D-F17A-4C83-B926-4F9DBEB4B8CD}</c15:txfldGUID>
                      <c15:f>'SensIt Tornado 1'!$B$24</c15:f>
                      <c15:dlblFieldTableCache>
                        <c:ptCount val="1"/>
                        <c:pt idx="0">
                          <c:v>50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1BFD-428D-B036-865D8EE94887}"/>
                </c:ext>
              </c:extLst>
            </c:dLbl>
            <c:dLbl>
              <c:idx val="14"/>
              <c:tx>
                <c:strRef>
                  <c:f>'SensIt Tornado 1'!$B$25</c:f>
                  <c:strCache>
                    <c:ptCount val="1"/>
                    <c:pt idx="0">
                      <c:v>$40.00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{6CFAD483-422E-462B-8CB3-E5B87BBCAF90}</c15:txfldGUID>
                      <c15:f>'SensIt Tornado 1'!$B$25</c15:f>
                      <c15:dlblFieldTableCache>
                        <c:ptCount val="1"/>
                        <c:pt idx="0">
                          <c:v>$40.00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1BFD-428D-B036-865D8EE94887}"/>
                </c:ext>
              </c:extLst>
            </c:dLbl>
            <c:dLbl>
              <c:idx val="15"/>
              <c:tx>
                <c:strRef>
                  <c:f>'SensIt Tornado 1'!$B$26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{8B722CD9-CBFE-4D06-82BB-EAFDC1F3A091}</c15:txfldGUID>
                      <c15:f>'SensIt Tornado 1'!$B$26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1BFD-428D-B036-865D8EE94887}"/>
                </c:ext>
              </c:extLst>
            </c:dLbl>
            <c:dLbl>
              <c:idx val="16"/>
              <c:tx>
                <c:strRef>
                  <c:f>'SensIt Tornado 1'!$B$27</c:f>
                  <c:strCache>
                    <c:ptCount val="1"/>
                    <c:pt idx="0">
                      <c:v>-5%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{871BC8D5-0400-4EFB-A976-83941BBACA8C}</c15:txfldGUID>
                      <c15:f>'SensIt Tornado 1'!$B$27</c15:f>
                      <c15:dlblFieldTableCache>
                        <c:ptCount val="1"/>
                        <c:pt idx="0">
                          <c:v>-5%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1BFD-428D-B036-865D8EE94887}"/>
                </c:ext>
              </c:extLst>
            </c:dLbl>
            <c:dLbl>
              <c:idx val="17"/>
              <c:tx>
                <c:strRef>
                  <c:f>'SensIt Tornado 1'!$B$28</c:f>
                  <c:strCache>
                    <c:ptCount val="1"/>
                    <c:pt idx="0">
                      <c:v>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{933A03C7-2EDC-4B48-89DE-209601A0F6BC}</c15:txfldGUID>
                      <c15:f>'SensIt Tornado 1'!$B$28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1BFD-428D-B036-865D8EE94887}"/>
                </c:ext>
              </c:extLst>
            </c:dLbl>
            <c:dLbl>
              <c:idx val="18"/>
              <c:tx>
                <c:strRef>
                  <c:f>'SensIt Tornado 1'!$B$29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{12DCFDDC-E632-428B-9093-841E6C0BB17B}</c15:txfldGUID>
                      <c15:f>'SensIt Tornado 1'!$B$29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1BFD-428D-B036-865D8EE94887}"/>
                </c:ext>
              </c:extLst>
            </c:dLbl>
            <c:dLbl>
              <c:idx val="19"/>
              <c:tx>
                <c:strRef>
                  <c:f>'SensIt Tornado 1'!$B$30</c:f>
                  <c:strCache>
                    <c:ptCount val="1"/>
                    <c:pt idx="0">
                      <c:v>$0.12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{F8D10DCF-B2AC-4DA2-8883-2CC7A36F3347}</c15:txfldGUID>
                      <c15:f>'SensIt Tornado 1'!$B$30</c15:f>
                      <c15:dlblFieldTableCache>
                        <c:ptCount val="1"/>
                        <c:pt idx="0">
                          <c:v>$0.12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1BFD-428D-B036-865D8EE948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1'!$A$11:$A$30</c:f>
              <c:strCache>
                <c:ptCount val="20"/>
                <c:pt idx="0">
                  <c:v>Demand in 1994</c:v>
                </c:pt>
                <c:pt idx="1">
                  <c:v>Wholesale price per case</c:v>
                </c:pt>
                <c:pt idx="2">
                  <c:v>Broker Take after 1993</c:v>
                </c:pt>
                <c:pt idx="3">
                  <c:v>Demand in 1993</c:v>
                </c:pt>
                <c:pt idx="4">
                  <c:v>Marketing Cases</c:v>
                </c:pt>
                <c:pt idx="5">
                  <c:v>Advertising</c:v>
                </c:pt>
                <c:pt idx="6">
                  <c:v>General and administrative</c:v>
                </c:pt>
                <c:pt idx="7">
                  <c:v>Material</c:v>
                </c:pt>
                <c:pt idx="8">
                  <c:v>Freight</c:v>
                </c:pt>
                <c:pt idx="9">
                  <c:v>Variable losses in bottling</c:v>
                </c:pt>
                <c:pt idx="10">
                  <c:v>Variable costs of bottling</c:v>
                </c:pt>
                <c:pt idx="11">
                  <c:v>Bottling Set up Costs</c:v>
                </c:pt>
                <c:pt idx="12">
                  <c:v>Warehouse</c:v>
                </c:pt>
                <c:pt idx="13">
                  <c:v>Quantity lost in set up</c:v>
                </c:pt>
                <c:pt idx="14">
                  <c:v>Value of inventory</c:v>
                </c:pt>
                <c:pt idx="15">
                  <c:v>Quantity lost in clean up</c:v>
                </c:pt>
                <c:pt idx="16">
                  <c:v>Growth Rate thereafter</c:v>
                </c:pt>
                <c:pt idx="17">
                  <c:v>Salvage value</c:v>
                </c:pt>
                <c:pt idx="18">
                  <c:v>Broker Take 1993</c:v>
                </c:pt>
                <c:pt idx="19">
                  <c:v>Printing</c:v>
                </c:pt>
              </c:strCache>
            </c:strRef>
          </c:cat>
          <c:val>
            <c:numRef>
              <c:f>'SensIt Tornado 1'!$E$11:$E$30</c:f>
              <c:numCache>
                <c:formatCode>_("$"* #,##0.00_);_("$"* \(#,##0.00\);_("$"* "-"??_);_(@_)</c:formatCode>
                <c:ptCount val="20"/>
                <c:pt idx="0">
                  <c:v>-11129.76</c:v>
                </c:pt>
                <c:pt idx="1">
                  <c:v>33497.71</c:v>
                </c:pt>
                <c:pt idx="2">
                  <c:v>46901.49</c:v>
                </c:pt>
                <c:pt idx="3">
                  <c:v>29937.19</c:v>
                </c:pt>
                <c:pt idx="4">
                  <c:v>47193.2</c:v>
                </c:pt>
                <c:pt idx="5">
                  <c:v>51149.91</c:v>
                </c:pt>
                <c:pt idx="6">
                  <c:v>50055.76</c:v>
                </c:pt>
                <c:pt idx="7">
                  <c:v>53513.37</c:v>
                </c:pt>
                <c:pt idx="8">
                  <c:v>52608.77</c:v>
                </c:pt>
                <c:pt idx="9">
                  <c:v>53338.38</c:v>
                </c:pt>
                <c:pt idx="10">
                  <c:v>54072.55</c:v>
                </c:pt>
                <c:pt idx="11">
                  <c:v>54526.49</c:v>
                </c:pt>
                <c:pt idx="12">
                  <c:v>54758.12</c:v>
                </c:pt>
                <c:pt idx="13">
                  <c:v>54670.879999999997</c:v>
                </c:pt>
                <c:pt idx="14">
                  <c:v>55516.18</c:v>
                </c:pt>
                <c:pt idx="15">
                  <c:v>55526.49</c:v>
                </c:pt>
                <c:pt idx="16">
                  <c:v>55526.49</c:v>
                </c:pt>
                <c:pt idx="17">
                  <c:v>55526.49</c:v>
                </c:pt>
                <c:pt idx="18">
                  <c:v>55526.49</c:v>
                </c:pt>
                <c:pt idx="19">
                  <c:v>55526.49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BFD-428D-B036-865D8EE94887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1'!$D$11</c:f>
                  <c:strCache>
                    <c:ptCount val="1"/>
                    <c:pt idx="0">
                      <c:v>1,500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{CA4CCD4D-C6D8-4878-8A10-3EEF90EC492C}</c15:txfldGUID>
                      <c15:f>'SensIt Tornado 1'!$D$11</c15:f>
                      <c15:dlblFieldTableCache>
                        <c:ptCount val="1"/>
                        <c:pt idx="0">
                          <c:v>1,500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1BFD-428D-B036-865D8EE94887}"/>
                </c:ext>
              </c:extLst>
            </c:dLbl>
            <c:dLbl>
              <c:idx val="1"/>
              <c:tx>
                <c:strRef>
                  <c:f>'SensIt Tornado 1'!$D$12</c:f>
                  <c:strCache>
                    <c:ptCount val="1"/>
                    <c:pt idx="0">
                      <c:v>$170.00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{F16EF40B-FCEC-40E9-AE3E-2ED70242A6B5}</c15:txfldGUID>
                      <c15:f>'SensIt Tornado 1'!$D$12</c15:f>
                      <c15:dlblFieldTableCache>
                        <c:ptCount val="1"/>
                        <c:pt idx="0">
                          <c:v>$170.00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1BFD-428D-B036-865D8EE94887}"/>
                </c:ext>
              </c:extLst>
            </c:dLbl>
            <c:dLbl>
              <c:idx val="2"/>
              <c:tx>
                <c:strRef>
                  <c:f>'SensIt Tornado 1'!$D$13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{4ED83702-7201-4E12-AF39-BEF3B7FBDE5D}</c15:txfldGUID>
                      <c15:f>'SensIt Tornado 1'!$D$13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1BFD-428D-B036-865D8EE94887}"/>
                </c:ext>
              </c:extLst>
            </c:dLbl>
            <c:dLbl>
              <c:idx val="3"/>
              <c:tx>
                <c:strRef>
                  <c:f>'SensIt Tornado 1'!$D$14</c:f>
                  <c:strCache>
                    <c:ptCount val="1"/>
                    <c:pt idx="0">
                      <c:v>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{F74804FA-DA81-4477-A620-953B0129BF0B}</c15:txfldGUID>
                      <c15:f>'SensIt Tornado 1'!$D$14</c15:f>
                      <c15:dlblFieldTableCache>
                        <c:ptCount val="1"/>
                        <c:pt idx="0">
                          <c:v>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1BFD-428D-B036-865D8EE94887}"/>
                </c:ext>
              </c:extLst>
            </c:dLbl>
            <c:dLbl>
              <c:idx val="4"/>
              <c:tx>
                <c:strRef>
                  <c:f>'SensIt Tornado 1'!$D$15</c:f>
                  <c:strCache>
                    <c:ptCount val="1"/>
                    <c:pt idx="0">
                      <c:v>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{99712E8D-2AEB-4143-A9DE-0E35CAD0DDD5}</c15:txfldGUID>
                      <c15:f>'SensIt Tornado 1'!$D$15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1BFD-428D-B036-865D8EE94887}"/>
                </c:ext>
              </c:extLst>
            </c:dLbl>
            <c:dLbl>
              <c:idx val="5"/>
              <c:tx>
                <c:strRef>
                  <c:f>'SensIt Tornado 1'!$D$16</c:f>
                  <c:strCache>
                    <c:ptCount val="1"/>
                    <c:pt idx="0">
                      <c:v>1.5%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{65BB7ADF-1C97-4B71-BE12-2BF99D7099DE}</c15:txfldGUID>
                      <c15:f>'SensIt Tornado 1'!$D$16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1BFD-428D-B036-865D8EE94887}"/>
                </c:ext>
              </c:extLst>
            </c:dLbl>
            <c:dLbl>
              <c:idx val="6"/>
              <c:tx>
                <c:strRef>
                  <c:f>'SensIt Tornado 1'!$D$17</c:f>
                  <c:strCache>
                    <c:ptCount val="1"/>
                    <c:pt idx="0">
                      <c:v>1.0%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{02EBB1A1-89F6-4113-89FD-2D8E02DCFFEE}</c15:txfldGUID>
                      <c15:f>'SensIt Tornado 1'!$D$17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1BFD-428D-B036-865D8EE94887}"/>
                </c:ext>
              </c:extLst>
            </c:dLbl>
            <c:dLbl>
              <c:idx val="7"/>
              <c:tx>
                <c:strRef>
                  <c:f>'SensIt Tornado 1'!$D$18</c:f>
                  <c:strCache>
                    <c:ptCount val="1"/>
                    <c:pt idx="0">
                      <c:v>$4.00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{2EBEB25A-B203-4223-A772-9CEA8155B84F}</c15:txfldGUID>
                      <c15:f>'SensIt Tornado 1'!$D$18</c15:f>
                      <c15:dlblFieldTableCache>
                        <c:ptCount val="1"/>
                        <c:pt idx="0">
                          <c:v>$4.00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1BFD-428D-B036-865D8EE94887}"/>
                </c:ext>
              </c:extLst>
            </c:dLbl>
            <c:dLbl>
              <c:idx val="8"/>
              <c:tx>
                <c:strRef>
                  <c:f>'SensIt Tornado 1'!$D$19</c:f>
                  <c:strCache>
                    <c:ptCount val="1"/>
                    <c:pt idx="0">
                      <c:v>$3.00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{43784A2D-5D4F-4A97-B853-75BDC47BA88D}</c15:txfldGUID>
                      <c15:f>'SensIt Tornado 1'!$D$19</c15:f>
                      <c15:dlblFieldTableCache>
                        <c:ptCount val="1"/>
                        <c:pt idx="0">
                          <c:v>$3.00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1BFD-428D-B036-865D8EE94887}"/>
                </c:ext>
              </c:extLst>
            </c:dLbl>
            <c:dLbl>
              <c:idx val="9"/>
              <c:tx>
                <c:strRef>
                  <c:f>'SensIt Tornado 1'!$D$20</c:f>
                  <c:strCache>
                    <c:ptCount val="1"/>
                    <c:pt idx="0">
                      <c:v>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{82C4472A-6B0B-48F8-9307-88D0079037FD}</c15:txfldGUID>
                      <c15:f>'SensIt Tornado 1'!$D$20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1BFD-428D-B036-865D8EE94887}"/>
                </c:ext>
              </c:extLst>
            </c:dLbl>
            <c:dLbl>
              <c:idx val="10"/>
              <c:tx>
                <c:strRef>
                  <c:f>'SensIt Tornado 1'!$D$21</c:f>
                  <c:strCache>
                    <c:ptCount val="1"/>
                    <c:pt idx="0">
                      <c:v>$0.25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{F5B0B941-2D43-4663-B541-CDE58FF6C304}</c15:txfldGUID>
                      <c15:f>'SensIt Tornado 1'!$D$21</c15:f>
                      <c15:dlblFieldTableCache>
                        <c:ptCount val="1"/>
                        <c:pt idx="0">
                          <c:v>$0.25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1BFD-428D-B036-865D8EE94887}"/>
                </c:ext>
              </c:extLst>
            </c:dLbl>
            <c:dLbl>
              <c:idx val="11"/>
              <c:tx>
                <c:strRef>
                  <c:f>'SensIt Tornado 1'!$D$22</c:f>
                  <c:strCache>
                    <c:ptCount val="1"/>
                    <c:pt idx="0">
                      <c:v>$2,000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{F30B75DC-31CA-4B99-AD7C-E9C65232E0BE}</c15:txfldGUID>
                      <c15:f>'SensIt Tornado 1'!$D$22</c15:f>
                      <c15:dlblFieldTableCache>
                        <c:ptCount val="1"/>
                        <c:pt idx="0">
                          <c:v>$2,000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1BFD-428D-B036-865D8EE94887}"/>
                </c:ext>
              </c:extLst>
            </c:dLbl>
            <c:dLbl>
              <c:idx val="12"/>
              <c:tx>
                <c:strRef>
                  <c:f>'SensIt Tornado 1'!$D$23</c:f>
                  <c:strCache>
                    <c:ptCount val="1"/>
                    <c:pt idx="0">
                      <c:v>$3.00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{1FEF81C1-CF60-4586-8C7D-9EDC2FDE252E}</c15:txfldGUID>
                      <c15:f>'SensIt Tornado 1'!$D$23</c15:f>
                      <c15:dlblFieldTableCache>
                        <c:ptCount val="1"/>
                        <c:pt idx="0">
                          <c:v>$3.00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1BFD-428D-B036-865D8EE94887}"/>
                </c:ext>
              </c:extLst>
            </c:dLbl>
            <c:dLbl>
              <c:idx val="13"/>
              <c:tx>
                <c:strRef>
                  <c:f>'SensIt Tornado 1'!$D$24</c:f>
                  <c:strCache>
                    <c:ptCount val="1"/>
                    <c:pt idx="0">
                      <c:v>15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{C7FCA16E-76A1-44BC-92E2-B6CBEF8FA9D2}</c15:txfldGUID>
                      <c15:f>'SensIt Tornado 1'!$D$24</c15:f>
                      <c15:dlblFieldTableCache>
                        <c:ptCount val="1"/>
                        <c:pt idx="0">
                          <c:v>15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1BFD-428D-B036-865D8EE94887}"/>
                </c:ext>
              </c:extLst>
            </c:dLbl>
            <c:dLbl>
              <c:idx val="14"/>
              <c:tx>
                <c:strRef>
                  <c:f>'SensIt Tornado 1'!$D$25</c:f>
                  <c:strCache>
                    <c:ptCount val="1"/>
                    <c:pt idx="0">
                      <c:v>$60.00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{25A2B7F5-F7CD-4A07-B94C-CA4EE4D938A6}</c15:txfldGUID>
                      <c15:f>'SensIt Tornado 1'!$D$25</c15:f>
                      <c15:dlblFieldTableCache>
                        <c:ptCount val="1"/>
                        <c:pt idx="0">
                          <c:v>$60.00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1BFD-428D-B036-865D8EE94887}"/>
                </c:ext>
              </c:extLst>
            </c:dLbl>
            <c:dLbl>
              <c:idx val="15"/>
              <c:tx>
                <c:strRef>
                  <c:f>'SensIt Tornado 1'!$D$26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{998C175D-9474-451C-A62E-9FA3A83B5457}</c15:txfldGUID>
                      <c15:f>'SensIt Tornado 1'!$D$26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1BFD-428D-B036-865D8EE94887}"/>
                </c:ext>
              </c:extLst>
            </c:dLbl>
            <c:dLbl>
              <c:idx val="16"/>
              <c:tx>
                <c:strRef>
                  <c:f>'SensIt Tornado 1'!$D$27</c:f>
                  <c:strCache>
                    <c:ptCount val="1"/>
                    <c:pt idx="0">
                      <c:v>100%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{B71688E2-D3E5-4E83-9A97-FF0EFE9182D6}</c15:txfldGUID>
                      <c15:f>'SensIt Tornado 1'!$D$27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1BFD-428D-B036-865D8EE94887}"/>
                </c:ext>
              </c:extLst>
            </c:dLbl>
            <c:dLbl>
              <c:idx val="17"/>
              <c:tx>
                <c:strRef>
                  <c:f>'SensIt Tornado 1'!$D$28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{28430E7C-FD7F-4DF3-9B3B-537C3287F09B}</c15:txfldGUID>
                      <c15:f>'SensIt Tornado 1'!$D$28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1BFD-428D-B036-865D8EE94887}"/>
                </c:ext>
              </c:extLst>
            </c:dLbl>
            <c:dLbl>
              <c:idx val="18"/>
              <c:tx>
                <c:strRef>
                  <c:f>'SensIt Tornado 1'!$D$29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{507CF260-D06A-4CC4-A22A-96CDACB67974}</c15:txfldGUID>
                      <c15:f>'SensIt Tornado 1'!$D$29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1BFD-428D-B036-865D8EE94887}"/>
                </c:ext>
              </c:extLst>
            </c:dLbl>
            <c:dLbl>
              <c:idx val="19"/>
              <c:tx>
                <c:strRef>
                  <c:f>'SensIt Tornado 1'!$D$30</c:f>
                  <c:strCache>
                    <c:ptCount val="1"/>
                    <c:pt idx="0">
                      <c:v>$0.12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{B3F15472-7617-47AC-818D-B03D8CBA008E}</c15:txfldGUID>
                      <c15:f>'SensIt Tornado 1'!$D$30</c15:f>
                      <c15:dlblFieldTableCache>
                        <c:ptCount val="1"/>
                        <c:pt idx="0">
                          <c:v>$0.12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1BFD-428D-B036-865D8EE948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1'!$A$11:$A$30</c:f>
              <c:strCache>
                <c:ptCount val="20"/>
                <c:pt idx="0">
                  <c:v>Demand in 1994</c:v>
                </c:pt>
                <c:pt idx="1">
                  <c:v>Wholesale price per case</c:v>
                </c:pt>
                <c:pt idx="2">
                  <c:v>Broker Take after 1993</c:v>
                </c:pt>
                <c:pt idx="3">
                  <c:v>Demand in 1993</c:v>
                </c:pt>
                <c:pt idx="4">
                  <c:v>Marketing Cases</c:v>
                </c:pt>
                <c:pt idx="5">
                  <c:v>Advertising</c:v>
                </c:pt>
                <c:pt idx="6">
                  <c:v>General and administrative</c:v>
                </c:pt>
                <c:pt idx="7">
                  <c:v>Material</c:v>
                </c:pt>
                <c:pt idx="8">
                  <c:v>Freight</c:v>
                </c:pt>
                <c:pt idx="9">
                  <c:v>Variable losses in bottling</c:v>
                </c:pt>
                <c:pt idx="10">
                  <c:v>Variable costs of bottling</c:v>
                </c:pt>
                <c:pt idx="11">
                  <c:v>Bottling Set up Costs</c:v>
                </c:pt>
                <c:pt idx="12">
                  <c:v>Warehouse</c:v>
                </c:pt>
                <c:pt idx="13">
                  <c:v>Quantity lost in set up</c:v>
                </c:pt>
                <c:pt idx="14">
                  <c:v>Value of inventory</c:v>
                </c:pt>
                <c:pt idx="15">
                  <c:v>Quantity lost in clean up</c:v>
                </c:pt>
                <c:pt idx="16">
                  <c:v>Growth Rate thereafter</c:v>
                </c:pt>
                <c:pt idx="17">
                  <c:v>Salvage value</c:v>
                </c:pt>
                <c:pt idx="18">
                  <c:v>Broker Take 1993</c:v>
                </c:pt>
                <c:pt idx="19">
                  <c:v>Printing</c:v>
                </c:pt>
              </c:strCache>
            </c:strRef>
          </c:cat>
          <c:val>
            <c:numRef>
              <c:f>'SensIt Tornado 1'!$G$11:$G$30</c:f>
              <c:numCache>
                <c:formatCode>_("$"* #,##0.00_);_("$"* \(#,##0.00\);_("$"* "-"??_);_(@_)</c:formatCode>
                <c:ptCount val="20"/>
                <c:pt idx="0">
                  <c:v>55587.56</c:v>
                </c:pt>
                <c:pt idx="1">
                  <c:v>77555.259999999995</c:v>
                </c:pt>
                <c:pt idx="2" formatCode="&quot;$&quot;#,##0.00_);\(&quot;$&quot;#,##0.00\)">
                  <c:v>72776.490000000005</c:v>
                </c:pt>
                <c:pt idx="3">
                  <c:v>55526.49</c:v>
                </c:pt>
                <c:pt idx="4" formatCode="&quot;$&quot;#,##0.00_);\(&quot;$&quot;#,##0.00\)">
                  <c:v>58409.47</c:v>
                </c:pt>
                <c:pt idx="5" formatCode="&quot;$&quot;#,##0.00_);\(&quot;$&quot;#,##0.00\)">
                  <c:v>58808.92</c:v>
                </c:pt>
                <c:pt idx="6" formatCode="&quot;$&quot;#,##0.00_);\(&quot;$&quot;#,##0.00\)">
                  <c:v>56620.63</c:v>
                </c:pt>
                <c:pt idx="7" formatCode="&quot;$&quot;#,##0.00_);\(&quot;$&quot;#,##0.00\)">
                  <c:v>59660.28</c:v>
                </c:pt>
                <c:pt idx="8" formatCode="&quot;$&quot;#,##0.00_);\(&quot;$&quot;#,##0.00\)">
                  <c:v>56985.34</c:v>
                </c:pt>
                <c:pt idx="9" formatCode="&quot;$&quot;#,##0.00_);\(&quot;$&quot;#,##0.00\)">
                  <c:v>55946.78</c:v>
                </c:pt>
                <c:pt idx="10" formatCode="&quot;$&quot;#,##0.00_);\(&quot;$&quot;#,##0.00\)">
                  <c:v>56253.45</c:v>
                </c:pt>
                <c:pt idx="11" formatCode="&quot;$&quot;#,##0.00_);\(&quot;$&quot;#,##0.00\)">
                  <c:v>56526.49</c:v>
                </c:pt>
                <c:pt idx="12" formatCode="&quot;$&quot;#,##0.00_);\(&quot;$&quot;#,##0.00\)">
                  <c:v>56294.85</c:v>
                </c:pt>
                <c:pt idx="13" formatCode="&quot;$&quot;#,##0.00_);\(&quot;$&quot;#,##0.00\)">
                  <c:v>55663.519999999997</c:v>
                </c:pt>
                <c:pt idx="14">
                  <c:v>55536.79</c:v>
                </c:pt>
                <c:pt idx="15">
                  <c:v>55526.49</c:v>
                </c:pt>
                <c:pt idx="16">
                  <c:v>55526.49</c:v>
                </c:pt>
                <c:pt idx="17">
                  <c:v>55526.49</c:v>
                </c:pt>
                <c:pt idx="18">
                  <c:v>55526.49</c:v>
                </c:pt>
                <c:pt idx="19">
                  <c:v>55526.49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D-428D-B036-865D8EE94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862375264"/>
        <c:axId val="687230704"/>
      </c:barChart>
      <c:catAx>
        <c:axId val="86237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687230704"/>
        <c:crossesAt val="55526.485500000003"/>
        <c:auto val="0"/>
        <c:lblAlgn val="ctr"/>
        <c:lblOffset val="100"/>
        <c:noMultiLvlLbl val="0"/>
      </c:catAx>
      <c:valAx>
        <c:axId val="687230704"/>
        <c:scaling>
          <c:orientation val="minMax"/>
          <c:max val="90000"/>
          <c:min val="-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CA" sz="1000" b="0" i="0"/>
                  <a:t>Total cash by end of year two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62375264"/>
        <c:crosses val="max"/>
        <c:crossBetween val="between"/>
        <c:majorUnit val="1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CA" sz="1000" b="0" i="0"/>
              <a:t>SensIt 1.51 Student Version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2'!$B$11</c:f>
                  <c:strCache>
                    <c:ptCount val="1"/>
                    <c:pt idx="0">
                      <c:v>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{921346A2-4DFE-4A15-94B5-A024FD889A22}</c15:txfldGUID>
                      <c15:f>'SensIt Tornado 2'!$B$11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5D5D-43EF-9429-6FE01CB074F1}"/>
                </c:ext>
              </c:extLst>
            </c:dLbl>
            <c:dLbl>
              <c:idx val="1"/>
              <c:tx>
                <c:strRef>
                  <c:f>'SensIt Tornado 2'!$B$12</c:f>
                  <c:strCache>
                    <c:ptCount val="1"/>
                    <c:pt idx="0">
                      <c:v>$130.00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{FBCED40F-4906-4818-B455-6E1DB792F43B}</c15:txfldGUID>
                      <c15:f>'SensIt Tornado 2'!$B$12</c15:f>
                      <c15:dlblFieldTableCache>
                        <c:ptCount val="1"/>
                        <c:pt idx="0">
                          <c:v>$130.00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5D5D-43EF-9429-6FE01CB074F1}"/>
                </c:ext>
              </c:extLst>
            </c:dLbl>
            <c:dLbl>
              <c:idx val="2"/>
              <c:tx>
                <c:strRef>
                  <c:f>'SensIt Tornado 2'!$B$13</c:f>
                  <c:strCache>
                    <c:ptCount val="1"/>
                    <c:pt idx="0">
                      <c:v>25%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{72DFED92-C67D-407C-835C-BE8CD284A692}</c15:txfldGUID>
                      <c15:f>'SensIt Tornado 2'!$B$13</c15:f>
                      <c15:dlblFieldTableCache>
                        <c:ptCount val="1"/>
                        <c:pt idx="0">
                          <c:v>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5D5D-43EF-9429-6FE01CB074F1}"/>
                </c:ext>
              </c:extLst>
            </c:dLbl>
            <c:dLbl>
              <c:idx val="3"/>
              <c:tx>
                <c:strRef>
                  <c:f>'SensIt Tornado 2'!$B$14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{1AB65928-381A-466E-8BB3-DE1E656EABA9}</c15:txfldGUID>
                      <c15:f>'SensIt Tornado 2'!$B$14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5D5D-43EF-9429-6FE01CB074F1}"/>
                </c:ext>
              </c:extLst>
            </c:dLbl>
            <c:dLbl>
              <c:idx val="4"/>
              <c:tx>
                <c:strRef>
                  <c:f>'SensIt Tornado 2'!$B$15</c:f>
                  <c:strCache>
                    <c:ptCount val="1"/>
                    <c:pt idx="0">
                      <c:v>5.0%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{F08A640B-4AC5-4DE3-9034-AC5F22D2F7EC}</c15:txfldGUID>
                      <c15:f>'SensIt Tornado 2'!$B$15</c15:f>
                      <c15:dlblFieldTableCache>
                        <c:ptCount val="1"/>
                        <c:pt idx="0">
                          <c:v>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5D5D-43EF-9429-6FE01CB074F1}"/>
                </c:ext>
              </c:extLst>
            </c:dLbl>
            <c:dLbl>
              <c:idx val="5"/>
              <c:tx>
                <c:strRef>
                  <c:f>'SensIt Tornado 2'!$B$16</c:f>
                  <c:strCache>
                    <c:ptCount val="1"/>
                    <c:pt idx="0">
                      <c:v>4.0%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{58C6AD3E-4226-4234-BB1E-8242B23F61B0}</c15:txfldGUID>
                      <c15:f>'SensIt Tornado 2'!$B$16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5D5D-43EF-9429-6FE01CB074F1}"/>
                </c:ext>
              </c:extLst>
            </c:dLbl>
            <c:dLbl>
              <c:idx val="6"/>
              <c:tx>
                <c:strRef>
                  <c:f>'SensIt Tornado 2'!$B$17</c:f>
                  <c:strCache>
                    <c:ptCount val="1"/>
                    <c:pt idx="0">
                      <c:v>$8.00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{1A136540-9CFF-423C-AD39-681B50C46B2D}</c15:txfldGUID>
                      <c15:f>'SensIt Tornado 2'!$B$17</c15:f>
                      <c15:dlblFieldTableCache>
                        <c:ptCount val="1"/>
                        <c:pt idx="0">
                          <c:v>$8.00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5D5D-43EF-9429-6FE01CB074F1}"/>
                </c:ext>
              </c:extLst>
            </c:dLbl>
            <c:dLbl>
              <c:idx val="7"/>
              <c:tx>
                <c:strRef>
                  <c:f>'SensIt Tornado 2'!$B$18</c:f>
                  <c:strCache>
                    <c:ptCount val="1"/>
                    <c:pt idx="0">
                      <c:v>$6.00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{D987EB0F-3D2A-4A0D-B39A-9C3157DC6F8C}</c15:txfldGUID>
                      <c15:f>'SensIt Tornado 2'!$B$18</c15:f>
                      <c15:dlblFieldTableCache>
                        <c:ptCount val="1"/>
                        <c:pt idx="0">
                          <c:v>$6.00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5D5D-43EF-9429-6FE01CB074F1}"/>
                </c:ext>
              </c:extLst>
            </c:dLbl>
            <c:dLbl>
              <c:idx val="8"/>
              <c:tx>
                <c:strRef>
                  <c:f>'SensIt Tornado 2'!$B$19</c:f>
                  <c:strCache>
                    <c:ptCount val="1"/>
                    <c:pt idx="0">
                      <c:v>50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{D4DEB973-A984-4AE9-988E-D300BD704E3A}</c15:txfldGUID>
                      <c15:f>'SensIt Tornado 2'!$B$19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5D5D-43EF-9429-6FE01CB074F1}"/>
                </c:ext>
              </c:extLst>
            </c:dLbl>
            <c:dLbl>
              <c:idx val="9"/>
              <c:tx>
                <c:strRef>
                  <c:f>'SensIt Tornado 2'!$B$20</c:f>
                  <c:strCache>
                    <c:ptCount val="1"/>
                    <c:pt idx="0">
                      <c:v>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{994D7CE0-D6DA-4D83-9696-D57F94519BF0}</c15:txfldGUID>
                      <c15:f>'SensIt Tornado 2'!$B$20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5D5D-43EF-9429-6FE01CB074F1}"/>
                </c:ext>
              </c:extLst>
            </c:dLbl>
            <c:dLbl>
              <c:idx val="10"/>
              <c:tx>
                <c:strRef>
                  <c:f>'SensIt Tornado 2'!$B$21</c:f>
                  <c:strCache>
                    <c:ptCount val="1"/>
                    <c:pt idx="0">
                      <c:v>$4,000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{04C64DA0-5AAF-46F4-8F62-87EF8B934BAB}</c15:txfldGUID>
                      <c15:f>'SensIt Tornado 2'!$B$21</c15:f>
                      <c15:dlblFieldTableCache>
                        <c:ptCount val="1"/>
                        <c:pt idx="0">
                          <c:v>$4,000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5D5D-43EF-9429-6FE01CB074F1}"/>
                </c:ext>
              </c:extLst>
            </c:dLbl>
            <c:dLbl>
              <c:idx val="11"/>
              <c:tx>
                <c:strRef>
                  <c:f>'SensIt Tornado 2'!$B$22</c:f>
                  <c:strCache>
                    <c:ptCount val="1"/>
                    <c:pt idx="0">
                      <c:v>$0.40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{A9F4FF74-EE85-4254-91F3-E9342588366E}</c15:txfldGUID>
                      <c15:f>'SensIt Tornado 2'!$B$22</c15:f>
                      <c15:dlblFieldTableCache>
                        <c:ptCount val="1"/>
                        <c:pt idx="0">
                          <c:v>$0.40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5D5D-43EF-9429-6FE01CB074F1}"/>
                </c:ext>
              </c:extLst>
            </c:dLbl>
            <c:dLbl>
              <c:idx val="12"/>
              <c:tx>
                <c:strRef>
                  <c:f>'SensIt Tornado 2'!$B$23</c:f>
                  <c:strCache>
                    <c:ptCount val="1"/>
                    <c:pt idx="0">
                      <c:v>50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{84CF7006-6A51-4A77-9686-0B5ADCC31DE1}</c15:txfldGUID>
                      <c15:f>'SensIt Tornado 2'!$B$23</c15:f>
                      <c15:dlblFieldTableCache>
                        <c:ptCount val="1"/>
                        <c:pt idx="0">
                          <c:v>50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5D5D-43EF-9429-6FE01CB074F1}"/>
                </c:ext>
              </c:extLst>
            </c:dLbl>
            <c:dLbl>
              <c:idx val="13"/>
              <c:tx>
                <c:strRef>
                  <c:f>'SensIt Tornado 2'!$B$24</c:f>
                  <c:strCache>
                    <c:ptCount val="1"/>
                    <c:pt idx="0">
                      <c:v>$4.00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{DB160906-5E2E-4495-8988-19EF51EA8665}</c15:txfldGUID>
                      <c15:f>'SensIt Tornado 2'!$B$24</c15:f>
                      <c15:dlblFieldTableCache>
                        <c:ptCount val="1"/>
                        <c:pt idx="0">
                          <c:v>$4.00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5D5D-43EF-9429-6FE01CB074F1}"/>
                </c:ext>
              </c:extLst>
            </c:dLbl>
            <c:dLbl>
              <c:idx val="14"/>
              <c:tx>
                <c:strRef>
                  <c:f>'SensIt Tornado 2'!$B$25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{CB623D5E-F8A8-4367-91C4-CCAD90F333DD}</c15:txfldGUID>
                      <c15:f>'SensIt Tornado 2'!$B$25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5D5D-43EF-9429-6FE01CB074F1}"/>
                </c:ext>
              </c:extLst>
            </c:dLbl>
            <c:dLbl>
              <c:idx val="15"/>
              <c:tx>
                <c:strRef>
                  <c:f>'SensIt Tornado 2'!$B$26</c:f>
                  <c:strCache>
                    <c:ptCount val="1"/>
                    <c:pt idx="0">
                      <c:v>-5%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{4A7721A8-E4AE-44BA-81FA-4640EC730557}</c15:txfldGUID>
                      <c15:f>'SensIt Tornado 2'!$B$26</c15:f>
                      <c15:dlblFieldTableCache>
                        <c:ptCount val="1"/>
                        <c:pt idx="0">
                          <c:v>-5%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5D5D-43EF-9429-6FE01CB074F1}"/>
                </c:ext>
              </c:extLst>
            </c:dLbl>
            <c:dLbl>
              <c:idx val="16"/>
              <c:tx>
                <c:strRef>
                  <c:f>'SensIt Tornado 2'!$B$27</c:f>
                  <c:strCache>
                    <c:ptCount val="1"/>
                    <c:pt idx="0">
                      <c:v>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{C5EFD31F-2515-48C1-B932-18EE57DA6BA7}</c15:txfldGUID>
                      <c15:f>'SensIt Tornado 2'!$B$27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5D5D-43EF-9429-6FE01CB074F1}"/>
                </c:ext>
              </c:extLst>
            </c:dLbl>
            <c:dLbl>
              <c:idx val="17"/>
              <c:tx>
                <c:strRef>
                  <c:f>'SensIt Tornado 2'!$B$28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{EA8090D2-9124-449D-A8E6-57988E7CE9EE}</c15:txfldGUID>
                      <c15:f>'SensIt Tornado 2'!$B$28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5D5D-43EF-9429-6FE01CB074F1}"/>
                </c:ext>
              </c:extLst>
            </c:dLbl>
            <c:dLbl>
              <c:idx val="18"/>
              <c:tx>
                <c:strRef>
                  <c:f>'SensIt Tornado 2'!$B$29</c:f>
                  <c:strCache>
                    <c:ptCount val="1"/>
                    <c:pt idx="0">
                      <c:v>$0.12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{96D73B3F-FB57-418A-AABC-DE6F1037DDBA}</c15:txfldGUID>
                      <c15:f>'SensIt Tornado 2'!$B$29</c15:f>
                      <c15:dlblFieldTableCache>
                        <c:ptCount val="1"/>
                        <c:pt idx="0">
                          <c:v>$0.12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5D5D-43EF-9429-6FE01CB074F1}"/>
                </c:ext>
              </c:extLst>
            </c:dLbl>
            <c:dLbl>
              <c:idx val="19"/>
              <c:tx>
                <c:strRef>
                  <c:f>'SensIt Tornado 2'!$B$30</c:f>
                  <c:strCache>
                    <c:ptCount val="1"/>
                    <c:pt idx="0">
                      <c:v>$40.00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{87901201-BA30-4F70-AF91-BFDD1A6A6B43}</c15:txfldGUID>
                      <c15:f>'SensIt Tornado 2'!$B$30</c15:f>
                      <c15:dlblFieldTableCache>
                        <c:ptCount val="1"/>
                        <c:pt idx="0">
                          <c:v>$40.00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5D5D-43EF-9429-6FE01CB07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2'!$A$11:$A$30</c:f>
              <c:strCache>
                <c:ptCount val="20"/>
                <c:pt idx="0">
                  <c:v>Demand in 1994</c:v>
                </c:pt>
                <c:pt idx="1">
                  <c:v>Wholesale price per case</c:v>
                </c:pt>
                <c:pt idx="2">
                  <c:v>Broker Take after 1993</c:v>
                </c:pt>
                <c:pt idx="3">
                  <c:v>Marketing Cases</c:v>
                </c:pt>
                <c:pt idx="4">
                  <c:v>Advertising</c:v>
                </c:pt>
                <c:pt idx="5">
                  <c:v>General and administrative</c:v>
                </c:pt>
                <c:pt idx="6">
                  <c:v>Material</c:v>
                </c:pt>
                <c:pt idx="7">
                  <c:v>Freight</c:v>
                </c:pt>
                <c:pt idx="8">
                  <c:v>Demand in 1993</c:v>
                </c:pt>
                <c:pt idx="9">
                  <c:v>Variable losses in bottling</c:v>
                </c:pt>
                <c:pt idx="10">
                  <c:v>Bottling Set up Costs</c:v>
                </c:pt>
                <c:pt idx="11">
                  <c:v>Variable costs of bottling</c:v>
                </c:pt>
                <c:pt idx="12">
                  <c:v>Quantity lost in set up</c:v>
                </c:pt>
                <c:pt idx="13">
                  <c:v>Warehouse</c:v>
                </c:pt>
                <c:pt idx="14">
                  <c:v>Quantity lost in clean up</c:v>
                </c:pt>
                <c:pt idx="15">
                  <c:v>Growth Rate thereafter</c:v>
                </c:pt>
                <c:pt idx="16">
                  <c:v>Salvage value</c:v>
                </c:pt>
                <c:pt idx="17">
                  <c:v>Broker Take 1993</c:v>
                </c:pt>
                <c:pt idx="18">
                  <c:v>Printing</c:v>
                </c:pt>
                <c:pt idx="19">
                  <c:v>Value of inventory</c:v>
                </c:pt>
              </c:strCache>
            </c:strRef>
          </c:cat>
          <c:val>
            <c:numRef>
              <c:f>'SensIt Tornado 2'!$E$11:$E$30</c:f>
              <c:numCache>
                <c:formatCode>_("$"* #,##0.00_);_("$"* \(#,##0.00\);_("$"* "-"??_);_(@_)</c:formatCode>
                <c:ptCount val="20"/>
                <c:pt idx="0">
                  <c:v>-5833.52</c:v>
                </c:pt>
                <c:pt idx="1">
                  <c:v>21728.13</c:v>
                </c:pt>
                <c:pt idx="2">
                  <c:v>32194.19</c:v>
                </c:pt>
                <c:pt idx="3">
                  <c:v>31754.3</c:v>
                </c:pt>
                <c:pt idx="4">
                  <c:v>34703.18</c:v>
                </c:pt>
                <c:pt idx="5">
                  <c:v>33898.94</c:v>
                </c:pt>
                <c:pt idx="6">
                  <c:v>36441.46</c:v>
                </c:pt>
                <c:pt idx="7">
                  <c:v>35775.5</c:v>
                </c:pt>
                <c:pt idx="8">
                  <c:v>35600.1</c:v>
                </c:pt>
                <c:pt idx="9">
                  <c:v>36426.97</c:v>
                </c:pt>
                <c:pt idx="10">
                  <c:v>36920.129999999997</c:v>
                </c:pt>
                <c:pt idx="11">
                  <c:v>36955.760000000002</c:v>
                </c:pt>
                <c:pt idx="12">
                  <c:v>37003.449999999997</c:v>
                </c:pt>
                <c:pt idx="13">
                  <c:v>37355.75</c:v>
                </c:pt>
                <c:pt idx="14">
                  <c:v>37920.129999999997</c:v>
                </c:pt>
                <c:pt idx="15">
                  <c:v>37920.129999999997</c:v>
                </c:pt>
                <c:pt idx="16">
                  <c:v>37920.129999999997</c:v>
                </c:pt>
                <c:pt idx="17">
                  <c:v>37920.129999999997</c:v>
                </c:pt>
                <c:pt idx="18">
                  <c:v>37920.129999999997</c:v>
                </c:pt>
                <c:pt idx="19">
                  <c:v>37920.129999999997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D-43EF-9429-6FE01CB074F1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2'!$D$11</c:f>
                  <c:strCache>
                    <c:ptCount val="1"/>
                    <c:pt idx="0">
                      <c:v>1,500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{F2E8F8B2-F08E-4D46-9777-9AB4D3CD17E6}</c15:txfldGUID>
                      <c15:f>'SensIt Tornado 2'!$D$11</c15:f>
                      <c15:dlblFieldTableCache>
                        <c:ptCount val="1"/>
                        <c:pt idx="0">
                          <c:v>1,500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5D5D-43EF-9429-6FE01CB074F1}"/>
                </c:ext>
              </c:extLst>
            </c:dLbl>
            <c:dLbl>
              <c:idx val="1"/>
              <c:tx>
                <c:strRef>
                  <c:f>'SensIt Tornado 2'!$D$12</c:f>
                  <c:strCache>
                    <c:ptCount val="1"/>
                    <c:pt idx="0">
                      <c:v>$170.00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{55DB97CF-3024-4E7F-B6CB-F2979D48589C}</c15:txfldGUID>
                      <c15:f>'SensIt Tornado 2'!$D$12</c15:f>
                      <c15:dlblFieldTableCache>
                        <c:ptCount val="1"/>
                        <c:pt idx="0">
                          <c:v>$170.00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5D5D-43EF-9429-6FE01CB074F1}"/>
                </c:ext>
              </c:extLst>
            </c:dLbl>
            <c:dLbl>
              <c:idx val="2"/>
              <c:tx>
                <c:strRef>
                  <c:f>'SensIt Tornado 2'!$D$13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{9B3E1091-F6F8-4291-A4B0-DD930B60F722}</c15:txfldGUID>
                      <c15:f>'SensIt Tornado 2'!$D$13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5D5D-43EF-9429-6FE01CB074F1}"/>
                </c:ext>
              </c:extLst>
            </c:dLbl>
            <c:dLbl>
              <c:idx val="3"/>
              <c:tx>
                <c:strRef>
                  <c:f>'SensIt Tornado 2'!$D$14</c:f>
                  <c:strCache>
                    <c:ptCount val="1"/>
                    <c:pt idx="0">
                      <c:v>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{7D848D03-09C9-4B3F-9CB8-3593CAF8D663}</c15:txfldGUID>
                      <c15:f>'SensIt Tornado 2'!$D$14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5D5D-43EF-9429-6FE01CB074F1}"/>
                </c:ext>
              </c:extLst>
            </c:dLbl>
            <c:dLbl>
              <c:idx val="4"/>
              <c:tx>
                <c:strRef>
                  <c:f>'SensIt Tornado 2'!$D$15</c:f>
                  <c:strCache>
                    <c:ptCount val="1"/>
                    <c:pt idx="0">
                      <c:v>1.5%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{03A712C5-AA5A-40A5-B731-F8DD0350B97A}</c15:txfldGUID>
                      <c15:f>'SensIt Tornado 2'!$D$15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5D5D-43EF-9429-6FE01CB074F1}"/>
                </c:ext>
              </c:extLst>
            </c:dLbl>
            <c:dLbl>
              <c:idx val="5"/>
              <c:tx>
                <c:strRef>
                  <c:f>'SensIt Tornado 2'!$D$16</c:f>
                  <c:strCache>
                    <c:ptCount val="1"/>
                    <c:pt idx="0">
                      <c:v>1.0%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{E2F92138-F1E6-455D-96F0-DAC44E91B999}</c15:txfldGUID>
                      <c15:f>'SensIt Tornado 2'!$D$16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5D5D-43EF-9429-6FE01CB074F1}"/>
                </c:ext>
              </c:extLst>
            </c:dLbl>
            <c:dLbl>
              <c:idx val="6"/>
              <c:tx>
                <c:strRef>
                  <c:f>'SensIt Tornado 2'!$D$17</c:f>
                  <c:strCache>
                    <c:ptCount val="1"/>
                    <c:pt idx="0">
                      <c:v>$4.00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{482B61D1-BE9C-4AF3-A4A1-CB550078E6F8}</c15:txfldGUID>
                      <c15:f>'SensIt Tornado 2'!$D$17</c15:f>
                      <c15:dlblFieldTableCache>
                        <c:ptCount val="1"/>
                        <c:pt idx="0">
                          <c:v>$4.00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5D5D-43EF-9429-6FE01CB074F1}"/>
                </c:ext>
              </c:extLst>
            </c:dLbl>
            <c:dLbl>
              <c:idx val="7"/>
              <c:tx>
                <c:strRef>
                  <c:f>'SensIt Tornado 2'!$D$18</c:f>
                  <c:strCache>
                    <c:ptCount val="1"/>
                    <c:pt idx="0">
                      <c:v>$3.00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{53EF642D-B712-493C-B0B9-9C6E4FE9DEE0}</c15:txfldGUID>
                      <c15:f>'SensIt Tornado 2'!$D$18</c15:f>
                      <c15:dlblFieldTableCache>
                        <c:ptCount val="1"/>
                        <c:pt idx="0">
                          <c:v>$3.00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5D5D-43EF-9429-6FE01CB074F1}"/>
                </c:ext>
              </c:extLst>
            </c:dLbl>
            <c:dLbl>
              <c:idx val="8"/>
              <c:tx>
                <c:strRef>
                  <c:f>'SensIt Tornado 2'!$D$19</c:f>
                  <c:strCache>
                    <c:ptCount val="1"/>
                    <c:pt idx="0">
                      <c:v>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{74483DF8-AA7D-45CF-8AE3-304E5F670D3E}</c15:txfldGUID>
                      <c15:f>'SensIt Tornado 2'!$D$19</c15:f>
                      <c15:dlblFieldTableCache>
                        <c:ptCount val="1"/>
                        <c:pt idx="0">
                          <c:v>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5D5D-43EF-9429-6FE01CB074F1}"/>
                </c:ext>
              </c:extLst>
            </c:dLbl>
            <c:dLbl>
              <c:idx val="9"/>
              <c:tx>
                <c:strRef>
                  <c:f>'SensIt Tornado 2'!$D$20</c:f>
                  <c:strCache>
                    <c:ptCount val="1"/>
                    <c:pt idx="0">
                      <c:v>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{779CD0E8-5897-48D0-861D-37C134C8D583}</c15:txfldGUID>
                      <c15:f>'SensIt Tornado 2'!$D$20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5D5D-43EF-9429-6FE01CB074F1}"/>
                </c:ext>
              </c:extLst>
            </c:dLbl>
            <c:dLbl>
              <c:idx val="10"/>
              <c:tx>
                <c:strRef>
                  <c:f>'SensIt Tornado 2'!$D$21</c:f>
                  <c:strCache>
                    <c:ptCount val="1"/>
                    <c:pt idx="0">
                      <c:v>$2,000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{23ADEF85-4482-4B7D-BE4C-942374E9F5DB}</c15:txfldGUID>
                      <c15:f>'SensIt Tornado 2'!$D$21</c15:f>
                      <c15:dlblFieldTableCache>
                        <c:ptCount val="1"/>
                        <c:pt idx="0">
                          <c:v>$2,000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5D5D-43EF-9429-6FE01CB074F1}"/>
                </c:ext>
              </c:extLst>
            </c:dLbl>
            <c:dLbl>
              <c:idx val="11"/>
              <c:tx>
                <c:strRef>
                  <c:f>'SensIt Tornado 2'!$D$22</c:f>
                  <c:strCache>
                    <c:ptCount val="1"/>
                    <c:pt idx="0">
                      <c:v>$0.25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{8D3AC300-9F7F-4068-8E8C-99F621B085EA}</c15:txfldGUID>
                      <c15:f>'SensIt Tornado 2'!$D$22</c15:f>
                      <c15:dlblFieldTableCache>
                        <c:ptCount val="1"/>
                        <c:pt idx="0">
                          <c:v>$0.25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5D5D-43EF-9429-6FE01CB074F1}"/>
                </c:ext>
              </c:extLst>
            </c:dLbl>
            <c:dLbl>
              <c:idx val="12"/>
              <c:tx>
                <c:strRef>
                  <c:f>'SensIt Tornado 2'!$D$23</c:f>
                  <c:strCache>
                    <c:ptCount val="1"/>
                    <c:pt idx="0">
                      <c:v>15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{1518EB0B-A24B-42C8-A1C6-D8D76E1E6950}</c15:txfldGUID>
                      <c15:f>'SensIt Tornado 2'!$D$23</c15:f>
                      <c15:dlblFieldTableCache>
                        <c:ptCount val="1"/>
                        <c:pt idx="0">
                          <c:v>15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5D5D-43EF-9429-6FE01CB074F1}"/>
                </c:ext>
              </c:extLst>
            </c:dLbl>
            <c:dLbl>
              <c:idx val="13"/>
              <c:tx>
                <c:strRef>
                  <c:f>'SensIt Tornado 2'!$D$24</c:f>
                  <c:strCache>
                    <c:ptCount val="1"/>
                    <c:pt idx="0">
                      <c:v>$3.00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{997901C2-CF0E-4C55-B114-EA0990E97C52}</c15:txfldGUID>
                      <c15:f>'SensIt Tornado 2'!$D$24</c15:f>
                      <c15:dlblFieldTableCache>
                        <c:ptCount val="1"/>
                        <c:pt idx="0">
                          <c:v>$3.00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5D5D-43EF-9429-6FE01CB074F1}"/>
                </c:ext>
              </c:extLst>
            </c:dLbl>
            <c:dLbl>
              <c:idx val="14"/>
              <c:tx>
                <c:strRef>
                  <c:f>'SensIt Tornado 2'!$D$25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{334E3758-9142-4FA6-AE9E-C17BFE002259}</c15:txfldGUID>
                      <c15:f>'SensIt Tornado 2'!$D$25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5D5D-43EF-9429-6FE01CB074F1}"/>
                </c:ext>
              </c:extLst>
            </c:dLbl>
            <c:dLbl>
              <c:idx val="15"/>
              <c:tx>
                <c:strRef>
                  <c:f>'SensIt Tornado 2'!$D$26</c:f>
                  <c:strCache>
                    <c:ptCount val="1"/>
                    <c:pt idx="0">
                      <c:v>100%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{33BB1AF4-7126-445C-BB9F-E28ECC27BE75}</c15:txfldGUID>
                      <c15:f>'SensIt Tornado 2'!$D$26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5D5D-43EF-9429-6FE01CB074F1}"/>
                </c:ext>
              </c:extLst>
            </c:dLbl>
            <c:dLbl>
              <c:idx val="16"/>
              <c:tx>
                <c:strRef>
                  <c:f>'SensIt Tornado 2'!$D$27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{510A2B83-5337-4AB7-B9A6-BAB84F3A3B8B}</c15:txfldGUID>
                      <c15:f>'SensIt Tornado 2'!$D$27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5D5D-43EF-9429-6FE01CB074F1}"/>
                </c:ext>
              </c:extLst>
            </c:dLbl>
            <c:dLbl>
              <c:idx val="17"/>
              <c:tx>
                <c:strRef>
                  <c:f>'SensIt Tornado 2'!$D$28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{95B9AD86-94BF-47B2-A133-9625B50F4541}</c15:txfldGUID>
                      <c15:f>'SensIt Tornado 2'!$D$28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5D5D-43EF-9429-6FE01CB074F1}"/>
                </c:ext>
              </c:extLst>
            </c:dLbl>
            <c:dLbl>
              <c:idx val="18"/>
              <c:tx>
                <c:strRef>
                  <c:f>'SensIt Tornado 2'!$D$29</c:f>
                  <c:strCache>
                    <c:ptCount val="1"/>
                    <c:pt idx="0">
                      <c:v>$0.12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{BADCBAB8-E67B-4E0B-8260-4E72473EDF13}</c15:txfldGUID>
                      <c15:f>'SensIt Tornado 2'!$D$29</c15:f>
                      <c15:dlblFieldTableCache>
                        <c:ptCount val="1"/>
                        <c:pt idx="0">
                          <c:v>$0.12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5D5D-43EF-9429-6FE01CB074F1}"/>
                </c:ext>
              </c:extLst>
            </c:dLbl>
            <c:dLbl>
              <c:idx val="19"/>
              <c:tx>
                <c:strRef>
                  <c:f>'SensIt Tornado 2'!$D$30</c:f>
                  <c:strCache>
                    <c:ptCount val="1"/>
                    <c:pt idx="0">
                      <c:v>$60.00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{AC5782F8-53DC-4FB2-A094-56D9779A0C7B}</c15:txfldGUID>
                      <c15:f>'SensIt Tornado 2'!$D$30</c15:f>
                      <c15:dlblFieldTableCache>
                        <c:ptCount val="1"/>
                        <c:pt idx="0">
                          <c:v>$60.00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5D5D-43EF-9429-6FE01CB074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2'!$A$11:$A$30</c:f>
              <c:strCache>
                <c:ptCount val="20"/>
                <c:pt idx="0">
                  <c:v>Demand in 1994</c:v>
                </c:pt>
                <c:pt idx="1">
                  <c:v>Wholesale price per case</c:v>
                </c:pt>
                <c:pt idx="2">
                  <c:v>Broker Take after 1993</c:v>
                </c:pt>
                <c:pt idx="3">
                  <c:v>Marketing Cases</c:v>
                </c:pt>
                <c:pt idx="4">
                  <c:v>Advertising</c:v>
                </c:pt>
                <c:pt idx="5">
                  <c:v>General and administrative</c:v>
                </c:pt>
                <c:pt idx="6">
                  <c:v>Material</c:v>
                </c:pt>
                <c:pt idx="7">
                  <c:v>Freight</c:v>
                </c:pt>
                <c:pt idx="8">
                  <c:v>Demand in 1993</c:v>
                </c:pt>
                <c:pt idx="9">
                  <c:v>Variable losses in bottling</c:v>
                </c:pt>
                <c:pt idx="10">
                  <c:v>Bottling Set up Costs</c:v>
                </c:pt>
                <c:pt idx="11">
                  <c:v>Variable costs of bottling</c:v>
                </c:pt>
                <c:pt idx="12">
                  <c:v>Quantity lost in set up</c:v>
                </c:pt>
                <c:pt idx="13">
                  <c:v>Warehouse</c:v>
                </c:pt>
                <c:pt idx="14">
                  <c:v>Quantity lost in clean up</c:v>
                </c:pt>
                <c:pt idx="15">
                  <c:v>Growth Rate thereafter</c:v>
                </c:pt>
                <c:pt idx="16">
                  <c:v>Salvage value</c:v>
                </c:pt>
                <c:pt idx="17">
                  <c:v>Broker Take 1993</c:v>
                </c:pt>
                <c:pt idx="18">
                  <c:v>Printing</c:v>
                </c:pt>
                <c:pt idx="19">
                  <c:v>Value of inventory</c:v>
                </c:pt>
              </c:strCache>
            </c:strRef>
          </c:cat>
          <c:val>
            <c:numRef>
              <c:f>'SensIt Tornado 2'!$G$11:$G$30</c:f>
              <c:numCache>
                <c:formatCode>_("$"* #,##0.00_);_("$"* \(#,##0.00\);_("$"* "-"??_);_(@_)</c:formatCode>
                <c:ptCount val="20"/>
                <c:pt idx="0">
                  <c:v>37920.129999999997</c:v>
                </c:pt>
                <c:pt idx="1">
                  <c:v>54112.13</c:v>
                </c:pt>
                <c:pt idx="2" formatCode="&quot;$&quot;#,##0.00_);\(&quot;$&quot;#,##0.00\)">
                  <c:v>49372</c:v>
                </c:pt>
                <c:pt idx="3" formatCode="&quot;$&quot;#,##0.00_);\(&quot;$&quot;#,##0.00\)">
                  <c:v>41619.629999999997</c:v>
                </c:pt>
                <c:pt idx="4" formatCode="&quot;$&quot;#,##0.00_);\(&quot;$&quot;#,##0.00\)">
                  <c:v>40332.85</c:v>
                </c:pt>
                <c:pt idx="5" formatCode="&quot;$&quot;#,##0.00_);\(&quot;$&quot;#,##0.00\)">
                  <c:v>38724.370000000003</c:v>
                </c:pt>
                <c:pt idx="6" formatCode="&quot;$&quot;#,##0.00_);\(&quot;$&quot;#,##0.00\)">
                  <c:v>40956.480000000003</c:v>
                </c:pt>
                <c:pt idx="7" formatCode="&quot;$&quot;#,##0.00_);\(&quot;$&quot;#,##0.00\)">
                  <c:v>38992.449999999997</c:v>
                </c:pt>
                <c:pt idx="8">
                  <c:v>37920.129999999997</c:v>
                </c:pt>
                <c:pt idx="9" formatCode="&quot;$&quot;#,##0.00_);\(&quot;$&quot;#,##0.00\)">
                  <c:v>38666.71</c:v>
                </c:pt>
                <c:pt idx="10" formatCode="&quot;$&quot;#,##0.00_);\(&quot;$&quot;#,##0.00\)">
                  <c:v>38920.129999999997</c:v>
                </c:pt>
                <c:pt idx="11" formatCode="&quot;$&quot;#,##0.00_);\(&quot;$&quot;#,##0.00\)">
                  <c:v>38402.32</c:v>
                </c:pt>
                <c:pt idx="12" formatCode="&quot;$&quot;#,##0.00_);\(&quot;$&quot;#,##0.00\)">
                  <c:v>38286.81</c:v>
                </c:pt>
                <c:pt idx="13" formatCode="&quot;$&quot;#,##0.00_);\(&quot;$&quot;#,##0.00\)">
                  <c:v>38484.51</c:v>
                </c:pt>
                <c:pt idx="14">
                  <c:v>37920.129999999997</c:v>
                </c:pt>
                <c:pt idx="15">
                  <c:v>37920.129999999997</c:v>
                </c:pt>
                <c:pt idx="16">
                  <c:v>37920.129999999997</c:v>
                </c:pt>
                <c:pt idx="17">
                  <c:v>37920.129999999997</c:v>
                </c:pt>
                <c:pt idx="18">
                  <c:v>37920.129999999997</c:v>
                </c:pt>
                <c:pt idx="19">
                  <c:v>37920.129999999997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D-43EF-9429-6FE01CB07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842479168"/>
        <c:axId val="765989168"/>
      </c:barChart>
      <c:catAx>
        <c:axId val="84247916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765989168"/>
        <c:crossesAt val="37920.131000000001"/>
        <c:auto val="0"/>
        <c:lblAlgn val="ctr"/>
        <c:lblOffset val="100"/>
        <c:noMultiLvlLbl val="0"/>
      </c:catAx>
      <c:valAx>
        <c:axId val="765989168"/>
        <c:scaling>
          <c:orientation val="minMax"/>
          <c:max val="70000"/>
          <c:min val="-2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CA" sz="1000" b="0" i="0"/>
                  <a:t>Total cash by end of year two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42479168"/>
        <c:crosses val="max"/>
        <c:crossBetween val="between"/>
        <c:majorUnit val="1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/>
            </a:pPr>
            <a:r>
              <a:rPr lang="en-CA" sz="1000" b="0" i="0"/>
              <a:t>SensIt 1.51 Student Version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Bars on Left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1'!$B$11</c:f>
                  <c:strCache>
                    <c:ptCount val="1"/>
                    <c:pt idx="0">
                      <c:v>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{EB50E696-1109-437C-A1FA-39B68BDD3C62}</c15:txfldGUID>
                      <c15:f>'SensIt Tornado 1'!$B$11</c15:f>
                      <c15:dlblFieldTableCache>
                        <c:ptCount val="1"/>
                        <c:pt idx="0">
                          <c:v>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86B2-4D73-BB35-745D549B0844}"/>
                </c:ext>
              </c:extLst>
            </c:dLbl>
            <c:dLbl>
              <c:idx val="1"/>
              <c:tx>
                <c:strRef>
                  <c:f>'SensIt Tornado 1'!$B$12</c:f>
                  <c:strCache>
                    <c:ptCount val="1"/>
                    <c:pt idx="0">
                      <c:v>$130.00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{25D396D8-B80F-446A-BB08-638D9AC2E36F}</c15:txfldGUID>
                      <c15:f>'SensIt Tornado 1'!$B$12</c15:f>
                      <c15:dlblFieldTableCache>
                        <c:ptCount val="1"/>
                        <c:pt idx="0">
                          <c:v>$130.00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86B2-4D73-BB35-745D549B0844}"/>
                </c:ext>
              </c:extLst>
            </c:dLbl>
            <c:dLbl>
              <c:idx val="2"/>
              <c:tx>
                <c:strRef>
                  <c:f>'SensIt Tornado 1'!$B$13</c:f>
                  <c:strCache>
                    <c:ptCount val="1"/>
                    <c:pt idx="0">
                      <c:v>25%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{719E0B00-2EC7-45EC-B1E2-DDF8CC4516EF}</c15:txfldGUID>
                      <c15:f>'SensIt Tornado 1'!$B$13</c15:f>
                      <c15:dlblFieldTableCache>
                        <c:ptCount val="1"/>
                        <c:pt idx="0">
                          <c:v>25%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86B2-4D73-BB35-745D549B0844}"/>
                </c:ext>
              </c:extLst>
            </c:dLbl>
            <c:dLbl>
              <c:idx val="3"/>
              <c:tx>
                <c:strRef>
                  <c:f>'SensIt Tornado 1'!$B$14</c:f>
                  <c:strCache>
                    <c:ptCount val="1"/>
                    <c:pt idx="0">
                      <c:v>50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{59967DFC-0770-43CD-8F67-CA7C9253FAC5}</c15:txfldGUID>
                      <c15:f>'SensIt Tornado 1'!$B$14</c15:f>
                      <c15:dlblFieldTableCache>
                        <c:ptCount val="1"/>
                        <c:pt idx="0">
                          <c:v>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86B2-4D73-BB35-745D549B0844}"/>
                </c:ext>
              </c:extLst>
            </c:dLbl>
            <c:dLbl>
              <c:idx val="4"/>
              <c:tx>
                <c:strRef>
                  <c:f>'SensIt Tornado 1'!$B$15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{3CA9D0E4-476C-448A-958B-68E4D180CDF2}</c15:txfldGUID>
                      <c15:f>'SensIt Tornado 1'!$B$15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86B2-4D73-BB35-745D549B0844}"/>
                </c:ext>
              </c:extLst>
            </c:dLbl>
            <c:dLbl>
              <c:idx val="5"/>
              <c:tx>
                <c:strRef>
                  <c:f>'SensIt Tornado 1'!$B$16</c:f>
                  <c:strCache>
                    <c:ptCount val="1"/>
                    <c:pt idx="0">
                      <c:v>5.0%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{B86633F5-C7EB-423A-BD66-876FF5EF60CD}</c15:txfldGUID>
                      <c15:f>'SensIt Tornado 1'!$B$16</c15:f>
                      <c15:dlblFieldTableCache>
                        <c:ptCount val="1"/>
                        <c:pt idx="0">
                          <c:v>5.0%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86B2-4D73-BB35-745D549B0844}"/>
                </c:ext>
              </c:extLst>
            </c:dLbl>
            <c:dLbl>
              <c:idx val="6"/>
              <c:tx>
                <c:strRef>
                  <c:f>'SensIt Tornado 1'!$B$17</c:f>
                  <c:strCache>
                    <c:ptCount val="1"/>
                    <c:pt idx="0">
                      <c:v>4.0%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{13BD5869-62D5-4660-A7BB-7E47E14B4A87}</c15:txfldGUID>
                      <c15:f>'SensIt Tornado 1'!$B$17</c15:f>
                      <c15:dlblFieldTableCache>
                        <c:ptCount val="1"/>
                        <c:pt idx="0">
                          <c:v>4.0%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86B2-4D73-BB35-745D549B0844}"/>
                </c:ext>
              </c:extLst>
            </c:dLbl>
            <c:dLbl>
              <c:idx val="7"/>
              <c:tx>
                <c:strRef>
                  <c:f>'SensIt Tornado 1'!$B$18</c:f>
                  <c:strCache>
                    <c:ptCount val="1"/>
                    <c:pt idx="0">
                      <c:v>$8.00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{0CE4EEE2-6DA6-4E90-8F6E-64DF4AFB5F1A}</c15:txfldGUID>
                      <c15:f>'SensIt Tornado 1'!$B$18</c15:f>
                      <c15:dlblFieldTableCache>
                        <c:ptCount val="1"/>
                        <c:pt idx="0">
                          <c:v>$8.00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86B2-4D73-BB35-745D549B0844}"/>
                </c:ext>
              </c:extLst>
            </c:dLbl>
            <c:dLbl>
              <c:idx val="8"/>
              <c:tx>
                <c:strRef>
                  <c:f>'SensIt Tornado 1'!$B$19</c:f>
                  <c:strCache>
                    <c:ptCount val="1"/>
                    <c:pt idx="0">
                      <c:v>$6.00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{CF53A3D5-FD9C-423D-A3AE-C5012D30A08D}</c15:txfldGUID>
                      <c15:f>'SensIt Tornado 1'!$B$19</c15:f>
                      <c15:dlblFieldTableCache>
                        <c:ptCount val="1"/>
                        <c:pt idx="0">
                          <c:v>$6.00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86B2-4D73-BB35-745D549B0844}"/>
                </c:ext>
              </c:extLst>
            </c:dLbl>
            <c:dLbl>
              <c:idx val="9"/>
              <c:tx>
                <c:strRef>
                  <c:f>'SensIt Tornado 1'!$B$20</c:f>
                  <c:strCache>
                    <c:ptCount val="1"/>
                    <c:pt idx="0">
                      <c:v>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{478F000D-4DAC-416E-84D4-A8FA13345779}</c15:txfldGUID>
                      <c15:f>'SensIt Tornado 1'!$B$20</c15:f>
                      <c15:dlblFieldTableCache>
                        <c:ptCount val="1"/>
                        <c:pt idx="0">
                          <c:v>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86B2-4D73-BB35-745D549B0844}"/>
                </c:ext>
              </c:extLst>
            </c:dLbl>
            <c:dLbl>
              <c:idx val="10"/>
              <c:tx>
                <c:strRef>
                  <c:f>'SensIt Tornado 1'!$B$21</c:f>
                  <c:strCache>
                    <c:ptCount val="1"/>
                    <c:pt idx="0">
                      <c:v>$0.40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{D909589C-9572-482C-8710-A619DB1A5A2A}</c15:txfldGUID>
                      <c15:f>'SensIt Tornado 1'!$B$21</c15:f>
                      <c15:dlblFieldTableCache>
                        <c:ptCount val="1"/>
                        <c:pt idx="0">
                          <c:v>$0.40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86B2-4D73-BB35-745D549B0844}"/>
                </c:ext>
              </c:extLst>
            </c:dLbl>
            <c:dLbl>
              <c:idx val="11"/>
              <c:tx>
                <c:strRef>
                  <c:f>'SensIt Tornado 1'!$B$22</c:f>
                  <c:strCache>
                    <c:ptCount val="1"/>
                    <c:pt idx="0">
                      <c:v>$4,000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{E2541568-57E5-470E-9E88-6E26F467BE1F}</c15:txfldGUID>
                      <c15:f>'SensIt Tornado 1'!$B$22</c15:f>
                      <c15:dlblFieldTableCache>
                        <c:ptCount val="1"/>
                        <c:pt idx="0">
                          <c:v>$4,000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86B2-4D73-BB35-745D549B0844}"/>
                </c:ext>
              </c:extLst>
            </c:dLbl>
            <c:dLbl>
              <c:idx val="12"/>
              <c:tx>
                <c:strRef>
                  <c:f>'SensIt Tornado 1'!$B$23</c:f>
                  <c:strCache>
                    <c:ptCount val="1"/>
                    <c:pt idx="0">
                      <c:v>$4.00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{49AA4243-DCC8-489F-AB25-00AD529CEFE4}</c15:txfldGUID>
                      <c15:f>'SensIt Tornado 1'!$B$23</c15:f>
                      <c15:dlblFieldTableCache>
                        <c:ptCount val="1"/>
                        <c:pt idx="0">
                          <c:v>$4.00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86B2-4D73-BB35-745D549B0844}"/>
                </c:ext>
              </c:extLst>
            </c:dLbl>
            <c:dLbl>
              <c:idx val="13"/>
              <c:tx>
                <c:strRef>
                  <c:f>'SensIt Tornado 1'!$B$24</c:f>
                  <c:strCache>
                    <c:ptCount val="1"/>
                    <c:pt idx="0">
                      <c:v>50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{8CFFB47D-C5EF-4A7F-88DE-2B3CAE47E0A0}</c15:txfldGUID>
                      <c15:f>'SensIt Tornado 1'!$B$24</c15:f>
                      <c15:dlblFieldTableCache>
                        <c:ptCount val="1"/>
                        <c:pt idx="0">
                          <c:v>50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86B2-4D73-BB35-745D549B0844}"/>
                </c:ext>
              </c:extLst>
            </c:dLbl>
            <c:dLbl>
              <c:idx val="14"/>
              <c:tx>
                <c:strRef>
                  <c:f>'SensIt Tornado 1'!$B$25</c:f>
                  <c:strCache>
                    <c:ptCount val="1"/>
                    <c:pt idx="0">
                      <c:v>$40.00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{DDEA2AD2-F781-45FC-B1AD-3EA6682A9BBA}</c15:txfldGUID>
                      <c15:f>'SensIt Tornado 1'!$B$25</c15:f>
                      <c15:dlblFieldTableCache>
                        <c:ptCount val="1"/>
                        <c:pt idx="0">
                          <c:v>$40.00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86B2-4D73-BB35-745D549B0844}"/>
                </c:ext>
              </c:extLst>
            </c:dLbl>
            <c:dLbl>
              <c:idx val="15"/>
              <c:tx>
                <c:strRef>
                  <c:f>'SensIt Tornado 1'!$B$26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{93AEC988-2498-487D-B127-0892A2A922CE}</c15:txfldGUID>
                      <c15:f>'SensIt Tornado 1'!$B$26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86B2-4D73-BB35-745D549B0844}"/>
                </c:ext>
              </c:extLst>
            </c:dLbl>
            <c:dLbl>
              <c:idx val="16"/>
              <c:tx>
                <c:strRef>
                  <c:f>'SensIt Tornado 1'!$B$27</c:f>
                  <c:strCache>
                    <c:ptCount val="1"/>
                    <c:pt idx="0">
                      <c:v>-5%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{B3265E93-247F-4529-8C4E-946FCCC368A6}</c15:txfldGUID>
                      <c15:f>'SensIt Tornado 1'!$B$27</c15:f>
                      <c15:dlblFieldTableCache>
                        <c:ptCount val="1"/>
                        <c:pt idx="0">
                          <c:v>-5%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86B2-4D73-BB35-745D549B0844}"/>
                </c:ext>
              </c:extLst>
            </c:dLbl>
            <c:dLbl>
              <c:idx val="17"/>
              <c:tx>
                <c:strRef>
                  <c:f>'SensIt Tornado 1'!$B$28</c:f>
                  <c:strCache>
                    <c:ptCount val="1"/>
                    <c:pt idx="0">
                      <c:v>3%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{1B9C4E37-B10A-4EB8-AE95-F4BD9A722451}</c15:txfldGUID>
                      <c15:f>'SensIt Tornado 1'!$B$28</c15:f>
                      <c15:dlblFieldTableCache>
                        <c:ptCount val="1"/>
                        <c:pt idx="0">
                          <c:v>3%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86B2-4D73-BB35-745D549B0844}"/>
                </c:ext>
              </c:extLst>
            </c:dLbl>
            <c:dLbl>
              <c:idx val="18"/>
              <c:tx>
                <c:strRef>
                  <c:f>'SensIt Tornado 1'!$B$29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{72E3FB0E-6A98-4B4F-AED0-FD9F6082F495}</c15:txfldGUID>
                      <c15:f>'SensIt Tornado 1'!$B$29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86B2-4D73-BB35-745D549B0844}"/>
                </c:ext>
              </c:extLst>
            </c:dLbl>
            <c:dLbl>
              <c:idx val="19"/>
              <c:tx>
                <c:strRef>
                  <c:f>'SensIt Tornado 1'!$B$30</c:f>
                  <c:strCache>
                    <c:ptCount val="1"/>
                    <c:pt idx="0">
                      <c:v>$0.12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{DF6894B3-DB68-40D5-8AA6-820DBEE9934E}</c15:txfldGUID>
                      <c15:f>'SensIt Tornado 1'!$B$30</c15:f>
                      <c15:dlblFieldTableCache>
                        <c:ptCount val="1"/>
                        <c:pt idx="0">
                          <c:v>$0.12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86B2-4D73-BB35-745D549B08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1'!$A$11:$A$30</c:f>
              <c:strCache>
                <c:ptCount val="20"/>
                <c:pt idx="0">
                  <c:v>Demand in 1994</c:v>
                </c:pt>
                <c:pt idx="1">
                  <c:v>Wholesale price per case</c:v>
                </c:pt>
                <c:pt idx="2">
                  <c:v>Broker Take after 1993</c:v>
                </c:pt>
                <c:pt idx="3">
                  <c:v>Demand in 1993</c:v>
                </c:pt>
                <c:pt idx="4">
                  <c:v>Marketing Cases</c:v>
                </c:pt>
                <c:pt idx="5">
                  <c:v>Advertising</c:v>
                </c:pt>
                <c:pt idx="6">
                  <c:v>General and administrative</c:v>
                </c:pt>
                <c:pt idx="7">
                  <c:v>Material</c:v>
                </c:pt>
                <c:pt idx="8">
                  <c:v>Freight</c:v>
                </c:pt>
                <c:pt idx="9">
                  <c:v>Variable losses in bottling</c:v>
                </c:pt>
                <c:pt idx="10">
                  <c:v>Variable costs of bottling</c:v>
                </c:pt>
                <c:pt idx="11">
                  <c:v>Bottling Set up Costs</c:v>
                </c:pt>
                <c:pt idx="12">
                  <c:v>Warehouse</c:v>
                </c:pt>
                <c:pt idx="13">
                  <c:v>Quantity lost in set up</c:v>
                </c:pt>
                <c:pt idx="14">
                  <c:v>Value of inventory</c:v>
                </c:pt>
                <c:pt idx="15">
                  <c:v>Quantity lost in clean up</c:v>
                </c:pt>
                <c:pt idx="16">
                  <c:v>Growth Rate thereafter</c:v>
                </c:pt>
                <c:pt idx="17">
                  <c:v>Salvage value</c:v>
                </c:pt>
                <c:pt idx="18">
                  <c:v>Broker Take 1993</c:v>
                </c:pt>
                <c:pt idx="19">
                  <c:v>Printing</c:v>
                </c:pt>
              </c:strCache>
            </c:strRef>
          </c:cat>
          <c:val>
            <c:numRef>
              <c:f>'SensIt Tornado 1'!$E$11:$E$30</c:f>
              <c:numCache>
                <c:formatCode>_("$"* #,##0.00_);_("$"* \(#,##0.00\);_("$"* "-"??_);_(@_)</c:formatCode>
                <c:ptCount val="20"/>
                <c:pt idx="0">
                  <c:v>-11129.76</c:v>
                </c:pt>
                <c:pt idx="1">
                  <c:v>33497.71</c:v>
                </c:pt>
                <c:pt idx="2">
                  <c:v>46901.49</c:v>
                </c:pt>
                <c:pt idx="3">
                  <c:v>29937.19</c:v>
                </c:pt>
                <c:pt idx="4">
                  <c:v>47193.2</c:v>
                </c:pt>
                <c:pt idx="5">
                  <c:v>51149.91</c:v>
                </c:pt>
                <c:pt idx="6">
                  <c:v>50055.76</c:v>
                </c:pt>
                <c:pt idx="7">
                  <c:v>53513.37</c:v>
                </c:pt>
                <c:pt idx="8">
                  <c:v>52608.77</c:v>
                </c:pt>
                <c:pt idx="9">
                  <c:v>53338.38</c:v>
                </c:pt>
                <c:pt idx="10">
                  <c:v>54072.55</c:v>
                </c:pt>
                <c:pt idx="11">
                  <c:v>54526.49</c:v>
                </c:pt>
                <c:pt idx="12">
                  <c:v>54758.12</c:v>
                </c:pt>
                <c:pt idx="13">
                  <c:v>54670.879999999997</c:v>
                </c:pt>
                <c:pt idx="14">
                  <c:v>55516.18</c:v>
                </c:pt>
                <c:pt idx="15">
                  <c:v>55526.49</c:v>
                </c:pt>
                <c:pt idx="16">
                  <c:v>55526.49</c:v>
                </c:pt>
                <c:pt idx="17">
                  <c:v>55526.49</c:v>
                </c:pt>
                <c:pt idx="18">
                  <c:v>55526.49</c:v>
                </c:pt>
                <c:pt idx="19">
                  <c:v>55526.49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2-4D73-BB35-745D549B0844}"/>
            </c:ext>
          </c:extLst>
        </c:ser>
        <c:ser>
          <c:idx val="1"/>
          <c:order val="1"/>
          <c:tx>
            <c:v>Bars on Right</c:v>
          </c:tx>
          <c:spPr>
            <a:solidFill>
              <a:srgbClr val="000000"/>
            </a:solidFill>
          </c:spPr>
          <c:invertIfNegative val="0"/>
          <c:dLbls>
            <c:dLbl>
              <c:idx val="0"/>
              <c:tx>
                <c:strRef>
                  <c:f>'SensIt Tornado 1'!$D$11</c:f>
                  <c:strCache>
                    <c:ptCount val="1"/>
                    <c:pt idx="0">
                      <c:v>1,500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{B30A0825-6EE9-4DE0-B551-3EB189478454}</c15:txfldGUID>
                      <c15:f>'SensIt Tornado 1'!$D$11</c15:f>
                      <c15:dlblFieldTableCache>
                        <c:ptCount val="1"/>
                        <c:pt idx="0">
                          <c:v>1,500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86B2-4D73-BB35-745D549B0844}"/>
                </c:ext>
              </c:extLst>
            </c:dLbl>
            <c:dLbl>
              <c:idx val="1"/>
              <c:tx>
                <c:strRef>
                  <c:f>'SensIt Tornado 1'!$D$12</c:f>
                  <c:strCache>
                    <c:ptCount val="1"/>
                    <c:pt idx="0">
                      <c:v>$170.00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{52CDB06D-A77C-44EF-9C7C-A66E445A0DBC}</c15:txfldGUID>
                      <c15:f>'SensIt Tornado 1'!$D$12</c15:f>
                      <c15:dlblFieldTableCache>
                        <c:ptCount val="1"/>
                        <c:pt idx="0">
                          <c:v>$170.00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86B2-4D73-BB35-745D549B0844}"/>
                </c:ext>
              </c:extLst>
            </c:dLbl>
            <c:dLbl>
              <c:idx val="2"/>
              <c:tx>
                <c:strRef>
                  <c:f>'SensIt Tornado 1'!$D$13</c:f>
                  <c:strCache>
                    <c:ptCount val="1"/>
                    <c:pt idx="0">
                      <c:v>10%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{54485158-BB91-459C-A36D-0C85C3E974E3}</c15:txfldGUID>
                      <c15:f>'SensIt Tornado 1'!$D$13</c15:f>
                      <c15:dlblFieldTableCache>
                        <c:ptCount val="1"/>
                        <c:pt idx="0">
                          <c:v>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86B2-4D73-BB35-745D549B0844}"/>
                </c:ext>
              </c:extLst>
            </c:dLbl>
            <c:dLbl>
              <c:idx val="3"/>
              <c:tx>
                <c:strRef>
                  <c:f>'SensIt Tornado 1'!$D$14</c:f>
                  <c:strCache>
                    <c:ptCount val="1"/>
                    <c:pt idx="0">
                      <c:v>500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{FFD4B1C7-33F7-4D20-AA0A-DC2749B477DF}</c15:txfldGUID>
                      <c15:f>'SensIt Tornado 1'!$D$14</c15:f>
                      <c15:dlblFieldTableCache>
                        <c:ptCount val="1"/>
                        <c:pt idx="0">
                          <c:v>500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86B2-4D73-BB35-745D549B0844}"/>
                </c:ext>
              </c:extLst>
            </c:dLbl>
            <c:dLbl>
              <c:idx val="4"/>
              <c:tx>
                <c:strRef>
                  <c:f>'SensIt Tornado 1'!$D$15</c:f>
                  <c:strCache>
                    <c:ptCount val="1"/>
                    <c:pt idx="0">
                      <c:v>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{B9421341-F70A-4A72-9B0D-73F1D17436E4}</c15:txfldGUID>
                      <c15:f>'SensIt Tornado 1'!$D$15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86B2-4D73-BB35-745D549B0844}"/>
                </c:ext>
              </c:extLst>
            </c:dLbl>
            <c:dLbl>
              <c:idx val="5"/>
              <c:tx>
                <c:strRef>
                  <c:f>'SensIt Tornado 1'!$D$16</c:f>
                  <c:strCache>
                    <c:ptCount val="1"/>
                    <c:pt idx="0">
                      <c:v>1.5%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{F656C0FB-41A5-4D87-BE54-A65A29E6985B}</c15:txfldGUID>
                      <c15:f>'SensIt Tornado 1'!$D$16</c15:f>
                      <c15:dlblFieldTableCache>
                        <c:ptCount val="1"/>
                        <c:pt idx="0">
                          <c:v>1.5%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86B2-4D73-BB35-745D549B0844}"/>
                </c:ext>
              </c:extLst>
            </c:dLbl>
            <c:dLbl>
              <c:idx val="6"/>
              <c:tx>
                <c:strRef>
                  <c:f>'SensIt Tornado 1'!$D$17</c:f>
                  <c:strCache>
                    <c:ptCount val="1"/>
                    <c:pt idx="0">
                      <c:v>1.0%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{054AC04F-1A75-4B1B-BCA7-5703AC9026D8}</c15:txfldGUID>
                      <c15:f>'SensIt Tornado 1'!$D$17</c15:f>
                      <c15:dlblFieldTableCache>
                        <c:ptCount val="1"/>
                        <c:pt idx="0">
                          <c:v>1.0%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86B2-4D73-BB35-745D549B0844}"/>
                </c:ext>
              </c:extLst>
            </c:dLbl>
            <c:dLbl>
              <c:idx val="7"/>
              <c:tx>
                <c:strRef>
                  <c:f>'SensIt Tornado 1'!$D$18</c:f>
                  <c:strCache>
                    <c:ptCount val="1"/>
                    <c:pt idx="0">
                      <c:v>$4.00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{1B91413E-B1A6-4842-99F7-E572D4F279D4}</c15:txfldGUID>
                      <c15:f>'SensIt Tornado 1'!$D$18</c15:f>
                      <c15:dlblFieldTableCache>
                        <c:ptCount val="1"/>
                        <c:pt idx="0">
                          <c:v>$4.00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86B2-4D73-BB35-745D549B0844}"/>
                </c:ext>
              </c:extLst>
            </c:dLbl>
            <c:dLbl>
              <c:idx val="8"/>
              <c:tx>
                <c:strRef>
                  <c:f>'SensIt Tornado 1'!$D$19</c:f>
                  <c:strCache>
                    <c:ptCount val="1"/>
                    <c:pt idx="0">
                      <c:v>$3.00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{45E8CEA9-9CDC-457C-8070-31B7D771C329}</c15:txfldGUID>
                      <c15:f>'SensIt Tornado 1'!$D$19</c15:f>
                      <c15:dlblFieldTableCache>
                        <c:ptCount val="1"/>
                        <c:pt idx="0">
                          <c:v>$3.00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86B2-4D73-BB35-745D549B0844}"/>
                </c:ext>
              </c:extLst>
            </c:dLbl>
            <c:dLbl>
              <c:idx val="9"/>
              <c:tx>
                <c:strRef>
                  <c:f>'SensIt Tornado 1'!$D$20</c:f>
                  <c:strCache>
                    <c:ptCount val="1"/>
                    <c:pt idx="0">
                      <c:v>2%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{83C6CF5B-1CFD-4BF3-849B-86B4B991A267}</c15:txfldGUID>
                      <c15:f>'SensIt Tornado 1'!$D$20</c15:f>
                      <c15:dlblFieldTableCache>
                        <c:ptCount val="1"/>
                        <c:pt idx="0">
                          <c:v>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86B2-4D73-BB35-745D549B0844}"/>
                </c:ext>
              </c:extLst>
            </c:dLbl>
            <c:dLbl>
              <c:idx val="10"/>
              <c:tx>
                <c:strRef>
                  <c:f>'SensIt Tornado 1'!$D$21</c:f>
                  <c:strCache>
                    <c:ptCount val="1"/>
                    <c:pt idx="0">
                      <c:v>$0.25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{DB77E982-9CCE-4BBD-A9D7-2009A6DD68DE}</c15:txfldGUID>
                      <c15:f>'SensIt Tornado 1'!$D$21</c15:f>
                      <c15:dlblFieldTableCache>
                        <c:ptCount val="1"/>
                        <c:pt idx="0">
                          <c:v>$0.25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86B2-4D73-BB35-745D549B0844}"/>
                </c:ext>
              </c:extLst>
            </c:dLbl>
            <c:dLbl>
              <c:idx val="11"/>
              <c:tx>
                <c:strRef>
                  <c:f>'SensIt Tornado 1'!$D$22</c:f>
                  <c:strCache>
                    <c:ptCount val="1"/>
                    <c:pt idx="0">
                      <c:v>$2,000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{A5B5CEB3-7E85-4CD5-9B9F-035D6064ACDD}</c15:txfldGUID>
                      <c15:f>'SensIt Tornado 1'!$D$22</c15:f>
                      <c15:dlblFieldTableCache>
                        <c:ptCount val="1"/>
                        <c:pt idx="0">
                          <c:v>$2,000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86B2-4D73-BB35-745D549B0844}"/>
                </c:ext>
              </c:extLst>
            </c:dLbl>
            <c:dLbl>
              <c:idx val="12"/>
              <c:tx>
                <c:strRef>
                  <c:f>'SensIt Tornado 1'!$D$23</c:f>
                  <c:strCache>
                    <c:ptCount val="1"/>
                    <c:pt idx="0">
                      <c:v>$3.00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{D176CB0C-85AD-41D4-BE70-36C4A212B331}</c15:txfldGUID>
                      <c15:f>'SensIt Tornado 1'!$D$23</c15:f>
                      <c15:dlblFieldTableCache>
                        <c:ptCount val="1"/>
                        <c:pt idx="0">
                          <c:v>$3.00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86B2-4D73-BB35-745D549B0844}"/>
                </c:ext>
              </c:extLst>
            </c:dLbl>
            <c:dLbl>
              <c:idx val="13"/>
              <c:tx>
                <c:strRef>
                  <c:f>'SensIt Tornado 1'!$D$24</c:f>
                  <c:strCache>
                    <c:ptCount val="1"/>
                    <c:pt idx="0">
                      <c:v>15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{DA6C5431-7291-4393-BA10-651F672AF92F}</c15:txfldGUID>
                      <c15:f>'SensIt Tornado 1'!$D$24</c15:f>
                      <c15:dlblFieldTableCache>
                        <c:ptCount val="1"/>
                        <c:pt idx="0">
                          <c:v>15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86B2-4D73-BB35-745D549B0844}"/>
                </c:ext>
              </c:extLst>
            </c:dLbl>
            <c:dLbl>
              <c:idx val="14"/>
              <c:tx>
                <c:strRef>
                  <c:f>'SensIt Tornado 1'!$D$25</c:f>
                  <c:strCache>
                    <c:ptCount val="1"/>
                    <c:pt idx="0">
                      <c:v>$60.00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{6B92BA4A-ED35-407D-8522-00E775BBB972}</c15:txfldGUID>
                      <c15:f>'SensIt Tornado 1'!$D$25</c15:f>
                      <c15:dlblFieldTableCache>
                        <c:ptCount val="1"/>
                        <c:pt idx="0">
                          <c:v>$60.00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86B2-4D73-BB35-745D549B0844}"/>
                </c:ext>
              </c:extLst>
            </c:dLbl>
            <c:dLbl>
              <c:idx val="15"/>
              <c:tx>
                <c:strRef>
                  <c:f>'SensIt Tornado 1'!$D$26</c:f>
                  <c:strCache>
                    <c:ptCount val="1"/>
                    <c:pt idx="0">
                      <c:v>5 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{F0E6822C-B3EF-44AB-BED2-C3E2E8B7C7D0}</c15:txfldGUID>
                      <c15:f>'SensIt Tornado 1'!$D$26</c15:f>
                      <c15:dlblFieldTableCache>
                        <c:ptCount val="1"/>
                        <c:pt idx="0">
                          <c:v>5 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86B2-4D73-BB35-745D549B0844}"/>
                </c:ext>
              </c:extLst>
            </c:dLbl>
            <c:dLbl>
              <c:idx val="16"/>
              <c:tx>
                <c:strRef>
                  <c:f>'SensIt Tornado 1'!$D$27</c:f>
                  <c:strCache>
                    <c:ptCount val="1"/>
                    <c:pt idx="0">
                      <c:v>100%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{2140EDB8-A03E-4246-967F-6ACD26FD5DB7}</c15:txfldGUID>
                      <c15:f>'SensIt Tornado 1'!$D$27</c15:f>
                      <c15:dlblFieldTableCache>
                        <c:ptCount val="1"/>
                        <c:pt idx="0">
                          <c:v>100%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86B2-4D73-BB35-745D549B0844}"/>
                </c:ext>
              </c:extLst>
            </c:dLbl>
            <c:dLbl>
              <c:idx val="17"/>
              <c:tx>
                <c:strRef>
                  <c:f>'SensIt Tornado 1'!$D$28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{0165D4AD-C7A8-4928-B74B-872E8858E45D}</c15:txfldGUID>
                      <c15:f>'SensIt Tornado 1'!$D$28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86B2-4D73-BB35-745D549B0844}"/>
                </c:ext>
              </c:extLst>
            </c:dLbl>
            <c:dLbl>
              <c:idx val="18"/>
              <c:tx>
                <c:strRef>
                  <c:f>'SensIt Tornado 1'!$D$29</c:f>
                  <c:strCache>
                    <c:ptCount val="1"/>
                    <c:pt idx="0">
                      <c:v>20%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{7010BDF6-20E2-4F33-8A75-88E650C2EA83}</c15:txfldGUID>
                      <c15:f>'SensIt Tornado 1'!$D$29</c15:f>
                      <c15:dlblFieldTableCache>
                        <c:ptCount val="1"/>
                        <c:pt idx="0">
                          <c:v>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86B2-4D73-BB35-745D549B0844}"/>
                </c:ext>
              </c:extLst>
            </c:dLbl>
            <c:dLbl>
              <c:idx val="19"/>
              <c:tx>
                <c:strRef>
                  <c:f>'SensIt Tornado 1'!$D$30</c:f>
                  <c:strCache>
                    <c:ptCount val="1"/>
                    <c:pt idx="0">
                      <c:v>$0.12</c:v>
                    </c:pt>
                  </c:strCache>
                </c:strRef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{3096F74C-B714-41B6-AE79-0A5A635F1A63}</c15:txfldGUID>
                      <c15:f>'SensIt Tornado 1'!$D$30</c15:f>
                      <c15:dlblFieldTableCache>
                        <c:ptCount val="1"/>
                        <c:pt idx="0">
                          <c:v>$0.12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86B2-4D73-BB35-745D549B08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'SensIt Tornado 1'!$A$11:$A$30</c:f>
              <c:strCache>
                <c:ptCount val="20"/>
                <c:pt idx="0">
                  <c:v>Demand in 1994</c:v>
                </c:pt>
                <c:pt idx="1">
                  <c:v>Wholesale price per case</c:v>
                </c:pt>
                <c:pt idx="2">
                  <c:v>Broker Take after 1993</c:v>
                </c:pt>
                <c:pt idx="3">
                  <c:v>Demand in 1993</c:v>
                </c:pt>
                <c:pt idx="4">
                  <c:v>Marketing Cases</c:v>
                </c:pt>
                <c:pt idx="5">
                  <c:v>Advertising</c:v>
                </c:pt>
                <c:pt idx="6">
                  <c:v>General and administrative</c:v>
                </c:pt>
                <c:pt idx="7">
                  <c:v>Material</c:v>
                </c:pt>
                <c:pt idx="8">
                  <c:v>Freight</c:v>
                </c:pt>
                <c:pt idx="9">
                  <c:v>Variable losses in bottling</c:v>
                </c:pt>
                <c:pt idx="10">
                  <c:v>Variable costs of bottling</c:v>
                </c:pt>
                <c:pt idx="11">
                  <c:v>Bottling Set up Costs</c:v>
                </c:pt>
                <c:pt idx="12">
                  <c:v>Warehouse</c:v>
                </c:pt>
                <c:pt idx="13">
                  <c:v>Quantity lost in set up</c:v>
                </c:pt>
                <c:pt idx="14">
                  <c:v>Value of inventory</c:v>
                </c:pt>
                <c:pt idx="15">
                  <c:v>Quantity lost in clean up</c:v>
                </c:pt>
                <c:pt idx="16">
                  <c:v>Growth Rate thereafter</c:v>
                </c:pt>
                <c:pt idx="17">
                  <c:v>Salvage value</c:v>
                </c:pt>
                <c:pt idx="18">
                  <c:v>Broker Take 1993</c:v>
                </c:pt>
                <c:pt idx="19">
                  <c:v>Printing</c:v>
                </c:pt>
              </c:strCache>
            </c:strRef>
          </c:cat>
          <c:val>
            <c:numRef>
              <c:f>'SensIt Tornado 1'!$G$11:$G$30</c:f>
              <c:numCache>
                <c:formatCode>_("$"* #,##0.00_);_("$"* \(#,##0.00\);_("$"* "-"??_);_(@_)</c:formatCode>
                <c:ptCount val="20"/>
                <c:pt idx="0">
                  <c:v>55587.56</c:v>
                </c:pt>
                <c:pt idx="1">
                  <c:v>77555.259999999995</c:v>
                </c:pt>
                <c:pt idx="2" formatCode="&quot;$&quot;#,##0.00_);\(&quot;$&quot;#,##0.00\)">
                  <c:v>72776.490000000005</c:v>
                </c:pt>
                <c:pt idx="3">
                  <c:v>55526.49</c:v>
                </c:pt>
                <c:pt idx="4" formatCode="&quot;$&quot;#,##0.00_);\(&quot;$&quot;#,##0.00\)">
                  <c:v>58409.47</c:v>
                </c:pt>
                <c:pt idx="5" formatCode="&quot;$&quot;#,##0.00_);\(&quot;$&quot;#,##0.00\)">
                  <c:v>58808.92</c:v>
                </c:pt>
                <c:pt idx="6" formatCode="&quot;$&quot;#,##0.00_);\(&quot;$&quot;#,##0.00\)">
                  <c:v>56620.63</c:v>
                </c:pt>
                <c:pt idx="7" formatCode="&quot;$&quot;#,##0.00_);\(&quot;$&quot;#,##0.00\)">
                  <c:v>59660.28</c:v>
                </c:pt>
                <c:pt idx="8" formatCode="&quot;$&quot;#,##0.00_);\(&quot;$&quot;#,##0.00\)">
                  <c:v>56985.34</c:v>
                </c:pt>
                <c:pt idx="9" formatCode="&quot;$&quot;#,##0.00_);\(&quot;$&quot;#,##0.00\)">
                  <c:v>55946.78</c:v>
                </c:pt>
                <c:pt idx="10" formatCode="&quot;$&quot;#,##0.00_);\(&quot;$&quot;#,##0.00\)">
                  <c:v>56253.45</c:v>
                </c:pt>
                <c:pt idx="11" formatCode="&quot;$&quot;#,##0.00_);\(&quot;$&quot;#,##0.00\)">
                  <c:v>56526.49</c:v>
                </c:pt>
                <c:pt idx="12" formatCode="&quot;$&quot;#,##0.00_);\(&quot;$&quot;#,##0.00\)">
                  <c:v>56294.85</c:v>
                </c:pt>
                <c:pt idx="13" formatCode="&quot;$&quot;#,##0.00_);\(&quot;$&quot;#,##0.00\)">
                  <c:v>55663.519999999997</c:v>
                </c:pt>
                <c:pt idx="14">
                  <c:v>55536.79</c:v>
                </c:pt>
                <c:pt idx="15">
                  <c:v>55526.49</c:v>
                </c:pt>
                <c:pt idx="16">
                  <c:v>55526.49</c:v>
                </c:pt>
                <c:pt idx="17">
                  <c:v>55526.49</c:v>
                </c:pt>
                <c:pt idx="18">
                  <c:v>55526.49</c:v>
                </c:pt>
                <c:pt idx="19">
                  <c:v>55526.49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2-4D73-BB35-745D549B0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862375264"/>
        <c:axId val="687230704"/>
      </c:barChart>
      <c:catAx>
        <c:axId val="8623752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/>
            </a:pPr>
            <a:endParaRPr lang="en-US"/>
          </a:p>
        </c:txPr>
        <c:crossAx val="687230704"/>
        <c:crossesAt val="55526.485500000003"/>
        <c:auto val="0"/>
        <c:lblAlgn val="ctr"/>
        <c:lblOffset val="100"/>
        <c:noMultiLvlLbl val="0"/>
      </c:catAx>
      <c:valAx>
        <c:axId val="687230704"/>
        <c:scaling>
          <c:orientation val="minMax"/>
          <c:max val="90000"/>
          <c:min val="-30000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/>
                </a:pPr>
                <a:r>
                  <a:rPr lang="en-CA" sz="1000" b="0" i="0"/>
                  <a:t>Total cash by end of year two</a:t>
                </a:r>
              </a:p>
            </c:rich>
          </c:tx>
          <c:overlay val="0"/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en-US"/>
          </a:p>
        </c:txPr>
        <c:crossAx val="862375264"/>
        <c:crosses val="max"/>
        <c:crossBetween val="between"/>
        <c:majorUnit val="10000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537882</xdr:colOff>
      <xdr:row>0</xdr:row>
      <xdr:rowOff>145676</xdr:rowOff>
    </xdr:from>
    <xdr:to>
      <xdr:col>25</xdr:col>
      <xdr:colOff>160104</xdr:colOff>
      <xdr:row>57</xdr:row>
      <xdr:rowOff>120369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AFC8A8-D7EE-4E03-949D-9CB38A5EF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</xdr:row>
      <xdr:rowOff>123265</xdr:rowOff>
    </xdr:from>
    <xdr:to>
      <xdr:col>36</xdr:col>
      <xdr:colOff>140073</xdr:colOff>
      <xdr:row>30</xdr:row>
      <xdr:rowOff>130594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7F4495-2067-4E62-895B-0BCE5D621333}"/>
            </a:ext>
          </a:extLst>
        </xdr:cNvPr>
        <xdr:cNvSpPr txBox="1"/>
      </xdr:nvSpPr>
      <xdr:spPr>
        <a:xfrm>
          <a:off x="18254382" y="280147"/>
          <a:ext cx="6191250" cy="45569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 Demand in 1994</a:t>
          </a:r>
          <a:r>
            <a:rPr lang="en-CA" sz="1100" baseline="0"/>
            <a:t> does not have an upside because demand and cash flow are proportional. </a:t>
          </a:r>
        </a:p>
        <a:p>
          <a:endParaRPr lang="en-CA" sz="1100" baseline="0"/>
        </a:p>
        <a:p>
          <a:r>
            <a:rPr lang="en-CA" sz="1100" baseline="0"/>
            <a:t>2. Demand in 1994 has a larger swing than demand in 1993 due to a larger differnece between low and high assumption numbers. </a:t>
          </a:r>
        </a:p>
        <a:p>
          <a:endParaRPr lang="en-CA" sz="1100" baseline="0"/>
        </a:p>
        <a:p>
          <a:r>
            <a:rPr lang="en-CA" sz="1100" baseline="0"/>
            <a:t>3. Marketing cases impact as essentially costs, so higher marketing cases % decreases total cash. </a:t>
          </a:r>
        </a:p>
        <a:p>
          <a:endParaRPr lang="en-CA" sz="1100" baseline="0"/>
        </a:p>
        <a:p>
          <a:r>
            <a:rPr lang="en-CA" sz="1100" baseline="0"/>
            <a:t>4. Bottling costs have a negative mpact on total cash because they are costs.</a:t>
          </a:r>
        </a:p>
        <a:p>
          <a:endParaRPr lang="en-CA" sz="1100" baseline="0"/>
        </a:p>
        <a:p>
          <a:r>
            <a:rPr lang="en-CA" sz="1100" baseline="0"/>
            <a:t>5. Changing "Gallons of oil ordered" in 1994 changes the ranges for some of the variables and the importance of them. </a:t>
          </a:r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30</xdr:row>
      <xdr:rowOff>92075</xdr:rowOff>
    </xdr:from>
    <xdr:to>
      <xdr:col>8</xdr:col>
      <xdr:colOff>466725</xdr:colOff>
      <xdr:row>83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8EF25D-D744-4431-8FBC-D674535BA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31</xdr:row>
      <xdr:rowOff>0</xdr:rowOff>
    </xdr:from>
    <xdr:to>
      <xdr:col>8</xdr:col>
      <xdr:colOff>476250</xdr:colOff>
      <xdr:row>84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EA37B-8BBE-4045-B9C3-9603D3CB5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357188</xdr:colOff>
      <xdr:row>22</xdr:row>
      <xdr:rowOff>35719</xdr:rowOff>
    </xdr:from>
    <xdr:to>
      <xdr:col>23</xdr:col>
      <xdr:colOff>476250</xdr:colOff>
      <xdr:row>49</xdr:row>
      <xdr:rowOff>95249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B85A7A0-8C83-4F91-8D64-9A1751608311}"/>
            </a:ext>
          </a:extLst>
        </xdr:cNvPr>
        <xdr:cNvSpPr txBox="1"/>
      </xdr:nvSpPr>
      <xdr:spPr>
        <a:xfrm>
          <a:off x="10275094" y="3702844"/>
          <a:ext cx="6191250" cy="45600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1. Demand in 1994</a:t>
          </a:r>
          <a:r>
            <a:rPr lang="en-CA" sz="1100" baseline="0"/>
            <a:t> does not have an upside because demand and cash flow are proportional. </a:t>
          </a:r>
        </a:p>
        <a:p>
          <a:endParaRPr lang="en-CA" sz="1100" baseline="0"/>
        </a:p>
        <a:p>
          <a:r>
            <a:rPr lang="en-CA" sz="1100" baseline="0"/>
            <a:t>2. Demand in 1994 has a larger swing than demand in 1993 due to a larger differnece between low and high assumption numbers. </a:t>
          </a:r>
        </a:p>
        <a:p>
          <a:endParaRPr lang="en-CA" sz="1100" baseline="0"/>
        </a:p>
        <a:p>
          <a:r>
            <a:rPr lang="en-CA" sz="1100" baseline="0"/>
            <a:t>3. Marketing cases impact as essentially costs, so higher marketing cases % decreases total cash. </a:t>
          </a:r>
        </a:p>
        <a:p>
          <a:endParaRPr lang="en-CA" sz="1100" baseline="0"/>
        </a:p>
        <a:p>
          <a:r>
            <a:rPr lang="en-CA" sz="1100" baseline="0"/>
            <a:t>4. Bottling costs have a negative mpact on total cash because they are costs.</a:t>
          </a:r>
        </a:p>
        <a:p>
          <a:endParaRPr lang="en-CA" sz="1100" baseline="0"/>
        </a:p>
        <a:p>
          <a:r>
            <a:rPr lang="en-CA" sz="1100" baseline="0"/>
            <a:t>5. Changing "Gallons of oil ordered" in 1994 changes the ranges for some of the variables and the importance of them. </a:t>
          </a:r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8"/>
  <sheetViews>
    <sheetView tabSelected="1" zoomScale="85" workbookViewId="0">
      <selection activeCell="AD15" sqref="AD15"/>
    </sheetView>
  </sheetViews>
  <sheetFormatPr defaultRowHeight="13" x14ac:dyDescent="0.3"/>
  <cols>
    <col min="1" max="1" width="26.1796875" style="4" customWidth="1"/>
    <col min="2" max="2" width="23.7265625" customWidth="1"/>
    <col min="3" max="3" width="18.54296875" style="2" hidden="1" customWidth="1"/>
    <col min="4" max="4" width="13.1796875" customWidth="1"/>
    <col min="5" max="5" width="8.7265625" customWidth="1"/>
    <col min="6" max="6" width="17.453125" customWidth="1"/>
    <col min="7" max="9" width="9.26953125" customWidth="1"/>
    <col min="11" max="11" width="5.54296875" customWidth="1"/>
  </cols>
  <sheetData>
    <row r="1" spans="1:10" x14ac:dyDescent="0.3">
      <c r="A1" s="1" t="s">
        <v>0</v>
      </c>
    </row>
    <row r="2" spans="1:10" x14ac:dyDescent="0.3">
      <c r="A2" s="1"/>
    </row>
    <row r="3" spans="1:10" x14ac:dyDescent="0.3">
      <c r="A3" s="1" t="s">
        <v>1</v>
      </c>
    </row>
    <row r="4" spans="1:10" x14ac:dyDescent="0.3">
      <c r="A4" s="1"/>
      <c r="F4" s="3"/>
    </row>
    <row r="5" spans="1:10" ht="12.75" customHeight="1" x14ac:dyDescent="0.3">
      <c r="C5" s="2" t="s">
        <v>2</v>
      </c>
      <c r="D5" s="5" t="s">
        <v>3</v>
      </c>
      <c r="G5" s="6" t="s">
        <v>4</v>
      </c>
    </row>
    <row r="6" spans="1:10" ht="12.75" customHeight="1" x14ac:dyDescent="0.3">
      <c r="A6" s="1" t="s">
        <v>5</v>
      </c>
      <c r="B6" s="4" t="s">
        <v>6</v>
      </c>
      <c r="C6" s="2" t="s">
        <v>7</v>
      </c>
      <c r="D6" s="7">
        <v>800</v>
      </c>
      <c r="E6" t="s">
        <v>8</v>
      </c>
      <c r="G6" t="s">
        <v>9</v>
      </c>
      <c r="H6">
        <v>500</v>
      </c>
      <c r="I6" t="s">
        <v>10</v>
      </c>
      <c r="J6" s="8">
        <v>23</v>
      </c>
    </row>
    <row r="7" spans="1:10" ht="12.75" customHeight="1" x14ac:dyDescent="0.3">
      <c r="B7" s="9" t="s">
        <v>11</v>
      </c>
      <c r="C7" s="2" t="s">
        <v>11</v>
      </c>
      <c r="D7" s="10">
        <v>22</v>
      </c>
      <c r="E7" t="s">
        <v>12</v>
      </c>
      <c r="G7" t="s">
        <v>13</v>
      </c>
      <c r="H7">
        <v>500</v>
      </c>
      <c r="I7" t="s">
        <v>10</v>
      </c>
      <c r="J7" s="8">
        <v>22</v>
      </c>
    </row>
    <row r="8" spans="1:10" ht="12.75" customHeight="1" x14ac:dyDescent="0.3">
      <c r="B8" s="4" t="s">
        <v>14</v>
      </c>
      <c r="C8" s="2" t="s">
        <v>15</v>
      </c>
      <c r="D8" s="11">
        <v>2000</v>
      </c>
      <c r="E8" t="s">
        <v>8</v>
      </c>
      <c r="G8" t="s">
        <v>13</v>
      </c>
      <c r="H8">
        <v>500</v>
      </c>
      <c r="I8" t="s">
        <v>10</v>
      </c>
      <c r="J8" s="8">
        <v>21</v>
      </c>
    </row>
    <row r="9" spans="1:10" ht="12.75" customHeight="1" x14ac:dyDescent="0.3">
      <c r="B9" s="4"/>
      <c r="D9" s="12"/>
      <c r="G9" t="s">
        <v>13</v>
      </c>
      <c r="H9">
        <v>500</v>
      </c>
      <c r="I9" t="s">
        <v>10</v>
      </c>
      <c r="J9" s="8">
        <v>20</v>
      </c>
    </row>
    <row r="10" spans="1:10" ht="12.75" customHeight="1" x14ac:dyDescent="0.3">
      <c r="A10" s="1" t="s">
        <v>16</v>
      </c>
      <c r="B10" t="s">
        <v>17</v>
      </c>
      <c r="C10" s="2" t="s">
        <v>18</v>
      </c>
      <c r="D10" s="12">
        <v>0.75</v>
      </c>
      <c r="G10" t="s">
        <v>19</v>
      </c>
      <c r="I10" t="s">
        <v>10</v>
      </c>
      <c r="J10" s="13">
        <v>19</v>
      </c>
    </row>
    <row r="11" spans="1:10" ht="12.75" customHeight="1" x14ac:dyDescent="0.3">
      <c r="B11" t="s">
        <v>20</v>
      </c>
      <c r="C11" s="2" t="s">
        <v>21</v>
      </c>
      <c r="D11" s="12">
        <v>12</v>
      </c>
      <c r="F11" s="3"/>
      <c r="G11" s="14"/>
      <c r="H11" s="14"/>
      <c r="I11" s="14"/>
    </row>
    <row r="12" spans="1:10" ht="12.75" customHeight="1" x14ac:dyDescent="0.3">
      <c r="B12" t="s">
        <v>22</v>
      </c>
      <c r="C12" s="2" t="s">
        <v>23</v>
      </c>
      <c r="D12" s="15">
        <v>3.7852999999999999</v>
      </c>
      <c r="F12" s="3"/>
      <c r="G12" s="14"/>
      <c r="H12" s="14"/>
      <c r="I12" s="14"/>
    </row>
    <row r="13" spans="1:10" ht="12.75" customHeight="1" x14ac:dyDescent="0.3">
      <c r="D13" s="14"/>
      <c r="F13" s="3"/>
      <c r="G13" s="14"/>
      <c r="H13" s="14"/>
      <c r="I13" s="14"/>
    </row>
    <row r="14" spans="1:10" ht="12.75" customHeight="1" x14ac:dyDescent="0.3">
      <c r="D14" s="14"/>
      <c r="F14" s="3"/>
      <c r="G14" s="14"/>
      <c r="H14" s="14"/>
      <c r="I14" s="14"/>
    </row>
    <row r="15" spans="1:10" ht="12.75" customHeight="1" x14ac:dyDescent="0.3">
      <c r="A15" s="1" t="s">
        <v>24</v>
      </c>
      <c r="D15" s="14"/>
      <c r="F15" s="3"/>
      <c r="G15" s="14"/>
      <c r="H15" s="14"/>
      <c r="I15" s="14"/>
    </row>
    <row r="16" spans="1:10" ht="12.75" customHeight="1" x14ac:dyDescent="0.3">
      <c r="D16" s="14"/>
      <c r="F16" s="3"/>
      <c r="H16" s="5" t="s">
        <v>25</v>
      </c>
    </row>
    <row r="17" spans="1:9" ht="12.75" customHeight="1" x14ac:dyDescent="0.3">
      <c r="D17" s="16" t="s">
        <v>26</v>
      </c>
      <c r="F17" s="3"/>
      <c r="G17" s="17" t="s">
        <v>27</v>
      </c>
      <c r="H17" s="17" t="s">
        <v>28</v>
      </c>
      <c r="I17" s="17" t="s">
        <v>29</v>
      </c>
    </row>
    <row r="18" spans="1:9" ht="12.75" customHeight="1" x14ac:dyDescent="0.3">
      <c r="A18" s="1" t="s">
        <v>30</v>
      </c>
      <c r="B18" t="s">
        <v>31</v>
      </c>
      <c r="C18" s="2" t="s">
        <v>32</v>
      </c>
      <c r="D18" s="18">
        <v>25</v>
      </c>
      <c r="E18" t="s">
        <v>8</v>
      </c>
      <c r="F18" s="3"/>
      <c r="G18" s="19">
        <v>15</v>
      </c>
      <c r="H18" s="19">
        <v>25</v>
      </c>
      <c r="I18" s="19">
        <v>50</v>
      </c>
    </row>
    <row r="19" spans="1:9" ht="12.75" customHeight="1" x14ac:dyDescent="0.3">
      <c r="B19" t="s">
        <v>33</v>
      </c>
      <c r="C19" s="2" t="s">
        <v>34</v>
      </c>
      <c r="D19" s="20">
        <v>0.03</v>
      </c>
      <c r="E19" t="s">
        <v>35</v>
      </c>
      <c r="F19" s="3"/>
      <c r="G19" s="21">
        <v>0.02</v>
      </c>
      <c r="H19" s="21">
        <v>0.03</v>
      </c>
      <c r="I19" s="21">
        <v>0.05</v>
      </c>
    </row>
    <row r="20" spans="1:9" ht="12.75" customHeight="1" x14ac:dyDescent="0.3">
      <c r="B20" t="s">
        <v>36</v>
      </c>
      <c r="C20" s="2" t="s">
        <v>37</v>
      </c>
      <c r="D20" s="11">
        <v>5</v>
      </c>
      <c r="E20" t="s">
        <v>8</v>
      </c>
      <c r="F20" s="3"/>
      <c r="G20" s="19">
        <v>5</v>
      </c>
      <c r="H20" s="19">
        <v>5</v>
      </c>
      <c r="I20" s="19">
        <v>5</v>
      </c>
    </row>
    <row r="21" spans="1:9" ht="12.75" customHeight="1" x14ac:dyDescent="0.3">
      <c r="B21" t="s">
        <v>38</v>
      </c>
      <c r="C21" s="2" t="s">
        <v>39</v>
      </c>
      <c r="D21" s="22">
        <v>3000</v>
      </c>
      <c r="G21" s="23">
        <v>2000</v>
      </c>
      <c r="H21" s="23">
        <v>3000</v>
      </c>
      <c r="I21" s="23">
        <v>4000</v>
      </c>
    </row>
    <row r="22" spans="1:9" ht="12.75" customHeight="1" x14ac:dyDescent="0.3">
      <c r="B22" t="s">
        <v>40</v>
      </c>
      <c r="C22" s="2" t="s">
        <v>41</v>
      </c>
      <c r="D22" s="10">
        <v>0.3</v>
      </c>
      <c r="E22" t="s">
        <v>42</v>
      </c>
      <c r="G22" s="24">
        <v>0.25</v>
      </c>
      <c r="H22" s="24">
        <v>0.3</v>
      </c>
      <c r="I22" s="24">
        <v>0.4</v>
      </c>
    </row>
    <row r="23" spans="1:9" ht="12.75" customHeight="1" x14ac:dyDescent="0.3">
      <c r="A23" s="1" t="s">
        <v>43</v>
      </c>
      <c r="B23" s="4" t="s">
        <v>44</v>
      </c>
      <c r="C23" s="2" t="s">
        <v>45</v>
      </c>
      <c r="D23" s="25">
        <v>350</v>
      </c>
      <c r="G23" s="14">
        <v>50</v>
      </c>
      <c r="H23" s="26">
        <v>350</v>
      </c>
      <c r="I23" s="14">
        <v>500</v>
      </c>
    </row>
    <row r="24" spans="1:9" ht="12.75" customHeight="1" x14ac:dyDescent="0.3">
      <c r="B24" s="4" t="s">
        <v>46</v>
      </c>
      <c r="C24" s="2" t="s">
        <v>47</v>
      </c>
      <c r="D24" s="27">
        <v>1150</v>
      </c>
      <c r="G24" s="28">
        <v>25</v>
      </c>
      <c r="H24" s="29">
        <v>1150</v>
      </c>
      <c r="I24" s="28">
        <v>1500</v>
      </c>
    </row>
    <row r="25" spans="1:9" ht="12.75" customHeight="1" x14ac:dyDescent="0.3">
      <c r="B25" s="4" t="s">
        <v>48</v>
      </c>
      <c r="C25" s="2" t="s">
        <v>49</v>
      </c>
      <c r="D25" s="20">
        <v>0.5</v>
      </c>
      <c r="G25" s="21">
        <v>-0.05</v>
      </c>
      <c r="H25" s="21">
        <v>0.5</v>
      </c>
      <c r="I25" s="21">
        <v>1</v>
      </c>
    </row>
    <row r="26" spans="1:9" ht="12.75" customHeight="1" x14ac:dyDescent="0.3">
      <c r="B26" t="s">
        <v>50</v>
      </c>
      <c r="C26" s="2" t="s">
        <v>51</v>
      </c>
      <c r="D26" s="10">
        <v>150</v>
      </c>
      <c r="G26" s="24">
        <v>130</v>
      </c>
      <c r="H26" s="24">
        <v>150</v>
      </c>
      <c r="I26" s="24">
        <v>170</v>
      </c>
    </row>
    <row r="27" spans="1:9" ht="12.75" customHeight="1" x14ac:dyDescent="0.3">
      <c r="B27" t="s">
        <v>52</v>
      </c>
      <c r="C27" s="2" t="s">
        <v>53</v>
      </c>
      <c r="D27" s="20">
        <v>0.1</v>
      </c>
      <c r="G27" s="21">
        <f>3.3%</f>
        <v>3.3000000000000002E-2</v>
      </c>
      <c r="H27" s="21">
        <v>0.1</v>
      </c>
      <c r="I27" s="21">
        <v>0.2</v>
      </c>
    </row>
    <row r="28" spans="1:9" ht="12.75" customHeight="1" x14ac:dyDescent="0.3">
      <c r="A28" s="1"/>
      <c r="B28" s="9" t="s">
        <v>54</v>
      </c>
      <c r="C28" s="2" t="s">
        <v>55</v>
      </c>
      <c r="D28" s="20">
        <v>0.2</v>
      </c>
      <c r="E28" t="s">
        <v>56</v>
      </c>
      <c r="G28" s="21">
        <v>0.2</v>
      </c>
      <c r="H28" s="21">
        <v>0.2</v>
      </c>
      <c r="I28" s="21">
        <v>0.2</v>
      </c>
    </row>
    <row r="29" spans="1:9" ht="12.75" customHeight="1" x14ac:dyDescent="0.3">
      <c r="A29" s="1"/>
      <c r="B29" s="9" t="s">
        <v>57</v>
      </c>
      <c r="D29" s="20">
        <v>0.2</v>
      </c>
      <c r="E29" t="s">
        <v>56</v>
      </c>
      <c r="G29" s="21">
        <v>0.1</v>
      </c>
      <c r="H29" s="21">
        <v>0.2</v>
      </c>
      <c r="I29" s="21">
        <v>0.25</v>
      </c>
    </row>
    <row r="30" spans="1:9" ht="12.75" customHeight="1" x14ac:dyDescent="0.3">
      <c r="A30" s="1"/>
      <c r="B30" s="4" t="s">
        <v>58</v>
      </c>
      <c r="C30" s="2" t="s">
        <v>59</v>
      </c>
      <c r="D30" s="30">
        <v>0.05</v>
      </c>
      <c r="E30" s="9" t="s">
        <v>60</v>
      </c>
      <c r="F30" s="3"/>
      <c r="G30" s="21">
        <v>0.02</v>
      </c>
      <c r="H30" s="21">
        <v>0.05</v>
      </c>
      <c r="I30" s="21">
        <v>0.1</v>
      </c>
    </row>
    <row r="31" spans="1:9" ht="12.75" customHeight="1" x14ac:dyDescent="0.3">
      <c r="A31" s="1" t="s">
        <v>61</v>
      </c>
      <c r="B31" s="9" t="s">
        <v>62</v>
      </c>
      <c r="C31" s="2" t="s">
        <v>63</v>
      </c>
      <c r="D31" s="10">
        <v>6.69</v>
      </c>
      <c r="E31" t="s">
        <v>64</v>
      </c>
      <c r="G31" s="24">
        <v>4</v>
      </c>
      <c r="H31" s="24">
        <v>6.69</v>
      </c>
      <c r="I31" s="24">
        <v>8</v>
      </c>
    </row>
    <row r="32" spans="1:9" ht="12.75" customHeight="1" x14ac:dyDescent="0.3">
      <c r="B32" s="9" t="s">
        <v>65</v>
      </c>
      <c r="C32" s="2" t="s">
        <v>66</v>
      </c>
      <c r="D32" s="10">
        <v>4</v>
      </c>
      <c r="E32" t="s">
        <v>67</v>
      </c>
      <c r="G32" s="24">
        <v>3</v>
      </c>
      <c r="H32" s="24">
        <v>4</v>
      </c>
      <c r="I32" s="24">
        <v>6</v>
      </c>
    </row>
    <row r="33" spans="1:9" ht="12.75" customHeight="1" x14ac:dyDescent="0.3">
      <c r="B33" s="9" t="s">
        <v>68</v>
      </c>
      <c r="C33" s="2" t="s">
        <v>69</v>
      </c>
      <c r="D33" s="10">
        <v>0.12</v>
      </c>
      <c r="E33" t="s">
        <v>64</v>
      </c>
      <c r="G33" s="24">
        <v>0.12</v>
      </c>
      <c r="H33" s="24">
        <v>0.12</v>
      </c>
      <c r="I33" s="24">
        <v>0.12</v>
      </c>
    </row>
    <row r="34" spans="1:9" ht="12.75" customHeight="1" x14ac:dyDescent="0.3">
      <c r="B34" s="9" t="s">
        <v>70</v>
      </c>
      <c r="C34" s="2" t="s">
        <v>71</v>
      </c>
      <c r="D34" s="10">
        <v>3.5</v>
      </c>
      <c r="E34" t="s">
        <v>72</v>
      </c>
      <c r="G34" s="24">
        <v>3</v>
      </c>
      <c r="H34" s="24">
        <v>3.5</v>
      </c>
      <c r="I34" s="24">
        <v>4</v>
      </c>
    </row>
    <row r="35" spans="1:9" ht="12.75" customHeight="1" x14ac:dyDescent="0.3">
      <c r="B35" s="9" t="s">
        <v>73</v>
      </c>
      <c r="C35" s="2" t="s">
        <v>74</v>
      </c>
      <c r="D35" s="31">
        <v>0.03</v>
      </c>
      <c r="E35" t="s">
        <v>75</v>
      </c>
      <c r="G35" s="32">
        <v>1.4999999999999999E-2</v>
      </c>
      <c r="H35" s="32">
        <v>0.03</v>
      </c>
      <c r="I35" s="32">
        <v>0.05</v>
      </c>
    </row>
    <row r="36" spans="1:9" ht="12.75" customHeight="1" x14ac:dyDescent="0.3">
      <c r="A36" s="1"/>
      <c r="B36" s="33" t="s">
        <v>76</v>
      </c>
      <c r="C36" s="2" t="s">
        <v>77</v>
      </c>
      <c r="D36" s="31">
        <v>1.4999999999999999E-2</v>
      </c>
      <c r="E36" t="s">
        <v>56</v>
      </c>
      <c r="G36" s="32">
        <v>0.01</v>
      </c>
      <c r="H36" s="32">
        <v>1.4999999999999999E-2</v>
      </c>
      <c r="I36" s="32">
        <v>0.04</v>
      </c>
    </row>
    <row r="37" spans="1:9" ht="12.75" customHeight="1" x14ac:dyDescent="0.3">
      <c r="B37" t="s">
        <v>78</v>
      </c>
      <c r="C37" s="2" t="s">
        <v>78</v>
      </c>
      <c r="D37" s="34">
        <v>50</v>
      </c>
      <c r="E37" t="s">
        <v>64</v>
      </c>
      <c r="G37" s="24">
        <v>40</v>
      </c>
      <c r="H37" s="24">
        <v>50</v>
      </c>
      <c r="I37" s="24">
        <v>60</v>
      </c>
    </row>
    <row r="38" spans="1:9" ht="12.75" customHeight="1" x14ac:dyDescent="0.3"/>
    <row r="39" spans="1:9" ht="12.75" customHeight="1" x14ac:dyDescent="0.3"/>
    <row r="40" spans="1:9" ht="12.75" customHeight="1" x14ac:dyDescent="0.3"/>
    <row r="41" spans="1:9" ht="12.75" customHeight="1" x14ac:dyDescent="0.3">
      <c r="B41" s="35" t="s">
        <v>79</v>
      </c>
      <c r="D41" s="8">
        <f>'Cash flows'!F60</f>
        <v>37920.130969756938</v>
      </c>
    </row>
    <row r="98" spans="2:2" x14ac:dyDescent="0.3">
      <c r="B98" s="8"/>
    </row>
  </sheetData>
  <pageMargins left="0.75" right="0.75" top="1" bottom="1" header="0.5" footer="0.5"/>
  <pageSetup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BAA2-1A28-452C-8724-133E31C54010}">
  <sheetPr>
    <pageSetUpPr fitToPage="1"/>
  </sheetPr>
  <dimension ref="A1:I78"/>
  <sheetViews>
    <sheetView topLeftCell="A27" zoomScale="80" zoomScaleNormal="80" workbookViewId="0"/>
  </sheetViews>
  <sheetFormatPr defaultRowHeight="12.5" x14ac:dyDescent="0.25"/>
  <cols>
    <col min="1" max="1" width="21.6328125" bestFit="1" customWidth="1"/>
    <col min="2" max="2" width="10.08984375" bestFit="1" customWidth="1"/>
    <col min="3" max="3" width="9.6328125" bestFit="1" customWidth="1"/>
    <col min="4" max="4" width="10.36328125" bestFit="1" customWidth="1"/>
    <col min="5" max="8" width="11.1796875" bestFit="1" customWidth="1"/>
    <col min="9" max="9" width="7.36328125" bestFit="1" customWidth="1"/>
  </cols>
  <sheetData>
    <row r="1" spans="1:9" ht="13" x14ac:dyDescent="0.3">
      <c r="A1" s="6" t="s">
        <v>158</v>
      </c>
    </row>
    <row r="2" spans="1:9" ht="13" x14ac:dyDescent="0.3">
      <c r="A2" t="s">
        <v>145</v>
      </c>
      <c r="I2" s="35" t="s">
        <v>159</v>
      </c>
    </row>
    <row r="3" spans="1:9" x14ac:dyDescent="0.25">
      <c r="A3" t="s">
        <v>160</v>
      </c>
    </row>
    <row r="5" spans="1:9" x14ac:dyDescent="0.25">
      <c r="A5" s="44" t="s">
        <v>146</v>
      </c>
      <c r="B5" s="48">
        <v>43870</v>
      </c>
      <c r="E5" s="44" t="s">
        <v>148</v>
      </c>
      <c r="F5" t="s">
        <v>149</v>
      </c>
    </row>
    <row r="6" spans="1:9" x14ac:dyDescent="0.25">
      <c r="A6" s="44" t="s">
        <v>147</v>
      </c>
      <c r="B6" s="49">
        <v>0.93003472222222217</v>
      </c>
      <c r="E6" s="44" t="s">
        <v>150</v>
      </c>
      <c r="F6" t="s">
        <v>151</v>
      </c>
    </row>
    <row r="8" spans="1:9" x14ac:dyDescent="0.25">
      <c r="E8" s="52" t="s">
        <v>79</v>
      </c>
      <c r="F8" s="52"/>
      <c r="G8" s="52"/>
    </row>
    <row r="9" spans="1:9" x14ac:dyDescent="0.25">
      <c r="B9" s="53" t="s">
        <v>161</v>
      </c>
      <c r="C9" s="52"/>
      <c r="D9" s="52"/>
      <c r="E9" s="53" t="s">
        <v>152</v>
      </c>
      <c r="F9" s="52"/>
      <c r="G9" s="52"/>
      <c r="I9" s="44" t="s">
        <v>162</v>
      </c>
    </row>
    <row r="10" spans="1:9" x14ac:dyDescent="0.25">
      <c r="A10" s="14" t="s">
        <v>163</v>
      </c>
      <c r="B10" s="54" t="s">
        <v>154</v>
      </c>
      <c r="C10" s="54" t="s">
        <v>155</v>
      </c>
      <c r="D10" s="64" t="s">
        <v>156</v>
      </c>
      <c r="E10" s="54" t="s">
        <v>157</v>
      </c>
      <c r="F10" s="54" t="s">
        <v>28</v>
      </c>
      <c r="G10" s="64" t="s">
        <v>29</v>
      </c>
      <c r="H10" s="54" t="s">
        <v>153</v>
      </c>
      <c r="I10" s="54" t="s">
        <v>164</v>
      </c>
    </row>
    <row r="11" spans="1:9" ht="25" x14ac:dyDescent="0.25">
      <c r="A11" s="68" t="s">
        <v>46</v>
      </c>
      <c r="B11" s="28">
        <v>25</v>
      </c>
      <c r="C11" s="29">
        <v>1150</v>
      </c>
      <c r="D11" s="69">
        <v>1500</v>
      </c>
      <c r="E11" s="50">
        <v>-5833.52</v>
      </c>
      <c r="F11" s="50">
        <v>37920.131000000001</v>
      </c>
      <c r="G11" s="72">
        <v>37920.129999999997</v>
      </c>
      <c r="H11" s="50">
        <v>43753.65</v>
      </c>
      <c r="I11" s="51">
        <v>0.55318851970591509</v>
      </c>
    </row>
    <row r="12" spans="1:9" x14ac:dyDescent="0.25">
      <c r="A12" s="55" t="s">
        <v>50</v>
      </c>
      <c r="B12" s="24">
        <v>130</v>
      </c>
      <c r="C12" s="24">
        <v>150</v>
      </c>
      <c r="D12" s="59">
        <v>170</v>
      </c>
      <c r="E12" s="50">
        <v>21728.13</v>
      </c>
      <c r="F12" s="50">
        <v>37920.131000000001</v>
      </c>
      <c r="G12" s="63">
        <v>54112.13</v>
      </c>
      <c r="H12" s="50">
        <v>32384</v>
      </c>
      <c r="I12" s="51">
        <v>0.30304391184658952</v>
      </c>
    </row>
    <row r="13" spans="1:9" x14ac:dyDescent="0.25">
      <c r="A13" s="57" t="s">
        <v>57</v>
      </c>
      <c r="B13" s="65">
        <v>0.25</v>
      </c>
      <c r="C13" s="65">
        <v>0.2</v>
      </c>
      <c r="D13" s="70">
        <v>0.1</v>
      </c>
      <c r="E13" s="50">
        <v>32194.19</v>
      </c>
      <c r="F13" s="50">
        <v>37920.131000000001</v>
      </c>
      <c r="G13" s="73">
        <v>49372</v>
      </c>
      <c r="H13" s="50">
        <v>17177.810000000001</v>
      </c>
      <c r="I13" s="51">
        <v>8.5266840613930209E-2</v>
      </c>
    </row>
    <row r="14" spans="1:9" ht="25" x14ac:dyDescent="0.25">
      <c r="A14" s="56" t="s">
        <v>58</v>
      </c>
      <c r="B14" s="65">
        <v>0.1</v>
      </c>
      <c r="C14" s="65">
        <v>0.05</v>
      </c>
      <c r="D14" s="70">
        <v>0.02</v>
      </c>
      <c r="E14" s="50">
        <v>31754.3</v>
      </c>
      <c r="F14" s="50">
        <v>37920.131000000001</v>
      </c>
      <c r="G14" s="73">
        <v>41619.629999999997</v>
      </c>
      <c r="H14" s="50">
        <v>9865.33</v>
      </c>
      <c r="I14" s="51">
        <v>2.8123399501396952E-2</v>
      </c>
    </row>
    <row r="15" spans="1:9" x14ac:dyDescent="0.25">
      <c r="A15" s="57" t="s">
        <v>73</v>
      </c>
      <c r="B15" s="32">
        <v>0.05</v>
      </c>
      <c r="C15" s="32">
        <v>0.03</v>
      </c>
      <c r="D15" s="60">
        <v>1.4999999999999999E-2</v>
      </c>
      <c r="E15" s="50">
        <v>34703.18</v>
      </c>
      <c r="F15" s="50">
        <v>37920.131000000001</v>
      </c>
      <c r="G15" s="73">
        <v>40332.85</v>
      </c>
      <c r="H15" s="50">
        <v>5629.67</v>
      </c>
      <c r="I15" s="51">
        <v>9.1582070534369803E-3</v>
      </c>
    </row>
    <row r="16" spans="1:9" ht="50" x14ac:dyDescent="0.25">
      <c r="A16" s="58" t="s">
        <v>76</v>
      </c>
      <c r="B16" s="32">
        <v>0.04</v>
      </c>
      <c r="C16" s="32">
        <v>1.4999999999999999E-2</v>
      </c>
      <c r="D16" s="60">
        <v>0.01</v>
      </c>
      <c r="E16" s="50">
        <v>33898.94</v>
      </c>
      <c r="F16" s="50">
        <v>37920.131000000001</v>
      </c>
      <c r="G16" s="73">
        <v>38724.370000000003</v>
      </c>
      <c r="H16" s="50">
        <v>4825.43</v>
      </c>
      <c r="I16" s="51">
        <v>6.7284746675662574E-3</v>
      </c>
    </row>
    <row r="17" spans="1:9" x14ac:dyDescent="0.25">
      <c r="A17" s="57" t="s">
        <v>62</v>
      </c>
      <c r="B17" s="24">
        <v>8</v>
      </c>
      <c r="C17" s="24">
        <v>6.69</v>
      </c>
      <c r="D17" s="59">
        <v>4</v>
      </c>
      <c r="E17" s="50">
        <v>36441.46</v>
      </c>
      <c r="F17" s="50">
        <v>37920.131000000001</v>
      </c>
      <c r="G17" s="73">
        <v>40956.480000000003</v>
      </c>
      <c r="H17" s="50">
        <v>4515.0200000000004</v>
      </c>
      <c r="I17" s="51">
        <v>5.8906597562785809E-3</v>
      </c>
    </row>
    <row r="18" spans="1:9" x14ac:dyDescent="0.25">
      <c r="A18" s="57" t="s">
        <v>65</v>
      </c>
      <c r="B18" s="24">
        <v>6</v>
      </c>
      <c r="C18" s="24">
        <v>4</v>
      </c>
      <c r="D18" s="59">
        <v>3</v>
      </c>
      <c r="E18" s="50">
        <v>35775.5</v>
      </c>
      <c r="F18" s="50">
        <v>37920.131000000001</v>
      </c>
      <c r="G18" s="73">
        <v>38992.449999999997</v>
      </c>
      <c r="H18" s="50">
        <v>3216.95</v>
      </c>
      <c r="I18" s="51">
        <v>2.99042698835152E-3</v>
      </c>
    </row>
    <row r="19" spans="1:9" ht="25" x14ac:dyDescent="0.25">
      <c r="A19" s="56" t="s">
        <v>44</v>
      </c>
      <c r="B19" s="66">
        <v>50</v>
      </c>
      <c r="C19" s="67">
        <v>350</v>
      </c>
      <c r="D19" s="71">
        <v>500</v>
      </c>
      <c r="E19" s="50">
        <v>35600.1</v>
      </c>
      <c r="F19" s="50">
        <v>37920.131000000001</v>
      </c>
      <c r="G19" s="63">
        <v>37920.129999999997</v>
      </c>
      <c r="H19" s="50">
        <v>2320.0300000000002</v>
      </c>
      <c r="I19" s="51">
        <v>1.5553630709565747E-3</v>
      </c>
    </row>
    <row r="20" spans="1:9" x14ac:dyDescent="0.25">
      <c r="A20" s="55" t="s">
        <v>33</v>
      </c>
      <c r="B20" s="65">
        <v>0.05</v>
      </c>
      <c r="C20" s="65">
        <v>0.03</v>
      </c>
      <c r="D20" s="70">
        <v>0.02</v>
      </c>
      <c r="E20" s="50">
        <v>36426.97</v>
      </c>
      <c r="F20" s="50">
        <v>37920.131000000001</v>
      </c>
      <c r="G20" s="73">
        <v>38666.71</v>
      </c>
      <c r="H20" s="50">
        <v>2239.7399999999998</v>
      </c>
      <c r="I20" s="51">
        <v>1.4495720090184545E-3</v>
      </c>
    </row>
    <row r="21" spans="1:9" x14ac:dyDescent="0.25">
      <c r="A21" s="55" t="s">
        <v>38</v>
      </c>
      <c r="B21" s="23">
        <v>4000</v>
      </c>
      <c r="C21" s="23">
        <v>3000</v>
      </c>
      <c r="D21" s="62">
        <v>2000</v>
      </c>
      <c r="E21" s="50">
        <v>36920.129999999997</v>
      </c>
      <c r="F21" s="50">
        <v>37920.131000000001</v>
      </c>
      <c r="G21" s="73">
        <v>38920.129999999997</v>
      </c>
      <c r="H21" s="50">
        <v>2000</v>
      </c>
      <c r="I21" s="51">
        <v>1.1558582393205842E-3</v>
      </c>
    </row>
    <row r="22" spans="1:9" x14ac:dyDescent="0.25">
      <c r="A22" s="55" t="s">
        <v>40</v>
      </c>
      <c r="B22" s="24">
        <v>0.4</v>
      </c>
      <c r="C22" s="24">
        <v>0.3</v>
      </c>
      <c r="D22" s="59">
        <v>0.25</v>
      </c>
      <c r="E22" s="50">
        <v>36955.760000000002</v>
      </c>
      <c r="F22" s="50">
        <v>37920.131000000001</v>
      </c>
      <c r="G22" s="73">
        <v>38402.32</v>
      </c>
      <c r="H22" s="50">
        <v>1446.56</v>
      </c>
      <c r="I22" s="51">
        <v>6.0466869608503167E-4</v>
      </c>
    </row>
    <row r="23" spans="1:9" x14ac:dyDescent="0.25">
      <c r="A23" s="55" t="s">
        <v>31</v>
      </c>
      <c r="B23" s="19">
        <v>50</v>
      </c>
      <c r="C23" s="19">
        <v>25</v>
      </c>
      <c r="D23" s="61">
        <v>15</v>
      </c>
      <c r="E23" s="50">
        <v>37003.449999999997</v>
      </c>
      <c r="F23" s="50">
        <v>37920.131000000001</v>
      </c>
      <c r="G23" s="73">
        <v>38286.81</v>
      </c>
      <c r="H23" s="50">
        <v>1283.3599999999999</v>
      </c>
      <c r="I23" s="51">
        <v>4.7592835467784084E-4</v>
      </c>
    </row>
    <row r="24" spans="1:9" x14ac:dyDescent="0.25">
      <c r="A24" s="57" t="s">
        <v>70</v>
      </c>
      <c r="B24" s="24">
        <v>4</v>
      </c>
      <c r="C24" s="24">
        <v>3.5</v>
      </c>
      <c r="D24" s="59">
        <v>3</v>
      </c>
      <c r="E24" s="50">
        <v>37355.75</v>
      </c>
      <c r="F24" s="50">
        <v>37920.131000000001</v>
      </c>
      <c r="G24" s="73">
        <v>38484.51</v>
      </c>
      <c r="H24" s="50">
        <v>1128.76</v>
      </c>
      <c r="I24" s="51">
        <v>3.6816949647655269E-4</v>
      </c>
    </row>
    <row r="25" spans="1:9" x14ac:dyDescent="0.25">
      <c r="A25" s="55" t="s">
        <v>36</v>
      </c>
      <c r="B25" s="19">
        <v>5</v>
      </c>
      <c r="C25" s="19">
        <v>5</v>
      </c>
      <c r="D25" s="61">
        <v>5</v>
      </c>
      <c r="E25" s="50">
        <v>37920.129999999997</v>
      </c>
      <c r="F25" s="50">
        <v>37920.131000000001</v>
      </c>
      <c r="G25" s="63">
        <v>37920.129999999997</v>
      </c>
      <c r="H25" s="50">
        <v>0</v>
      </c>
      <c r="I25" s="51">
        <v>0</v>
      </c>
    </row>
    <row r="26" spans="1:9" ht="37.5" x14ac:dyDescent="0.25">
      <c r="A26" s="56" t="s">
        <v>48</v>
      </c>
      <c r="B26" s="65">
        <v>-0.05</v>
      </c>
      <c r="C26" s="65">
        <v>0.5</v>
      </c>
      <c r="D26" s="70">
        <v>1</v>
      </c>
      <c r="E26" s="50">
        <v>37920.129999999997</v>
      </c>
      <c r="F26" s="50">
        <v>37920.131000000001</v>
      </c>
      <c r="G26" s="63">
        <v>37920.129999999997</v>
      </c>
      <c r="H26" s="50">
        <v>0</v>
      </c>
      <c r="I26" s="51">
        <v>0</v>
      </c>
    </row>
    <row r="27" spans="1:9" x14ac:dyDescent="0.25">
      <c r="A27" s="55" t="s">
        <v>52</v>
      </c>
      <c r="B27" s="65">
        <v>3.3000000000000002E-2</v>
      </c>
      <c r="C27" s="65">
        <v>0.1</v>
      </c>
      <c r="D27" s="70">
        <v>0.2</v>
      </c>
      <c r="E27" s="50">
        <v>37920.129999999997</v>
      </c>
      <c r="F27" s="50">
        <v>37920.131000000001</v>
      </c>
      <c r="G27" s="63">
        <v>37920.129999999997</v>
      </c>
      <c r="H27" s="50">
        <v>0</v>
      </c>
      <c r="I27" s="51">
        <v>0</v>
      </c>
    </row>
    <row r="28" spans="1:9" x14ac:dyDescent="0.25">
      <c r="A28" s="57" t="s">
        <v>54</v>
      </c>
      <c r="B28" s="65">
        <v>0.2</v>
      </c>
      <c r="C28" s="65">
        <v>0.2</v>
      </c>
      <c r="D28" s="70">
        <v>0.2</v>
      </c>
      <c r="E28" s="50">
        <v>37920.129999999997</v>
      </c>
      <c r="F28" s="50">
        <v>37920.131000000001</v>
      </c>
      <c r="G28" s="63">
        <v>37920.129999999997</v>
      </c>
      <c r="H28" s="50">
        <v>0</v>
      </c>
      <c r="I28" s="51">
        <v>0</v>
      </c>
    </row>
    <row r="29" spans="1:9" x14ac:dyDescent="0.25">
      <c r="A29" s="57" t="s">
        <v>68</v>
      </c>
      <c r="B29" s="24">
        <v>0.12</v>
      </c>
      <c r="C29" s="24">
        <v>0.12</v>
      </c>
      <c r="D29" s="59">
        <v>0.12</v>
      </c>
      <c r="E29" s="50">
        <v>37920.129999999997</v>
      </c>
      <c r="F29" s="50">
        <v>37920.131000000001</v>
      </c>
      <c r="G29" s="63">
        <v>37920.129999999997</v>
      </c>
      <c r="H29" s="50">
        <v>0</v>
      </c>
      <c r="I29" s="51">
        <v>0</v>
      </c>
    </row>
    <row r="30" spans="1:9" x14ac:dyDescent="0.25">
      <c r="A30" s="55" t="s">
        <v>78</v>
      </c>
      <c r="B30" s="24">
        <v>40</v>
      </c>
      <c r="C30" s="24">
        <v>50</v>
      </c>
      <c r="D30" s="59">
        <v>60</v>
      </c>
      <c r="E30" s="50">
        <v>37920.129999999997</v>
      </c>
      <c r="F30" s="50">
        <v>37920.131000000001</v>
      </c>
      <c r="G30" s="63">
        <v>37920.129999999997</v>
      </c>
      <c r="H30" s="50">
        <v>0</v>
      </c>
      <c r="I30" s="51">
        <v>0</v>
      </c>
    </row>
    <row r="78" spans="9:9" ht="13" x14ac:dyDescent="0.3">
      <c r="I78" s="35" t="s">
        <v>159</v>
      </c>
    </row>
  </sheetData>
  <sortState xmlns:xlrd2="http://schemas.microsoft.com/office/spreadsheetml/2017/richdata2" ref="A11:I30">
    <sortCondition descending="1" ref="H11"/>
  </sortState>
  <pageMargins left="0.7" right="0.7" top="0.75" bottom="0.75" header="0.3" footer="0.3"/>
  <pageSetup fitToHeight="0" orientation="portrait" r:id="rId1"/>
  <headerFooter>
    <oddFooter>&amp;L&amp;"Arial,Bold"SensIt Student Version, Not Licensed For Commercial Use&amp;R&amp;"Arial,Bold"&amp;10www.TreePlan.com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0CEE-DD9C-4FBB-A437-EBE02C03E34B}">
  <sheetPr>
    <pageSetUpPr fitToPage="1"/>
  </sheetPr>
  <dimension ref="A1:I78"/>
  <sheetViews>
    <sheetView topLeftCell="A5" zoomScale="80" zoomScaleNormal="80" workbookViewId="0">
      <selection activeCell="G11" sqref="G11"/>
    </sheetView>
  </sheetViews>
  <sheetFormatPr defaultRowHeight="12.5" x14ac:dyDescent="0.25"/>
  <cols>
    <col min="1" max="1" width="22.7265625" bestFit="1" customWidth="1"/>
    <col min="2" max="2" width="10.453125" bestFit="1" customWidth="1"/>
    <col min="3" max="3" width="10.1796875" bestFit="1" customWidth="1"/>
    <col min="4" max="4" width="10.81640625" bestFit="1" customWidth="1"/>
    <col min="5" max="7" width="13.453125" customWidth="1"/>
    <col min="8" max="8" width="14.81640625" customWidth="1"/>
    <col min="9" max="9" width="7.7265625" bestFit="1" customWidth="1"/>
  </cols>
  <sheetData>
    <row r="1" spans="1:9" ht="13" x14ac:dyDescent="0.3">
      <c r="A1" s="6" t="s">
        <v>158</v>
      </c>
    </row>
    <row r="2" spans="1:9" ht="13" x14ac:dyDescent="0.3">
      <c r="A2" t="s">
        <v>145</v>
      </c>
      <c r="I2" s="35" t="s">
        <v>159</v>
      </c>
    </row>
    <row r="3" spans="1:9" x14ac:dyDescent="0.25">
      <c r="A3" t="s">
        <v>160</v>
      </c>
    </row>
    <row r="5" spans="1:9" x14ac:dyDescent="0.25">
      <c r="A5" s="44" t="s">
        <v>146</v>
      </c>
      <c r="B5" s="48">
        <v>43870</v>
      </c>
      <c r="E5" s="44" t="s">
        <v>148</v>
      </c>
      <c r="F5" t="s">
        <v>149</v>
      </c>
    </row>
    <row r="6" spans="1:9" x14ac:dyDescent="0.25">
      <c r="A6" s="44" t="s">
        <v>147</v>
      </c>
      <c r="B6" s="49">
        <v>0.43001157407407403</v>
      </c>
      <c r="E6" s="44" t="s">
        <v>150</v>
      </c>
      <c r="F6" t="s">
        <v>151</v>
      </c>
    </row>
    <row r="8" spans="1:9" x14ac:dyDescent="0.25">
      <c r="E8" s="52" t="s">
        <v>79</v>
      </c>
      <c r="F8" s="52"/>
      <c r="G8" s="52"/>
    </row>
    <row r="9" spans="1:9" x14ac:dyDescent="0.25">
      <c r="B9" s="53" t="s">
        <v>161</v>
      </c>
      <c r="C9" s="52"/>
      <c r="D9" s="52"/>
      <c r="E9" s="53" t="s">
        <v>152</v>
      </c>
      <c r="F9" s="52"/>
      <c r="G9" s="52"/>
      <c r="I9" s="44" t="s">
        <v>162</v>
      </c>
    </row>
    <row r="10" spans="1:9" x14ac:dyDescent="0.25">
      <c r="A10" s="14" t="s">
        <v>163</v>
      </c>
      <c r="B10" s="54" t="s">
        <v>154</v>
      </c>
      <c r="C10" s="54" t="s">
        <v>155</v>
      </c>
      <c r="D10" s="64" t="s">
        <v>156</v>
      </c>
      <c r="E10" s="54" t="s">
        <v>157</v>
      </c>
      <c r="F10" s="54" t="s">
        <v>28</v>
      </c>
      <c r="G10" s="64" t="s">
        <v>29</v>
      </c>
      <c r="H10" s="54" t="s">
        <v>153</v>
      </c>
      <c r="I10" s="54" t="s">
        <v>164</v>
      </c>
    </row>
    <row r="11" spans="1:9" x14ac:dyDescent="0.25">
      <c r="A11" s="68" t="s">
        <v>46</v>
      </c>
      <c r="B11" s="28">
        <v>25</v>
      </c>
      <c r="C11" s="29">
        <v>1150</v>
      </c>
      <c r="D11" s="69">
        <v>1500</v>
      </c>
      <c r="E11" s="50">
        <v>-11129.76</v>
      </c>
      <c r="F11" s="50">
        <v>55526.485500000003</v>
      </c>
      <c r="G11" s="72">
        <v>55587.56</v>
      </c>
      <c r="H11" s="50">
        <v>66717.320000000007</v>
      </c>
      <c r="I11" s="51">
        <v>0.55501219992759876</v>
      </c>
    </row>
    <row r="12" spans="1:9" x14ac:dyDescent="0.25">
      <c r="A12" s="55" t="s">
        <v>50</v>
      </c>
      <c r="B12" s="24">
        <v>130</v>
      </c>
      <c r="C12" s="24">
        <v>150</v>
      </c>
      <c r="D12" s="59">
        <v>170</v>
      </c>
      <c r="E12" s="50">
        <v>33497.71</v>
      </c>
      <c r="F12" s="50">
        <v>55526.485500000003</v>
      </c>
      <c r="G12" s="63">
        <v>77555.259999999995</v>
      </c>
      <c r="H12" s="50">
        <v>44057.55</v>
      </c>
      <c r="I12" s="51">
        <v>0.24202823291088926</v>
      </c>
    </row>
    <row r="13" spans="1:9" x14ac:dyDescent="0.25">
      <c r="A13" s="57" t="s">
        <v>57</v>
      </c>
      <c r="B13" s="65">
        <v>0.25</v>
      </c>
      <c r="C13" s="65">
        <v>0.2</v>
      </c>
      <c r="D13" s="70">
        <v>0.1</v>
      </c>
      <c r="E13" s="50">
        <v>46901.49</v>
      </c>
      <c r="F13" s="50">
        <v>55526.485500000003</v>
      </c>
      <c r="G13" s="73">
        <v>72776.490000000005</v>
      </c>
      <c r="H13" s="50">
        <v>25875</v>
      </c>
      <c r="I13" s="51">
        <v>8.3480696022607825E-2</v>
      </c>
    </row>
    <row r="14" spans="1:9" x14ac:dyDescent="0.25">
      <c r="A14" s="56" t="s">
        <v>44</v>
      </c>
      <c r="B14" s="66">
        <v>50</v>
      </c>
      <c r="C14" s="67">
        <v>350</v>
      </c>
      <c r="D14" s="71">
        <v>500</v>
      </c>
      <c r="E14" s="50">
        <v>29937.19</v>
      </c>
      <c r="F14" s="50">
        <v>55526.485500000003</v>
      </c>
      <c r="G14" s="63">
        <v>55526.49</v>
      </c>
      <c r="H14" s="50">
        <v>25589.3</v>
      </c>
      <c r="I14" s="51">
        <v>8.1647361760335505E-2</v>
      </c>
    </row>
    <row r="15" spans="1:9" x14ac:dyDescent="0.25">
      <c r="A15" s="56" t="s">
        <v>58</v>
      </c>
      <c r="B15" s="65">
        <v>0.1</v>
      </c>
      <c r="C15" s="65">
        <v>0.05</v>
      </c>
      <c r="D15" s="70">
        <v>0.02</v>
      </c>
      <c r="E15" s="50">
        <v>47193.2</v>
      </c>
      <c r="F15" s="50">
        <v>55526.485500000003</v>
      </c>
      <c r="G15" s="73">
        <v>58409.47</v>
      </c>
      <c r="H15" s="50">
        <v>11216.27</v>
      </c>
      <c r="I15" s="51">
        <v>1.5686362779355763E-2</v>
      </c>
    </row>
    <row r="16" spans="1:9" x14ac:dyDescent="0.25">
      <c r="A16" s="57" t="s">
        <v>73</v>
      </c>
      <c r="B16" s="32">
        <v>0.05</v>
      </c>
      <c r="C16" s="32">
        <v>0.03</v>
      </c>
      <c r="D16" s="60">
        <v>1.4999999999999999E-2</v>
      </c>
      <c r="E16" s="50">
        <v>51149.91</v>
      </c>
      <c r="F16" s="50">
        <v>55526.485500000003</v>
      </c>
      <c r="G16" s="73">
        <v>58808.92</v>
      </c>
      <c r="H16" s="50">
        <v>7659.01</v>
      </c>
      <c r="I16" s="51">
        <v>7.3142637624672643E-3</v>
      </c>
    </row>
    <row r="17" spans="1:9" x14ac:dyDescent="0.25">
      <c r="A17" s="58" t="s">
        <v>76</v>
      </c>
      <c r="B17" s="32">
        <v>0.04</v>
      </c>
      <c r="C17" s="32">
        <v>1.4999999999999999E-2</v>
      </c>
      <c r="D17" s="60">
        <v>0.01</v>
      </c>
      <c r="E17" s="50">
        <v>50055.76</v>
      </c>
      <c r="F17" s="50">
        <v>55526.485500000003</v>
      </c>
      <c r="G17" s="73">
        <v>56620.63</v>
      </c>
      <c r="H17" s="50">
        <v>6564.87</v>
      </c>
      <c r="I17" s="51">
        <v>5.3737518213197218E-3</v>
      </c>
    </row>
    <row r="18" spans="1:9" x14ac:dyDescent="0.25">
      <c r="A18" s="57" t="s">
        <v>62</v>
      </c>
      <c r="B18" s="24">
        <v>8</v>
      </c>
      <c r="C18" s="24">
        <v>6.69</v>
      </c>
      <c r="D18" s="59">
        <v>4</v>
      </c>
      <c r="E18" s="50">
        <v>53513.37</v>
      </c>
      <c r="F18" s="50">
        <v>55526.485500000003</v>
      </c>
      <c r="G18" s="73">
        <v>59660.28</v>
      </c>
      <c r="H18" s="50">
        <v>6146.91</v>
      </c>
      <c r="I18" s="51">
        <v>4.7112814903810295E-3</v>
      </c>
    </row>
    <row r="19" spans="1:9" x14ac:dyDescent="0.25">
      <c r="A19" s="57" t="s">
        <v>65</v>
      </c>
      <c r="B19" s="24">
        <v>6</v>
      </c>
      <c r="C19" s="24">
        <v>4</v>
      </c>
      <c r="D19" s="59">
        <v>3</v>
      </c>
      <c r="E19" s="50">
        <v>52608.77</v>
      </c>
      <c r="F19" s="50">
        <v>55526.485500000003</v>
      </c>
      <c r="G19" s="73">
        <v>56985.34</v>
      </c>
      <c r="H19" s="50">
        <v>4376.57</v>
      </c>
      <c r="I19" s="51">
        <v>2.3883232286638655E-3</v>
      </c>
    </row>
    <row r="20" spans="1:9" x14ac:dyDescent="0.25">
      <c r="A20" s="55" t="s">
        <v>33</v>
      </c>
      <c r="B20" s="65">
        <v>0.05</v>
      </c>
      <c r="C20" s="65">
        <v>0.03</v>
      </c>
      <c r="D20" s="70">
        <v>0.02</v>
      </c>
      <c r="E20" s="50">
        <v>53338.38</v>
      </c>
      <c r="F20" s="50">
        <v>55526.485500000003</v>
      </c>
      <c r="G20" s="73">
        <v>55946.78</v>
      </c>
      <c r="H20" s="50">
        <v>2608.4</v>
      </c>
      <c r="I20" s="51">
        <v>8.4834738892465393E-4</v>
      </c>
    </row>
    <row r="21" spans="1:9" x14ac:dyDescent="0.25">
      <c r="A21" s="55" t="s">
        <v>40</v>
      </c>
      <c r="B21" s="24">
        <v>0.4</v>
      </c>
      <c r="C21" s="24">
        <v>0.3</v>
      </c>
      <c r="D21" s="59">
        <v>0.25</v>
      </c>
      <c r="E21" s="50">
        <v>54072.55</v>
      </c>
      <c r="F21" s="50">
        <v>55526.485500000003</v>
      </c>
      <c r="G21" s="73">
        <v>56253.45</v>
      </c>
      <c r="H21" s="50">
        <v>2180.9</v>
      </c>
      <c r="I21" s="51">
        <v>5.9305756403877491E-4</v>
      </c>
    </row>
    <row r="22" spans="1:9" x14ac:dyDescent="0.25">
      <c r="A22" s="55" t="s">
        <v>38</v>
      </c>
      <c r="B22" s="23">
        <v>4000</v>
      </c>
      <c r="C22" s="23">
        <v>3000</v>
      </c>
      <c r="D22" s="62">
        <v>2000</v>
      </c>
      <c r="E22" s="50">
        <v>54526.49</v>
      </c>
      <c r="F22" s="50">
        <v>55526.485500000003</v>
      </c>
      <c r="G22" s="73">
        <v>56526.49</v>
      </c>
      <c r="H22" s="50">
        <v>2000</v>
      </c>
      <c r="I22" s="51">
        <v>4.987527872712923E-4</v>
      </c>
    </row>
    <row r="23" spans="1:9" x14ac:dyDescent="0.25">
      <c r="A23" s="57" t="s">
        <v>70</v>
      </c>
      <c r="B23" s="24">
        <v>4</v>
      </c>
      <c r="C23" s="24">
        <v>3.5</v>
      </c>
      <c r="D23" s="59">
        <v>3</v>
      </c>
      <c r="E23" s="50">
        <v>54758.12</v>
      </c>
      <c r="F23" s="50">
        <v>55526.485500000003</v>
      </c>
      <c r="G23" s="73">
        <v>56294.85</v>
      </c>
      <c r="H23" s="50">
        <v>1536.73</v>
      </c>
      <c r="I23" s="51">
        <v>2.9445605120849856E-4</v>
      </c>
    </row>
    <row r="24" spans="1:9" x14ac:dyDescent="0.25">
      <c r="A24" s="55" t="s">
        <v>31</v>
      </c>
      <c r="B24" s="19">
        <v>50</v>
      </c>
      <c r="C24" s="19">
        <v>25</v>
      </c>
      <c r="D24" s="61">
        <v>15</v>
      </c>
      <c r="E24" s="50">
        <v>54670.879999999997</v>
      </c>
      <c r="F24" s="50">
        <v>55526.485500000003</v>
      </c>
      <c r="G24" s="73">
        <v>55663.519999999997</v>
      </c>
      <c r="H24" s="50">
        <v>992.64</v>
      </c>
      <c r="I24" s="51">
        <v>1.2285954087041105E-4</v>
      </c>
    </row>
    <row r="25" spans="1:9" x14ac:dyDescent="0.25">
      <c r="A25" s="55" t="s">
        <v>78</v>
      </c>
      <c r="B25" s="24">
        <v>40</v>
      </c>
      <c r="C25" s="24">
        <v>50</v>
      </c>
      <c r="D25" s="59">
        <v>60</v>
      </c>
      <c r="E25" s="50">
        <v>55516.18</v>
      </c>
      <c r="F25" s="50">
        <v>55526.485500000003</v>
      </c>
      <c r="G25" s="63">
        <v>55536.79</v>
      </c>
      <c r="H25" s="50">
        <v>20.61</v>
      </c>
      <c r="I25" s="51">
        <v>5.2964067207520017E-8</v>
      </c>
    </row>
    <row r="26" spans="1:9" x14ac:dyDescent="0.25">
      <c r="A26" s="55" t="s">
        <v>36</v>
      </c>
      <c r="B26" s="19">
        <v>5</v>
      </c>
      <c r="C26" s="19">
        <v>5</v>
      </c>
      <c r="D26" s="61">
        <v>5</v>
      </c>
      <c r="E26" s="50">
        <v>55526.49</v>
      </c>
      <c r="F26" s="50">
        <v>55526.485500000003</v>
      </c>
      <c r="G26" s="63">
        <v>55526.49</v>
      </c>
      <c r="H26" s="50">
        <v>0</v>
      </c>
      <c r="I26" s="51">
        <v>0</v>
      </c>
    </row>
    <row r="27" spans="1:9" x14ac:dyDescent="0.25">
      <c r="A27" s="56" t="s">
        <v>48</v>
      </c>
      <c r="B27" s="65">
        <v>-0.05</v>
      </c>
      <c r="C27" s="65">
        <v>0.5</v>
      </c>
      <c r="D27" s="70">
        <v>1</v>
      </c>
      <c r="E27" s="50">
        <v>55526.49</v>
      </c>
      <c r="F27" s="50">
        <v>55526.485500000003</v>
      </c>
      <c r="G27" s="63">
        <v>55526.49</v>
      </c>
      <c r="H27" s="50">
        <v>0</v>
      </c>
      <c r="I27" s="51">
        <v>0</v>
      </c>
    </row>
    <row r="28" spans="1:9" x14ac:dyDescent="0.25">
      <c r="A28" s="55" t="s">
        <v>52</v>
      </c>
      <c r="B28" s="65">
        <v>3.3000000000000002E-2</v>
      </c>
      <c r="C28" s="65">
        <v>0.1</v>
      </c>
      <c r="D28" s="70">
        <v>0.2</v>
      </c>
      <c r="E28" s="50">
        <v>55526.49</v>
      </c>
      <c r="F28" s="50">
        <v>55526.485500000003</v>
      </c>
      <c r="G28" s="63">
        <v>55526.49</v>
      </c>
      <c r="H28" s="50">
        <v>0</v>
      </c>
      <c r="I28" s="51">
        <v>0</v>
      </c>
    </row>
    <row r="29" spans="1:9" x14ac:dyDescent="0.25">
      <c r="A29" s="57" t="s">
        <v>54</v>
      </c>
      <c r="B29" s="65">
        <v>0.2</v>
      </c>
      <c r="C29" s="65">
        <v>0.2</v>
      </c>
      <c r="D29" s="70">
        <v>0.2</v>
      </c>
      <c r="E29" s="50">
        <v>55526.49</v>
      </c>
      <c r="F29" s="50">
        <v>55526.485500000003</v>
      </c>
      <c r="G29" s="63">
        <v>55526.49</v>
      </c>
      <c r="H29" s="50">
        <v>0</v>
      </c>
      <c r="I29" s="51">
        <v>0</v>
      </c>
    </row>
    <row r="30" spans="1:9" x14ac:dyDescent="0.25">
      <c r="A30" s="57" t="s">
        <v>68</v>
      </c>
      <c r="B30" s="24">
        <v>0.12</v>
      </c>
      <c r="C30" s="24">
        <v>0.12</v>
      </c>
      <c r="D30" s="59">
        <v>0.12</v>
      </c>
      <c r="E30" s="50">
        <v>55526.49</v>
      </c>
      <c r="F30" s="50">
        <v>55526.485500000003</v>
      </c>
      <c r="G30" s="63">
        <v>55526.49</v>
      </c>
      <c r="H30" s="50">
        <v>0</v>
      </c>
      <c r="I30" s="51">
        <v>0</v>
      </c>
    </row>
    <row r="78" spans="9:9" ht="13" x14ac:dyDescent="0.3">
      <c r="I78" s="35" t="s">
        <v>159</v>
      </c>
    </row>
  </sheetData>
  <sortState xmlns:xlrd2="http://schemas.microsoft.com/office/spreadsheetml/2017/richdata2" ref="A11:I30">
    <sortCondition descending="1" ref="H11"/>
  </sortState>
  <pageMargins left="0.7" right="0.7" top="0.75" bottom="0.75" header="0.3" footer="0.3"/>
  <pageSetup fitToHeight="0" orientation="portrait" r:id="rId1"/>
  <headerFooter>
    <oddFooter>&amp;L&amp;"Arial,Bold"SensIt Student Version, Not Licensed For Commercial Use&amp;R&amp;"Arial,Bold"&amp;10www.TreePlan.com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2"/>
  <sheetViews>
    <sheetView zoomScale="85" zoomScaleNormal="100" workbookViewId="0">
      <selection activeCell="E31" sqref="E31"/>
    </sheetView>
  </sheetViews>
  <sheetFormatPr defaultRowHeight="13" x14ac:dyDescent="0.3"/>
  <cols>
    <col min="1" max="1" width="6" customWidth="1"/>
    <col min="2" max="2" width="15.81640625" customWidth="1"/>
    <col min="3" max="3" width="14.26953125" customWidth="1"/>
    <col min="4" max="4" width="20.81640625" style="2" hidden="1" customWidth="1"/>
    <col min="5" max="5" width="11.26953125" customWidth="1"/>
    <col min="6" max="6" width="10.453125" customWidth="1"/>
    <col min="7" max="7" width="10.26953125" bestFit="1" customWidth="1"/>
    <col min="8" max="8" width="10.453125" customWidth="1"/>
    <col min="9" max="9" width="11.26953125" bestFit="1" customWidth="1"/>
    <col min="12" max="12" width="29.1796875" customWidth="1"/>
  </cols>
  <sheetData>
    <row r="1" spans="1:13" x14ac:dyDescent="0.3">
      <c r="A1" s="6" t="s">
        <v>80</v>
      </c>
      <c r="C1" s="6"/>
      <c r="D1" s="36"/>
      <c r="L1" s="37"/>
      <c r="M1" s="37"/>
    </row>
    <row r="2" spans="1:13" x14ac:dyDescent="0.3">
      <c r="L2" s="37"/>
      <c r="M2" s="37"/>
    </row>
    <row r="3" spans="1:13" x14ac:dyDescent="0.3">
      <c r="D3" s="2" t="s">
        <v>81</v>
      </c>
      <c r="E3" s="6">
        <v>1993</v>
      </c>
      <c r="F3" s="6">
        <v>1994</v>
      </c>
      <c r="G3" s="6">
        <v>1995</v>
      </c>
      <c r="H3" s="6">
        <v>1996</v>
      </c>
      <c r="I3" s="6">
        <v>1997</v>
      </c>
      <c r="L3" s="37"/>
      <c r="M3" s="37"/>
    </row>
    <row r="4" spans="1:13" x14ac:dyDescent="0.3">
      <c r="B4" t="s">
        <v>82</v>
      </c>
      <c r="D4" s="2" t="s">
        <v>83</v>
      </c>
      <c r="E4" s="38" t="b">
        <f>F8&gt;0</f>
        <v>1</v>
      </c>
      <c r="F4" s="38" t="b">
        <f>AND((E28&gt;=E24-E31),E4)</f>
        <v>1</v>
      </c>
      <c r="G4" s="38" t="b">
        <f>F4</f>
        <v>1</v>
      </c>
      <c r="H4" s="38" t="b">
        <f>G4</f>
        <v>1</v>
      </c>
      <c r="I4" s="38" t="b">
        <f>H4</f>
        <v>1</v>
      </c>
      <c r="L4" s="37"/>
      <c r="M4" s="37"/>
    </row>
    <row r="5" spans="1:13" x14ac:dyDescent="0.3">
      <c r="E5" s="6"/>
      <c r="F5" s="6"/>
      <c r="G5" s="6"/>
      <c r="H5" s="6"/>
      <c r="I5" s="6"/>
      <c r="L5" s="37"/>
      <c r="M5" s="37"/>
    </row>
    <row r="6" spans="1:13" x14ac:dyDescent="0.3">
      <c r="A6" s="6" t="s">
        <v>84</v>
      </c>
      <c r="E6" s="6"/>
      <c r="F6" s="6"/>
      <c r="G6" s="6"/>
      <c r="H6" s="6"/>
      <c r="I6" s="6"/>
      <c r="L6" s="37"/>
      <c r="M6" s="37"/>
    </row>
    <row r="7" spans="1:13" x14ac:dyDescent="0.3">
      <c r="A7" s="6"/>
      <c r="B7" t="s">
        <v>85</v>
      </c>
      <c r="E7" s="6"/>
      <c r="F7" s="6"/>
      <c r="G7" s="39">
        <v>4500</v>
      </c>
      <c r="H7" s="39">
        <v>6750</v>
      </c>
      <c r="I7" s="39">
        <v>10000</v>
      </c>
      <c r="L7" s="37"/>
      <c r="M7" s="37"/>
    </row>
    <row r="8" spans="1:13" x14ac:dyDescent="0.3">
      <c r="B8" s="9" t="s">
        <v>86</v>
      </c>
      <c r="D8" s="2" t="s">
        <v>87</v>
      </c>
      <c r="E8" s="39">
        <f>Oil_Ordered_for_93</f>
        <v>800</v>
      </c>
      <c r="F8" s="40">
        <f>Oil_Ordered_for_94</f>
        <v>2000</v>
      </c>
      <c r="G8" s="40">
        <f>G$4*G$7</f>
        <v>4500</v>
      </c>
      <c r="H8" s="40">
        <f>H$4*H$7</f>
        <v>6750</v>
      </c>
      <c r="I8" s="40">
        <f>I$4*I$7</f>
        <v>10000</v>
      </c>
      <c r="L8" s="37"/>
      <c r="M8" s="37"/>
    </row>
    <row r="9" spans="1:13" x14ac:dyDescent="0.3">
      <c r="B9" s="9"/>
      <c r="E9" s="41"/>
      <c r="F9" s="41"/>
      <c r="G9" s="41"/>
      <c r="H9" s="41"/>
      <c r="I9" s="41"/>
      <c r="L9" s="37"/>
      <c r="M9" s="37"/>
    </row>
    <row r="10" spans="1:13" x14ac:dyDescent="0.3">
      <c r="A10" s="6"/>
      <c r="B10" t="s">
        <v>88</v>
      </c>
      <c r="D10" s="2" t="s">
        <v>89</v>
      </c>
      <c r="E10" s="42">
        <f>E8*Oil_price_1993</f>
        <v>17600</v>
      </c>
      <c r="F10" s="42">
        <f>IF(F8&lt;=Inputs!$H$6,Inputs!$J$6*F8,   IF(F8&lt;=SUM(Inputs!$H$6:$H$7),  Inputs!$H$6*Inputs!$J$6+(F8-Inputs!$H$6)*Inputs!$J$7,  IF(F8&lt;=SUM(Inputs!$H$6:$H$8), SUMPRODUCT(Inputs!$H$6:$H$7,Inputs!$J$6:$J$7)+(F8-SUM(Inputs!$H$6:$H$7))*Inputs!$J$8,  IF(F8&lt;=SUM(Inputs!$H$6:$H$9), SUMPRODUCT(Inputs!$H$6:$H$8,Inputs!$J$6:$J$8)+(F8-SUM(Inputs!$H$6:$H$8))*Inputs!$J$9, SUMPRODUCT(Inputs!$H$6:$H$9,Inputs!$J$6:$J$9)+(F8-SUM(Inputs!$H$6:$H$9))*Inputs!$J$10))))</f>
        <v>43000</v>
      </c>
      <c r="G10" s="42">
        <f>IF(G8&lt;=Inputs!$H$6,Inputs!$J$6*G8,   IF(G8&lt;=SUM(Inputs!$H$6:$H$7),  Inputs!$H$6*Inputs!$J$6+(G8-Inputs!$H$6)*Inputs!$J$7,  IF(G8&lt;=SUM(Inputs!$H$6:$H$8), SUMPRODUCT(Inputs!$H$6:$H$7,Inputs!$J$6:$J$7)+(G8-SUM(Inputs!$H$6:$H$7))*Inputs!$J$8,  IF(G8&lt;=SUM(Inputs!$H$6:$H$9), SUMPRODUCT(Inputs!$H$6:$H$8,Inputs!$J$6:$J$8)+(G8-SUM(Inputs!$H$6:$H$8))*Inputs!$J$9, SUMPRODUCT(Inputs!$H$6:$H$9,Inputs!$J$6:$J$9)+(G8-SUM(Inputs!$H$6:$H$9))*Inputs!$J$10))))</f>
        <v>90500</v>
      </c>
      <c r="H10" s="42">
        <f>IF(H8&lt;=Inputs!$H$6,Inputs!$J$6*H8,   IF(H8&lt;=SUM(Inputs!$H$6:$H$7),  Inputs!$H$6*Inputs!$J$6+(H8-Inputs!$H$6)*Inputs!$J$7,  IF(H8&lt;=SUM(Inputs!$H$6:$H$8), SUMPRODUCT(Inputs!$H$6:$H$7,Inputs!$J$6:$J$7)+(H8-SUM(Inputs!$H$6:$H$7))*Inputs!$J$8,  IF(H8&lt;=SUM(Inputs!$H$6:$H$9), SUMPRODUCT(Inputs!$H$6:$H$8,Inputs!$J$6:$J$8)+(H8-SUM(Inputs!$H$6:$H$8))*Inputs!$J$9, SUMPRODUCT(Inputs!$H$6:$H$9,Inputs!$J$6:$J$9)+(H8-SUM(Inputs!$H$6:$H$9))*Inputs!$J$10))))</f>
        <v>133250</v>
      </c>
      <c r="I10" s="42">
        <f>IF(I8&lt;=Inputs!$H$6,Inputs!$J$6*I8,   IF(I8&lt;=SUM(Inputs!$H$6:$H$7),  Inputs!$H$6*Inputs!$J$6+(I8-Inputs!$H$6)*Inputs!$J$7,  IF(I8&lt;=SUM(Inputs!$H$6:$H$8), SUMPRODUCT(Inputs!$H$6:$H$7,Inputs!$J$6:$J$7)+(I8-SUM(Inputs!$H$6:$H$7))*Inputs!$J$8,  IF(I8&lt;=SUM(Inputs!$H$6:$H$9), SUMPRODUCT(Inputs!$H$6:$H$8,Inputs!$J$6:$J$8)+(I8-SUM(Inputs!$H$6:$H$8))*Inputs!$J$9, SUMPRODUCT(Inputs!$H$6:$H$9,Inputs!$J$6:$J$9)+(I8-SUM(Inputs!$H$6:$H$9))*Inputs!$J$10))))</f>
        <v>195000</v>
      </c>
      <c r="L10" s="37"/>
      <c r="M10" s="37"/>
    </row>
    <row r="11" spans="1:13" x14ac:dyDescent="0.3">
      <c r="A11" s="6"/>
      <c r="E11" s="41"/>
      <c r="F11" s="41"/>
      <c r="G11" s="41"/>
      <c r="H11" s="41"/>
      <c r="I11" s="41"/>
      <c r="L11" s="37"/>
      <c r="M11" s="37"/>
    </row>
    <row r="12" spans="1:13" x14ac:dyDescent="0.3">
      <c r="A12" s="6" t="s">
        <v>90</v>
      </c>
      <c r="E12" s="41"/>
      <c r="F12" s="41"/>
      <c r="G12" s="41"/>
      <c r="H12" s="41"/>
      <c r="I12" s="41"/>
      <c r="L12" s="37"/>
      <c r="M12" s="37"/>
    </row>
    <row r="13" spans="1:13" x14ac:dyDescent="0.3">
      <c r="B13" t="s">
        <v>91</v>
      </c>
      <c r="D13" s="2" t="s">
        <v>92</v>
      </c>
      <c r="E13" s="41">
        <v>773</v>
      </c>
      <c r="F13" s="41">
        <f>MAX(0,MIN(F8-Bottle_set_up_losses,F8)*(1-Bottle_variable_losses)-Bottle_clean_up_losses)</f>
        <v>1910.75</v>
      </c>
      <c r="G13" s="41">
        <f>MAX(0,MIN(G8-Bottle_set_up_losses,G8)*(1-Bottle_variable_losses)-Bottle_clean_up_losses)</f>
        <v>4335.75</v>
      </c>
      <c r="H13" s="41">
        <f>MAX(0,MIN(H8-Bottle_set_up_losses,H8)*(1-Bottle_variable_losses)-Bottle_clean_up_losses)</f>
        <v>6518.25</v>
      </c>
      <c r="I13" s="41">
        <f>MAX(0,MIN(I8-Bottle_set_up_losses,I8)*(1-Bottle_variable_losses)-Bottle_clean_up_losses)</f>
        <v>9670.75</v>
      </c>
      <c r="L13" s="37"/>
      <c r="M13" s="37"/>
    </row>
    <row r="14" spans="1:13" x14ac:dyDescent="0.3">
      <c r="B14" t="s">
        <v>93</v>
      </c>
      <c r="D14" s="2" t="s">
        <v>94</v>
      </c>
      <c r="E14" s="41">
        <f>E13*liters_per_gal/(liters_per_bottle*bottles_per_case)</f>
        <v>325.11521111111114</v>
      </c>
      <c r="F14" s="41">
        <f>F13*liters_per_gal/(liters_per_bottle*bottles_per_case)</f>
        <v>803.64021944444437</v>
      </c>
      <c r="G14" s="41">
        <f>G13*liters_per_gal/(liters_per_bottle*bottles_per_case)</f>
        <v>1823.5682749999999</v>
      </c>
      <c r="H14" s="41">
        <f>H13*liters_per_gal/(liters_per_bottle*bottles_per_case)</f>
        <v>2741.5035250000001</v>
      </c>
      <c r="I14" s="41">
        <f>I13*liters_per_gal/(liters_per_bottle*bottles_per_case)</f>
        <v>4067.4099972222225</v>
      </c>
      <c r="L14" s="37"/>
      <c r="M14" s="37"/>
    </row>
    <row r="15" spans="1:13" x14ac:dyDescent="0.3">
      <c r="E15" s="41"/>
      <c r="F15" s="41"/>
      <c r="G15" s="41"/>
      <c r="H15" s="41"/>
      <c r="I15" s="41"/>
      <c r="L15" s="37"/>
      <c r="M15" s="37"/>
    </row>
    <row r="16" spans="1:13" x14ac:dyDescent="0.3">
      <c r="B16" t="s">
        <v>95</v>
      </c>
      <c r="D16" s="2" t="s">
        <v>96</v>
      </c>
      <c r="E16" s="43">
        <v>0</v>
      </c>
      <c r="F16" s="43">
        <f>IF(F8&gt;0,Bottling_set_up_costs+F$14*Per_bottle_charge*bottles_per_case,0)</f>
        <v>5893.1047899999994</v>
      </c>
      <c r="G16" s="43">
        <f>IF(G8&gt;0,Bottling_set_up_costs+G$14*Per_bottle_charge*bottles_per_case,0)</f>
        <v>9564.8457899999994</v>
      </c>
      <c r="H16" s="43">
        <f>IF(H8&gt;0,Bottling_set_up_costs+H$14*Per_bottle_charge*bottles_per_case,0)</f>
        <v>12869.412690000001</v>
      </c>
      <c r="I16" s="43">
        <f>IF(I8&gt;0,Bottling_set_up_costs+I$14*Per_bottle_charge*bottles_per_case,0)</f>
        <v>17642.675990000003</v>
      </c>
      <c r="L16" s="37"/>
      <c r="M16" s="37"/>
    </row>
    <row r="17" spans="1:13" x14ac:dyDescent="0.3">
      <c r="A17" s="44"/>
      <c r="B17" t="s">
        <v>68</v>
      </c>
      <c r="D17" s="2" t="s">
        <v>97</v>
      </c>
      <c r="E17" s="43">
        <f>Printing_costs_per_case*E$14</f>
        <v>39.013825333333337</v>
      </c>
      <c r="F17" s="43">
        <f>Printing_costs_per_case*F$14</f>
        <v>96.436826333333315</v>
      </c>
      <c r="G17" s="43">
        <f>Printing_costs_per_case*G$14</f>
        <v>218.82819299999997</v>
      </c>
      <c r="H17" s="43">
        <f>Printing_costs_per_case*H$14</f>
        <v>328.98042299999997</v>
      </c>
      <c r="I17" s="43">
        <f>Printing_costs_per_case*I$14</f>
        <v>488.08919966666667</v>
      </c>
      <c r="L17" s="37"/>
      <c r="M17" s="37"/>
    </row>
    <row r="18" spans="1:13" x14ac:dyDescent="0.3">
      <c r="B18" t="s">
        <v>98</v>
      </c>
      <c r="D18" s="2" t="s">
        <v>99</v>
      </c>
      <c r="E18" s="45">
        <f>Cost_of_supplies*E$14</f>
        <v>2175.0207623333336</v>
      </c>
      <c r="F18" s="45">
        <f>Cost_of_supplies*F$14</f>
        <v>5376.3530680833328</v>
      </c>
      <c r="G18" s="45">
        <f>Cost_of_supplies*G$14</f>
        <v>12199.671759749999</v>
      </c>
      <c r="H18" s="45">
        <f>Cost_of_supplies*H$14</f>
        <v>18340.658582250002</v>
      </c>
      <c r="I18" s="45">
        <f>Cost_of_supplies*I$14</f>
        <v>27210.97288141667</v>
      </c>
      <c r="L18" s="37"/>
      <c r="M18" s="37"/>
    </row>
    <row r="19" spans="1:13" x14ac:dyDescent="0.3">
      <c r="B19" t="s">
        <v>100</v>
      </c>
      <c r="D19" s="2" t="s">
        <v>101</v>
      </c>
      <c r="E19" s="42">
        <f>SUM(E16:E18)</f>
        <v>2214.034587666667</v>
      </c>
      <c r="F19" s="42">
        <f>SUM(F16:F18)</f>
        <v>11365.894684416666</v>
      </c>
      <c r="G19" s="42">
        <f>SUM(G16:G18)</f>
        <v>21983.345742749996</v>
      </c>
      <c r="H19" s="42">
        <f>SUM(H16:H18)</f>
        <v>31539.051695250004</v>
      </c>
      <c r="I19" s="42">
        <f>SUM(I16:I18)</f>
        <v>45341.738071083339</v>
      </c>
      <c r="L19" s="37"/>
      <c r="M19" s="37"/>
    </row>
    <row r="20" spans="1:13" x14ac:dyDescent="0.3">
      <c r="E20" s="39"/>
      <c r="F20" s="41"/>
      <c r="G20" s="41"/>
      <c r="H20" s="41"/>
      <c r="I20" s="41"/>
      <c r="L20" s="37"/>
      <c r="M20" s="37"/>
    </row>
    <row r="21" spans="1:13" x14ac:dyDescent="0.3">
      <c r="A21" s="6" t="s">
        <v>102</v>
      </c>
      <c r="E21" s="39"/>
      <c r="F21" s="41"/>
      <c r="G21" s="41"/>
      <c r="H21" s="41"/>
      <c r="I21" s="41"/>
      <c r="L21" s="37"/>
      <c r="M21" s="37"/>
    </row>
    <row r="22" spans="1:13" x14ac:dyDescent="0.3">
      <c r="A22" s="6"/>
      <c r="B22" t="s">
        <v>103</v>
      </c>
      <c r="D22" s="2" t="s">
        <v>104</v>
      </c>
      <c r="E22" s="41">
        <v>0</v>
      </c>
      <c r="F22" s="41">
        <f>E34</f>
        <v>0</v>
      </c>
      <c r="G22" s="41">
        <f>F34</f>
        <v>0</v>
      </c>
      <c r="H22" s="41">
        <f>G34</f>
        <v>7.3898612499997398</v>
      </c>
      <c r="I22" s="41">
        <f>H34</f>
        <v>23.948716937499739</v>
      </c>
      <c r="L22" s="37"/>
      <c r="M22" s="37"/>
    </row>
    <row r="23" spans="1:13" x14ac:dyDescent="0.3">
      <c r="A23" s="6"/>
      <c r="B23" t="s">
        <v>93</v>
      </c>
      <c r="E23" s="41">
        <f>E$14</f>
        <v>325.11521111111114</v>
      </c>
      <c r="F23" s="41">
        <f>F$14</f>
        <v>803.64021944444437</v>
      </c>
      <c r="G23" s="41">
        <f>G$14</f>
        <v>1823.5682749999999</v>
      </c>
      <c r="H23" s="41">
        <f>H$14</f>
        <v>2741.5035250000001</v>
      </c>
      <c r="I23" s="41">
        <f>I$14</f>
        <v>4067.4099972222225</v>
      </c>
      <c r="L23" s="37"/>
      <c r="M23" s="37"/>
    </row>
    <row r="24" spans="1:13" x14ac:dyDescent="0.3">
      <c r="B24" t="s">
        <v>105</v>
      </c>
      <c r="D24" s="2" t="s">
        <v>106</v>
      </c>
      <c r="E24" s="41">
        <f>E22+E23</f>
        <v>325.11521111111114</v>
      </c>
      <c r="F24" s="41">
        <f>F22+F23</f>
        <v>803.64021944444437</v>
      </c>
      <c r="G24" s="41">
        <f>G22+G23</f>
        <v>1823.5682749999999</v>
      </c>
      <c r="H24" s="41">
        <f>H22+H23</f>
        <v>2748.8933862499998</v>
      </c>
      <c r="I24" s="41">
        <f>I22+I23</f>
        <v>4091.3587141597222</v>
      </c>
      <c r="L24" s="37"/>
      <c r="M24" s="37"/>
    </row>
    <row r="25" spans="1:13" x14ac:dyDescent="0.3">
      <c r="L25" s="37"/>
      <c r="M25" s="37"/>
    </row>
    <row r="26" spans="1:13" x14ac:dyDescent="0.3">
      <c r="B26" t="s">
        <v>107</v>
      </c>
      <c r="D26" s="2" t="s">
        <v>108</v>
      </c>
      <c r="E26" s="43">
        <f>Warehouse_expenses*E$24</f>
        <v>1137.9032388888891</v>
      </c>
      <c r="F26" s="43">
        <f>Warehouse_expenses*F$24</f>
        <v>2812.7407680555552</v>
      </c>
      <c r="G26" s="43">
        <f>Warehouse_expenses*G$24</f>
        <v>6382.4889624999996</v>
      </c>
      <c r="H26" s="43">
        <f>Warehouse_expenses*H$24</f>
        <v>9621.1268518750003</v>
      </c>
      <c r="I26" s="43">
        <f>Warehouse_expenses*I$24</f>
        <v>14319.755499559027</v>
      </c>
      <c r="L26" s="37"/>
      <c r="M26" s="37"/>
    </row>
    <row r="27" spans="1:13" x14ac:dyDescent="0.3">
      <c r="L27" s="37"/>
      <c r="M27" s="37"/>
    </row>
    <row r="28" spans="1:13" x14ac:dyDescent="0.3">
      <c r="A28" s="6" t="s">
        <v>109</v>
      </c>
      <c r="D28" s="2" t="s">
        <v>110</v>
      </c>
      <c r="E28" s="46">
        <f>Demand_1993</f>
        <v>350</v>
      </c>
      <c r="F28" s="46">
        <f>Demand_1994</f>
        <v>1150</v>
      </c>
      <c r="G28" s="46">
        <f>F28*(1+Demand_growth_rate)</f>
        <v>1725</v>
      </c>
      <c r="H28" s="46">
        <f>G28*(1+Demand_growth_rate)</f>
        <v>2587.5</v>
      </c>
      <c r="I28" s="46">
        <f>H28*(1+Demand_growth_rate)</f>
        <v>3881.25</v>
      </c>
      <c r="L28" s="37"/>
      <c r="M28" s="37"/>
    </row>
    <row r="29" spans="1:13" x14ac:dyDescent="0.3">
      <c r="L29" s="37"/>
      <c r="M29" s="37"/>
    </row>
    <row r="30" spans="1:13" x14ac:dyDescent="0.3">
      <c r="A30" s="6" t="s">
        <v>111</v>
      </c>
      <c r="L30" s="37"/>
      <c r="M30" s="37"/>
    </row>
    <row r="31" spans="1:13" x14ac:dyDescent="0.3">
      <c r="A31" s="6"/>
      <c r="B31" t="s">
        <v>112</v>
      </c>
      <c r="D31" s="2" t="s">
        <v>113</v>
      </c>
      <c r="E31" s="28">
        <f>E$24*Marketing_case_fraction</f>
        <v>16.255760555555558</v>
      </c>
      <c r="F31" s="28">
        <f>E4*F$24*Marketing_case_fraction</f>
        <v>40.182010972222223</v>
      </c>
      <c r="G31" s="28">
        <f>F4*G$24*Marketing_case_fraction</f>
        <v>91.178413750000004</v>
      </c>
      <c r="H31" s="28">
        <f>G4*H$24*Marketing_case_fraction</f>
        <v>137.4446693125</v>
      </c>
      <c r="I31" s="28">
        <f>H4*I$24*Marketing_case_fraction</f>
        <v>204.56793570798612</v>
      </c>
      <c r="L31" s="37"/>
      <c r="M31" s="37"/>
    </row>
    <row r="32" spans="1:13" x14ac:dyDescent="0.3">
      <c r="A32" s="6"/>
      <c r="B32" t="s">
        <v>114</v>
      </c>
      <c r="D32" s="2" t="s">
        <v>115</v>
      </c>
      <c r="E32" s="41">
        <f>MIN(E24-E31,E28)</f>
        <v>308.85945055555555</v>
      </c>
      <c r="F32" s="41">
        <f>MIN(F24-F31,F28)</f>
        <v>763.45820847222217</v>
      </c>
      <c r="G32" s="41">
        <f>MIN(G24-G31,G28)</f>
        <v>1725</v>
      </c>
      <c r="H32" s="41">
        <f>MIN(H24-H31,H28)</f>
        <v>2587.5</v>
      </c>
      <c r="I32" s="41">
        <f>MIN(I24-I31,I28)</f>
        <v>3881.25</v>
      </c>
      <c r="L32" s="37"/>
      <c r="M32" s="37"/>
    </row>
    <row r="33" spans="1:13" x14ac:dyDescent="0.3">
      <c r="B33" t="s">
        <v>116</v>
      </c>
      <c r="D33" s="2" t="s">
        <v>117</v>
      </c>
      <c r="E33" s="41">
        <f>((NOT(E$4)*(E$24-E$31-E$32)))</f>
        <v>0</v>
      </c>
      <c r="F33" s="41">
        <f>((NOT(F$4)*(F$24-F$31-F$32)))</f>
        <v>0</v>
      </c>
      <c r="G33" s="41">
        <f>((NOT(G$4)*(G$24-G$31-G$32)))</f>
        <v>0</v>
      </c>
      <c r="H33" s="41">
        <f>((NOT(H$4)*(H$24-H$31-H$32)))</f>
        <v>0</v>
      </c>
      <c r="I33" s="41">
        <f>((NOT(I$4)*(I$24-I$31-I$32)))</f>
        <v>0</v>
      </c>
      <c r="L33" s="37"/>
      <c r="M33" s="37"/>
    </row>
    <row r="34" spans="1:13" x14ac:dyDescent="0.3">
      <c r="B34" t="s">
        <v>118</v>
      </c>
      <c r="E34" s="41">
        <f>E$24-E$31-E$32-E$33</f>
        <v>0</v>
      </c>
      <c r="F34" s="41">
        <f>F$24-F$31-F$32-F$33</f>
        <v>0</v>
      </c>
      <c r="G34" s="41">
        <f>G$24-G$31-G$32-G$33</f>
        <v>7.3898612499997398</v>
      </c>
      <c r="H34" s="41">
        <f>H$24-H$31-H$32-H$33</f>
        <v>23.948716937499739</v>
      </c>
      <c r="I34" s="41">
        <f>I$24-I$31-I$32-I$33</f>
        <v>5.5407784517360597</v>
      </c>
      <c r="L34" s="37"/>
      <c r="M34" s="37"/>
    </row>
    <row r="35" spans="1:13" x14ac:dyDescent="0.3">
      <c r="E35" s="41"/>
      <c r="F35" s="41"/>
      <c r="G35" s="41"/>
      <c r="H35" s="41"/>
      <c r="I35" s="41"/>
      <c r="L35" s="37"/>
      <c r="M35" s="37"/>
    </row>
    <row r="36" spans="1:13" x14ac:dyDescent="0.3">
      <c r="A36" s="6" t="s">
        <v>119</v>
      </c>
      <c r="L36" s="37"/>
      <c r="M36" s="37"/>
    </row>
    <row r="37" spans="1:13" x14ac:dyDescent="0.3">
      <c r="B37" t="s">
        <v>120</v>
      </c>
      <c r="D37" s="2" t="s">
        <v>121</v>
      </c>
      <c r="E37" s="43">
        <f>E$32*Revenue_Per_case_sold</f>
        <v>46328.917583333336</v>
      </c>
      <c r="F37" s="43">
        <f>F$32*Revenue_Per_case_sold</f>
        <v>114518.73127083332</v>
      </c>
      <c r="G37" s="43">
        <f>G$32*Revenue_Per_case_sold</f>
        <v>258750</v>
      </c>
      <c r="H37" s="43">
        <f>H$32*Revenue_Per_case_sold</f>
        <v>388125</v>
      </c>
      <c r="I37" s="43">
        <f>I$32*Revenue_Per_case_sold</f>
        <v>582187.5</v>
      </c>
      <c r="L37" s="37"/>
      <c r="M37" s="37"/>
    </row>
    <row r="38" spans="1:13" x14ac:dyDescent="0.3">
      <c r="B38" t="s">
        <v>122</v>
      </c>
      <c r="D38" s="2" t="s">
        <v>123</v>
      </c>
      <c r="E38" s="45">
        <f>Revenue_Per_case_sold*Salvage_percentage_value*E$33</f>
        <v>0</v>
      </c>
      <c r="F38" s="45">
        <f>Revenue_Per_case_sold*Salvage_percentage_value*F$33</f>
        <v>0</v>
      </c>
      <c r="G38" s="45">
        <f>Revenue_Per_case_sold*Salvage_percentage_value*G$33</f>
        <v>0</v>
      </c>
      <c r="H38" s="45">
        <f>Revenue_Per_case_sold*Salvage_percentage_value*H$33</f>
        <v>0</v>
      </c>
      <c r="I38" s="45">
        <f>Revenue_Per_case_sold*Salvage_percentage_value*I$33</f>
        <v>0</v>
      </c>
      <c r="L38" s="37"/>
      <c r="M38" s="37"/>
    </row>
    <row r="39" spans="1:13" x14ac:dyDescent="0.3">
      <c r="B39" t="s">
        <v>124</v>
      </c>
      <c r="D39" s="2" t="s">
        <v>119</v>
      </c>
      <c r="E39" s="43">
        <f>SUM(E37:E38)</f>
        <v>46328.917583333336</v>
      </c>
      <c r="F39" s="43">
        <f>SUM(F37:F38)</f>
        <v>114518.73127083332</v>
      </c>
      <c r="G39" s="43">
        <f>SUM(G37:G38)</f>
        <v>258750</v>
      </c>
      <c r="H39" s="43">
        <f>SUM(H37:H38)</f>
        <v>388125</v>
      </c>
      <c r="I39" s="43">
        <f>SUM(I37:I38)</f>
        <v>582187.5</v>
      </c>
      <c r="L39" s="37"/>
      <c r="M39" s="37"/>
    </row>
    <row r="40" spans="1:13" x14ac:dyDescent="0.3">
      <c r="E40" s="41"/>
      <c r="F40" s="41"/>
      <c r="G40" s="41"/>
      <c r="H40" s="41"/>
      <c r="I40" s="41"/>
      <c r="L40" s="37"/>
      <c r="M40" s="37"/>
    </row>
    <row r="41" spans="1:13" x14ac:dyDescent="0.3">
      <c r="A41" s="6" t="s">
        <v>125</v>
      </c>
      <c r="E41" s="41"/>
      <c r="F41" s="41"/>
      <c r="G41" s="41"/>
      <c r="H41" s="41"/>
      <c r="I41" s="41"/>
      <c r="L41" s="37"/>
      <c r="M41" s="37"/>
    </row>
    <row r="42" spans="1:13" x14ac:dyDescent="0.3">
      <c r="A42" s="44"/>
      <c r="B42" t="s">
        <v>65</v>
      </c>
      <c r="D42" s="2" t="s">
        <v>126</v>
      </c>
      <c r="E42" s="43">
        <f>E$32*Freight_expenses_per_case</f>
        <v>1235.4378022222222</v>
      </c>
      <c r="F42" s="43">
        <f>F$32*Freight_expenses_per_case</f>
        <v>3053.8328338888887</v>
      </c>
      <c r="G42" s="43">
        <f>G$32*Freight_expenses_per_case</f>
        <v>6900</v>
      </c>
      <c r="H42" s="43">
        <f>H$32*Freight_expenses_per_case</f>
        <v>10350</v>
      </c>
      <c r="I42" s="43">
        <f>I$32*Freight_expenses_per_case</f>
        <v>15525</v>
      </c>
      <c r="L42" s="37"/>
      <c r="M42" s="37"/>
    </row>
    <row r="43" spans="1:13" x14ac:dyDescent="0.3">
      <c r="A43" s="44"/>
      <c r="B43" t="s">
        <v>127</v>
      </c>
      <c r="D43" s="2" t="s">
        <v>128</v>
      </c>
      <c r="E43" s="43">
        <f>E$37*Broker_fee_1993</f>
        <v>9265.7835166666682</v>
      </c>
      <c r="F43" s="43">
        <f>F$37*Broker_fee_after_1993</f>
        <v>22903.746254166665</v>
      </c>
      <c r="G43" s="43">
        <f>G$37*Broker_fee_after_1993</f>
        <v>51750</v>
      </c>
      <c r="H43" s="43">
        <f>H$37*Broker_fee_after_1993</f>
        <v>77625</v>
      </c>
      <c r="I43" s="43">
        <f>I$37*Broker_fee_after_1993</f>
        <v>116437.5</v>
      </c>
      <c r="L43" s="37"/>
      <c r="M43" s="37"/>
    </row>
    <row r="44" spans="1:13" x14ac:dyDescent="0.3">
      <c r="B44" t="s">
        <v>73</v>
      </c>
      <c r="D44" s="2" t="s">
        <v>129</v>
      </c>
      <c r="E44" s="45">
        <f>Advertising_fraction*E$37</f>
        <v>1389.8675275000001</v>
      </c>
      <c r="F44" s="45">
        <f>Advertising_fraction*F$37</f>
        <v>3435.5619381249994</v>
      </c>
      <c r="G44" s="45">
        <f>Advertising_fraction*G$37</f>
        <v>7762.5</v>
      </c>
      <c r="H44" s="45">
        <f>Advertising_fraction*H$37</f>
        <v>11643.75</v>
      </c>
      <c r="I44" s="45">
        <f>Advertising_fraction*I$37</f>
        <v>17465.625</v>
      </c>
      <c r="L44" s="37"/>
      <c r="M44" s="37"/>
    </row>
    <row r="45" spans="1:13" x14ac:dyDescent="0.3">
      <c r="B45" t="s">
        <v>130</v>
      </c>
      <c r="D45" s="2" t="s">
        <v>131</v>
      </c>
      <c r="E45" s="43">
        <f>SUM(E42:E44)</f>
        <v>11891.088846388891</v>
      </c>
      <c r="F45" s="43">
        <f>SUM(F42:F44)</f>
        <v>29393.141026180554</v>
      </c>
      <c r="G45" s="43">
        <f>SUM(G42:G44)</f>
        <v>66412.5</v>
      </c>
      <c r="H45" s="43">
        <f>SUM(H42:H44)</f>
        <v>99618.75</v>
      </c>
      <c r="I45" s="43">
        <f>SUM(I42:I44)</f>
        <v>149428.125</v>
      </c>
      <c r="L45" s="37"/>
      <c r="M45" s="37"/>
    </row>
    <row r="46" spans="1:13" x14ac:dyDescent="0.3">
      <c r="E46" s="43"/>
      <c r="F46" s="43"/>
      <c r="G46" s="43"/>
      <c r="H46" s="43"/>
      <c r="I46" s="43"/>
      <c r="L46" s="37"/>
      <c r="M46" s="37"/>
    </row>
    <row r="47" spans="1:13" x14ac:dyDescent="0.3">
      <c r="A47" s="6" t="s">
        <v>132</v>
      </c>
      <c r="E47" s="43"/>
      <c r="F47" s="43"/>
      <c r="G47" s="43"/>
      <c r="H47" s="43"/>
      <c r="I47" s="43"/>
      <c r="L47" s="37"/>
      <c r="M47" s="37"/>
    </row>
    <row r="48" spans="1:13" x14ac:dyDescent="0.3">
      <c r="B48" t="s">
        <v>133</v>
      </c>
      <c r="E48" s="43">
        <f>E$10</f>
        <v>17600</v>
      </c>
      <c r="F48" s="43">
        <f>F$10</f>
        <v>43000</v>
      </c>
      <c r="G48" s="43">
        <f>G$10</f>
        <v>90500</v>
      </c>
      <c r="H48" s="43">
        <f>H$10</f>
        <v>133250</v>
      </c>
      <c r="I48" s="43">
        <f>I$10</f>
        <v>195000</v>
      </c>
      <c r="L48" s="37"/>
      <c r="M48" s="37"/>
    </row>
    <row r="49" spans="1:13" x14ac:dyDescent="0.3">
      <c r="B49" t="s">
        <v>134</v>
      </c>
      <c r="E49" s="43">
        <f>E$19</f>
        <v>2214.034587666667</v>
      </c>
      <c r="F49" s="43">
        <f>F$19</f>
        <v>11365.894684416666</v>
      </c>
      <c r="G49" s="43">
        <f>G$19</f>
        <v>21983.345742749996</v>
      </c>
      <c r="H49" s="43">
        <f>H$19</f>
        <v>31539.051695250004</v>
      </c>
      <c r="I49" s="43">
        <f>I$19</f>
        <v>45341.738071083339</v>
      </c>
      <c r="L49" s="37"/>
      <c r="M49" s="37"/>
    </row>
    <row r="50" spans="1:13" x14ac:dyDescent="0.3">
      <c r="B50" t="s">
        <v>107</v>
      </c>
      <c r="E50" s="43">
        <f>E$26</f>
        <v>1137.9032388888891</v>
      </c>
      <c r="F50" s="43">
        <f>F$26</f>
        <v>2812.7407680555552</v>
      </c>
      <c r="G50" s="43">
        <f>G$26</f>
        <v>6382.4889624999996</v>
      </c>
      <c r="H50" s="43">
        <f>H$26</f>
        <v>9621.1268518750003</v>
      </c>
      <c r="I50" s="43">
        <f>I$26</f>
        <v>14319.755499559027</v>
      </c>
    </row>
    <row r="51" spans="1:13" x14ac:dyDescent="0.3">
      <c r="B51" t="s">
        <v>135</v>
      </c>
      <c r="E51" s="45">
        <f>E$45</f>
        <v>11891.088846388891</v>
      </c>
      <c r="F51" s="45">
        <f>F$45</f>
        <v>29393.141026180554</v>
      </c>
      <c r="G51" s="45">
        <f>G$45</f>
        <v>66412.5</v>
      </c>
      <c r="H51" s="45">
        <f>H$45</f>
        <v>99618.75</v>
      </c>
      <c r="I51" s="45">
        <f>I$45</f>
        <v>149428.125</v>
      </c>
    </row>
    <row r="52" spans="1:13" x14ac:dyDescent="0.3">
      <c r="B52" t="s">
        <v>136</v>
      </c>
      <c r="D52" s="2" t="s">
        <v>137</v>
      </c>
      <c r="E52" s="43">
        <f>SUM(E48:E51)</f>
        <v>32843.026672944448</v>
      </c>
      <c r="F52" s="43">
        <f>SUM(F48:F51)</f>
        <v>86571.77647865277</v>
      </c>
      <c r="G52" s="43">
        <f>SUM(G48:G51)</f>
        <v>185278.33470524999</v>
      </c>
      <c r="H52" s="43">
        <f>SUM(H48:H51)</f>
        <v>274028.92854712502</v>
      </c>
      <c r="I52" s="43">
        <f>SUM(I48:I51)</f>
        <v>404089.61857064231</v>
      </c>
    </row>
    <row r="53" spans="1:13" x14ac:dyDescent="0.3">
      <c r="E53" s="41"/>
      <c r="F53" s="41"/>
      <c r="G53" s="41"/>
      <c r="H53" s="41"/>
      <c r="I53" s="41"/>
    </row>
    <row r="54" spans="1:13" x14ac:dyDescent="0.3">
      <c r="A54" s="6" t="s">
        <v>138</v>
      </c>
      <c r="D54" s="2" t="s">
        <v>139</v>
      </c>
      <c r="E54" s="43">
        <f>GA_Fraction*E$39</f>
        <v>694.93376375000003</v>
      </c>
      <c r="F54" s="43">
        <f>GA_Fraction*F$39</f>
        <v>1717.7809690624997</v>
      </c>
      <c r="G54" s="43">
        <f>GA_Fraction*G$39</f>
        <v>3881.25</v>
      </c>
      <c r="H54" s="43">
        <f>GA_Fraction*H$39</f>
        <v>5821.875</v>
      </c>
      <c r="I54" s="43">
        <f>GA_Fraction*I$39</f>
        <v>8732.8125</v>
      </c>
    </row>
    <row r="55" spans="1:13" x14ac:dyDescent="0.3">
      <c r="A55" s="6"/>
      <c r="B55" t="s">
        <v>140</v>
      </c>
      <c r="D55" s="2" t="s">
        <v>141</v>
      </c>
      <c r="E55" s="43">
        <v>1100</v>
      </c>
      <c r="F55" s="41"/>
      <c r="G55" s="41"/>
      <c r="H55" s="41"/>
      <c r="I55" s="41"/>
    </row>
    <row r="56" spans="1:13" x14ac:dyDescent="0.3">
      <c r="A56" s="6"/>
      <c r="E56" s="41"/>
      <c r="F56" s="41"/>
      <c r="G56" s="41"/>
      <c r="H56" s="41"/>
      <c r="I56" s="41"/>
    </row>
    <row r="57" spans="1:13" ht="13.5" thickBot="1" x14ac:dyDescent="0.35">
      <c r="A57" s="6" t="s">
        <v>142</v>
      </c>
      <c r="E57" s="47">
        <f>E39-E$52-E$54-E$55</f>
        <v>11690.957146638888</v>
      </c>
      <c r="F57" s="47">
        <f>F39-F$52-F$54-F$55</f>
        <v>26229.17382311805</v>
      </c>
      <c r="G57" s="47">
        <f>G39-G$52-G$54-G$55</f>
        <v>69590.415294750012</v>
      </c>
      <c r="H57" s="47">
        <f>H39-H$52-H$54-H$55</f>
        <v>108274.19645287498</v>
      </c>
      <c r="I57" s="47">
        <f>I39-I$52-I$54-I$55</f>
        <v>169365.06892935769</v>
      </c>
    </row>
    <row r="58" spans="1:13" ht="13.5" thickTop="1" x14ac:dyDescent="0.3">
      <c r="E58" s="41"/>
      <c r="F58" s="41"/>
      <c r="G58" s="41"/>
      <c r="H58" s="41"/>
      <c r="I58" s="41"/>
    </row>
    <row r="59" spans="1:13" x14ac:dyDescent="0.3">
      <c r="A59" s="6" t="s">
        <v>143</v>
      </c>
      <c r="E59" s="41"/>
      <c r="F59" s="43">
        <f>IF(F4,F34*Value_of_inventory,0)</f>
        <v>0</v>
      </c>
      <c r="G59" s="3"/>
      <c r="I59" s="3"/>
    </row>
    <row r="60" spans="1:13" x14ac:dyDescent="0.3">
      <c r="A60" s="6" t="s">
        <v>144</v>
      </c>
      <c r="E60" s="41"/>
      <c r="F60" s="43">
        <f>E57+F57+F59</f>
        <v>37920.130969756938</v>
      </c>
      <c r="G60" s="43"/>
      <c r="H60" s="43"/>
      <c r="I60" s="43"/>
      <c r="J60" s="43"/>
    </row>
    <row r="61" spans="1:13" x14ac:dyDescent="0.3">
      <c r="F61" s="3"/>
    </row>
    <row r="62" spans="1:13" x14ac:dyDescent="0.3">
      <c r="F62" s="3"/>
    </row>
  </sheetData>
  <printOptions horizontalCentered="1" verticalCentered="1"/>
  <pageMargins left="0.75" right="0.75" top="1" bottom="1" header="0.5" footer="0.5"/>
  <pageSetup scale="86" orientation="portrait" horizontalDpi="300" verticalDpi="300" r:id="rId1"/>
  <headerFooter alignWithMargins="0"/>
  <rowBreaks count="1" manualBreakCount="1">
    <brk id="60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Inputs</vt:lpstr>
      <vt:lpstr>SensIt Tornado 2</vt:lpstr>
      <vt:lpstr>SensIt Tornado 1</vt:lpstr>
      <vt:lpstr>Cash flows</vt:lpstr>
      <vt:lpstr>Advertising_fraction</vt:lpstr>
      <vt:lpstr>Bottle_clean_up_losses</vt:lpstr>
      <vt:lpstr>Bottle_set_up_losses</vt:lpstr>
      <vt:lpstr>Bottle_variable_losses</vt:lpstr>
      <vt:lpstr>bottles_per_case</vt:lpstr>
      <vt:lpstr>Bottling_set_up_costs</vt:lpstr>
      <vt:lpstr>Broker_fee_1993</vt:lpstr>
      <vt:lpstr>Broker_fee_after_1993</vt:lpstr>
      <vt:lpstr>Cost_of_supplies</vt:lpstr>
      <vt:lpstr>Demand_1993</vt:lpstr>
      <vt:lpstr>Demand_1994</vt:lpstr>
      <vt:lpstr>Demand_growth_rate</vt:lpstr>
      <vt:lpstr>Freight_expenses_per_case</vt:lpstr>
      <vt:lpstr>GA_Fraction</vt:lpstr>
      <vt:lpstr>liters_per_bottle</vt:lpstr>
      <vt:lpstr>liters_per_gal</vt:lpstr>
      <vt:lpstr>Marketing_case_fraction</vt:lpstr>
      <vt:lpstr>Oil_Ordered_for_93</vt:lpstr>
      <vt:lpstr>Oil_Ordered_for_94</vt:lpstr>
      <vt:lpstr>Oil_price_1993</vt:lpstr>
      <vt:lpstr>Per_bottle_charge</vt:lpstr>
      <vt:lpstr>'Cash flows'!Print_Area</vt:lpstr>
      <vt:lpstr>Inputs!Print_Area</vt:lpstr>
      <vt:lpstr>'SensIt Tornado 1'!Print_Area</vt:lpstr>
      <vt:lpstr>'SensIt Tornado 2'!Print_Area</vt:lpstr>
      <vt:lpstr>Printing_costs_per_case</vt:lpstr>
      <vt:lpstr>Revenue_Per_case_sold</vt:lpstr>
      <vt:lpstr>Salvage_percentage_value</vt:lpstr>
      <vt:lpstr>Value_of_inventory</vt:lpstr>
      <vt:lpstr>Warehouse_expenses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FacDS - James Smith</dc:creator>
  <cp:lastModifiedBy>ML</cp:lastModifiedBy>
  <dcterms:created xsi:type="dcterms:W3CDTF">2012-04-06T19:02:30Z</dcterms:created>
  <dcterms:modified xsi:type="dcterms:W3CDTF">2020-02-10T03:28:08Z</dcterms:modified>
</cp:coreProperties>
</file>