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zarsky\OneDrive\Dokumenty\DIPL\evaluation-of-comprehensibility\comprehensibility_study\"/>
    </mc:Choice>
  </mc:AlternateContent>
  <bookViews>
    <workbookView xWindow="0" yWindow="0" windowWidth="28800" windowHeight="9600" firstSheet="3" activeTab="4"/>
  </bookViews>
  <sheets>
    <sheet name="Vis type vs. success ratio" sheetId="4" state="hidden" r:id="rId1"/>
    <sheet name="Subj.compre. vs. success ratio" sheetId="5" state="hidden" r:id="rId2"/>
    <sheet name="Comprehensibility" sheetId="7" state="hidden" r:id="rId3"/>
    <sheet name="Subj.compreh. pivot" sheetId="17" r:id="rId4"/>
    <sheet name="Results" sheetId="1" r:id="rId5"/>
    <sheet name="Deleted IDs" sheetId="13" state="hidden" r:id="rId6"/>
    <sheet name="Pivot" sheetId="16" r:id="rId7"/>
    <sheet name="Prior know. vs. correct answers" sheetId="6" r:id="rId8"/>
    <sheet name="Time vs. correct answers" sheetId="9" r:id="rId9"/>
    <sheet name="Subj. compr. vs. correct answer" sheetId="10" r:id="rId10"/>
    <sheet name="Subj. compr. vs time" sheetId="11" r:id="rId11"/>
    <sheet name="Correct per visualization" sheetId="12" r:id="rId12"/>
    <sheet name="Time per visualization" sheetId="14" r:id="rId13"/>
    <sheet name="Subj.com. per visualization" sheetId="18" r:id="rId14"/>
    <sheet name="Correct calc" sheetId="3" r:id="rId15"/>
    <sheet name="Correct answers" sheetId="2" r:id="rId16"/>
  </sheets>
  <calcPr calcId="162913"/>
  <pivotCaches>
    <pivotCache cacheId="0"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9" i="16" l="1"/>
  <c r="R20" i="16"/>
  <c r="R18" i="16"/>
  <c r="Q19" i="16"/>
  <c r="Q20" i="16"/>
  <c r="Q18" i="16"/>
  <c r="P19" i="16"/>
  <c r="P20" i="16"/>
  <c r="P18" i="16"/>
  <c r="O19" i="16"/>
  <c r="O20" i="16"/>
  <c r="O18" i="16"/>
  <c r="N19" i="16"/>
  <c r="N20" i="16"/>
  <c r="N18" i="16"/>
  <c r="M19" i="16"/>
  <c r="M20" i="16"/>
  <c r="M18" i="16"/>
  <c r="L19" i="16"/>
  <c r="L20" i="16"/>
  <c r="L18" i="16"/>
  <c r="K19" i="16"/>
  <c r="K20" i="16"/>
  <c r="K18" i="16"/>
  <c r="B2" i="9" l="1"/>
  <c r="S24" i="1"/>
  <c r="S56" i="1"/>
  <c r="S88" i="1"/>
  <c r="S120" i="1"/>
  <c r="S152" i="1"/>
  <c r="S184" i="1"/>
  <c r="CS2" i="1"/>
  <c r="CS3" i="1"/>
  <c r="CS4" i="1"/>
  <c r="CS5" i="1"/>
  <c r="CS6" i="1"/>
  <c r="CS7" i="1"/>
  <c r="CS8" i="1"/>
  <c r="CS9" i="1"/>
  <c r="CS10" i="1"/>
  <c r="CS11" i="1"/>
  <c r="CS12" i="1"/>
  <c r="CS13" i="1"/>
  <c r="CS14" i="1"/>
  <c r="CS15" i="1"/>
  <c r="CS16" i="1"/>
  <c r="CS17"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R2" i="1"/>
  <c r="CR3" i="1"/>
  <c r="CR4" i="1"/>
  <c r="CR5" i="1"/>
  <c r="CR6" i="1"/>
  <c r="CR7" i="1"/>
  <c r="CR8" i="1"/>
  <c r="CR9" i="1"/>
  <c r="CR10" i="1"/>
  <c r="CR11" i="1"/>
  <c r="CR12" i="1"/>
  <c r="CR13" i="1"/>
  <c r="CR14" i="1"/>
  <c r="CR15" i="1"/>
  <c r="CR16" i="1"/>
  <c r="CR17" i="1"/>
  <c r="CR18" i="1"/>
  <c r="CR19" i="1"/>
  <c r="CR20"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Q2" i="1"/>
  <c r="CQ3" i="1"/>
  <c r="CQ4" i="1"/>
  <c r="S4" i="1" s="1"/>
  <c r="CQ5" i="1"/>
  <c r="CQ6" i="1"/>
  <c r="CQ7" i="1"/>
  <c r="CQ8" i="1"/>
  <c r="S8" i="1" s="1"/>
  <c r="CQ9" i="1"/>
  <c r="CQ10" i="1"/>
  <c r="CQ11" i="1"/>
  <c r="CQ12" i="1"/>
  <c r="S12" i="1" s="1"/>
  <c r="CQ13" i="1"/>
  <c r="CQ14" i="1"/>
  <c r="CQ15" i="1"/>
  <c r="CQ16" i="1"/>
  <c r="S16" i="1" s="1"/>
  <c r="CQ17" i="1"/>
  <c r="CQ18" i="1"/>
  <c r="CQ19" i="1"/>
  <c r="CQ20" i="1"/>
  <c r="S20" i="1" s="1"/>
  <c r="CQ21" i="1"/>
  <c r="CQ22" i="1"/>
  <c r="CQ23" i="1"/>
  <c r="CQ24" i="1"/>
  <c r="CQ25" i="1"/>
  <c r="CQ26" i="1"/>
  <c r="CQ27" i="1"/>
  <c r="CQ28" i="1"/>
  <c r="S28" i="1" s="1"/>
  <c r="CQ29" i="1"/>
  <c r="CQ30" i="1"/>
  <c r="CQ31" i="1"/>
  <c r="CQ32" i="1"/>
  <c r="S32" i="1" s="1"/>
  <c r="CQ33" i="1"/>
  <c r="CQ34" i="1"/>
  <c r="CQ35" i="1"/>
  <c r="CQ36" i="1"/>
  <c r="S36" i="1" s="1"/>
  <c r="CQ37" i="1"/>
  <c r="CQ38" i="1"/>
  <c r="CQ39" i="1"/>
  <c r="CQ40" i="1"/>
  <c r="S40" i="1" s="1"/>
  <c r="CQ41" i="1"/>
  <c r="CQ42" i="1"/>
  <c r="CQ43" i="1"/>
  <c r="CQ44" i="1"/>
  <c r="S44" i="1" s="1"/>
  <c r="CQ45" i="1"/>
  <c r="CQ46" i="1"/>
  <c r="CQ47" i="1"/>
  <c r="CQ48" i="1"/>
  <c r="S48" i="1" s="1"/>
  <c r="CQ49" i="1"/>
  <c r="CQ50" i="1"/>
  <c r="CQ51" i="1"/>
  <c r="CQ52" i="1"/>
  <c r="S52" i="1" s="1"/>
  <c r="CQ53" i="1"/>
  <c r="CQ54" i="1"/>
  <c r="CQ55" i="1"/>
  <c r="CQ56" i="1"/>
  <c r="CQ57" i="1"/>
  <c r="CQ58" i="1"/>
  <c r="CQ59" i="1"/>
  <c r="CQ60" i="1"/>
  <c r="S60" i="1" s="1"/>
  <c r="CQ61" i="1"/>
  <c r="CQ62" i="1"/>
  <c r="CQ63" i="1"/>
  <c r="CQ64" i="1"/>
  <c r="S64" i="1" s="1"/>
  <c r="CQ65" i="1"/>
  <c r="CQ66" i="1"/>
  <c r="CQ67" i="1"/>
  <c r="CQ68" i="1"/>
  <c r="S68" i="1" s="1"/>
  <c r="CQ69" i="1"/>
  <c r="CQ70" i="1"/>
  <c r="CQ71" i="1"/>
  <c r="CQ72" i="1"/>
  <c r="S72" i="1" s="1"/>
  <c r="CQ73" i="1"/>
  <c r="CQ74" i="1"/>
  <c r="CQ75" i="1"/>
  <c r="CQ76" i="1"/>
  <c r="S76" i="1" s="1"/>
  <c r="CQ77" i="1"/>
  <c r="CQ78" i="1"/>
  <c r="CQ79" i="1"/>
  <c r="CQ80" i="1"/>
  <c r="S80" i="1" s="1"/>
  <c r="CQ81" i="1"/>
  <c r="CQ82" i="1"/>
  <c r="CQ83" i="1"/>
  <c r="CQ84" i="1"/>
  <c r="S84" i="1" s="1"/>
  <c r="CQ85" i="1"/>
  <c r="CQ86" i="1"/>
  <c r="CQ87" i="1"/>
  <c r="CQ88" i="1"/>
  <c r="CQ89" i="1"/>
  <c r="CQ90" i="1"/>
  <c r="CQ91" i="1"/>
  <c r="CQ92" i="1"/>
  <c r="S92" i="1" s="1"/>
  <c r="CQ93" i="1"/>
  <c r="CQ94" i="1"/>
  <c r="CQ95" i="1"/>
  <c r="CQ96" i="1"/>
  <c r="S96" i="1" s="1"/>
  <c r="CQ97" i="1"/>
  <c r="S97" i="1" s="1"/>
  <c r="CQ98" i="1"/>
  <c r="CQ99" i="1"/>
  <c r="CQ100" i="1"/>
  <c r="S100" i="1" s="1"/>
  <c r="CQ101" i="1"/>
  <c r="S101" i="1" s="1"/>
  <c r="CQ102" i="1"/>
  <c r="CQ103" i="1"/>
  <c r="CQ104" i="1"/>
  <c r="S104" i="1" s="1"/>
  <c r="CQ105" i="1"/>
  <c r="S105" i="1" s="1"/>
  <c r="CQ106" i="1"/>
  <c r="CQ107" i="1"/>
  <c r="CQ108" i="1"/>
  <c r="S108" i="1" s="1"/>
  <c r="CQ109" i="1"/>
  <c r="S109" i="1" s="1"/>
  <c r="CQ110" i="1"/>
  <c r="CQ111" i="1"/>
  <c r="CQ112" i="1"/>
  <c r="S112" i="1" s="1"/>
  <c r="CQ113" i="1"/>
  <c r="S113" i="1" s="1"/>
  <c r="CQ114" i="1"/>
  <c r="CQ115" i="1"/>
  <c r="CQ116" i="1"/>
  <c r="S116" i="1" s="1"/>
  <c r="CQ117" i="1"/>
  <c r="S117" i="1" s="1"/>
  <c r="CQ118" i="1"/>
  <c r="CQ119" i="1"/>
  <c r="CQ120" i="1"/>
  <c r="CQ121" i="1"/>
  <c r="S121" i="1" s="1"/>
  <c r="CQ122" i="1"/>
  <c r="CQ123" i="1"/>
  <c r="CQ124" i="1"/>
  <c r="S124" i="1" s="1"/>
  <c r="CQ125" i="1"/>
  <c r="S125" i="1" s="1"/>
  <c r="CQ126" i="1"/>
  <c r="CQ127" i="1"/>
  <c r="CQ128" i="1"/>
  <c r="S128" i="1" s="1"/>
  <c r="CQ129" i="1"/>
  <c r="S129" i="1" s="1"/>
  <c r="CQ130" i="1"/>
  <c r="CQ131" i="1"/>
  <c r="CQ132" i="1"/>
  <c r="S132" i="1" s="1"/>
  <c r="CQ133" i="1"/>
  <c r="S133" i="1" s="1"/>
  <c r="CQ134" i="1"/>
  <c r="CQ135" i="1"/>
  <c r="CQ136" i="1"/>
  <c r="S136" i="1" s="1"/>
  <c r="CQ137" i="1"/>
  <c r="S137" i="1" s="1"/>
  <c r="CQ138" i="1"/>
  <c r="CQ139" i="1"/>
  <c r="CQ140" i="1"/>
  <c r="S140" i="1" s="1"/>
  <c r="CQ141" i="1"/>
  <c r="S141" i="1" s="1"/>
  <c r="CQ142" i="1"/>
  <c r="CQ143" i="1"/>
  <c r="CQ144" i="1"/>
  <c r="S144" i="1" s="1"/>
  <c r="CQ145" i="1"/>
  <c r="S145" i="1" s="1"/>
  <c r="CQ146" i="1"/>
  <c r="CQ147" i="1"/>
  <c r="CQ148" i="1"/>
  <c r="S148" i="1" s="1"/>
  <c r="CQ149" i="1"/>
  <c r="S149" i="1" s="1"/>
  <c r="CQ150" i="1"/>
  <c r="CQ151" i="1"/>
  <c r="CQ152" i="1"/>
  <c r="CQ153" i="1"/>
  <c r="S153" i="1" s="1"/>
  <c r="CQ154" i="1"/>
  <c r="CQ155" i="1"/>
  <c r="CQ156" i="1"/>
  <c r="S156" i="1" s="1"/>
  <c r="CQ157" i="1"/>
  <c r="S157" i="1" s="1"/>
  <c r="CQ158" i="1"/>
  <c r="CQ159" i="1"/>
  <c r="CQ160" i="1"/>
  <c r="S160" i="1" s="1"/>
  <c r="CQ161" i="1"/>
  <c r="S161" i="1" s="1"/>
  <c r="CQ162" i="1"/>
  <c r="CQ163" i="1"/>
  <c r="CQ164" i="1"/>
  <c r="S164" i="1" s="1"/>
  <c r="CQ165" i="1"/>
  <c r="S165" i="1" s="1"/>
  <c r="CQ166" i="1"/>
  <c r="CQ167" i="1"/>
  <c r="CQ168" i="1"/>
  <c r="S168" i="1" s="1"/>
  <c r="CQ169" i="1"/>
  <c r="S169" i="1" s="1"/>
  <c r="CQ170" i="1"/>
  <c r="CQ171" i="1"/>
  <c r="CQ172" i="1"/>
  <c r="S172" i="1" s="1"/>
  <c r="CQ173" i="1"/>
  <c r="S173" i="1" s="1"/>
  <c r="CQ174" i="1"/>
  <c r="CQ175" i="1"/>
  <c r="CQ176" i="1"/>
  <c r="S176" i="1" s="1"/>
  <c r="CQ177" i="1"/>
  <c r="S177" i="1" s="1"/>
  <c r="CQ178" i="1"/>
  <c r="CQ179" i="1"/>
  <c r="CQ180" i="1"/>
  <c r="S180" i="1" s="1"/>
  <c r="CQ181" i="1"/>
  <c r="S181" i="1" s="1"/>
  <c r="CQ182" i="1"/>
  <c r="CQ183" i="1"/>
  <c r="CQ184" i="1"/>
  <c r="CQ185" i="1"/>
  <c r="S185" i="1" s="1"/>
  <c r="CQ186" i="1"/>
  <c r="CQ187" i="1"/>
  <c r="CQ188" i="1"/>
  <c r="S188" i="1" s="1"/>
  <c r="CQ189" i="1"/>
  <c r="S189" i="1" s="1"/>
  <c r="CQ190" i="1"/>
  <c r="CQ191" i="1"/>
  <c r="CQ192" i="1"/>
  <c r="S192" i="1" s="1"/>
  <c r="CQ193" i="1"/>
  <c r="S193" i="1" s="1"/>
  <c r="CQ194" i="1"/>
  <c r="CQ195" i="1"/>
  <c r="CQ196" i="1"/>
  <c r="S196" i="1" s="1"/>
  <c r="CQ197" i="1"/>
  <c r="S197" i="1" s="1"/>
  <c r="CQ198" i="1"/>
  <c r="CQ199" i="1"/>
  <c r="CQ200" i="1"/>
  <c r="S200" i="1" s="1"/>
  <c r="CQ201" i="1"/>
  <c r="S201" i="1" s="1"/>
  <c r="CQ202" i="1"/>
  <c r="S202" i="1" l="1"/>
  <c r="S198" i="1"/>
  <c r="S194" i="1"/>
  <c r="S190" i="1"/>
  <c r="S186" i="1"/>
  <c r="S182" i="1"/>
  <c r="S178" i="1"/>
  <c r="S174" i="1"/>
  <c r="S170" i="1"/>
  <c r="S166" i="1"/>
  <c r="S162" i="1"/>
  <c r="S158" i="1"/>
  <c r="S154" i="1"/>
  <c r="S150" i="1"/>
  <c r="S146" i="1"/>
  <c r="S142" i="1"/>
  <c r="S138" i="1"/>
  <c r="S134" i="1"/>
  <c r="S130" i="1"/>
  <c r="S126" i="1"/>
  <c r="S122" i="1"/>
  <c r="S118" i="1"/>
  <c r="S114" i="1"/>
  <c r="S110" i="1"/>
  <c r="S106" i="1"/>
  <c r="S102" i="1"/>
  <c r="S98" i="1"/>
  <c r="S94" i="1"/>
  <c r="S90" i="1"/>
  <c r="S86" i="1"/>
  <c r="S82" i="1"/>
  <c r="S78" i="1"/>
  <c r="S74" i="1"/>
  <c r="S70" i="1"/>
  <c r="S66" i="1"/>
  <c r="S62" i="1"/>
  <c r="S58" i="1"/>
  <c r="S54" i="1"/>
  <c r="S50" i="1"/>
  <c r="S46" i="1"/>
  <c r="S42" i="1"/>
  <c r="S38" i="1"/>
  <c r="S34" i="1"/>
  <c r="S30" i="1"/>
  <c r="S26" i="1"/>
  <c r="S22" i="1"/>
  <c r="S18" i="1"/>
  <c r="S14" i="1"/>
  <c r="S10" i="1"/>
  <c r="S6" i="1"/>
  <c r="S2" i="1"/>
  <c r="S93" i="1"/>
  <c r="S89" i="1"/>
  <c r="S85" i="1"/>
  <c r="S81" i="1"/>
  <c r="S77" i="1"/>
  <c r="S73" i="1"/>
  <c r="S69" i="1"/>
  <c r="S65" i="1"/>
  <c r="S61" i="1"/>
  <c r="S57" i="1"/>
  <c r="S53" i="1"/>
  <c r="S49" i="1"/>
  <c r="S45" i="1"/>
  <c r="S41" i="1"/>
  <c r="S37" i="1"/>
  <c r="S33" i="1"/>
  <c r="S29" i="1"/>
  <c r="S25" i="1"/>
  <c r="S21" i="1"/>
  <c r="S17" i="1"/>
  <c r="S13" i="1"/>
  <c r="S9" i="1"/>
  <c r="S5" i="1"/>
  <c r="S199" i="1"/>
  <c r="S195" i="1"/>
  <c r="S191" i="1"/>
  <c r="S187" i="1"/>
  <c r="S183" i="1"/>
  <c r="S179" i="1"/>
  <c r="S175" i="1"/>
  <c r="S171" i="1"/>
  <c r="S167" i="1"/>
  <c r="S163" i="1"/>
  <c r="S159" i="1"/>
  <c r="S155" i="1"/>
  <c r="S151" i="1"/>
  <c r="S147" i="1"/>
  <c r="S143" i="1"/>
  <c r="S139" i="1"/>
  <c r="S135" i="1"/>
  <c r="S131" i="1"/>
  <c r="S127" i="1"/>
  <c r="S123" i="1"/>
  <c r="S119" i="1"/>
  <c r="S115" i="1"/>
  <c r="S111" i="1"/>
  <c r="S107" i="1"/>
  <c r="S103" i="1"/>
  <c r="S99" i="1"/>
  <c r="S95" i="1"/>
  <c r="S91" i="1"/>
  <c r="S87" i="1"/>
  <c r="S83" i="1"/>
  <c r="S79" i="1"/>
  <c r="S75" i="1"/>
  <c r="S71" i="1"/>
  <c r="S67" i="1"/>
  <c r="S63" i="1"/>
  <c r="S59" i="1"/>
  <c r="S55" i="1"/>
  <c r="S51" i="1"/>
  <c r="S47" i="1"/>
  <c r="S43" i="1"/>
  <c r="S39" i="1"/>
  <c r="S35" i="1"/>
  <c r="S31" i="1"/>
  <c r="S27" i="1"/>
  <c r="S23" i="1"/>
  <c r="S19" i="1"/>
  <c r="S15" i="1"/>
  <c r="S11" i="1"/>
  <c r="S7" i="1"/>
  <c r="S3" i="1"/>
  <c r="AG233" i="3"/>
  <c r="AF233" i="3"/>
  <c r="AE233" i="3"/>
  <c r="AD233" i="3"/>
  <c r="AC233" i="3"/>
  <c r="AB233" i="3"/>
  <c r="AA233" i="3"/>
  <c r="Z233" i="3"/>
  <c r="AH233" i="3" s="1"/>
  <c r="AI233" i="3" s="1"/>
  <c r="W233" i="3"/>
  <c r="V233" i="3"/>
  <c r="U233" i="3"/>
  <c r="T233" i="3"/>
  <c r="S233" i="3"/>
  <c r="R233" i="3"/>
  <c r="Q233" i="3"/>
  <c r="P233" i="3"/>
  <c r="X233" i="3" s="1"/>
  <c r="Y233" i="3" s="1"/>
  <c r="M233" i="3"/>
  <c r="L233" i="3"/>
  <c r="K233" i="3"/>
  <c r="J233" i="3"/>
  <c r="I233" i="3"/>
  <c r="H233" i="3"/>
  <c r="N233" i="3" s="1"/>
  <c r="E233" i="3"/>
  <c r="D233" i="3"/>
  <c r="C233" i="3"/>
  <c r="F233" i="3" s="1"/>
  <c r="G233" i="3" s="1"/>
  <c r="A233" i="3"/>
  <c r="AG232" i="3"/>
  <c r="AF232" i="3"/>
  <c r="AE232" i="3"/>
  <c r="AD232" i="3"/>
  <c r="AC232" i="3"/>
  <c r="AB232" i="3"/>
  <c r="AA232" i="3"/>
  <c r="Z232" i="3"/>
  <c r="W232" i="3"/>
  <c r="V232" i="3"/>
  <c r="U232" i="3"/>
  <c r="T232" i="3"/>
  <c r="S232" i="3"/>
  <c r="R232" i="3"/>
  <c r="Q232" i="3"/>
  <c r="P232" i="3"/>
  <c r="M232" i="3"/>
  <c r="L232" i="3"/>
  <c r="K232" i="3"/>
  <c r="J232" i="3"/>
  <c r="I232" i="3"/>
  <c r="H232" i="3"/>
  <c r="E232" i="3"/>
  <c r="D232" i="3"/>
  <c r="C232" i="3"/>
  <c r="A232" i="3"/>
  <c r="AG231" i="3"/>
  <c r="AF231" i="3"/>
  <c r="AE231" i="3"/>
  <c r="AD231" i="3"/>
  <c r="AC231" i="3"/>
  <c r="AB231" i="3"/>
  <c r="AA231" i="3"/>
  <c r="Z231" i="3"/>
  <c r="W231" i="3"/>
  <c r="V231" i="3"/>
  <c r="U231" i="3"/>
  <c r="T231" i="3"/>
  <c r="S231" i="3"/>
  <c r="R231" i="3"/>
  <c r="Q231" i="3"/>
  <c r="P231" i="3"/>
  <c r="M231" i="3"/>
  <c r="L231" i="3"/>
  <c r="K231" i="3"/>
  <c r="J231" i="3"/>
  <c r="I231" i="3"/>
  <c r="H231" i="3"/>
  <c r="E231" i="3"/>
  <c r="D231" i="3"/>
  <c r="C231" i="3"/>
  <c r="A231" i="3"/>
  <c r="AG230" i="3"/>
  <c r="AF230" i="3"/>
  <c r="AE230" i="3"/>
  <c r="AD230" i="3"/>
  <c r="AC230" i="3"/>
  <c r="AB230" i="3"/>
  <c r="AA230" i="3"/>
  <c r="Z230" i="3"/>
  <c r="W230" i="3"/>
  <c r="V230" i="3"/>
  <c r="U230" i="3"/>
  <c r="T230" i="3"/>
  <c r="S230" i="3"/>
  <c r="R230" i="3"/>
  <c r="Q230" i="3"/>
  <c r="P230" i="3"/>
  <c r="M230" i="3"/>
  <c r="L230" i="3"/>
  <c r="K230" i="3"/>
  <c r="J230" i="3"/>
  <c r="I230" i="3"/>
  <c r="H230" i="3"/>
  <c r="E230" i="3"/>
  <c r="D230" i="3"/>
  <c r="C230" i="3"/>
  <c r="A230" i="3"/>
  <c r="AG229" i="3"/>
  <c r="AF229" i="3"/>
  <c r="AE229" i="3"/>
  <c r="AD229" i="3"/>
  <c r="AC229" i="3"/>
  <c r="AB229" i="3"/>
  <c r="AA229" i="3"/>
  <c r="Z229" i="3"/>
  <c r="W229" i="3"/>
  <c r="V229" i="3"/>
  <c r="U229" i="3"/>
  <c r="T229" i="3"/>
  <c r="S229" i="3"/>
  <c r="R229" i="3"/>
  <c r="Q229" i="3"/>
  <c r="P229" i="3"/>
  <c r="M229" i="3"/>
  <c r="L229" i="3"/>
  <c r="K229" i="3"/>
  <c r="J229" i="3"/>
  <c r="I229" i="3"/>
  <c r="H229" i="3"/>
  <c r="E229" i="3"/>
  <c r="D229" i="3"/>
  <c r="C229" i="3"/>
  <c r="A229" i="3"/>
  <c r="AG228" i="3"/>
  <c r="AF228" i="3"/>
  <c r="AE228" i="3"/>
  <c r="AD228" i="3"/>
  <c r="AC228" i="3"/>
  <c r="AB228" i="3"/>
  <c r="AA228" i="3"/>
  <c r="Z228" i="3"/>
  <c r="W228" i="3"/>
  <c r="V228" i="3"/>
  <c r="U228" i="3"/>
  <c r="T228" i="3"/>
  <c r="S228" i="3"/>
  <c r="R228" i="3"/>
  <c r="Q228" i="3"/>
  <c r="P228" i="3"/>
  <c r="M228" i="3"/>
  <c r="L228" i="3"/>
  <c r="K228" i="3"/>
  <c r="J228" i="3"/>
  <c r="I228" i="3"/>
  <c r="H228" i="3"/>
  <c r="E228" i="3"/>
  <c r="D228" i="3"/>
  <c r="C228" i="3"/>
  <c r="A228" i="3"/>
  <c r="AG227" i="3"/>
  <c r="AF227" i="3"/>
  <c r="AE227" i="3"/>
  <c r="AD227" i="3"/>
  <c r="AC227" i="3"/>
  <c r="AB227" i="3"/>
  <c r="AA227" i="3"/>
  <c r="Z227" i="3"/>
  <c r="W227" i="3"/>
  <c r="V227" i="3"/>
  <c r="U227" i="3"/>
  <c r="T227" i="3"/>
  <c r="S227" i="3"/>
  <c r="R227" i="3"/>
  <c r="Q227" i="3"/>
  <c r="P227" i="3"/>
  <c r="M227" i="3"/>
  <c r="L227" i="3"/>
  <c r="K227" i="3"/>
  <c r="J227" i="3"/>
  <c r="I227" i="3"/>
  <c r="H227" i="3"/>
  <c r="E227" i="3"/>
  <c r="D227" i="3"/>
  <c r="C227" i="3"/>
  <c r="A227" i="3"/>
  <c r="AG226" i="3"/>
  <c r="AF226" i="3"/>
  <c r="AE226" i="3"/>
  <c r="AD226" i="3"/>
  <c r="AC226" i="3"/>
  <c r="AB226" i="3"/>
  <c r="AA226" i="3"/>
  <c r="Z226" i="3"/>
  <c r="W226" i="3"/>
  <c r="V226" i="3"/>
  <c r="U226" i="3"/>
  <c r="T226" i="3"/>
  <c r="S226" i="3"/>
  <c r="R226" i="3"/>
  <c r="Q226" i="3"/>
  <c r="P226" i="3"/>
  <c r="M226" i="3"/>
  <c r="L226" i="3"/>
  <c r="K226" i="3"/>
  <c r="J226" i="3"/>
  <c r="I226" i="3"/>
  <c r="H226" i="3"/>
  <c r="E226" i="3"/>
  <c r="D226" i="3"/>
  <c r="C226" i="3"/>
  <c r="A226" i="3"/>
  <c r="AG225" i="3"/>
  <c r="AF225" i="3"/>
  <c r="AE225" i="3"/>
  <c r="AD225" i="3"/>
  <c r="AC225" i="3"/>
  <c r="AB225" i="3"/>
  <c r="AA225" i="3"/>
  <c r="Z225" i="3"/>
  <c r="W225" i="3"/>
  <c r="V225" i="3"/>
  <c r="U225" i="3"/>
  <c r="T225" i="3"/>
  <c r="S225" i="3"/>
  <c r="R225" i="3"/>
  <c r="Q225" i="3"/>
  <c r="P225" i="3"/>
  <c r="M225" i="3"/>
  <c r="L225" i="3"/>
  <c r="K225" i="3"/>
  <c r="J225" i="3"/>
  <c r="I225" i="3"/>
  <c r="H225" i="3"/>
  <c r="E225" i="3"/>
  <c r="D225" i="3"/>
  <c r="C225" i="3"/>
  <c r="A225" i="3"/>
  <c r="AG224" i="3"/>
  <c r="AF224" i="3"/>
  <c r="AE224" i="3"/>
  <c r="AD224" i="3"/>
  <c r="AC224" i="3"/>
  <c r="AB224" i="3"/>
  <c r="AA224" i="3"/>
  <c r="Z224" i="3"/>
  <c r="W224" i="3"/>
  <c r="V224" i="3"/>
  <c r="U224" i="3"/>
  <c r="T224" i="3"/>
  <c r="S224" i="3"/>
  <c r="R224" i="3"/>
  <c r="Q224" i="3"/>
  <c r="P224" i="3"/>
  <c r="M224" i="3"/>
  <c r="L224" i="3"/>
  <c r="K224" i="3"/>
  <c r="J224" i="3"/>
  <c r="I224" i="3"/>
  <c r="H224" i="3"/>
  <c r="E224" i="3"/>
  <c r="D224" i="3"/>
  <c r="C224" i="3"/>
  <c r="A224" i="3"/>
  <c r="AG223" i="3"/>
  <c r="AF223" i="3"/>
  <c r="AE223" i="3"/>
  <c r="AD223" i="3"/>
  <c r="AC223" i="3"/>
  <c r="AB223" i="3"/>
  <c r="AA223" i="3"/>
  <c r="Z223" i="3"/>
  <c r="W223" i="3"/>
  <c r="V223" i="3"/>
  <c r="U223" i="3"/>
  <c r="T223" i="3"/>
  <c r="S223" i="3"/>
  <c r="R223" i="3"/>
  <c r="Q223" i="3"/>
  <c r="P223" i="3"/>
  <c r="M223" i="3"/>
  <c r="L223" i="3"/>
  <c r="K223" i="3"/>
  <c r="J223" i="3"/>
  <c r="I223" i="3"/>
  <c r="H223" i="3"/>
  <c r="E223" i="3"/>
  <c r="D223" i="3"/>
  <c r="C223" i="3"/>
  <c r="A223" i="3"/>
  <c r="AG222" i="3"/>
  <c r="AF222" i="3"/>
  <c r="AE222" i="3"/>
  <c r="AD222" i="3"/>
  <c r="AC222" i="3"/>
  <c r="AB222" i="3"/>
  <c r="AA222" i="3"/>
  <c r="Z222" i="3"/>
  <c r="W222" i="3"/>
  <c r="V222" i="3"/>
  <c r="U222" i="3"/>
  <c r="T222" i="3"/>
  <c r="S222" i="3"/>
  <c r="R222" i="3"/>
  <c r="Q222" i="3"/>
  <c r="P222" i="3"/>
  <c r="M222" i="3"/>
  <c r="L222" i="3"/>
  <c r="K222" i="3"/>
  <c r="J222" i="3"/>
  <c r="I222" i="3"/>
  <c r="H222" i="3"/>
  <c r="E222" i="3"/>
  <c r="D222" i="3"/>
  <c r="C222" i="3"/>
  <c r="A222" i="3"/>
  <c r="AG221" i="3"/>
  <c r="AF221" i="3"/>
  <c r="AE221" i="3"/>
  <c r="AD221" i="3"/>
  <c r="AC221" i="3"/>
  <c r="AB221" i="3"/>
  <c r="AA221" i="3"/>
  <c r="Z221" i="3"/>
  <c r="W221" i="3"/>
  <c r="V221" i="3"/>
  <c r="U221" i="3"/>
  <c r="T221" i="3"/>
  <c r="S221" i="3"/>
  <c r="R221" i="3"/>
  <c r="Q221" i="3"/>
  <c r="P221" i="3"/>
  <c r="M221" i="3"/>
  <c r="L221" i="3"/>
  <c r="K221" i="3"/>
  <c r="J221" i="3"/>
  <c r="I221" i="3"/>
  <c r="H221" i="3"/>
  <c r="E221" i="3"/>
  <c r="D221" i="3"/>
  <c r="C221" i="3"/>
  <c r="A221" i="3"/>
  <c r="AG220" i="3"/>
  <c r="AF220" i="3"/>
  <c r="AE220" i="3"/>
  <c r="AD220" i="3"/>
  <c r="AC220" i="3"/>
  <c r="AB220" i="3"/>
  <c r="AA220" i="3"/>
  <c r="Z220" i="3"/>
  <c r="W220" i="3"/>
  <c r="V220" i="3"/>
  <c r="U220" i="3"/>
  <c r="T220" i="3"/>
  <c r="S220" i="3"/>
  <c r="R220" i="3"/>
  <c r="Q220" i="3"/>
  <c r="P220" i="3"/>
  <c r="M220" i="3"/>
  <c r="L220" i="3"/>
  <c r="K220" i="3"/>
  <c r="J220" i="3"/>
  <c r="I220" i="3"/>
  <c r="H220" i="3"/>
  <c r="E220" i="3"/>
  <c r="D220" i="3"/>
  <c r="C220" i="3"/>
  <c r="A220" i="3"/>
  <c r="AG219" i="3"/>
  <c r="AF219" i="3"/>
  <c r="AE219" i="3"/>
  <c r="AD219" i="3"/>
  <c r="AC219" i="3"/>
  <c r="AB219" i="3"/>
  <c r="AA219" i="3"/>
  <c r="Z219" i="3"/>
  <c r="W219" i="3"/>
  <c r="V219" i="3"/>
  <c r="U219" i="3"/>
  <c r="T219" i="3"/>
  <c r="S219" i="3"/>
  <c r="R219" i="3"/>
  <c r="Q219" i="3"/>
  <c r="P219" i="3"/>
  <c r="M219" i="3"/>
  <c r="L219" i="3"/>
  <c r="K219" i="3"/>
  <c r="J219" i="3"/>
  <c r="I219" i="3"/>
  <c r="H219" i="3"/>
  <c r="E219" i="3"/>
  <c r="D219" i="3"/>
  <c r="C219" i="3"/>
  <c r="A219" i="3"/>
  <c r="AG218" i="3"/>
  <c r="AF218" i="3"/>
  <c r="AE218" i="3"/>
  <c r="AD218" i="3"/>
  <c r="AC218" i="3"/>
  <c r="AB218" i="3"/>
  <c r="AA218" i="3"/>
  <c r="Z218" i="3"/>
  <c r="W218" i="3"/>
  <c r="V218" i="3"/>
  <c r="U218" i="3"/>
  <c r="T218" i="3"/>
  <c r="S218" i="3"/>
  <c r="R218" i="3"/>
  <c r="Q218" i="3"/>
  <c r="P218" i="3"/>
  <c r="M218" i="3"/>
  <c r="L218" i="3"/>
  <c r="K218" i="3"/>
  <c r="J218" i="3"/>
  <c r="I218" i="3"/>
  <c r="H218" i="3"/>
  <c r="E218" i="3"/>
  <c r="D218" i="3"/>
  <c r="C218" i="3"/>
  <c r="A218" i="3"/>
  <c r="AG217" i="3"/>
  <c r="AF217" i="3"/>
  <c r="AE217" i="3"/>
  <c r="AD217" i="3"/>
  <c r="AC217" i="3"/>
  <c r="AB217" i="3"/>
  <c r="AA217" i="3"/>
  <c r="Z217" i="3"/>
  <c r="W217" i="3"/>
  <c r="V217" i="3"/>
  <c r="U217" i="3"/>
  <c r="T217" i="3"/>
  <c r="S217" i="3"/>
  <c r="R217" i="3"/>
  <c r="Q217" i="3"/>
  <c r="P217" i="3"/>
  <c r="M217" i="3"/>
  <c r="L217" i="3"/>
  <c r="K217" i="3"/>
  <c r="J217" i="3"/>
  <c r="I217" i="3"/>
  <c r="H217" i="3"/>
  <c r="E217" i="3"/>
  <c r="D217" i="3"/>
  <c r="C217" i="3"/>
  <c r="A217" i="3"/>
  <c r="AG216" i="3"/>
  <c r="AF216" i="3"/>
  <c r="AE216" i="3"/>
  <c r="AD216" i="3"/>
  <c r="AC216" i="3"/>
  <c r="AB216" i="3"/>
  <c r="AA216" i="3"/>
  <c r="Z216" i="3"/>
  <c r="W216" i="3"/>
  <c r="V216" i="3"/>
  <c r="U216" i="3"/>
  <c r="T216" i="3"/>
  <c r="S216" i="3"/>
  <c r="R216" i="3"/>
  <c r="Q216" i="3"/>
  <c r="P216" i="3"/>
  <c r="M216" i="3"/>
  <c r="L216" i="3"/>
  <c r="K216" i="3"/>
  <c r="J216" i="3"/>
  <c r="I216" i="3"/>
  <c r="H216" i="3"/>
  <c r="E216" i="3"/>
  <c r="D216" i="3"/>
  <c r="C216" i="3"/>
  <c r="A216" i="3"/>
  <c r="AG215" i="3"/>
  <c r="AF215" i="3"/>
  <c r="AE215" i="3"/>
  <c r="AD215" i="3"/>
  <c r="AC215" i="3"/>
  <c r="AB215" i="3"/>
  <c r="AA215" i="3"/>
  <c r="Z215" i="3"/>
  <c r="AH215" i="3" s="1"/>
  <c r="AI215" i="3" s="1"/>
  <c r="W215" i="3"/>
  <c r="V215" i="3"/>
  <c r="U215" i="3"/>
  <c r="T215" i="3"/>
  <c r="S215" i="3"/>
  <c r="R215" i="3"/>
  <c r="Q215" i="3"/>
  <c r="P215" i="3"/>
  <c r="X215" i="3" s="1"/>
  <c r="Y215" i="3" s="1"/>
  <c r="M215" i="3"/>
  <c r="L215" i="3"/>
  <c r="K215" i="3"/>
  <c r="J215" i="3"/>
  <c r="I215" i="3"/>
  <c r="H215" i="3"/>
  <c r="N215" i="3" s="1"/>
  <c r="E215" i="3"/>
  <c r="D215" i="3"/>
  <c r="C215" i="3"/>
  <c r="F215" i="3" s="1"/>
  <c r="G215" i="3" s="1"/>
  <c r="A215" i="3"/>
  <c r="AG214" i="3"/>
  <c r="AF214" i="3"/>
  <c r="AE214" i="3"/>
  <c r="AD214" i="3"/>
  <c r="AC214" i="3"/>
  <c r="AB214" i="3"/>
  <c r="AA214" i="3"/>
  <c r="Z214" i="3"/>
  <c r="W214" i="3"/>
  <c r="V214" i="3"/>
  <c r="U214" i="3"/>
  <c r="T214" i="3"/>
  <c r="S214" i="3"/>
  <c r="R214" i="3"/>
  <c r="Q214" i="3"/>
  <c r="P214" i="3"/>
  <c r="M214" i="3"/>
  <c r="L214" i="3"/>
  <c r="K214" i="3"/>
  <c r="J214" i="3"/>
  <c r="I214" i="3"/>
  <c r="H214" i="3"/>
  <c r="E214" i="3"/>
  <c r="D214" i="3"/>
  <c r="C214" i="3"/>
  <c r="A214" i="3"/>
  <c r="AG213" i="3"/>
  <c r="AF213" i="3"/>
  <c r="AE213" i="3"/>
  <c r="AD213" i="3"/>
  <c r="AC213" i="3"/>
  <c r="AB213" i="3"/>
  <c r="AA213" i="3"/>
  <c r="Z213" i="3"/>
  <c r="W213" i="3"/>
  <c r="V213" i="3"/>
  <c r="U213" i="3"/>
  <c r="T213" i="3"/>
  <c r="S213" i="3"/>
  <c r="R213" i="3"/>
  <c r="Q213" i="3"/>
  <c r="P213" i="3"/>
  <c r="M213" i="3"/>
  <c r="L213" i="3"/>
  <c r="K213" i="3"/>
  <c r="J213" i="3"/>
  <c r="I213" i="3"/>
  <c r="H213" i="3"/>
  <c r="E213" i="3"/>
  <c r="D213" i="3"/>
  <c r="C213" i="3"/>
  <c r="A213" i="3"/>
  <c r="AG212" i="3"/>
  <c r="AF212" i="3"/>
  <c r="AE212" i="3"/>
  <c r="AD212" i="3"/>
  <c r="AC212" i="3"/>
  <c r="AB212" i="3"/>
  <c r="AA212" i="3"/>
  <c r="Z212" i="3"/>
  <c r="W212" i="3"/>
  <c r="V212" i="3"/>
  <c r="U212" i="3"/>
  <c r="T212" i="3"/>
  <c r="S212" i="3"/>
  <c r="R212" i="3"/>
  <c r="Q212" i="3"/>
  <c r="P212" i="3"/>
  <c r="M212" i="3"/>
  <c r="L212" i="3"/>
  <c r="K212" i="3"/>
  <c r="J212" i="3"/>
  <c r="I212" i="3"/>
  <c r="H212" i="3"/>
  <c r="E212" i="3"/>
  <c r="D212" i="3"/>
  <c r="C212" i="3"/>
  <c r="A212" i="3"/>
  <c r="AG211" i="3"/>
  <c r="AF211" i="3"/>
  <c r="AE211" i="3"/>
  <c r="AD211" i="3"/>
  <c r="AC211" i="3"/>
  <c r="AB211" i="3"/>
  <c r="AA211" i="3"/>
  <c r="Z211" i="3"/>
  <c r="W211" i="3"/>
  <c r="V211" i="3"/>
  <c r="U211" i="3"/>
  <c r="T211" i="3"/>
  <c r="S211" i="3"/>
  <c r="R211" i="3"/>
  <c r="Q211" i="3"/>
  <c r="P211" i="3"/>
  <c r="M211" i="3"/>
  <c r="L211" i="3"/>
  <c r="K211" i="3"/>
  <c r="J211" i="3"/>
  <c r="I211" i="3"/>
  <c r="H211" i="3"/>
  <c r="E211" i="3"/>
  <c r="D211" i="3"/>
  <c r="C211" i="3"/>
  <c r="A211" i="3"/>
  <c r="AG210" i="3"/>
  <c r="AF210" i="3"/>
  <c r="AE210" i="3"/>
  <c r="AD210" i="3"/>
  <c r="AC210" i="3"/>
  <c r="AB210" i="3"/>
  <c r="AA210" i="3"/>
  <c r="Z210" i="3"/>
  <c r="W210" i="3"/>
  <c r="V210" i="3"/>
  <c r="U210" i="3"/>
  <c r="T210" i="3"/>
  <c r="S210" i="3"/>
  <c r="R210" i="3"/>
  <c r="Q210" i="3"/>
  <c r="P210" i="3"/>
  <c r="M210" i="3"/>
  <c r="L210" i="3"/>
  <c r="K210" i="3"/>
  <c r="J210" i="3"/>
  <c r="I210" i="3"/>
  <c r="H210" i="3"/>
  <c r="E210" i="3"/>
  <c r="D210" i="3"/>
  <c r="C210" i="3"/>
  <c r="A210" i="3"/>
  <c r="AG209" i="3"/>
  <c r="AF209" i="3"/>
  <c r="AE209" i="3"/>
  <c r="AD209" i="3"/>
  <c r="AC209" i="3"/>
  <c r="AB209" i="3"/>
  <c r="AA209" i="3"/>
  <c r="Z209" i="3"/>
  <c r="W209" i="3"/>
  <c r="V209" i="3"/>
  <c r="U209" i="3"/>
  <c r="T209" i="3"/>
  <c r="S209" i="3"/>
  <c r="R209" i="3"/>
  <c r="Q209" i="3"/>
  <c r="P209" i="3"/>
  <c r="M209" i="3"/>
  <c r="L209" i="3"/>
  <c r="K209" i="3"/>
  <c r="J209" i="3"/>
  <c r="I209" i="3"/>
  <c r="H209" i="3"/>
  <c r="E209" i="3"/>
  <c r="D209" i="3"/>
  <c r="C209" i="3"/>
  <c r="A209" i="3"/>
  <c r="AG208" i="3"/>
  <c r="AF208" i="3"/>
  <c r="AE208" i="3"/>
  <c r="AD208" i="3"/>
  <c r="AC208" i="3"/>
  <c r="AB208" i="3"/>
  <c r="AA208" i="3"/>
  <c r="Z208" i="3"/>
  <c r="W208" i="3"/>
  <c r="V208" i="3"/>
  <c r="U208" i="3"/>
  <c r="T208" i="3"/>
  <c r="S208" i="3"/>
  <c r="R208" i="3"/>
  <c r="Q208" i="3"/>
  <c r="P208" i="3"/>
  <c r="M208" i="3"/>
  <c r="L208" i="3"/>
  <c r="K208" i="3"/>
  <c r="J208" i="3"/>
  <c r="I208" i="3"/>
  <c r="H208" i="3"/>
  <c r="E208" i="3"/>
  <c r="D208" i="3"/>
  <c r="C208" i="3"/>
  <c r="A208" i="3"/>
  <c r="AG207" i="3"/>
  <c r="AF207" i="3"/>
  <c r="AE207" i="3"/>
  <c r="AD207" i="3"/>
  <c r="AC207" i="3"/>
  <c r="AB207" i="3"/>
  <c r="AA207" i="3"/>
  <c r="Z207" i="3"/>
  <c r="W207" i="3"/>
  <c r="V207" i="3"/>
  <c r="U207" i="3"/>
  <c r="T207" i="3"/>
  <c r="S207" i="3"/>
  <c r="R207" i="3"/>
  <c r="Q207" i="3"/>
  <c r="P207" i="3"/>
  <c r="M207" i="3"/>
  <c r="L207" i="3"/>
  <c r="K207" i="3"/>
  <c r="J207" i="3"/>
  <c r="I207" i="3"/>
  <c r="H207" i="3"/>
  <c r="E207" i="3"/>
  <c r="D207" i="3"/>
  <c r="C207" i="3"/>
  <c r="A207" i="3"/>
  <c r="AG206" i="3"/>
  <c r="AF206" i="3"/>
  <c r="AE206" i="3"/>
  <c r="AD206" i="3"/>
  <c r="AC206" i="3"/>
  <c r="AB206" i="3"/>
  <c r="AA206" i="3"/>
  <c r="Z206" i="3"/>
  <c r="W206" i="3"/>
  <c r="V206" i="3"/>
  <c r="U206" i="3"/>
  <c r="T206" i="3"/>
  <c r="S206" i="3"/>
  <c r="R206" i="3"/>
  <c r="Q206" i="3"/>
  <c r="P206" i="3"/>
  <c r="M206" i="3"/>
  <c r="L206" i="3"/>
  <c r="K206" i="3"/>
  <c r="J206" i="3"/>
  <c r="I206" i="3"/>
  <c r="H206" i="3"/>
  <c r="E206" i="3"/>
  <c r="D206" i="3"/>
  <c r="C206" i="3"/>
  <c r="A206" i="3"/>
  <c r="AG205" i="3"/>
  <c r="AF205" i="3"/>
  <c r="AE205" i="3"/>
  <c r="AD205" i="3"/>
  <c r="AC205" i="3"/>
  <c r="AB205" i="3"/>
  <c r="AA205" i="3"/>
  <c r="Z205" i="3"/>
  <c r="W205" i="3"/>
  <c r="V205" i="3"/>
  <c r="U205" i="3"/>
  <c r="T205" i="3"/>
  <c r="S205" i="3"/>
  <c r="R205" i="3"/>
  <c r="Q205" i="3"/>
  <c r="P205" i="3"/>
  <c r="M205" i="3"/>
  <c r="L205" i="3"/>
  <c r="K205" i="3"/>
  <c r="J205" i="3"/>
  <c r="I205" i="3"/>
  <c r="H205" i="3"/>
  <c r="E205" i="3"/>
  <c r="D205" i="3"/>
  <c r="C205" i="3"/>
  <c r="A205" i="3"/>
  <c r="AG204" i="3"/>
  <c r="AF204" i="3"/>
  <c r="AE204" i="3"/>
  <c r="AD204" i="3"/>
  <c r="AC204" i="3"/>
  <c r="AB204" i="3"/>
  <c r="AA204" i="3"/>
  <c r="Z204" i="3"/>
  <c r="W204" i="3"/>
  <c r="V204" i="3"/>
  <c r="U204" i="3"/>
  <c r="T204" i="3"/>
  <c r="S204" i="3"/>
  <c r="R204" i="3"/>
  <c r="Q204" i="3"/>
  <c r="P204" i="3"/>
  <c r="M204" i="3"/>
  <c r="L204" i="3"/>
  <c r="K204" i="3"/>
  <c r="J204" i="3"/>
  <c r="I204" i="3"/>
  <c r="H204" i="3"/>
  <c r="E204" i="3"/>
  <c r="D204" i="3"/>
  <c r="C204" i="3"/>
  <c r="A204" i="3"/>
  <c r="AG203" i="3"/>
  <c r="AF203" i="3"/>
  <c r="AE203" i="3"/>
  <c r="AD203" i="3"/>
  <c r="AC203" i="3"/>
  <c r="AB203" i="3"/>
  <c r="AA203" i="3"/>
  <c r="Z203" i="3"/>
  <c r="W203" i="3"/>
  <c r="V203" i="3"/>
  <c r="U203" i="3"/>
  <c r="T203" i="3"/>
  <c r="S203" i="3"/>
  <c r="R203" i="3"/>
  <c r="Q203" i="3"/>
  <c r="P203" i="3"/>
  <c r="M203" i="3"/>
  <c r="L203" i="3"/>
  <c r="K203" i="3"/>
  <c r="J203" i="3"/>
  <c r="I203" i="3"/>
  <c r="H203" i="3"/>
  <c r="E203" i="3"/>
  <c r="D203" i="3"/>
  <c r="C203" i="3"/>
  <c r="A203" i="3"/>
  <c r="AG202" i="3"/>
  <c r="AF202" i="3"/>
  <c r="AE202" i="3"/>
  <c r="AD202" i="3"/>
  <c r="AC202" i="3"/>
  <c r="AB202" i="3"/>
  <c r="AA202" i="3"/>
  <c r="Z202" i="3"/>
  <c r="W202" i="3"/>
  <c r="V202" i="3"/>
  <c r="U202" i="3"/>
  <c r="T202" i="3"/>
  <c r="S202" i="3"/>
  <c r="R202" i="3"/>
  <c r="Q202" i="3"/>
  <c r="P202" i="3"/>
  <c r="M202" i="3"/>
  <c r="L202" i="3"/>
  <c r="K202" i="3"/>
  <c r="J202" i="3"/>
  <c r="I202" i="3"/>
  <c r="H202" i="3"/>
  <c r="E202" i="3"/>
  <c r="D202" i="3"/>
  <c r="C202" i="3"/>
  <c r="A202" i="3"/>
  <c r="AG201" i="3"/>
  <c r="AF201" i="3"/>
  <c r="AE201" i="3"/>
  <c r="AD201" i="3"/>
  <c r="AC201" i="3"/>
  <c r="AB201" i="3"/>
  <c r="AA201" i="3"/>
  <c r="Z201" i="3"/>
  <c r="W201" i="3"/>
  <c r="V201" i="3"/>
  <c r="U201" i="3"/>
  <c r="T201" i="3"/>
  <c r="S201" i="3"/>
  <c r="R201" i="3"/>
  <c r="Q201" i="3"/>
  <c r="P201" i="3"/>
  <c r="M201" i="3"/>
  <c r="L201" i="3"/>
  <c r="K201" i="3"/>
  <c r="J201" i="3"/>
  <c r="I201" i="3"/>
  <c r="H201" i="3"/>
  <c r="E201" i="3"/>
  <c r="D201" i="3"/>
  <c r="C201" i="3"/>
  <c r="A201" i="3"/>
  <c r="AG200" i="3"/>
  <c r="AF200" i="3"/>
  <c r="AE200" i="3"/>
  <c r="AD200" i="3"/>
  <c r="AC200" i="3"/>
  <c r="AB200" i="3"/>
  <c r="AA200" i="3"/>
  <c r="Z200" i="3"/>
  <c r="W200" i="3"/>
  <c r="V200" i="3"/>
  <c r="U200" i="3"/>
  <c r="T200" i="3"/>
  <c r="S200" i="3"/>
  <c r="R200" i="3"/>
  <c r="Q200" i="3"/>
  <c r="P200" i="3"/>
  <c r="M200" i="3"/>
  <c r="L200" i="3"/>
  <c r="K200" i="3"/>
  <c r="J200" i="3"/>
  <c r="I200" i="3"/>
  <c r="H200" i="3"/>
  <c r="E200" i="3"/>
  <c r="D200" i="3"/>
  <c r="C200" i="3"/>
  <c r="A200" i="3"/>
  <c r="AG199" i="3"/>
  <c r="AF199" i="3"/>
  <c r="AE199" i="3"/>
  <c r="AD199" i="3"/>
  <c r="AC199" i="3"/>
  <c r="AB199" i="3"/>
  <c r="AA199" i="3"/>
  <c r="Z199" i="3"/>
  <c r="W199" i="3"/>
  <c r="V199" i="3"/>
  <c r="U199" i="3"/>
  <c r="T199" i="3"/>
  <c r="S199" i="3"/>
  <c r="R199" i="3"/>
  <c r="Q199" i="3"/>
  <c r="P199" i="3"/>
  <c r="M199" i="3"/>
  <c r="L199" i="3"/>
  <c r="K199" i="3"/>
  <c r="J199" i="3"/>
  <c r="I199" i="3"/>
  <c r="H199" i="3"/>
  <c r="E199" i="3"/>
  <c r="D199" i="3"/>
  <c r="C199" i="3"/>
  <c r="A199" i="3"/>
  <c r="AG198" i="3"/>
  <c r="AF198" i="3"/>
  <c r="AE198" i="3"/>
  <c r="AD198" i="3"/>
  <c r="AC198" i="3"/>
  <c r="AB198" i="3"/>
  <c r="AA198" i="3"/>
  <c r="Z198" i="3"/>
  <c r="W198" i="3"/>
  <c r="V198" i="3"/>
  <c r="U198" i="3"/>
  <c r="T198" i="3"/>
  <c r="S198" i="3"/>
  <c r="R198" i="3"/>
  <c r="Q198" i="3"/>
  <c r="P198" i="3"/>
  <c r="M198" i="3"/>
  <c r="L198" i="3"/>
  <c r="K198" i="3"/>
  <c r="J198" i="3"/>
  <c r="I198" i="3"/>
  <c r="H198" i="3"/>
  <c r="E198" i="3"/>
  <c r="D198" i="3"/>
  <c r="C198" i="3"/>
  <c r="A198" i="3"/>
  <c r="AG197" i="3"/>
  <c r="AF197" i="3"/>
  <c r="AE197" i="3"/>
  <c r="AD197" i="3"/>
  <c r="AC197" i="3"/>
  <c r="AB197" i="3"/>
  <c r="AA197" i="3"/>
  <c r="Z197" i="3"/>
  <c r="W197" i="3"/>
  <c r="V197" i="3"/>
  <c r="U197" i="3"/>
  <c r="T197" i="3"/>
  <c r="S197" i="3"/>
  <c r="R197" i="3"/>
  <c r="Q197" i="3"/>
  <c r="P197" i="3"/>
  <c r="M197" i="3"/>
  <c r="L197" i="3"/>
  <c r="K197" i="3"/>
  <c r="J197" i="3"/>
  <c r="I197" i="3"/>
  <c r="H197" i="3"/>
  <c r="E197" i="3"/>
  <c r="D197" i="3"/>
  <c r="C197" i="3"/>
  <c r="A197" i="3"/>
  <c r="AG196" i="3"/>
  <c r="AF196" i="3"/>
  <c r="AE196" i="3"/>
  <c r="AD196" i="3"/>
  <c r="AC196" i="3"/>
  <c r="AB196" i="3"/>
  <c r="AA196" i="3"/>
  <c r="Z196" i="3"/>
  <c r="W196" i="3"/>
  <c r="V196" i="3"/>
  <c r="U196" i="3"/>
  <c r="T196" i="3"/>
  <c r="S196" i="3"/>
  <c r="R196" i="3"/>
  <c r="Q196" i="3"/>
  <c r="P196" i="3"/>
  <c r="M196" i="3"/>
  <c r="L196" i="3"/>
  <c r="K196" i="3"/>
  <c r="J196" i="3"/>
  <c r="I196" i="3"/>
  <c r="H196" i="3"/>
  <c r="E196" i="3"/>
  <c r="D196" i="3"/>
  <c r="C196" i="3"/>
  <c r="A196" i="3"/>
  <c r="AG195" i="3"/>
  <c r="AF195" i="3"/>
  <c r="AE195" i="3"/>
  <c r="AD195" i="3"/>
  <c r="AC195" i="3"/>
  <c r="AB195" i="3"/>
  <c r="AA195" i="3"/>
  <c r="Z195" i="3"/>
  <c r="W195" i="3"/>
  <c r="V195" i="3"/>
  <c r="U195" i="3"/>
  <c r="T195" i="3"/>
  <c r="S195" i="3"/>
  <c r="R195" i="3"/>
  <c r="Q195" i="3"/>
  <c r="P195" i="3"/>
  <c r="M195" i="3"/>
  <c r="L195" i="3"/>
  <c r="K195" i="3"/>
  <c r="J195" i="3"/>
  <c r="I195" i="3"/>
  <c r="H195" i="3"/>
  <c r="E195" i="3"/>
  <c r="D195" i="3"/>
  <c r="C195" i="3"/>
  <c r="A195" i="3"/>
  <c r="AG194" i="3"/>
  <c r="AF194" i="3"/>
  <c r="AE194" i="3"/>
  <c r="AD194" i="3"/>
  <c r="AC194" i="3"/>
  <c r="AB194" i="3"/>
  <c r="AA194" i="3"/>
  <c r="Z194" i="3"/>
  <c r="W194" i="3"/>
  <c r="V194" i="3"/>
  <c r="U194" i="3"/>
  <c r="T194" i="3"/>
  <c r="S194" i="3"/>
  <c r="R194" i="3"/>
  <c r="Q194" i="3"/>
  <c r="P194" i="3"/>
  <c r="M194" i="3"/>
  <c r="L194" i="3"/>
  <c r="K194" i="3"/>
  <c r="J194" i="3"/>
  <c r="I194" i="3"/>
  <c r="H194" i="3"/>
  <c r="E194" i="3"/>
  <c r="D194" i="3"/>
  <c r="C194" i="3"/>
  <c r="A194" i="3"/>
  <c r="AG193" i="3"/>
  <c r="AF193" i="3"/>
  <c r="AE193" i="3"/>
  <c r="AD193" i="3"/>
  <c r="AC193" i="3"/>
  <c r="AB193" i="3"/>
  <c r="AA193" i="3"/>
  <c r="Z193" i="3"/>
  <c r="W193" i="3"/>
  <c r="V193" i="3"/>
  <c r="U193" i="3"/>
  <c r="T193" i="3"/>
  <c r="S193" i="3"/>
  <c r="R193" i="3"/>
  <c r="Q193" i="3"/>
  <c r="P193" i="3"/>
  <c r="M193" i="3"/>
  <c r="L193" i="3"/>
  <c r="K193" i="3"/>
  <c r="J193" i="3"/>
  <c r="I193" i="3"/>
  <c r="H193" i="3"/>
  <c r="E193" i="3"/>
  <c r="D193" i="3"/>
  <c r="C193" i="3"/>
  <c r="A193" i="3"/>
  <c r="AG192" i="3"/>
  <c r="AF192" i="3"/>
  <c r="AE192" i="3"/>
  <c r="AD192" i="3"/>
  <c r="AC192" i="3"/>
  <c r="AB192" i="3"/>
  <c r="AA192" i="3"/>
  <c r="Z192" i="3"/>
  <c r="W192" i="3"/>
  <c r="V192" i="3"/>
  <c r="U192" i="3"/>
  <c r="T192" i="3"/>
  <c r="S192" i="3"/>
  <c r="R192" i="3"/>
  <c r="Q192" i="3"/>
  <c r="P192" i="3"/>
  <c r="M192" i="3"/>
  <c r="L192" i="3"/>
  <c r="K192" i="3"/>
  <c r="J192" i="3"/>
  <c r="I192" i="3"/>
  <c r="H192" i="3"/>
  <c r="E192" i="3"/>
  <c r="D192" i="3"/>
  <c r="C192" i="3"/>
  <c r="A192" i="3"/>
  <c r="AG191" i="3"/>
  <c r="AF191" i="3"/>
  <c r="AE191" i="3"/>
  <c r="AD191" i="3"/>
  <c r="AC191" i="3"/>
  <c r="AB191" i="3"/>
  <c r="AA191" i="3"/>
  <c r="Z191" i="3"/>
  <c r="W191" i="3"/>
  <c r="V191" i="3"/>
  <c r="U191" i="3"/>
  <c r="T191" i="3"/>
  <c r="S191" i="3"/>
  <c r="R191" i="3"/>
  <c r="Q191" i="3"/>
  <c r="P191" i="3"/>
  <c r="M191" i="3"/>
  <c r="L191" i="3"/>
  <c r="K191" i="3"/>
  <c r="J191" i="3"/>
  <c r="I191" i="3"/>
  <c r="H191" i="3"/>
  <c r="E191" i="3"/>
  <c r="D191" i="3"/>
  <c r="C191" i="3"/>
  <c r="A191" i="3"/>
  <c r="AG190" i="3"/>
  <c r="AF190" i="3"/>
  <c r="AE190" i="3"/>
  <c r="AD190" i="3"/>
  <c r="AC190" i="3"/>
  <c r="AB190" i="3"/>
  <c r="AA190" i="3"/>
  <c r="Z190" i="3"/>
  <c r="W190" i="3"/>
  <c r="V190" i="3"/>
  <c r="U190" i="3"/>
  <c r="T190" i="3"/>
  <c r="S190" i="3"/>
  <c r="R190" i="3"/>
  <c r="Q190" i="3"/>
  <c r="P190" i="3"/>
  <c r="M190" i="3"/>
  <c r="L190" i="3"/>
  <c r="K190" i="3"/>
  <c r="J190" i="3"/>
  <c r="I190" i="3"/>
  <c r="H190" i="3"/>
  <c r="E190" i="3"/>
  <c r="D190" i="3"/>
  <c r="C190" i="3"/>
  <c r="A190" i="3"/>
  <c r="AG189" i="3"/>
  <c r="AF189" i="3"/>
  <c r="AE189" i="3"/>
  <c r="AD189" i="3"/>
  <c r="AC189" i="3"/>
  <c r="AB189" i="3"/>
  <c r="AA189" i="3"/>
  <c r="Z189" i="3"/>
  <c r="W189" i="3"/>
  <c r="V189" i="3"/>
  <c r="U189" i="3"/>
  <c r="T189" i="3"/>
  <c r="S189" i="3"/>
  <c r="R189" i="3"/>
  <c r="Q189" i="3"/>
  <c r="P189" i="3"/>
  <c r="M189" i="3"/>
  <c r="L189" i="3"/>
  <c r="K189" i="3"/>
  <c r="J189" i="3"/>
  <c r="I189" i="3"/>
  <c r="H189" i="3"/>
  <c r="E189" i="3"/>
  <c r="D189" i="3"/>
  <c r="C189" i="3"/>
  <c r="A189" i="3"/>
  <c r="AG188" i="3"/>
  <c r="AF188" i="3"/>
  <c r="AE188" i="3"/>
  <c r="AD188" i="3"/>
  <c r="AC188" i="3"/>
  <c r="AB188" i="3"/>
  <c r="AA188" i="3"/>
  <c r="Z188" i="3"/>
  <c r="W188" i="3"/>
  <c r="V188" i="3"/>
  <c r="U188" i="3"/>
  <c r="T188" i="3"/>
  <c r="S188" i="3"/>
  <c r="R188" i="3"/>
  <c r="Q188" i="3"/>
  <c r="P188" i="3"/>
  <c r="M188" i="3"/>
  <c r="L188" i="3"/>
  <c r="K188" i="3"/>
  <c r="J188" i="3"/>
  <c r="I188" i="3"/>
  <c r="H188" i="3"/>
  <c r="E188" i="3"/>
  <c r="D188" i="3"/>
  <c r="C188" i="3"/>
  <c r="A188" i="3"/>
  <c r="AG187" i="3"/>
  <c r="AF187" i="3"/>
  <c r="AE187" i="3"/>
  <c r="AD187" i="3"/>
  <c r="AC187" i="3"/>
  <c r="AB187" i="3"/>
  <c r="AA187" i="3"/>
  <c r="Z187" i="3"/>
  <c r="W187" i="3"/>
  <c r="V187" i="3"/>
  <c r="U187" i="3"/>
  <c r="T187" i="3"/>
  <c r="S187" i="3"/>
  <c r="R187" i="3"/>
  <c r="Q187" i="3"/>
  <c r="P187" i="3"/>
  <c r="M187" i="3"/>
  <c r="L187" i="3"/>
  <c r="K187" i="3"/>
  <c r="J187" i="3"/>
  <c r="I187" i="3"/>
  <c r="H187" i="3"/>
  <c r="E187" i="3"/>
  <c r="D187" i="3"/>
  <c r="C187" i="3"/>
  <c r="A187" i="3"/>
  <c r="AG186" i="3"/>
  <c r="AF186" i="3"/>
  <c r="AE186" i="3"/>
  <c r="AD186" i="3"/>
  <c r="AC186" i="3"/>
  <c r="AB186" i="3"/>
  <c r="AA186" i="3"/>
  <c r="Z186" i="3"/>
  <c r="W186" i="3"/>
  <c r="V186" i="3"/>
  <c r="U186" i="3"/>
  <c r="T186" i="3"/>
  <c r="S186" i="3"/>
  <c r="R186" i="3"/>
  <c r="Q186" i="3"/>
  <c r="P186" i="3"/>
  <c r="M186" i="3"/>
  <c r="L186" i="3"/>
  <c r="K186" i="3"/>
  <c r="J186" i="3"/>
  <c r="I186" i="3"/>
  <c r="H186" i="3"/>
  <c r="E186" i="3"/>
  <c r="D186" i="3"/>
  <c r="C186" i="3"/>
  <c r="A186" i="3"/>
  <c r="AG185" i="3"/>
  <c r="AF185" i="3"/>
  <c r="AE185" i="3"/>
  <c r="AD185" i="3"/>
  <c r="AC185" i="3"/>
  <c r="AB185" i="3"/>
  <c r="AA185" i="3"/>
  <c r="Z185" i="3"/>
  <c r="W185" i="3"/>
  <c r="V185" i="3"/>
  <c r="U185" i="3"/>
  <c r="T185" i="3"/>
  <c r="S185" i="3"/>
  <c r="R185" i="3"/>
  <c r="Q185" i="3"/>
  <c r="P185" i="3"/>
  <c r="M185" i="3"/>
  <c r="L185" i="3"/>
  <c r="K185" i="3"/>
  <c r="J185" i="3"/>
  <c r="I185" i="3"/>
  <c r="H185" i="3"/>
  <c r="E185" i="3"/>
  <c r="D185" i="3"/>
  <c r="C185" i="3"/>
  <c r="A185" i="3"/>
  <c r="AG184" i="3"/>
  <c r="AF184" i="3"/>
  <c r="AE184" i="3"/>
  <c r="AD184" i="3"/>
  <c r="AC184" i="3"/>
  <c r="AB184" i="3"/>
  <c r="AA184" i="3"/>
  <c r="Z184" i="3"/>
  <c r="W184" i="3"/>
  <c r="V184" i="3"/>
  <c r="U184" i="3"/>
  <c r="T184" i="3"/>
  <c r="S184" i="3"/>
  <c r="R184" i="3"/>
  <c r="Q184" i="3"/>
  <c r="P184" i="3"/>
  <c r="M184" i="3"/>
  <c r="L184" i="3"/>
  <c r="K184" i="3"/>
  <c r="J184" i="3"/>
  <c r="I184" i="3"/>
  <c r="H184" i="3"/>
  <c r="E184" i="3"/>
  <c r="D184" i="3"/>
  <c r="C184" i="3"/>
  <c r="A184" i="3"/>
  <c r="AG183" i="3"/>
  <c r="AF183" i="3"/>
  <c r="AE183" i="3"/>
  <c r="AD183" i="3"/>
  <c r="AC183" i="3"/>
  <c r="AB183" i="3"/>
  <c r="AA183" i="3"/>
  <c r="Z183" i="3"/>
  <c r="W183" i="3"/>
  <c r="V183" i="3"/>
  <c r="U183" i="3"/>
  <c r="T183" i="3"/>
  <c r="S183" i="3"/>
  <c r="R183" i="3"/>
  <c r="Q183" i="3"/>
  <c r="P183" i="3"/>
  <c r="M183" i="3"/>
  <c r="L183" i="3"/>
  <c r="K183" i="3"/>
  <c r="J183" i="3"/>
  <c r="I183" i="3"/>
  <c r="H183" i="3"/>
  <c r="E183" i="3"/>
  <c r="D183" i="3"/>
  <c r="C183" i="3"/>
  <c r="A183" i="3"/>
  <c r="AG182" i="3"/>
  <c r="AF182" i="3"/>
  <c r="AE182" i="3"/>
  <c r="AD182" i="3"/>
  <c r="AC182" i="3"/>
  <c r="AB182" i="3"/>
  <c r="AA182" i="3"/>
  <c r="Z182" i="3"/>
  <c r="W182" i="3"/>
  <c r="V182" i="3"/>
  <c r="U182" i="3"/>
  <c r="T182" i="3"/>
  <c r="S182" i="3"/>
  <c r="R182" i="3"/>
  <c r="Q182" i="3"/>
  <c r="P182" i="3"/>
  <c r="M182" i="3"/>
  <c r="L182" i="3"/>
  <c r="K182" i="3"/>
  <c r="J182" i="3"/>
  <c r="I182" i="3"/>
  <c r="H182" i="3"/>
  <c r="E182" i="3"/>
  <c r="D182" i="3"/>
  <c r="C182" i="3"/>
  <c r="A182" i="3"/>
  <c r="AG181" i="3"/>
  <c r="AF181" i="3"/>
  <c r="AE181" i="3"/>
  <c r="AD181" i="3"/>
  <c r="AC181" i="3"/>
  <c r="AB181" i="3"/>
  <c r="AA181" i="3"/>
  <c r="Z181" i="3"/>
  <c r="W181" i="3"/>
  <c r="V181" i="3"/>
  <c r="U181" i="3"/>
  <c r="T181" i="3"/>
  <c r="S181" i="3"/>
  <c r="R181" i="3"/>
  <c r="Q181" i="3"/>
  <c r="P181" i="3"/>
  <c r="M181" i="3"/>
  <c r="L181" i="3"/>
  <c r="K181" i="3"/>
  <c r="J181" i="3"/>
  <c r="I181" i="3"/>
  <c r="H181" i="3"/>
  <c r="E181" i="3"/>
  <c r="D181" i="3"/>
  <c r="C181" i="3"/>
  <c r="A181" i="3"/>
  <c r="AG180" i="3"/>
  <c r="AF180" i="3"/>
  <c r="AE180" i="3"/>
  <c r="AD180" i="3"/>
  <c r="AC180" i="3"/>
  <c r="AB180" i="3"/>
  <c r="AA180" i="3"/>
  <c r="Z180" i="3"/>
  <c r="W180" i="3"/>
  <c r="V180" i="3"/>
  <c r="U180" i="3"/>
  <c r="T180" i="3"/>
  <c r="S180" i="3"/>
  <c r="R180" i="3"/>
  <c r="Q180" i="3"/>
  <c r="P180" i="3"/>
  <c r="M180" i="3"/>
  <c r="L180" i="3"/>
  <c r="K180" i="3"/>
  <c r="J180" i="3"/>
  <c r="I180" i="3"/>
  <c r="H180" i="3"/>
  <c r="E180" i="3"/>
  <c r="D180" i="3"/>
  <c r="C180" i="3"/>
  <c r="A180" i="3"/>
  <c r="AG179" i="3"/>
  <c r="AF179" i="3"/>
  <c r="AE179" i="3"/>
  <c r="AD179" i="3"/>
  <c r="AC179" i="3"/>
  <c r="AB179" i="3"/>
  <c r="AA179" i="3"/>
  <c r="Z179" i="3"/>
  <c r="AH179" i="3" s="1"/>
  <c r="AI179" i="3" s="1"/>
  <c r="W179" i="3"/>
  <c r="V179" i="3"/>
  <c r="U179" i="3"/>
  <c r="T179" i="3"/>
  <c r="S179" i="3"/>
  <c r="R179" i="3"/>
  <c r="Q179" i="3"/>
  <c r="P179" i="3"/>
  <c r="X179" i="3" s="1"/>
  <c r="Y179" i="3" s="1"/>
  <c r="M179" i="3"/>
  <c r="L179" i="3"/>
  <c r="K179" i="3"/>
  <c r="J179" i="3"/>
  <c r="I179" i="3"/>
  <c r="H179" i="3"/>
  <c r="N179" i="3" s="1"/>
  <c r="O179" i="3" s="1"/>
  <c r="E179" i="3"/>
  <c r="D179" i="3"/>
  <c r="C179" i="3"/>
  <c r="F179" i="3" s="1"/>
  <c r="G179" i="3" s="1"/>
  <c r="A179" i="3"/>
  <c r="AG178" i="3"/>
  <c r="AF178" i="3"/>
  <c r="AE178" i="3"/>
  <c r="AD178" i="3"/>
  <c r="AC178" i="3"/>
  <c r="AB178" i="3"/>
  <c r="AA178" i="3"/>
  <c r="Z178" i="3"/>
  <c r="W178" i="3"/>
  <c r="V178" i="3"/>
  <c r="U178" i="3"/>
  <c r="T178" i="3"/>
  <c r="S178" i="3"/>
  <c r="R178" i="3"/>
  <c r="Q178" i="3"/>
  <c r="P178" i="3"/>
  <c r="M178" i="3"/>
  <c r="L178" i="3"/>
  <c r="K178" i="3"/>
  <c r="J178" i="3"/>
  <c r="I178" i="3"/>
  <c r="H178" i="3"/>
  <c r="E178" i="3"/>
  <c r="D178" i="3"/>
  <c r="C178" i="3"/>
  <c r="A178" i="3"/>
  <c r="AG177" i="3"/>
  <c r="AF177" i="3"/>
  <c r="AE177" i="3"/>
  <c r="AD177" i="3"/>
  <c r="AC177" i="3"/>
  <c r="AB177" i="3"/>
  <c r="AA177" i="3"/>
  <c r="Z177" i="3"/>
  <c r="W177" i="3"/>
  <c r="V177" i="3"/>
  <c r="U177" i="3"/>
  <c r="T177" i="3"/>
  <c r="S177" i="3"/>
  <c r="R177" i="3"/>
  <c r="Q177" i="3"/>
  <c r="P177" i="3"/>
  <c r="M177" i="3"/>
  <c r="L177" i="3"/>
  <c r="K177" i="3"/>
  <c r="J177" i="3"/>
  <c r="I177" i="3"/>
  <c r="H177" i="3"/>
  <c r="E177" i="3"/>
  <c r="D177" i="3"/>
  <c r="C177" i="3"/>
  <c r="A177" i="3"/>
  <c r="AG176" i="3"/>
  <c r="AF176" i="3"/>
  <c r="AE176" i="3"/>
  <c r="AD176" i="3"/>
  <c r="AC176" i="3"/>
  <c r="AB176" i="3"/>
  <c r="AA176" i="3"/>
  <c r="Z176" i="3"/>
  <c r="W176" i="3"/>
  <c r="V176" i="3"/>
  <c r="U176" i="3"/>
  <c r="T176" i="3"/>
  <c r="S176" i="3"/>
  <c r="R176" i="3"/>
  <c r="Q176" i="3"/>
  <c r="P176" i="3"/>
  <c r="M176" i="3"/>
  <c r="L176" i="3"/>
  <c r="K176" i="3"/>
  <c r="J176" i="3"/>
  <c r="I176" i="3"/>
  <c r="H176" i="3"/>
  <c r="E176" i="3"/>
  <c r="D176" i="3"/>
  <c r="C176" i="3"/>
  <c r="A176" i="3"/>
  <c r="AG175" i="3"/>
  <c r="AF175" i="3"/>
  <c r="AE175" i="3"/>
  <c r="AD175" i="3"/>
  <c r="AC175" i="3"/>
  <c r="AB175" i="3"/>
  <c r="AA175" i="3"/>
  <c r="Z175" i="3"/>
  <c r="W175" i="3"/>
  <c r="V175" i="3"/>
  <c r="U175" i="3"/>
  <c r="T175" i="3"/>
  <c r="S175" i="3"/>
  <c r="R175" i="3"/>
  <c r="Q175" i="3"/>
  <c r="P175" i="3"/>
  <c r="M175" i="3"/>
  <c r="L175" i="3"/>
  <c r="K175" i="3"/>
  <c r="J175" i="3"/>
  <c r="I175" i="3"/>
  <c r="H175" i="3"/>
  <c r="E175" i="3"/>
  <c r="D175" i="3"/>
  <c r="C175" i="3"/>
  <c r="A175" i="3"/>
  <c r="AG174" i="3"/>
  <c r="AF174" i="3"/>
  <c r="AE174" i="3"/>
  <c r="AD174" i="3"/>
  <c r="AC174" i="3"/>
  <c r="AB174" i="3"/>
  <c r="AA174" i="3"/>
  <c r="Z174" i="3"/>
  <c r="W174" i="3"/>
  <c r="V174" i="3"/>
  <c r="U174" i="3"/>
  <c r="T174" i="3"/>
  <c r="S174" i="3"/>
  <c r="R174" i="3"/>
  <c r="Q174" i="3"/>
  <c r="P174" i="3"/>
  <c r="M174" i="3"/>
  <c r="L174" i="3"/>
  <c r="K174" i="3"/>
  <c r="J174" i="3"/>
  <c r="I174" i="3"/>
  <c r="H174" i="3"/>
  <c r="E174" i="3"/>
  <c r="D174" i="3"/>
  <c r="C174" i="3"/>
  <c r="A174" i="3"/>
  <c r="AG173" i="3"/>
  <c r="AF173" i="3"/>
  <c r="AE173" i="3"/>
  <c r="AD173" i="3"/>
  <c r="AC173" i="3"/>
  <c r="AB173" i="3"/>
  <c r="AA173" i="3"/>
  <c r="Z173" i="3"/>
  <c r="W173" i="3"/>
  <c r="V173" i="3"/>
  <c r="U173" i="3"/>
  <c r="T173" i="3"/>
  <c r="S173" i="3"/>
  <c r="R173" i="3"/>
  <c r="Q173" i="3"/>
  <c r="P173" i="3"/>
  <c r="M173" i="3"/>
  <c r="L173" i="3"/>
  <c r="K173" i="3"/>
  <c r="J173" i="3"/>
  <c r="I173" i="3"/>
  <c r="H173" i="3"/>
  <c r="E173" i="3"/>
  <c r="D173" i="3"/>
  <c r="C173" i="3"/>
  <c r="A173" i="3"/>
  <c r="AG172" i="3"/>
  <c r="AF172" i="3"/>
  <c r="AE172" i="3"/>
  <c r="AD172" i="3"/>
  <c r="AC172" i="3"/>
  <c r="AB172" i="3"/>
  <c r="AA172" i="3"/>
  <c r="Z172" i="3"/>
  <c r="W172" i="3"/>
  <c r="V172" i="3"/>
  <c r="U172" i="3"/>
  <c r="T172" i="3"/>
  <c r="S172" i="3"/>
  <c r="R172" i="3"/>
  <c r="Q172" i="3"/>
  <c r="P172" i="3"/>
  <c r="M172" i="3"/>
  <c r="L172" i="3"/>
  <c r="K172" i="3"/>
  <c r="J172" i="3"/>
  <c r="I172" i="3"/>
  <c r="H172" i="3"/>
  <c r="E172" i="3"/>
  <c r="D172" i="3"/>
  <c r="C172" i="3"/>
  <c r="A172" i="3"/>
  <c r="AG171" i="3"/>
  <c r="AF171" i="3"/>
  <c r="AE171" i="3"/>
  <c r="AD171" i="3"/>
  <c r="AC171" i="3"/>
  <c r="AB171" i="3"/>
  <c r="AA171" i="3"/>
  <c r="Z171" i="3"/>
  <c r="W171" i="3"/>
  <c r="V171" i="3"/>
  <c r="U171" i="3"/>
  <c r="T171" i="3"/>
  <c r="S171" i="3"/>
  <c r="R171" i="3"/>
  <c r="Q171" i="3"/>
  <c r="P171" i="3"/>
  <c r="M171" i="3"/>
  <c r="L171" i="3"/>
  <c r="K171" i="3"/>
  <c r="J171" i="3"/>
  <c r="I171" i="3"/>
  <c r="H171" i="3"/>
  <c r="E171" i="3"/>
  <c r="D171" i="3"/>
  <c r="C171" i="3"/>
  <c r="A171" i="3"/>
  <c r="AG170" i="3"/>
  <c r="AF170" i="3"/>
  <c r="AE170" i="3"/>
  <c r="AD170" i="3"/>
  <c r="AC170" i="3"/>
  <c r="AB170" i="3"/>
  <c r="AA170" i="3"/>
  <c r="Z170" i="3"/>
  <c r="W170" i="3"/>
  <c r="V170" i="3"/>
  <c r="U170" i="3"/>
  <c r="T170" i="3"/>
  <c r="S170" i="3"/>
  <c r="R170" i="3"/>
  <c r="Q170" i="3"/>
  <c r="P170" i="3"/>
  <c r="M170" i="3"/>
  <c r="L170" i="3"/>
  <c r="K170" i="3"/>
  <c r="J170" i="3"/>
  <c r="I170" i="3"/>
  <c r="H170" i="3"/>
  <c r="E170" i="3"/>
  <c r="D170" i="3"/>
  <c r="C170" i="3"/>
  <c r="A170" i="3"/>
  <c r="AG169" i="3"/>
  <c r="AF169" i="3"/>
  <c r="AE169" i="3"/>
  <c r="AD169" i="3"/>
  <c r="AC169" i="3"/>
  <c r="AB169" i="3"/>
  <c r="AA169" i="3"/>
  <c r="Z169" i="3"/>
  <c r="AH169" i="3" s="1"/>
  <c r="AI169" i="3" s="1"/>
  <c r="W169" i="3"/>
  <c r="V169" i="3"/>
  <c r="U169" i="3"/>
  <c r="T169" i="3"/>
  <c r="S169" i="3"/>
  <c r="R169" i="3"/>
  <c r="Q169" i="3"/>
  <c r="P169" i="3"/>
  <c r="X169" i="3" s="1"/>
  <c r="Y169" i="3" s="1"/>
  <c r="M169" i="3"/>
  <c r="L169" i="3"/>
  <c r="K169" i="3"/>
  <c r="J169" i="3"/>
  <c r="I169" i="3"/>
  <c r="H169" i="3"/>
  <c r="N169" i="3" s="1"/>
  <c r="E169" i="3"/>
  <c r="D169" i="3"/>
  <c r="C169" i="3"/>
  <c r="F169" i="3" s="1"/>
  <c r="G169" i="3" s="1"/>
  <c r="A169" i="3"/>
  <c r="AG168" i="3"/>
  <c r="AF168" i="3"/>
  <c r="AE168" i="3"/>
  <c r="AD168" i="3"/>
  <c r="AC168" i="3"/>
  <c r="AB168" i="3"/>
  <c r="AA168" i="3"/>
  <c r="Z168" i="3"/>
  <c r="W168" i="3"/>
  <c r="V168" i="3"/>
  <c r="U168" i="3"/>
  <c r="T168" i="3"/>
  <c r="S168" i="3"/>
  <c r="R168" i="3"/>
  <c r="Q168" i="3"/>
  <c r="P168" i="3"/>
  <c r="M168" i="3"/>
  <c r="L168" i="3"/>
  <c r="K168" i="3"/>
  <c r="J168" i="3"/>
  <c r="I168" i="3"/>
  <c r="H168" i="3"/>
  <c r="E168" i="3"/>
  <c r="D168" i="3"/>
  <c r="C168" i="3"/>
  <c r="A168" i="3"/>
  <c r="AG167" i="3"/>
  <c r="AF167" i="3"/>
  <c r="AE167" i="3"/>
  <c r="AD167" i="3"/>
  <c r="AC167" i="3"/>
  <c r="AB167" i="3"/>
  <c r="AA167" i="3"/>
  <c r="Z167" i="3"/>
  <c r="W167" i="3"/>
  <c r="V167" i="3"/>
  <c r="U167" i="3"/>
  <c r="T167" i="3"/>
  <c r="S167" i="3"/>
  <c r="R167" i="3"/>
  <c r="Q167" i="3"/>
  <c r="P167" i="3"/>
  <c r="M167" i="3"/>
  <c r="L167" i="3"/>
  <c r="K167" i="3"/>
  <c r="J167" i="3"/>
  <c r="I167" i="3"/>
  <c r="H167" i="3"/>
  <c r="E167" i="3"/>
  <c r="D167" i="3"/>
  <c r="C167" i="3"/>
  <c r="A167" i="3"/>
  <c r="AG166" i="3"/>
  <c r="AF166" i="3"/>
  <c r="AE166" i="3"/>
  <c r="AD166" i="3"/>
  <c r="AC166" i="3"/>
  <c r="AB166" i="3"/>
  <c r="AA166" i="3"/>
  <c r="Z166" i="3"/>
  <c r="W166" i="3"/>
  <c r="V166" i="3"/>
  <c r="U166" i="3"/>
  <c r="T166" i="3"/>
  <c r="S166" i="3"/>
  <c r="R166" i="3"/>
  <c r="Q166" i="3"/>
  <c r="P166" i="3"/>
  <c r="M166" i="3"/>
  <c r="L166" i="3"/>
  <c r="K166" i="3"/>
  <c r="J166" i="3"/>
  <c r="I166" i="3"/>
  <c r="H166" i="3"/>
  <c r="E166" i="3"/>
  <c r="D166" i="3"/>
  <c r="C166" i="3"/>
  <c r="A166" i="3"/>
  <c r="AG165" i="3"/>
  <c r="AF165" i="3"/>
  <c r="AE165" i="3"/>
  <c r="AD165" i="3"/>
  <c r="AC165" i="3"/>
  <c r="AB165" i="3"/>
  <c r="AA165" i="3"/>
  <c r="Z165" i="3"/>
  <c r="AH165" i="3" s="1"/>
  <c r="AI165" i="3" s="1"/>
  <c r="W165" i="3"/>
  <c r="V165" i="3"/>
  <c r="U165" i="3"/>
  <c r="T165" i="3"/>
  <c r="S165" i="3"/>
  <c r="R165" i="3"/>
  <c r="Q165" i="3"/>
  <c r="P165" i="3"/>
  <c r="X165" i="3" s="1"/>
  <c r="Y165" i="3" s="1"/>
  <c r="M165" i="3"/>
  <c r="L165" i="3"/>
  <c r="K165" i="3"/>
  <c r="J165" i="3"/>
  <c r="I165" i="3"/>
  <c r="H165" i="3"/>
  <c r="N165" i="3" s="1"/>
  <c r="E165" i="3"/>
  <c r="D165" i="3"/>
  <c r="C165" i="3"/>
  <c r="F165" i="3" s="1"/>
  <c r="G165" i="3" s="1"/>
  <c r="A165" i="3"/>
  <c r="AG164" i="3"/>
  <c r="AF164" i="3"/>
  <c r="AE164" i="3"/>
  <c r="AD164" i="3"/>
  <c r="AC164" i="3"/>
  <c r="AB164" i="3"/>
  <c r="AA164" i="3"/>
  <c r="Z164" i="3"/>
  <c r="W164" i="3"/>
  <c r="V164" i="3"/>
  <c r="U164" i="3"/>
  <c r="T164" i="3"/>
  <c r="S164" i="3"/>
  <c r="R164" i="3"/>
  <c r="Q164" i="3"/>
  <c r="P164" i="3"/>
  <c r="M164" i="3"/>
  <c r="L164" i="3"/>
  <c r="K164" i="3"/>
  <c r="J164" i="3"/>
  <c r="I164" i="3"/>
  <c r="H164" i="3"/>
  <c r="E164" i="3"/>
  <c r="D164" i="3"/>
  <c r="C164" i="3"/>
  <c r="A164" i="3"/>
  <c r="AG163" i="3"/>
  <c r="AF163" i="3"/>
  <c r="AE163" i="3"/>
  <c r="AD163" i="3"/>
  <c r="AC163" i="3"/>
  <c r="AB163" i="3"/>
  <c r="AA163" i="3"/>
  <c r="Z163" i="3"/>
  <c r="W163" i="3"/>
  <c r="V163" i="3"/>
  <c r="U163" i="3"/>
  <c r="T163" i="3"/>
  <c r="S163" i="3"/>
  <c r="R163" i="3"/>
  <c r="Q163" i="3"/>
  <c r="P163" i="3"/>
  <c r="M163" i="3"/>
  <c r="L163" i="3"/>
  <c r="K163" i="3"/>
  <c r="J163" i="3"/>
  <c r="I163" i="3"/>
  <c r="H163" i="3"/>
  <c r="E163" i="3"/>
  <c r="D163" i="3"/>
  <c r="C163" i="3"/>
  <c r="A163" i="3"/>
  <c r="AG162" i="3"/>
  <c r="AF162" i="3"/>
  <c r="AE162" i="3"/>
  <c r="AD162" i="3"/>
  <c r="AC162" i="3"/>
  <c r="AB162" i="3"/>
  <c r="AA162" i="3"/>
  <c r="Z162" i="3"/>
  <c r="AH162" i="3" s="1"/>
  <c r="AI162" i="3" s="1"/>
  <c r="W162" i="3"/>
  <c r="V162" i="3"/>
  <c r="U162" i="3"/>
  <c r="T162" i="3"/>
  <c r="S162" i="3"/>
  <c r="R162" i="3"/>
  <c r="Q162" i="3"/>
  <c r="P162" i="3"/>
  <c r="X162" i="3" s="1"/>
  <c r="Y162" i="3" s="1"/>
  <c r="M162" i="3"/>
  <c r="L162" i="3"/>
  <c r="K162" i="3"/>
  <c r="J162" i="3"/>
  <c r="I162" i="3"/>
  <c r="H162" i="3"/>
  <c r="N162" i="3" s="1"/>
  <c r="E162" i="3"/>
  <c r="D162" i="3"/>
  <c r="C162" i="3"/>
  <c r="F162" i="3" s="1"/>
  <c r="G162" i="3" s="1"/>
  <c r="A162" i="3"/>
  <c r="AG161" i="3"/>
  <c r="AF161" i="3"/>
  <c r="AE161" i="3"/>
  <c r="AD161" i="3"/>
  <c r="AC161" i="3"/>
  <c r="AB161" i="3"/>
  <c r="AA161" i="3"/>
  <c r="Z161" i="3"/>
  <c r="W161" i="3"/>
  <c r="V161" i="3"/>
  <c r="U161" i="3"/>
  <c r="T161" i="3"/>
  <c r="S161" i="3"/>
  <c r="R161" i="3"/>
  <c r="Q161" i="3"/>
  <c r="P161" i="3"/>
  <c r="M161" i="3"/>
  <c r="L161" i="3"/>
  <c r="K161" i="3"/>
  <c r="J161" i="3"/>
  <c r="I161" i="3"/>
  <c r="H161" i="3"/>
  <c r="E161" i="3"/>
  <c r="D161" i="3"/>
  <c r="C161" i="3"/>
  <c r="A161" i="3"/>
  <c r="AG160" i="3"/>
  <c r="AF160" i="3"/>
  <c r="AE160" i="3"/>
  <c r="AD160" i="3"/>
  <c r="AC160" i="3"/>
  <c r="AB160" i="3"/>
  <c r="AA160" i="3"/>
  <c r="Z160" i="3"/>
  <c r="W160" i="3"/>
  <c r="V160" i="3"/>
  <c r="U160" i="3"/>
  <c r="T160" i="3"/>
  <c r="S160" i="3"/>
  <c r="R160" i="3"/>
  <c r="Q160" i="3"/>
  <c r="P160" i="3"/>
  <c r="M160" i="3"/>
  <c r="L160" i="3"/>
  <c r="K160" i="3"/>
  <c r="J160" i="3"/>
  <c r="I160" i="3"/>
  <c r="H160" i="3"/>
  <c r="E160" i="3"/>
  <c r="D160" i="3"/>
  <c r="C160" i="3"/>
  <c r="A160" i="3"/>
  <c r="AG159" i="3"/>
  <c r="AF159" i="3"/>
  <c r="AE159" i="3"/>
  <c r="AD159" i="3"/>
  <c r="AC159" i="3"/>
  <c r="AB159" i="3"/>
  <c r="AA159" i="3"/>
  <c r="Z159" i="3"/>
  <c r="AH159" i="3" s="1"/>
  <c r="AI159" i="3" s="1"/>
  <c r="W159" i="3"/>
  <c r="V159" i="3"/>
  <c r="U159" i="3"/>
  <c r="T159" i="3"/>
  <c r="S159" i="3"/>
  <c r="R159" i="3"/>
  <c r="Q159" i="3"/>
  <c r="P159" i="3"/>
  <c r="X159" i="3" s="1"/>
  <c r="M159" i="3"/>
  <c r="L159" i="3"/>
  <c r="K159" i="3"/>
  <c r="J159" i="3"/>
  <c r="I159" i="3"/>
  <c r="H159" i="3"/>
  <c r="N159" i="3" s="1"/>
  <c r="E159" i="3"/>
  <c r="D159" i="3"/>
  <c r="C159" i="3"/>
  <c r="F159" i="3" s="1"/>
  <c r="G159" i="3" s="1"/>
  <c r="A159" i="3"/>
  <c r="AG158" i="3"/>
  <c r="AF158" i="3"/>
  <c r="AE158" i="3"/>
  <c r="AD158" i="3"/>
  <c r="AC158" i="3"/>
  <c r="AB158" i="3"/>
  <c r="AA158" i="3"/>
  <c r="Z158" i="3"/>
  <c r="W158" i="3"/>
  <c r="V158" i="3"/>
  <c r="U158" i="3"/>
  <c r="T158" i="3"/>
  <c r="S158" i="3"/>
  <c r="R158" i="3"/>
  <c r="Q158" i="3"/>
  <c r="P158" i="3"/>
  <c r="M158" i="3"/>
  <c r="L158" i="3"/>
  <c r="K158" i="3"/>
  <c r="J158" i="3"/>
  <c r="I158" i="3"/>
  <c r="H158" i="3"/>
  <c r="E158" i="3"/>
  <c r="D158" i="3"/>
  <c r="C158" i="3"/>
  <c r="A158" i="3"/>
  <c r="AG157" i="3"/>
  <c r="AF157" i="3"/>
  <c r="AE157" i="3"/>
  <c r="AD157" i="3"/>
  <c r="AC157" i="3"/>
  <c r="AB157" i="3"/>
  <c r="AA157" i="3"/>
  <c r="Z157" i="3"/>
  <c r="W157" i="3"/>
  <c r="V157" i="3"/>
  <c r="U157" i="3"/>
  <c r="T157" i="3"/>
  <c r="S157" i="3"/>
  <c r="R157" i="3"/>
  <c r="Q157" i="3"/>
  <c r="P157" i="3"/>
  <c r="M157" i="3"/>
  <c r="L157" i="3"/>
  <c r="K157" i="3"/>
  <c r="J157" i="3"/>
  <c r="I157" i="3"/>
  <c r="H157" i="3"/>
  <c r="E157" i="3"/>
  <c r="D157" i="3"/>
  <c r="C157" i="3"/>
  <c r="A157" i="3"/>
  <c r="AG156" i="3"/>
  <c r="AF156" i="3"/>
  <c r="AE156" i="3"/>
  <c r="AD156" i="3"/>
  <c r="AC156" i="3"/>
  <c r="AB156" i="3"/>
  <c r="AA156" i="3"/>
  <c r="Z156" i="3"/>
  <c r="W156" i="3"/>
  <c r="V156" i="3"/>
  <c r="U156" i="3"/>
  <c r="T156" i="3"/>
  <c r="S156" i="3"/>
  <c r="R156" i="3"/>
  <c r="Q156" i="3"/>
  <c r="P156" i="3"/>
  <c r="M156" i="3"/>
  <c r="L156" i="3"/>
  <c r="K156" i="3"/>
  <c r="J156" i="3"/>
  <c r="I156" i="3"/>
  <c r="H156" i="3"/>
  <c r="E156" i="3"/>
  <c r="D156" i="3"/>
  <c r="C156" i="3"/>
  <c r="A156" i="3"/>
  <c r="AG155" i="3"/>
  <c r="AF155" i="3"/>
  <c r="AE155" i="3"/>
  <c r="AD155" i="3"/>
  <c r="AC155" i="3"/>
  <c r="AB155" i="3"/>
  <c r="AA155" i="3"/>
  <c r="Z155" i="3"/>
  <c r="W155" i="3"/>
  <c r="V155" i="3"/>
  <c r="U155" i="3"/>
  <c r="T155" i="3"/>
  <c r="S155" i="3"/>
  <c r="R155" i="3"/>
  <c r="Q155" i="3"/>
  <c r="P155" i="3"/>
  <c r="M155" i="3"/>
  <c r="L155" i="3"/>
  <c r="K155" i="3"/>
  <c r="J155" i="3"/>
  <c r="I155" i="3"/>
  <c r="H155" i="3"/>
  <c r="E155" i="3"/>
  <c r="D155" i="3"/>
  <c r="C155" i="3"/>
  <c r="A155" i="3"/>
  <c r="AG154" i="3"/>
  <c r="AF154" i="3"/>
  <c r="AE154" i="3"/>
  <c r="AD154" i="3"/>
  <c r="AC154" i="3"/>
  <c r="AB154" i="3"/>
  <c r="AA154" i="3"/>
  <c r="Z154" i="3"/>
  <c r="W154" i="3"/>
  <c r="V154" i="3"/>
  <c r="U154" i="3"/>
  <c r="T154" i="3"/>
  <c r="S154" i="3"/>
  <c r="R154" i="3"/>
  <c r="Q154" i="3"/>
  <c r="P154" i="3"/>
  <c r="M154" i="3"/>
  <c r="L154" i="3"/>
  <c r="K154" i="3"/>
  <c r="J154" i="3"/>
  <c r="I154" i="3"/>
  <c r="H154" i="3"/>
  <c r="E154" i="3"/>
  <c r="D154" i="3"/>
  <c r="C154" i="3"/>
  <c r="A154" i="3"/>
  <c r="AG153" i="3"/>
  <c r="AF153" i="3"/>
  <c r="AE153" i="3"/>
  <c r="AD153" i="3"/>
  <c r="AC153" i="3"/>
  <c r="AB153" i="3"/>
  <c r="AA153" i="3"/>
  <c r="Z153" i="3"/>
  <c r="W153" i="3"/>
  <c r="V153" i="3"/>
  <c r="U153" i="3"/>
  <c r="T153" i="3"/>
  <c r="S153" i="3"/>
  <c r="R153" i="3"/>
  <c r="Q153" i="3"/>
  <c r="P153" i="3"/>
  <c r="M153" i="3"/>
  <c r="L153" i="3"/>
  <c r="K153" i="3"/>
  <c r="J153" i="3"/>
  <c r="I153" i="3"/>
  <c r="H153" i="3"/>
  <c r="E153" i="3"/>
  <c r="D153" i="3"/>
  <c r="C153" i="3"/>
  <c r="A153" i="3"/>
  <c r="AG152" i="3"/>
  <c r="AF152" i="3"/>
  <c r="AE152" i="3"/>
  <c r="AD152" i="3"/>
  <c r="AC152" i="3"/>
  <c r="AB152" i="3"/>
  <c r="AA152" i="3"/>
  <c r="Z152" i="3"/>
  <c r="W152" i="3"/>
  <c r="V152" i="3"/>
  <c r="U152" i="3"/>
  <c r="T152" i="3"/>
  <c r="S152" i="3"/>
  <c r="R152" i="3"/>
  <c r="Q152" i="3"/>
  <c r="P152" i="3"/>
  <c r="M152" i="3"/>
  <c r="L152" i="3"/>
  <c r="K152" i="3"/>
  <c r="J152" i="3"/>
  <c r="I152" i="3"/>
  <c r="H152" i="3"/>
  <c r="E152" i="3"/>
  <c r="D152" i="3"/>
  <c r="C152" i="3"/>
  <c r="A152" i="3"/>
  <c r="AG151" i="3"/>
  <c r="AF151" i="3"/>
  <c r="AE151" i="3"/>
  <c r="AD151" i="3"/>
  <c r="AC151" i="3"/>
  <c r="AB151" i="3"/>
  <c r="AA151" i="3"/>
  <c r="Z151" i="3"/>
  <c r="W151" i="3"/>
  <c r="V151" i="3"/>
  <c r="U151" i="3"/>
  <c r="T151" i="3"/>
  <c r="S151" i="3"/>
  <c r="R151" i="3"/>
  <c r="Q151" i="3"/>
  <c r="P151" i="3"/>
  <c r="M151" i="3"/>
  <c r="L151" i="3"/>
  <c r="K151" i="3"/>
  <c r="J151" i="3"/>
  <c r="I151" i="3"/>
  <c r="H151" i="3"/>
  <c r="E151" i="3"/>
  <c r="D151" i="3"/>
  <c r="C151" i="3"/>
  <c r="A151" i="3"/>
  <c r="AG150" i="3"/>
  <c r="AF150" i="3"/>
  <c r="AE150" i="3"/>
  <c r="AD150" i="3"/>
  <c r="AC150" i="3"/>
  <c r="AB150" i="3"/>
  <c r="AA150" i="3"/>
  <c r="Z150" i="3"/>
  <c r="W150" i="3"/>
  <c r="V150" i="3"/>
  <c r="U150" i="3"/>
  <c r="T150" i="3"/>
  <c r="S150" i="3"/>
  <c r="R150" i="3"/>
  <c r="Q150" i="3"/>
  <c r="P150" i="3"/>
  <c r="M150" i="3"/>
  <c r="L150" i="3"/>
  <c r="K150" i="3"/>
  <c r="J150" i="3"/>
  <c r="I150" i="3"/>
  <c r="H150" i="3"/>
  <c r="E150" i="3"/>
  <c r="D150" i="3"/>
  <c r="C150" i="3"/>
  <c r="A150" i="3"/>
  <c r="AG149" i="3"/>
  <c r="AF149" i="3"/>
  <c r="AE149" i="3"/>
  <c r="AD149" i="3"/>
  <c r="AC149" i="3"/>
  <c r="AB149" i="3"/>
  <c r="AA149" i="3"/>
  <c r="Z149" i="3"/>
  <c r="W149" i="3"/>
  <c r="V149" i="3"/>
  <c r="U149" i="3"/>
  <c r="T149" i="3"/>
  <c r="S149" i="3"/>
  <c r="R149" i="3"/>
  <c r="Q149" i="3"/>
  <c r="P149" i="3"/>
  <c r="M149" i="3"/>
  <c r="L149" i="3"/>
  <c r="K149" i="3"/>
  <c r="J149" i="3"/>
  <c r="I149" i="3"/>
  <c r="H149" i="3"/>
  <c r="E149" i="3"/>
  <c r="D149" i="3"/>
  <c r="C149" i="3"/>
  <c r="A149" i="3"/>
  <c r="AG148" i="3"/>
  <c r="AF148" i="3"/>
  <c r="AE148" i="3"/>
  <c r="AD148" i="3"/>
  <c r="AC148" i="3"/>
  <c r="AB148" i="3"/>
  <c r="AA148" i="3"/>
  <c r="Z148" i="3"/>
  <c r="W148" i="3"/>
  <c r="V148" i="3"/>
  <c r="U148" i="3"/>
  <c r="T148" i="3"/>
  <c r="S148" i="3"/>
  <c r="R148" i="3"/>
  <c r="Q148" i="3"/>
  <c r="P148" i="3"/>
  <c r="M148" i="3"/>
  <c r="L148" i="3"/>
  <c r="K148" i="3"/>
  <c r="J148" i="3"/>
  <c r="I148" i="3"/>
  <c r="H148" i="3"/>
  <c r="E148" i="3"/>
  <c r="D148" i="3"/>
  <c r="C148" i="3"/>
  <c r="A148" i="3"/>
  <c r="AG147" i="3"/>
  <c r="AF147" i="3"/>
  <c r="AE147" i="3"/>
  <c r="AD147" i="3"/>
  <c r="AC147" i="3"/>
  <c r="AB147" i="3"/>
  <c r="AA147" i="3"/>
  <c r="Z147" i="3"/>
  <c r="W147" i="3"/>
  <c r="V147" i="3"/>
  <c r="U147" i="3"/>
  <c r="T147" i="3"/>
  <c r="S147" i="3"/>
  <c r="R147" i="3"/>
  <c r="Q147" i="3"/>
  <c r="P147" i="3"/>
  <c r="M147" i="3"/>
  <c r="L147" i="3"/>
  <c r="K147" i="3"/>
  <c r="J147" i="3"/>
  <c r="I147" i="3"/>
  <c r="H147" i="3"/>
  <c r="E147" i="3"/>
  <c r="D147" i="3"/>
  <c r="C147" i="3"/>
  <c r="A147" i="3"/>
  <c r="AG146" i="3"/>
  <c r="AF146" i="3"/>
  <c r="AE146" i="3"/>
  <c r="AD146" i="3"/>
  <c r="AC146" i="3"/>
  <c r="AB146" i="3"/>
  <c r="AA146" i="3"/>
  <c r="Z146" i="3"/>
  <c r="W146" i="3"/>
  <c r="V146" i="3"/>
  <c r="U146" i="3"/>
  <c r="T146" i="3"/>
  <c r="S146" i="3"/>
  <c r="R146" i="3"/>
  <c r="Q146" i="3"/>
  <c r="P146" i="3"/>
  <c r="M146" i="3"/>
  <c r="L146" i="3"/>
  <c r="K146" i="3"/>
  <c r="J146" i="3"/>
  <c r="I146" i="3"/>
  <c r="H146" i="3"/>
  <c r="E146" i="3"/>
  <c r="D146" i="3"/>
  <c r="C146" i="3"/>
  <c r="A146" i="3"/>
  <c r="AG145" i="3"/>
  <c r="AF145" i="3"/>
  <c r="AE145" i="3"/>
  <c r="AD145" i="3"/>
  <c r="AC145" i="3"/>
  <c r="AB145" i="3"/>
  <c r="AA145" i="3"/>
  <c r="Z145" i="3"/>
  <c r="W145" i="3"/>
  <c r="V145" i="3"/>
  <c r="U145" i="3"/>
  <c r="T145" i="3"/>
  <c r="S145" i="3"/>
  <c r="R145" i="3"/>
  <c r="Q145" i="3"/>
  <c r="P145" i="3"/>
  <c r="M145" i="3"/>
  <c r="L145" i="3"/>
  <c r="K145" i="3"/>
  <c r="J145" i="3"/>
  <c r="I145" i="3"/>
  <c r="H145" i="3"/>
  <c r="E145" i="3"/>
  <c r="D145" i="3"/>
  <c r="C145" i="3"/>
  <c r="A145" i="3"/>
  <c r="AG144" i="3"/>
  <c r="AF144" i="3"/>
  <c r="AE144" i="3"/>
  <c r="AD144" i="3"/>
  <c r="AC144" i="3"/>
  <c r="AB144" i="3"/>
  <c r="AA144" i="3"/>
  <c r="Z144" i="3"/>
  <c r="W144" i="3"/>
  <c r="V144" i="3"/>
  <c r="U144" i="3"/>
  <c r="T144" i="3"/>
  <c r="S144" i="3"/>
  <c r="R144" i="3"/>
  <c r="Q144" i="3"/>
  <c r="P144" i="3"/>
  <c r="M144" i="3"/>
  <c r="L144" i="3"/>
  <c r="K144" i="3"/>
  <c r="J144" i="3"/>
  <c r="I144" i="3"/>
  <c r="H144" i="3"/>
  <c r="E144" i="3"/>
  <c r="D144" i="3"/>
  <c r="C144" i="3"/>
  <c r="A144" i="3"/>
  <c r="AG143" i="3"/>
  <c r="AF143" i="3"/>
  <c r="AE143" i="3"/>
  <c r="AD143" i="3"/>
  <c r="AC143" i="3"/>
  <c r="AB143" i="3"/>
  <c r="AA143" i="3"/>
  <c r="Z143" i="3"/>
  <c r="W143" i="3"/>
  <c r="V143" i="3"/>
  <c r="U143" i="3"/>
  <c r="T143" i="3"/>
  <c r="S143" i="3"/>
  <c r="R143" i="3"/>
  <c r="Q143" i="3"/>
  <c r="P143" i="3"/>
  <c r="M143" i="3"/>
  <c r="L143" i="3"/>
  <c r="K143" i="3"/>
  <c r="J143" i="3"/>
  <c r="I143" i="3"/>
  <c r="H143" i="3"/>
  <c r="E143" i="3"/>
  <c r="D143" i="3"/>
  <c r="C143" i="3"/>
  <c r="A143" i="3"/>
  <c r="AG142" i="3"/>
  <c r="AF142" i="3"/>
  <c r="AE142" i="3"/>
  <c r="AD142" i="3"/>
  <c r="AC142" i="3"/>
  <c r="AB142" i="3"/>
  <c r="AA142" i="3"/>
  <c r="Z142" i="3"/>
  <c r="W142" i="3"/>
  <c r="V142" i="3"/>
  <c r="U142" i="3"/>
  <c r="T142" i="3"/>
  <c r="S142" i="3"/>
  <c r="R142" i="3"/>
  <c r="Q142" i="3"/>
  <c r="P142" i="3"/>
  <c r="M142" i="3"/>
  <c r="L142" i="3"/>
  <c r="K142" i="3"/>
  <c r="J142" i="3"/>
  <c r="I142" i="3"/>
  <c r="H142" i="3"/>
  <c r="E142" i="3"/>
  <c r="D142" i="3"/>
  <c r="C142" i="3"/>
  <c r="A142" i="3"/>
  <c r="AG141" i="3"/>
  <c r="AF141" i="3"/>
  <c r="AE141" i="3"/>
  <c r="AD141" i="3"/>
  <c r="AC141" i="3"/>
  <c r="AB141" i="3"/>
  <c r="AA141" i="3"/>
  <c r="Z141" i="3"/>
  <c r="W141" i="3"/>
  <c r="V141" i="3"/>
  <c r="U141" i="3"/>
  <c r="T141" i="3"/>
  <c r="S141" i="3"/>
  <c r="R141" i="3"/>
  <c r="Q141" i="3"/>
  <c r="P141" i="3"/>
  <c r="M141" i="3"/>
  <c r="L141" i="3"/>
  <c r="K141" i="3"/>
  <c r="J141" i="3"/>
  <c r="I141" i="3"/>
  <c r="H141" i="3"/>
  <c r="E141" i="3"/>
  <c r="D141" i="3"/>
  <c r="C141" i="3"/>
  <c r="A141" i="3"/>
  <c r="AG140" i="3"/>
  <c r="AF140" i="3"/>
  <c r="AE140" i="3"/>
  <c r="AD140" i="3"/>
  <c r="AC140" i="3"/>
  <c r="AB140" i="3"/>
  <c r="AA140" i="3"/>
  <c r="Z140" i="3"/>
  <c r="W140" i="3"/>
  <c r="V140" i="3"/>
  <c r="U140" i="3"/>
  <c r="T140" i="3"/>
  <c r="S140" i="3"/>
  <c r="R140" i="3"/>
  <c r="Q140" i="3"/>
  <c r="P140" i="3"/>
  <c r="M140" i="3"/>
  <c r="L140" i="3"/>
  <c r="K140" i="3"/>
  <c r="J140" i="3"/>
  <c r="I140" i="3"/>
  <c r="H140" i="3"/>
  <c r="E140" i="3"/>
  <c r="D140" i="3"/>
  <c r="C140" i="3"/>
  <c r="A140" i="3"/>
  <c r="AG139" i="3"/>
  <c r="AF139" i="3"/>
  <c r="AE139" i="3"/>
  <c r="AD139" i="3"/>
  <c r="AC139" i="3"/>
  <c r="AB139" i="3"/>
  <c r="AA139" i="3"/>
  <c r="Z139" i="3"/>
  <c r="W139" i="3"/>
  <c r="V139" i="3"/>
  <c r="U139" i="3"/>
  <c r="T139" i="3"/>
  <c r="S139" i="3"/>
  <c r="R139" i="3"/>
  <c r="Q139" i="3"/>
  <c r="P139" i="3"/>
  <c r="M139" i="3"/>
  <c r="L139" i="3"/>
  <c r="K139" i="3"/>
  <c r="J139" i="3"/>
  <c r="I139" i="3"/>
  <c r="H139" i="3"/>
  <c r="E139" i="3"/>
  <c r="D139" i="3"/>
  <c r="C139" i="3"/>
  <c r="A139" i="3"/>
  <c r="AG138" i="3"/>
  <c r="AF138" i="3"/>
  <c r="AE138" i="3"/>
  <c r="AD138" i="3"/>
  <c r="AC138" i="3"/>
  <c r="AB138" i="3"/>
  <c r="AA138" i="3"/>
  <c r="Z138" i="3"/>
  <c r="W138" i="3"/>
  <c r="V138" i="3"/>
  <c r="U138" i="3"/>
  <c r="T138" i="3"/>
  <c r="S138" i="3"/>
  <c r="R138" i="3"/>
  <c r="Q138" i="3"/>
  <c r="P138" i="3"/>
  <c r="M138" i="3"/>
  <c r="L138" i="3"/>
  <c r="K138" i="3"/>
  <c r="J138" i="3"/>
  <c r="I138" i="3"/>
  <c r="H138" i="3"/>
  <c r="E138" i="3"/>
  <c r="D138" i="3"/>
  <c r="C138" i="3"/>
  <c r="A138" i="3"/>
  <c r="AG137" i="3"/>
  <c r="AF137" i="3"/>
  <c r="AE137" i="3"/>
  <c r="AD137" i="3"/>
  <c r="AC137" i="3"/>
  <c r="AB137" i="3"/>
  <c r="AA137" i="3"/>
  <c r="Z137" i="3"/>
  <c r="W137" i="3"/>
  <c r="V137" i="3"/>
  <c r="U137" i="3"/>
  <c r="T137" i="3"/>
  <c r="S137" i="3"/>
  <c r="R137" i="3"/>
  <c r="Q137" i="3"/>
  <c r="P137" i="3"/>
  <c r="M137" i="3"/>
  <c r="L137" i="3"/>
  <c r="K137" i="3"/>
  <c r="J137" i="3"/>
  <c r="I137" i="3"/>
  <c r="H137" i="3"/>
  <c r="E137" i="3"/>
  <c r="D137" i="3"/>
  <c r="C137" i="3"/>
  <c r="A137" i="3"/>
  <c r="AG136" i="3"/>
  <c r="AF136" i="3"/>
  <c r="AE136" i="3"/>
  <c r="AD136" i="3"/>
  <c r="AC136" i="3"/>
  <c r="AB136" i="3"/>
  <c r="AA136" i="3"/>
  <c r="Z136" i="3"/>
  <c r="W136" i="3"/>
  <c r="V136" i="3"/>
  <c r="U136" i="3"/>
  <c r="T136" i="3"/>
  <c r="S136" i="3"/>
  <c r="R136" i="3"/>
  <c r="Q136" i="3"/>
  <c r="P136" i="3"/>
  <c r="M136" i="3"/>
  <c r="L136" i="3"/>
  <c r="K136" i="3"/>
  <c r="J136" i="3"/>
  <c r="I136" i="3"/>
  <c r="H136" i="3"/>
  <c r="E136" i="3"/>
  <c r="D136" i="3"/>
  <c r="C136" i="3"/>
  <c r="A136" i="3"/>
  <c r="AG135" i="3"/>
  <c r="AF135" i="3"/>
  <c r="AE135" i="3"/>
  <c r="AD135" i="3"/>
  <c r="AC135" i="3"/>
  <c r="AB135" i="3"/>
  <c r="AA135" i="3"/>
  <c r="Z135" i="3"/>
  <c r="W135" i="3"/>
  <c r="V135" i="3"/>
  <c r="U135" i="3"/>
  <c r="T135" i="3"/>
  <c r="S135" i="3"/>
  <c r="R135" i="3"/>
  <c r="Q135" i="3"/>
  <c r="P135" i="3"/>
  <c r="M135" i="3"/>
  <c r="L135" i="3"/>
  <c r="K135" i="3"/>
  <c r="J135" i="3"/>
  <c r="I135" i="3"/>
  <c r="H135" i="3"/>
  <c r="E135" i="3"/>
  <c r="D135" i="3"/>
  <c r="C135" i="3"/>
  <c r="A135" i="3"/>
  <c r="AG134" i="3"/>
  <c r="AF134" i="3"/>
  <c r="AE134" i="3"/>
  <c r="AD134" i="3"/>
  <c r="AC134" i="3"/>
  <c r="AB134" i="3"/>
  <c r="AA134" i="3"/>
  <c r="Z134" i="3"/>
  <c r="W134" i="3"/>
  <c r="V134" i="3"/>
  <c r="U134" i="3"/>
  <c r="T134" i="3"/>
  <c r="S134" i="3"/>
  <c r="R134" i="3"/>
  <c r="Q134" i="3"/>
  <c r="P134" i="3"/>
  <c r="M134" i="3"/>
  <c r="L134" i="3"/>
  <c r="K134" i="3"/>
  <c r="J134" i="3"/>
  <c r="I134" i="3"/>
  <c r="H134" i="3"/>
  <c r="E134" i="3"/>
  <c r="D134" i="3"/>
  <c r="C134" i="3"/>
  <c r="A134" i="3"/>
  <c r="AG133" i="3"/>
  <c r="AF133" i="3"/>
  <c r="AE133" i="3"/>
  <c r="AD133" i="3"/>
  <c r="AC133" i="3"/>
  <c r="AB133" i="3"/>
  <c r="AA133" i="3"/>
  <c r="Z133" i="3"/>
  <c r="W133" i="3"/>
  <c r="V133" i="3"/>
  <c r="U133" i="3"/>
  <c r="T133" i="3"/>
  <c r="S133" i="3"/>
  <c r="R133" i="3"/>
  <c r="Q133" i="3"/>
  <c r="P133" i="3"/>
  <c r="M133" i="3"/>
  <c r="L133" i="3"/>
  <c r="K133" i="3"/>
  <c r="J133" i="3"/>
  <c r="I133" i="3"/>
  <c r="H133" i="3"/>
  <c r="E133" i="3"/>
  <c r="D133" i="3"/>
  <c r="C133" i="3"/>
  <c r="A133" i="3"/>
  <c r="AG132" i="3"/>
  <c r="AF132" i="3"/>
  <c r="AE132" i="3"/>
  <c r="AD132" i="3"/>
  <c r="AC132" i="3"/>
  <c r="AB132" i="3"/>
  <c r="AA132" i="3"/>
  <c r="Z132" i="3"/>
  <c r="W132" i="3"/>
  <c r="V132" i="3"/>
  <c r="U132" i="3"/>
  <c r="T132" i="3"/>
  <c r="S132" i="3"/>
  <c r="R132" i="3"/>
  <c r="Q132" i="3"/>
  <c r="P132" i="3"/>
  <c r="M132" i="3"/>
  <c r="L132" i="3"/>
  <c r="K132" i="3"/>
  <c r="J132" i="3"/>
  <c r="I132" i="3"/>
  <c r="H132" i="3"/>
  <c r="E132" i="3"/>
  <c r="D132" i="3"/>
  <c r="C132" i="3"/>
  <c r="A132" i="3"/>
  <c r="AG131" i="3"/>
  <c r="AF131" i="3"/>
  <c r="AE131" i="3"/>
  <c r="AD131" i="3"/>
  <c r="AC131" i="3"/>
  <c r="AB131" i="3"/>
  <c r="AA131" i="3"/>
  <c r="Z131" i="3"/>
  <c r="W131" i="3"/>
  <c r="V131" i="3"/>
  <c r="U131" i="3"/>
  <c r="T131" i="3"/>
  <c r="S131" i="3"/>
  <c r="R131" i="3"/>
  <c r="Q131" i="3"/>
  <c r="P131" i="3"/>
  <c r="M131" i="3"/>
  <c r="L131" i="3"/>
  <c r="K131" i="3"/>
  <c r="J131" i="3"/>
  <c r="I131" i="3"/>
  <c r="H131" i="3"/>
  <c r="E131" i="3"/>
  <c r="D131" i="3"/>
  <c r="C131" i="3"/>
  <c r="A131" i="3"/>
  <c r="AG130" i="3"/>
  <c r="AF130" i="3"/>
  <c r="AE130" i="3"/>
  <c r="AD130" i="3"/>
  <c r="AC130" i="3"/>
  <c r="AB130" i="3"/>
  <c r="AA130" i="3"/>
  <c r="Z130" i="3"/>
  <c r="W130" i="3"/>
  <c r="V130" i="3"/>
  <c r="U130" i="3"/>
  <c r="T130" i="3"/>
  <c r="S130" i="3"/>
  <c r="R130" i="3"/>
  <c r="Q130" i="3"/>
  <c r="P130" i="3"/>
  <c r="M130" i="3"/>
  <c r="L130" i="3"/>
  <c r="K130" i="3"/>
  <c r="J130" i="3"/>
  <c r="I130" i="3"/>
  <c r="H130" i="3"/>
  <c r="E130" i="3"/>
  <c r="D130" i="3"/>
  <c r="C130" i="3"/>
  <c r="A130" i="3"/>
  <c r="AG129" i="3"/>
  <c r="AF129" i="3"/>
  <c r="AE129" i="3"/>
  <c r="AD129" i="3"/>
  <c r="AC129" i="3"/>
  <c r="AB129" i="3"/>
  <c r="AA129" i="3"/>
  <c r="Z129" i="3"/>
  <c r="W129" i="3"/>
  <c r="V129" i="3"/>
  <c r="U129" i="3"/>
  <c r="T129" i="3"/>
  <c r="S129" i="3"/>
  <c r="R129" i="3"/>
  <c r="Q129" i="3"/>
  <c r="P129" i="3"/>
  <c r="M129" i="3"/>
  <c r="L129" i="3"/>
  <c r="K129" i="3"/>
  <c r="J129" i="3"/>
  <c r="I129" i="3"/>
  <c r="H129" i="3"/>
  <c r="E129" i="3"/>
  <c r="D129" i="3"/>
  <c r="C129" i="3"/>
  <c r="A129" i="3"/>
  <c r="AG128" i="3"/>
  <c r="AF128" i="3"/>
  <c r="AE128" i="3"/>
  <c r="AD128" i="3"/>
  <c r="AC128" i="3"/>
  <c r="AB128" i="3"/>
  <c r="AA128" i="3"/>
  <c r="Z128" i="3"/>
  <c r="W128" i="3"/>
  <c r="V128" i="3"/>
  <c r="U128" i="3"/>
  <c r="T128" i="3"/>
  <c r="S128" i="3"/>
  <c r="R128" i="3"/>
  <c r="Q128" i="3"/>
  <c r="P128" i="3"/>
  <c r="M128" i="3"/>
  <c r="L128" i="3"/>
  <c r="K128" i="3"/>
  <c r="J128" i="3"/>
  <c r="I128" i="3"/>
  <c r="H128" i="3"/>
  <c r="E128" i="3"/>
  <c r="D128" i="3"/>
  <c r="C128" i="3"/>
  <c r="A128" i="3"/>
  <c r="AG127" i="3"/>
  <c r="AF127" i="3"/>
  <c r="AE127" i="3"/>
  <c r="AD127" i="3"/>
  <c r="AC127" i="3"/>
  <c r="AB127" i="3"/>
  <c r="AA127" i="3"/>
  <c r="Z127" i="3"/>
  <c r="W127" i="3"/>
  <c r="V127" i="3"/>
  <c r="U127" i="3"/>
  <c r="T127" i="3"/>
  <c r="S127" i="3"/>
  <c r="R127" i="3"/>
  <c r="Q127" i="3"/>
  <c r="P127" i="3"/>
  <c r="M127" i="3"/>
  <c r="L127" i="3"/>
  <c r="K127" i="3"/>
  <c r="J127" i="3"/>
  <c r="I127" i="3"/>
  <c r="H127" i="3"/>
  <c r="E127" i="3"/>
  <c r="D127" i="3"/>
  <c r="C127" i="3"/>
  <c r="A127" i="3"/>
  <c r="AG126" i="3"/>
  <c r="AF126" i="3"/>
  <c r="AE126" i="3"/>
  <c r="AD126" i="3"/>
  <c r="AC126" i="3"/>
  <c r="AB126" i="3"/>
  <c r="AA126" i="3"/>
  <c r="Z126" i="3"/>
  <c r="W126" i="3"/>
  <c r="V126" i="3"/>
  <c r="U126" i="3"/>
  <c r="T126" i="3"/>
  <c r="S126" i="3"/>
  <c r="R126" i="3"/>
  <c r="Q126" i="3"/>
  <c r="P126" i="3"/>
  <c r="M126" i="3"/>
  <c r="L126" i="3"/>
  <c r="K126" i="3"/>
  <c r="J126" i="3"/>
  <c r="I126" i="3"/>
  <c r="H126" i="3"/>
  <c r="E126" i="3"/>
  <c r="D126" i="3"/>
  <c r="C126" i="3"/>
  <c r="A126" i="3"/>
  <c r="AG125" i="3"/>
  <c r="AF125" i="3"/>
  <c r="AE125" i="3"/>
  <c r="AD125" i="3"/>
  <c r="AC125" i="3"/>
  <c r="AB125" i="3"/>
  <c r="AA125" i="3"/>
  <c r="Z125" i="3"/>
  <c r="W125" i="3"/>
  <c r="V125" i="3"/>
  <c r="U125" i="3"/>
  <c r="T125" i="3"/>
  <c r="S125" i="3"/>
  <c r="R125" i="3"/>
  <c r="Q125" i="3"/>
  <c r="P125" i="3"/>
  <c r="M125" i="3"/>
  <c r="L125" i="3"/>
  <c r="K125" i="3"/>
  <c r="J125" i="3"/>
  <c r="I125" i="3"/>
  <c r="H125" i="3"/>
  <c r="E125" i="3"/>
  <c r="D125" i="3"/>
  <c r="C125" i="3"/>
  <c r="A125" i="3"/>
  <c r="AG124" i="3"/>
  <c r="AF124" i="3"/>
  <c r="AE124" i="3"/>
  <c r="AD124" i="3"/>
  <c r="AC124" i="3"/>
  <c r="AB124" i="3"/>
  <c r="AA124" i="3"/>
  <c r="Z124" i="3"/>
  <c r="W124" i="3"/>
  <c r="V124" i="3"/>
  <c r="U124" i="3"/>
  <c r="T124" i="3"/>
  <c r="S124" i="3"/>
  <c r="R124" i="3"/>
  <c r="Q124" i="3"/>
  <c r="P124" i="3"/>
  <c r="M124" i="3"/>
  <c r="L124" i="3"/>
  <c r="K124" i="3"/>
  <c r="J124" i="3"/>
  <c r="I124" i="3"/>
  <c r="H124" i="3"/>
  <c r="E124" i="3"/>
  <c r="D124" i="3"/>
  <c r="C124" i="3"/>
  <c r="A124" i="3"/>
  <c r="AG123" i="3"/>
  <c r="AF123" i="3"/>
  <c r="AE123" i="3"/>
  <c r="AD123" i="3"/>
  <c r="AC123" i="3"/>
  <c r="AB123" i="3"/>
  <c r="AA123" i="3"/>
  <c r="Z123" i="3"/>
  <c r="W123" i="3"/>
  <c r="V123" i="3"/>
  <c r="U123" i="3"/>
  <c r="T123" i="3"/>
  <c r="S123" i="3"/>
  <c r="R123" i="3"/>
  <c r="Q123" i="3"/>
  <c r="P123" i="3"/>
  <c r="M123" i="3"/>
  <c r="L123" i="3"/>
  <c r="K123" i="3"/>
  <c r="J123" i="3"/>
  <c r="I123" i="3"/>
  <c r="H123" i="3"/>
  <c r="E123" i="3"/>
  <c r="D123" i="3"/>
  <c r="C123" i="3"/>
  <c r="A123" i="3"/>
  <c r="AG122" i="3"/>
  <c r="AF122" i="3"/>
  <c r="AE122" i="3"/>
  <c r="AD122" i="3"/>
  <c r="AC122" i="3"/>
  <c r="AB122" i="3"/>
  <c r="AA122" i="3"/>
  <c r="Z122" i="3"/>
  <c r="W122" i="3"/>
  <c r="V122" i="3"/>
  <c r="U122" i="3"/>
  <c r="T122" i="3"/>
  <c r="S122" i="3"/>
  <c r="R122" i="3"/>
  <c r="Q122" i="3"/>
  <c r="P122" i="3"/>
  <c r="M122" i="3"/>
  <c r="L122" i="3"/>
  <c r="K122" i="3"/>
  <c r="J122" i="3"/>
  <c r="I122" i="3"/>
  <c r="H122" i="3"/>
  <c r="E122" i="3"/>
  <c r="D122" i="3"/>
  <c r="C122" i="3"/>
  <c r="A122" i="3"/>
  <c r="AG121" i="3"/>
  <c r="AF121" i="3"/>
  <c r="AE121" i="3"/>
  <c r="AD121" i="3"/>
  <c r="AC121" i="3"/>
  <c r="AB121" i="3"/>
  <c r="AA121" i="3"/>
  <c r="Z121" i="3"/>
  <c r="W121" i="3"/>
  <c r="V121" i="3"/>
  <c r="U121" i="3"/>
  <c r="T121" i="3"/>
  <c r="S121" i="3"/>
  <c r="R121" i="3"/>
  <c r="Q121" i="3"/>
  <c r="P121" i="3"/>
  <c r="M121" i="3"/>
  <c r="L121" i="3"/>
  <c r="K121" i="3"/>
  <c r="J121" i="3"/>
  <c r="I121" i="3"/>
  <c r="H121" i="3"/>
  <c r="E121" i="3"/>
  <c r="D121" i="3"/>
  <c r="C121" i="3"/>
  <c r="A121" i="3"/>
  <c r="AG120" i="3"/>
  <c r="AF120" i="3"/>
  <c r="AE120" i="3"/>
  <c r="AD120" i="3"/>
  <c r="AC120" i="3"/>
  <c r="AB120" i="3"/>
  <c r="AA120" i="3"/>
  <c r="Z120" i="3"/>
  <c r="W120" i="3"/>
  <c r="V120" i="3"/>
  <c r="U120" i="3"/>
  <c r="T120" i="3"/>
  <c r="S120" i="3"/>
  <c r="R120" i="3"/>
  <c r="Q120" i="3"/>
  <c r="P120" i="3"/>
  <c r="M120" i="3"/>
  <c r="L120" i="3"/>
  <c r="K120" i="3"/>
  <c r="J120" i="3"/>
  <c r="I120" i="3"/>
  <c r="H120" i="3"/>
  <c r="E120" i="3"/>
  <c r="D120" i="3"/>
  <c r="C120" i="3"/>
  <c r="A120" i="3"/>
  <c r="AG119" i="3"/>
  <c r="AF119" i="3"/>
  <c r="AE119" i="3"/>
  <c r="AD119" i="3"/>
  <c r="AC119" i="3"/>
  <c r="AB119" i="3"/>
  <c r="AA119" i="3"/>
  <c r="Z119" i="3"/>
  <c r="W119" i="3"/>
  <c r="V119" i="3"/>
  <c r="U119" i="3"/>
  <c r="T119" i="3"/>
  <c r="S119" i="3"/>
  <c r="R119" i="3"/>
  <c r="Q119" i="3"/>
  <c r="P119" i="3"/>
  <c r="M119" i="3"/>
  <c r="L119" i="3"/>
  <c r="K119" i="3"/>
  <c r="J119" i="3"/>
  <c r="I119" i="3"/>
  <c r="H119" i="3"/>
  <c r="E119" i="3"/>
  <c r="D119" i="3"/>
  <c r="C119" i="3"/>
  <c r="A119" i="3"/>
  <c r="AG118" i="3"/>
  <c r="AF118" i="3"/>
  <c r="AE118" i="3"/>
  <c r="AD118" i="3"/>
  <c r="AC118" i="3"/>
  <c r="AB118" i="3"/>
  <c r="AA118" i="3"/>
  <c r="Z118" i="3"/>
  <c r="AH118" i="3" s="1"/>
  <c r="AI118" i="3" s="1"/>
  <c r="W118" i="3"/>
  <c r="V118" i="3"/>
  <c r="U118" i="3"/>
  <c r="T118" i="3"/>
  <c r="S118" i="3"/>
  <c r="R118" i="3"/>
  <c r="Q118" i="3"/>
  <c r="P118" i="3"/>
  <c r="X118" i="3" s="1"/>
  <c r="Y118" i="3" s="1"/>
  <c r="M118" i="3"/>
  <c r="L118" i="3"/>
  <c r="K118" i="3"/>
  <c r="J118" i="3"/>
  <c r="I118" i="3"/>
  <c r="H118" i="3"/>
  <c r="N118" i="3" s="1"/>
  <c r="E118" i="3"/>
  <c r="D118" i="3"/>
  <c r="C118" i="3"/>
  <c r="F118" i="3" s="1"/>
  <c r="G118" i="3" s="1"/>
  <c r="A118" i="3"/>
  <c r="AG117" i="3"/>
  <c r="AF117" i="3"/>
  <c r="AE117" i="3"/>
  <c r="AD117" i="3"/>
  <c r="AC117" i="3"/>
  <c r="AB117" i="3"/>
  <c r="AA117" i="3"/>
  <c r="Z117" i="3"/>
  <c r="W117" i="3"/>
  <c r="V117" i="3"/>
  <c r="U117" i="3"/>
  <c r="T117" i="3"/>
  <c r="S117" i="3"/>
  <c r="R117" i="3"/>
  <c r="Q117" i="3"/>
  <c r="P117" i="3"/>
  <c r="M117" i="3"/>
  <c r="L117" i="3"/>
  <c r="K117" i="3"/>
  <c r="J117" i="3"/>
  <c r="I117" i="3"/>
  <c r="H117" i="3"/>
  <c r="E117" i="3"/>
  <c r="D117" i="3"/>
  <c r="C117" i="3"/>
  <c r="A117" i="3"/>
  <c r="AG116" i="3"/>
  <c r="AF116" i="3"/>
  <c r="AE116" i="3"/>
  <c r="AD116" i="3"/>
  <c r="AC116" i="3"/>
  <c r="AB116" i="3"/>
  <c r="AA116" i="3"/>
  <c r="Z116" i="3"/>
  <c r="W116" i="3"/>
  <c r="V116" i="3"/>
  <c r="U116" i="3"/>
  <c r="T116" i="3"/>
  <c r="S116" i="3"/>
  <c r="R116" i="3"/>
  <c r="Q116" i="3"/>
  <c r="P116" i="3"/>
  <c r="M116" i="3"/>
  <c r="L116" i="3"/>
  <c r="K116" i="3"/>
  <c r="J116" i="3"/>
  <c r="I116" i="3"/>
  <c r="H116" i="3"/>
  <c r="E116" i="3"/>
  <c r="D116" i="3"/>
  <c r="C116" i="3"/>
  <c r="A116" i="3"/>
  <c r="AG115" i="3"/>
  <c r="AF115" i="3"/>
  <c r="AE115" i="3"/>
  <c r="AD115" i="3"/>
  <c r="AC115" i="3"/>
  <c r="AB115" i="3"/>
  <c r="AA115" i="3"/>
  <c r="Z115" i="3"/>
  <c r="W115" i="3"/>
  <c r="V115" i="3"/>
  <c r="U115" i="3"/>
  <c r="T115" i="3"/>
  <c r="S115" i="3"/>
  <c r="R115" i="3"/>
  <c r="Q115" i="3"/>
  <c r="P115" i="3"/>
  <c r="M115" i="3"/>
  <c r="L115" i="3"/>
  <c r="K115" i="3"/>
  <c r="J115" i="3"/>
  <c r="I115" i="3"/>
  <c r="H115" i="3"/>
  <c r="E115" i="3"/>
  <c r="D115" i="3"/>
  <c r="C115" i="3"/>
  <c r="A115" i="3"/>
  <c r="AG114" i="3"/>
  <c r="AF114" i="3"/>
  <c r="AE114" i="3"/>
  <c r="AD114" i="3"/>
  <c r="AC114" i="3"/>
  <c r="AB114" i="3"/>
  <c r="AA114" i="3"/>
  <c r="Z114" i="3"/>
  <c r="AH114" i="3" s="1"/>
  <c r="AI114" i="3" s="1"/>
  <c r="W114" i="3"/>
  <c r="V114" i="3"/>
  <c r="U114" i="3"/>
  <c r="T114" i="3"/>
  <c r="S114" i="3"/>
  <c r="R114" i="3"/>
  <c r="Q114" i="3"/>
  <c r="P114" i="3"/>
  <c r="X114" i="3" s="1"/>
  <c r="Y114" i="3" s="1"/>
  <c r="M114" i="3"/>
  <c r="L114" i="3"/>
  <c r="K114" i="3"/>
  <c r="J114" i="3"/>
  <c r="I114" i="3"/>
  <c r="H114" i="3"/>
  <c r="N114" i="3" s="1"/>
  <c r="E114" i="3"/>
  <c r="D114" i="3"/>
  <c r="C114" i="3"/>
  <c r="F114" i="3" s="1"/>
  <c r="G114" i="3" s="1"/>
  <c r="A114" i="3"/>
  <c r="AG113" i="3"/>
  <c r="AF113" i="3"/>
  <c r="AE113" i="3"/>
  <c r="AD113" i="3"/>
  <c r="AC113" i="3"/>
  <c r="AB113" i="3"/>
  <c r="AA113" i="3"/>
  <c r="Z113" i="3"/>
  <c r="W113" i="3"/>
  <c r="V113" i="3"/>
  <c r="U113" i="3"/>
  <c r="T113" i="3"/>
  <c r="S113" i="3"/>
  <c r="R113" i="3"/>
  <c r="Q113" i="3"/>
  <c r="P113" i="3"/>
  <c r="M113" i="3"/>
  <c r="L113" i="3"/>
  <c r="K113" i="3"/>
  <c r="J113" i="3"/>
  <c r="I113" i="3"/>
  <c r="H113" i="3"/>
  <c r="E113" i="3"/>
  <c r="D113" i="3"/>
  <c r="C113" i="3"/>
  <c r="A113" i="3"/>
  <c r="AG112" i="3"/>
  <c r="AF112" i="3"/>
  <c r="AE112" i="3"/>
  <c r="AD112" i="3"/>
  <c r="AC112" i="3"/>
  <c r="AB112" i="3"/>
  <c r="AA112" i="3"/>
  <c r="Z112" i="3"/>
  <c r="W112" i="3"/>
  <c r="V112" i="3"/>
  <c r="U112" i="3"/>
  <c r="T112" i="3"/>
  <c r="S112" i="3"/>
  <c r="R112" i="3"/>
  <c r="Q112" i="3"/>
  <c r="P112" i="3"/>
  <c r="M112" i="3"/>
  <c r="L112" i="3"/>
  <c r="K112" i="3"/>
  <c r="J112" i="3"/>
  <c r="I112" i="3"/>
  <c r="H112" i="3"/>
  <c r="E112" i="3"/>
  <c r="D112" i="3"/>
  <c r="C112" i="3"/>
  <c r="A112" i="3"/>
  <c r="AG111" i="3"/>
  <c r="AF111" i="3"/>
  <c r="AE111" i="3"/>
  <c r="AD111" i="3"/>
  <c r="AC111" i="3"/>
  <c r="AB111" i="3"/>
  <c r="AA111" i="3"/>
  <c r="Z111" i="3"/>
  <c r="W111" i="3"/>
  <c r="V111" i="3"/>
  <c r="U111" i="3"/>
  <c r="T111" i="3"/>
  <c r="S111" i="3"/>
  <c r="R111" i="3"/>
  <c r="Q111" i="3"/>
  <c r="P111" i="3"/>
  <c r="M111" i="3"/>
  <c r="L111" i="3"/>
  <c r="K111" i="3"/>
  <c r="J111" i="3"/>
  <c r="I111" i="3"/>
  <c r="H111" i="3"/>
  <c r="E111" i="3"/>
  <c r="D111" i="3"/>
  <c r="C111" i="3"/>
  <c r="A111" i="3"/>
  <c r="AG110" i="3"/>
  <c r="AF110" i="3"/>
  <c r="AE110" i="3"/>
  <c r="AD110" i="3"/>
  <c r="AC110" i="3"/>
  <c r="AB110" i="3"/>
  <c r="AA110" i="3"/>
  <c r="Z110" i="3"/>
  <c r="AH110" i="3" s="1"/>
  <c r="AI110" i="3" s="1"/>
  <c r="W110" i="3"/>
  <c r="V110" i="3"/>
  <c r="U110" i="3"/>
  <c r="T110" i="3"/>
  <c r="S110" i="3"/>
  <c r="R110" i="3"/>
  <c r="Q110" i="3"/>
  <c r="P110" i="3"/>
  <c r="X110" i="3" s="1"/>
  <c r="Y110" i="3" s="1"/>
  <c r="M110" i="3"/>
  <c r="L110" i="3"/>
  <c r="K110" i="3"/>
  <c r="J110" i="3"/>
  <c r="I110" i="3"/>
  <c r="H110" i="3"/>
  <c r="N110" i="3" s="1"/>
  <c r="E110" i="3"/>
  <c r="D110" i="3"/>
  <c r="C110" i="3"/>
  <c r="F110" i="3" s="1"/>
  <c r="G110" i="3" s="1"/>
  <c r="A110" i="3"/>
  <c r="AG109" i="3"/>
  <c r="AF109" i="3"/>
  <c r="AE109" i="3"/>
  <c r="AD109" i="3"/>
  <c r="AC109" i="3"/>
  <c r="AB109" i="3"/>
  <c r="AA109" i="3"/>
  <c r="Z109" i="3"/>
  <c r="W109" i="3"/>
  <c r="V109" i="3"/>
  <c r="U109" i="3"/>
  <c r="T109" i="3"/>
  <c r="S109" i="3"/>
  <c r="R109" i="3"/>
  <c r="Q109" i="3"/>
  <c r="P109" i="3"/>
  <c r="M109" i="3"/>
  <c r="L109" i="3"/>
  <c r="K109" i="3"/>
  <c r="J109" i="3"/>
  <c r="I109" i="3"/>
  <c r="H109" i="3"/>
  <c r="E109" i="3"/>
  <c r="D109" i="3"/>
  <c r="C109" i="3"/>
  <c r="A109" i="3"/>
  <c r="AG108" i="3"/>
  <c r="AF108" i="3"/>
  <c r="AE108" i="3"/>
  <c r="AD108" i="3"/>
  <c r="AC108" i="3"/>
  <c r="AB108" i="3"/>
  <c r="AA108" i="3"/>
  <c r="Z108" i="3"/>
  <c r="W108" i="3"/>
  <c r="V108" i="3"/>
  <c r="U108" i="3"/>
  <c r="T108" i="3"/>
  <c r="S108" i="3"/>
  <c r="R108" i="3"/>
  <c r="Q108" i="3"/>
  <c r="P108" i="3"/>
  <c r="M108" i="3"/>
  <c r="L108" i="3"/>
  <c r="K108" i="3"/>
  <c r="J108" i="3"/>
  <c r="I108" i="3"/>
  <c r="H108" i="3"/>
  <c r="E108" i="3"/>
  <c r="D108" i="3"/>
  <c r="C108" i="3"/>
  <c r="A108" i="3"/>
  <c r="AG107" i="3"/>
  <c r="AF107" i="3"/>
  <c r="AE107" i="3"/>
  <c r="AD107" i="3"/>
  <c r="AC107" i="3"/>
  <c r="AB107" i="3"/>
  <c r="AA107" i="3"/>
  <c r="Z107" i="3"/>
  <c r="W107" i="3"/>
  <c r="V107" i="3"/>
  <c r="U107" i="3"/>
  <c r="T107" i="3"/>
  <c r="S107" i="3"/>
  <c r="R107" i="3"/>
  <c r="Q107" i="3"/>
  <c r="P107" i="3"/>
  <c r="M107" i="3"/>
  <c r="L107" i="3"/>
  <c r="K107" i="3"/>
  <c r="J107" i="3"/>
  <c r="I107" i="3"/>
  <c r="H107" i="3"/>
  <c r="E107" i="3"/>
  <c r="D107" i="3"/>
  <c r="C107" i="3"/>
  <c r="A107" i="3"/>
  <c r="AG106" i="3"/>
  <c r="AF106" i="3"/>
  <c r="AE106" i="3"/>
  <c r="AD106" i="3"/>
  <c r="AC106" i="3"/>
  <c r="AB106" i="3"/>
  <c r="AA106" i="3"/>
  <c r="Z106" i="3"/>
  <c r="W106" i="3"/>
  <c r="V106" i="3"/>
  <c r="U106" i="3"/>
  <c r="T106" i="3"/>
  <c r="S106" i="3"/>
  <c r="R106" i="3"/>
  <c r="Q106" i="3"/>
  <c r="P106" i="3"/>
  <c r="M106" i="3"/>
  <c r="L106" i="3"/>
  <c r="K106" i="3"/>
  <c r="J106" i="3"/>
  <c r="I106" i="3"/>
  <c r="H106" i="3"/>
  <c r="E106" i="3"/>
  <c r="D106" i="3"/>
  <c r="C106" i="3"/>
  <c r="A106" i="3"/>
  <c r="AG105" i="3"/>
  <c r="AF105" i="3"/>
  <c r="AE105" i="3"/>
  <c r="AD105" i="3"/>
  <c r="AC105" i="3"/>
  <c r="AB105" i="3"/>
  <c r="AA105" i="3"/>
  <c r="Z105" i="3"/>
  <c r="W105" i="3"/>
  <c r="V105" i="3"/>
  <c r="U105" i="3"/>
  <c r="T105" i="3"/>
  <c r="S105" i="3"/>
  <c r="R105" i="3"/>
  <c r="Q105" i="3"/>
  <c r="P105" i="3"/>
  <c r="M105" i="3"/>
  <c r="L105" i="3"/>
  <c r="K105" i="3"/>
  <c r="J105" i="3"/>
  <c r="I105" i="3"/>
  <c r="H105" i="3"/>
  <c r="E105" i="3"/>
  <c r="D105" i="3"/>
  <c r="C105" i="3"/>
  <c r="A105" i="3"/>
  <c r="AG104" i="3"/>
  <c r="AF104" i="3"/>
  <c r="AE104" i="3"/>
  <c r="AD104" i="3"/>
  <c r="AC104" i="3"/>
  <c r="AB104" i="3"/>
  <c r="AA104" i="3"/>
  <c r="Z104" i="3"/>
  <c r="W104" i="3"/>
  <c r="V104" i="3"/>
  <c r="U104" i="3"/>
  <c r="T104" i="3"/>
  <c r="S104" i="3"/>
  <c r="R104" i="3"/>
  <c r="Q104" i="3"/>
  <c r="P104" i="3"/>
  <c r="M104" i="3"/>
  <c r="L104" i="3"/>
  <c r="K104" i="3"/>
  <c r="J104" i="3"/>
  <c r="I104" i="3"/>
  <c r="H104" i="3"/>
  <c r="E104" i="3"/>
  <c r="D104" i="3"/>
  <c r="C104" i="3"/>
  <c r="A104" i="3"/>
  <c r="AG103" i="3"/>
  <c r="AF103" i="3"/>
  <c r="AE103" i="3"/>
  <c r="AD103" i="3"/>
  <c r="AC103" i="3"/>
  <c r="AB103" i="3"/>
  <c r="AA103" i="3"/>
  <c r="Z103" i="3"/>
  <c r="W103" i="3"/>
  <c r="V103" i="3"/>
  <c r="U103" i="3"/>
  <c r="T103" i="3"/>
  <c r="S103" i="3"/>
  <c r="R103" i="3"/>
  <c r="Q103" i="3"/>
  <c r="P103" i="3"/>
  <c r="M103" i="3"/>
  <c r="L103" i="3"/>
  <c r="K103" i="3"/>
  <c r="J103" i="3"/>
  <c r="I103" i="3"/>
  <c r="H103" i="3"/>
  <c r="E103" i="3"/>
  <c r="D103" i="3"/>
  <c r="C103" i="3"/>
  <c r="A103" i="3"/>
  <c r="AG102" i="3"/>
  <c r="AF102" i="3"/>
  <c r="AE102" i="3"/>
  <c r="AD102" i="3"/>
  <c r="AC102" i="3"/>
  <c r="AB102" i="3"/>
  <c r="AA102" i="3"/>
  <c r="Z102" i="3"/>
  <c r="AH102" i="3" s="1"/>
  <c r="AI102" i="3" s="1"/>
  <c r="W102" i="3"/>
  <c r="V102" i="3"/>
  <c r="U102" i="3"/>
  <c r="T102" i="3"/>
  <c r="S102" i="3"/>
  <c r="R102" i="3"/>
  <c r="Q102" i="3"/>
  <c r="P102" i="3"/>
  <c r="X102" i="3" s="1"/>
  <c r="Y102" i="3" s="1"/>
  <c r="M102" i="3"/>
  <c r="L102" i="3"/>
  <c r="K102" i="3"/>
  <c r="J102" i="3"/>
  <c r="I102" i="3"/>
  <c r="H102" i="3"/>
  <c r="N102" i="3" s="1"/>
  <c r="E102" i="3"/>
  <c r="D102" i="3"/>
  <c r="C102" i="3"/>
  <c r="F102" i="3" s="1"/>
  <c r="G102" i="3" s="1"/>
  <c r="A102" i="3"/>
  <c r="AG101" i="3"/>
  <c r="AF101" i="3"/>
  <c r="AE101" i="3"/>
  <c r="AD101" i="3"/>
  <c r="AC101" i="3"/>
  <c r="AB101" i="3"/>
  <c r="AA101" i="3"/>
  <c r="Z101" i="3"/>
  <c r="W101" i="3"/>
  <c r="V101" i="3"/>
  <c r="U101" i="3"/>
  <c r="T101" i="3"/>
  <c r="S101" i="3"/>
  <c r="R101" i="3"/>
  <c r="Q101" i="3"/>
  <c r="P101" i="3"/>
  <c r="M101" i="3"/>
  <c r="L101" i="3"/>
  <c r="K101" i="3"/>
  <c r="J101" i="3"/>
  <c r="I101" i="3"/>
  <c r="H101" i="3"/>
  <c r="E101" i="3"/>
  <c r="D101" i="3"/>
  <c r="C101" i="3"/>
  <c r="A101" i="3"/>
  <c r="AG100" i="3"/>
  <c r="AF100" i="3"/>
  <c r="AE100" i="3"/>
  <c r="AD100" i="3"/>
  <c r="AC100" i="3"/>
  <c r="AB100" i="3"/>
  <c r="AA100" i="3"/>
  <c r="Z100" i="3"/>
  <c r="W100" i="3"/>
  <c r="V100" i="3"/>
  <c r="U100" i="3"/>
  <c r="T100" i="3"/>
  <c r="S100" i="3"/>
  <c r="R100" i="3"/>
  <c r="Q100" i="3"/>
  <c r="P100" i="3"/>
  <c r="M100" i="3"/>
  <c r="L100" i="3"/>
  <c r="K100" i="3"/>
  <c r="J100" i="3"/>
  <c r="I100" i="3"/>
  <c r="H100" i="3"/>
  <c r="E100" i="3"/>
  <c r="D100" i="3"/>
  <c r="C100" i="3"/>
  <c r="A100" i="3"/>
  <c r="AG99" i="3"/>
  <c r="AF99" i="3"/>
  <c r="AE99" i="3"/>
  <c r="AD99" i="3"/>
  <c r="AC99" i="3"/>
  <c r="AB99" i="3"/>
  <c r="AA99" i="3"/>
  <c r="Z99" i="3"/>
  <c r="W99" i="3"/>
  <c r="V99" i="3"/>
  <c r="U99" i="3"/>
  <c r="T99" i="3"/>
  <c r="S99" i="3"/>
  <c r="R99" i="3"/>
  <c r="Q99" i="3"/>
  <c r="P99" i="3"/>
  <c r="M99" i="3"/>
  <c r="L99" i="3"/>
  <c r="K99" i="3"/>
  <c r="J99" i="3"/>
  <c r="I99" i="3"/>
  <c r="H99" i="3"/>
  <c r="E99" i="3"/>
  <c r="D99" i="3"/>
  <c r="C99" i="3"/>
  <c r="A99" i="3"/>
  <c r="AG98" i="3"/>
  <c r="AF98" i="3"/>
  <c r="AE98" i="3"/>
  <c r="AD98" i="3"/>
  <c r="AC98" i="3"/>
  <c r="AB98" i="3"/>
  <c r="AA98" i="3"/>
  <c r="Z98" i="3"/>
  <c r="AH98" i="3" s="1"/>
  <c r="AI98" i="3" s="1"/>
  <c r="W98" i="3"/>
  <c r="V98" i="3"/>
  <c r="U98" i="3"/>
  <c r="T98" i="3"/>
  <c r="S98" i="3"/>
  <c r="R98" i="3"/>
  <c r="Q98" i="3"/>
  <c r="P98" i="3"/>
  <c r="X98" i="3" s="1"/>
  <c r="Y98" i="3" s="1"/>
  <c r="M98" i="3"/>
  <c r="L98" i="3"/>
  <c r="K98" i="3"/>
  <c r="J98" i="3"/>
  <c r="I98" i="3"/>
  <c r="H98" i="3"/>
  <c r="N98" i="3" s="1"/>
  <c r="E98" i="3"/>
  <c r="D98" i="3"/>
  <c r="C98" i="3"/>
  <c r="F98" i="3" s="1"/>
  <c r="G98" i="3" s="1"/>
  <c r="A98" i="3"/>
  <c r="AG97" i="3"/>
  <c r="AF97" i="3"/>
  <c r="AE97" i="3"/>
  <c r="AD97" i="3"/>
  <c r="AC97" i="3"/>
  <c r="AB97" i="3"/>
  <c r="AA97" i="3"/>
  <c r="Z97" i="3"/>
  <c r="W97" i="3"/>
  <c r="V97" i="3"/>
  <c r="U97" i="3"/>
  <c r="T97" i="3"/>
  <c r="S97" i="3"/>
  <c r="R97" i="3"/>
  <c r="Q97" i="3"/>
  <c r="P97" i="3"/>
  <c r="M97" i="3"/>
  <c r="L97" i="3"/>
  <c r="K97" i="3"/>
  <c r="J97" i="3"/>
  <c r="I97" i="3"/>
  <c r="H97" i="3"/>
  <c r="E97" i="3"/>
  <c r="D97" i="3"/>
  <c r="C97" i="3"/>
  <c r="A97" i="3"/>
  <c r="AG96" i="3"/>
  <c r="AF96" i="3"/>
  <c r="AE96" i="3"/>
  <c r="AD96" i="3"/>
  <c r="AC96" i="3"/>
  <c r="AB96" i="3"/>
  <c r="AA96" i="3"/>
  <c r="Z96" i="3"/>
  <c r="W96" i="3"/>
  <c r="V96" i="3"/>
  <c r="U96" i="3"/>
  <c r="T96" i="3"/>
  <c r="S96" i="3"/>
  <c r="R96" i="3"/>
  <c r="Q96" i="3"/>
  <c r="P96" i="3"/>
  <c r="M96" i="3"/>
  <c r="L96" i="3"/>
  <c r="K96" i="3"/>
  <c r="J96" i="3"/>
  <c r="I96" i="3"/>
  <c r="H96" i="3"/>
  <c r="E96" i="3"/>
  <c r="D96" i="3"/>
  <c r="C96" i="3"/>
  <c r="A96" i="3"/>
  <c r="AG95" i="3"/>
  <c r="AF95" i="3"/>
  <c r="AE95" i="3"/>
  <c r="AD95" i="3"/>
  <c r="AC95" i="3"/>
  <c r="AB95" i="3"/>
  <c r="AA95" i="3"/>
  <c r="Z95" i="3"/>
  <c r="W95" i="3"/>
  <c r="V95" i="3"/>
  <c r="U95" i="3"/>
  <c r="T95" i="3"/>
  <c r="S95" i="3"/>
  <c r="R95" i="3"/>
  <c r="Q95" i="3"/>
  <c r="P95" i="3"/>
  <c r="M95" i="3"/>
  <c r="L95" i="3"/>
  <c r="K95" i="3"/>
  <c r="J95" i="3"/>
  <c r="I95" i="3"/>
  <c r="H95" i="3"/>
  <c r="E95" i="3"/>
  <c r="D95" i="3"/>
  <c r="C95" i="3"/>
  <c r="A95" i="3"/>
  <c r="AG94" i="3"/>
  <c r="AF94" i="3"/>
  <c r="AE94" i="3"/>
  <c r="AD94" i="3"/>
  <c r="AC94" i="3"/>
  <c r="AB94" i="3"/>
  <c r="AA94" i="3"/>
  <c r="Z94" i="3"/>
  <c r="W94" i="3"/>
  <c r="V94" i="3"/>
  <c r="U94" i="3"/>
  <c r="T94" i="3"/>
  <c r="S94" i="3"/>
  <c r="R94" i="3"/>
  <c r="Q94" i="3"/>
  <c r="P94" i="3"/>
  <c r="M94" i="3"/>
  <c r="L94" i="3"/>
  <c r="K94" i="3"/>
  <c r="J94" i="3"/>
  <c r="I94" i="3"/>
  <c r="H94" i="3"/>
  <c r="E94" i="3"/>
  <c r="D94" i="3"/>
  <c r="C94" i="3"/>
  <c r="A94" i="3"/>
  <c r="AG93" i="3"/>
  <c r="AF93" i="3"/>
  <c r="AE93" i="3"/>
  <c r="AD93" i="3"/>
  <c r="AC93" i="3"/>
  <c r="AB93" i="3"/>
  <c r="AA93" i="3"/>
  <c r="Z93" i="3"/>
  <c r="W93" i="3"/>
  <c r="V93" i="3"/>
  <c r="U93" i="3"/>
  <c r="T93" i="3"/>
  <c r="S93" i="3"/>
  <c r="R93" i="3"/>
  <c r="Q93" i="3"/>
  <c r="P93" i="3"/>
  <c r="M93" i="3"/>
  <c r="L93" i="3"/>
  <c r="K93" i="3"/>
  <c r="J93" i="3"/>
  <c r="I93" i="3"/>
  <c r="H93" i="3"/>
  <c r="E93" i="3"/>
  <c r="D93" i="3"/>
  <c r="C93" i="3"/>
  <c r="A93" i="3"/>
  <c r="AG92" i="3"/>
  <c r="AF92" i="3"/>
  <c r="AE92" i="3"/>
  <c r="AD92" i="3"/>
  <c r="AC92" i="3"/>
  <c r="AB92" i="3"/>
  <c r="AA92" i="3"/>
  <c r="Z92" i="3"/>
  <c r="W92" i="3"/>
  <c r="V92" i="3"/>
  <c r="U92" i="3"/>
  <c r="T92" i="3"/>
  <c r="S92" i="3"/>
  <c r="R92" i="3"/>
  <c r="Q92" i="3"/>
  <c r="P92" i="3"/>
  <c r="M92" i="3"/>
  <c r="L92" i="3"/>
  <c r="K92" i="3"/>
  <c r="J92" i="3"/>
  <c r="I92" i="3"/>
  <c r="H92" i="3"/>
  <c r="E92" i="3"/>
  <c r="D92" i="3"/>
  <c r="C92" i="3"/>
  <c r="A92" i="3"/>
  <c r="AG91" i="3"/>
  <c r="AF91" i="3"/>
  <c r="AE91" i="3"/>
  <c r="AD91" i="3"/>
  <c r="AC91" i="3"/>
  <c r="AB91" i="3"/>
  <c r="AA91" i="3"/>
  <c r="Z91" i="3"/>
  <c r="W91" i="3"/>
  <c r="V91" i="3"/>
  <c r="U91" i="3"/>
  <c r="T91" i="3"/>
  <c r="S91" i="3"/>
  <c r="R91" i="3"/>
  <c r="Q91" i="3"/>
  <c r="P91" i="3"/>
  <c r="M91" i="3"/>
  <c r="L91" i="3"/>
  <c r="K91" i="3"/>
  <c r="J91" i="3"/>
  <c r="I91" i="3"/>
  <c r="H91" i="3"/>
  <c r="E91" i="3"/>
  <c r="D91" i="3"/>
  <c r="C91" i="3"/>
  <c r="A91" i="3"/>
  <c r="AG90" i="3"/>
  <c r="AF90" i="3"/>
  <c r="AE90" i="3"/>
  <c r="AD90" i="3"/>
  <c r="AC90" i="3"/>
  <c r="AB90" i="3"/>
  <c r="AA90" i="3"/>
  <c r="Z90" i="3"/>
  <c r="W90" i="3"/>
  <c r="V90" i="3"/>
  <c r="U90" i="3"/>
  <c r="T90" i="3"/>
  <c r="S90" i="3"/>
  <c r="R90" i="3"/>
  <c r="Q90" i="3"/>
  <c r="P90" i="3"/>
  <c r="M90" i="3"/>
  <c r="L90" i="3"/>
  <c r="K90" i="3"/>
  <c r="J90" i="3"/>
  <c r="I90" i="3"/>
  <c r="H90" i="3"/>
  <c r="E90" i="3"/>
  <c r="D90" i="3"/>
  <c r="C90" i="3"/>
  <c r="A90" i="3"/>
  <c r="AG89" i="3"/>
  <c r="AF89" i="3"/>
  <c r="AE89" i="3"/>
  <c r="AD89" i="3"/>
  <c r="AC89" i="3"/>
  <c r="AB89" i="3"/>
  <c r="AA89" i="3"/>
  <c r="Z89" i="3"/>
  <c r="W89" i="3"/>
  <c r="V89" i="3"/>
  <c r="U89" i="3"/>
  <c r="T89" i="3"/>
  <c r="S89" i="3"/>
  <c r="R89" i="3"/>
  <c r="Q89" i="3"/>
  <c r="P89" i="3"/>
  <c r="M89" i="3"/>
  <c r="L89" i="3"/>
  <c r="K89" i="3"/>
  <c r="J89" i="3"/>
  <c r="I89" i="3"/>
  <c r="H89" i="3"/>
  <c r="E89" i="3"/>
  <c r="D89" i="3"/>
  <c r="C89" i="3"/>
  <c r="A89" i="3"/>
  <c r="AG88" i="3"/>
  <c r="AF88" i="3"/>
  <c r="AE88" i="3"/>
  <c r="AD88" i="3"/>
  <c r="AC88" i="3"/>
  <c r="AB88" i="3"/>
  <c r="AA88" i="3"/>
  <c r="Z88" i="3"/>
  <c r="W88" i="3"/>
  <c r="V88" i="3"/>
  <c r="U88" i="3"/>
  <c r="T88" i="3"/>
  <c r="S88" i="3"/>
  <c r="R88" i="3"/>
  <c r="Q88" i="3"/>
  <c r="P88" i="3"/>
  <c r="M88" i="3"/>
  <c r="L88" i="3"/>
  <c r="K88" i="3"/>
  <c r="J88" i="3"/>
  <c r="I88" i="3"/>
  <c r="H88" i="3"/>
  <c r="E88" i="3"/>
  <c r="D88" i="3"/>
  <c r="C88" i="3"/>
  <c r="A88" i="3"/>
  <c r="AG87" i="3"/>
  <c r="AF87" i="3"/>
  <c r="AE87" i="3"/>
  <c r="AD87" i="3"/>
  <c r="AC87" i="3"/>
  <c r="AB87" i="3"/>
  <c r="AA87" i="3"/>
  <c r="Z87" i="3"/>
  <c r="W87" i="3"/>
  <c r="V87" i="3"/>
  <c r="U87" i="3"/>
  <c r="T87" i="3"/>
  <c r="S87" i="3"/>
  <c r="R87" i="3"/>
  <c r="Q87" i="3"/>
  <c r="P87" i="3"/>
  <c r="M87" i="3"/>
  <c r="L87" i="3"/>
  <c r="K87" i="3"/>
  <c r="J87" i="3"/>
  <c r="I87" i="3"/>
  <c r="H87" i="3"/>
  <c r="E87" i="3"/>
  <c r="D87" i="3"/>
  <c r="C87" i="3"/>
  <c r="A87" i="3"/>
  <c r="AG86" i="3"/>
  <c r="AF86" i="3"/>
  <c r="AE86" i="3"/>
  <c r="AD86" i="3"/>
  <c r="AC86" i="3"/>
  <c r="AB86" i="3"/>
  <c r="AA86" i="3"/>
  <c r="Z86" i="3"/>
  <c r="W86" i="3"/>
  <c r="V86" i="3"/>
  <c r="U86" i="3"/>
  <c r="T86" i="3"/>
  <c r="S86" i="3"/>
  <c r="R86" i="3"/>
  <c r="Q86" i="3"/>
  <c r="P86" i="3"/>
  <c r="M86" i="3"/>
  <c r="L86" i="3"/>
  <c r="K86" i="3"/>
  <c r="J86" i="3"/>
  <c r="I86" i="3"/>
  <c r="H86" i="3"/>
  <c r="E86" i="3"/>
  <c r="D86" i="3"/>
  <c r="C86" i="3"/>
  <c r="A86" i="3"/>
  <c r="AG85" i="3"/>
  <c r="AF85" i="3"/>
  <c r="AE85" i="3"/>
  <c r="AD85" i="3"/>
  <c r="AC85" i="3"/>
  <c r="AB85" i="3"/>
  <c r="AA85" i="3"/>
  <c r="Z85" i="3"/>
  <c r="W85" i="3"/>
  <c r="V85" i="3"/>
  <c r="U85" i="3"/>
  <c r="T85" i="3"/>
  <c r="S85" i="3"/>
  <c r="R85" i="3"/>
  <c r="Q85" i="3"/>
  <c r="P85" i="3"/>
  <c r="M85" i="3"/>
  <c r="L85" i="3"/>
  <c r="K85" i="3"/>
  <c r="J85" i="3"/>
  <c r="I85" i="3"/>
  <c r="H85" i="3"/>
  <c r="E85" i="3"/>
  <c r="D85" i="3"/>
  <c r="C85" i="3"/>
  <c r="A85" i="3"/>
  <c r="AG84" i="3"/>
  <c r="AF84" i="3"/>
  <c r="AE84" i="3"/>
  <c r="AD84" i="3"/>
  <c r="AC84" i="3"/>
  <c r="AB84" i="3"/>
  <c r="AA84" i="3"/>
  <c r="Z84" i="3"/>
  <c r="W84" i="3"/>
  <c r="V84" i="3"/>
  <c r="U84" i="3"/>
  <c r="T84" i="3"/>
  <c r="S84" i="3"/>
  <c r="R84" i="3"/>
  <c r="Q84" i="3"/>
  <c r="P84" i="3"/>
  <c r="M84" i="3"/>
  <c r="L84" i="3"/>
  <c r="K84" i="3"/>
  <c r="J84" i="3"/>
  <c r="I84" i="3"/>
  <c r="H84" i="3"/>
  <c r="E84" i="3"/>
  <c r="D84" i="3"/>
  <c r="C84" i="3"/>
  <c r="A84" i="3"/>
  <c r="AG83" i="3"/>
  <c r="AF83" i="3"/>
  <c r="AE83" i="3"/>
  <c r="AD83" i="3"/>
  <c r="AC83" i="3"/>
  <c r="AB83" i="3"/>
  <c r="AA83" i="3"/>
  <c r="Z83" i="3"/>
  <c r="AH83" i="3" s="1"/>
  <c r="AI83" i="3" s="1"/>
  <c r="W83" i="3"/>
  <c r="V83" i="3"/>
  <c r="U83" i="3"/>
  <c r="T83" i="3"/>
  <c r="S83" i="3"/>
  <c r="R83" i="3"/>
  <c r="Q83" i="3"/>
  <c r="P83" i="3"/>
  <c r="X83" i="3" s="1"/>
  <c r="M83" i="3"/>
  <c r="L83" i="3"/>
  <c r="K83" i="3"/>
  <c r="J83" i="3"/>
  <c r="I83" i="3"/>
  <c r="H83" i="3"/>
  <c r="N83" i="3" s="1"/>
  <c r="O83" i="3" s="1"/>
  <c r="E83" i="3"/>
  <c r="D83" i="3"/>
  <c r="C83" i="3"/>
  <c r="F83" i="3" s="1"/>
  <c r="G83" i="3" s="1"/>
  <c r="A83" i="3"/>
  <c r="AG82" i="3"/>
  <c r="AF82" i="3"/>
  <c r="AE82" i="3"/>
  <c r="AD82" i="3"/>
  <c r="AC82" i="3"/>
  <c r="AB82" i="3"/>
  <c r="AA82" i="3"/>
  <c r="Z82" i="3"/>
  <c r="W82" i="3"/>
  <c r="V82" i="3"/>
  <c r="U82" i="3"/>
  <c r="T82" i="3"/>
  <c r="S82" i="3"/>
  <c r="R82" i="3"/>
  <c r="Q82" i="3"/>
  <c r="P82" i="3"/>
  <c r="M82" i="3"/>
  <c r="L82" i="3"/>
  <c r="K82" i="3"/>
  <c r="J82" i="3"/>
  <c r="I82" i="3"/>
  <c r="H82" i="3"/>
  <c r="E82" i="3"/>
  <c r="D82" i="3"/>
  <c r="C82" i="3"/>
  <c r="A82" i="3"/>
  <c r="AG81" i="3"/>
  <c r="AF81" i="3"/>
  <c r="AE81" i="3"/>
  <c r="AD81" i="3"/>
  <c r="AC81" i="3"/>
  <c r="AB81" i="3"/>
  <c r="AA81" i="3"/>
  <c r="Z81" i="3"/>
  <c r="W81" i="3"/>
  <c r="V81" i="3"/>
  <c r="U81" i="3"/>
  <c r="T81" i="3"/>
  <c r="S81" i="3"/>
  <c r="R81" i="3"/>
  <c r="Q81" i="3"/>
  <c r="P81" i="3"/>
  <c r="M81" i="3"/>
  <c r="L81" i="3"/>
  <c r="K81" i="3"/>
  <c r="J81" i="3"/>
  <c r="I81" i="3"/>
  <c r="H81" i="3"/>
  <c r="E81" i="3"/>
  <c r="D81" i="3"/>
  <c r="C81" i="3"/>
  <c r="A81" i="3"/>
  <c r="AG80" i="3"/>
  <c r="AF80" i="3"/>
  <c r="AE80" i="3"/>
  <c r="AD80" i="3"/>
  <c r="AC80" i="3"/>
  <c r="AB80" i="3"/>
  <c r="AA80" i="3"/>
  <c r="Z80" i="3"/>
  <c r="W80" i="3"/>
  <c r="V80" i="3"/>
  <c r="U80" i="3"/>
  <c r="T80" i="3"/>
  <c r="S80" i="3"/>
  <c r="R80" i="3"/>
  <c r="Q80" i="3"/>
  <c r="P80" i="3"/>
  <c r="M80" i="3"/>
  <c r="L80" i="3"/>
  <c r="K80" i="3"/>
  <c r="J80" i="3"/>
  <c r="I80" i="3"/>
  <c r="H80" i="3"/>
  <c r="E80" i="3"/>
  <c r="D80" i="3"/>
  <c r="C80" i="3"/>
  <c r="A80" i="3"/>
  <c r="AG79" i="3"/>
  <c r="AF79" i="3"/>
  <c r="AE79" i="3"/>
  <c r="AD79" i="3"/>
  <c r="AC79" i="3"/>
  <c r="AB79" i="3"/>
  <c r="AA79" i="3"/>
  <c r="Z79" i="3"/>
  <c r="W79" i="3"/>
  <c r="V79" i="3"/>
  <c r="U79" i="3"/>
  <c r="T79" i="3"/>
  <c r="S79" i="3"/>
  <c r="R79" i="3"/>
  <c r="Q79" i="3"/>
  <c r="P79" i="3"/>
  <c r="M79" i="3"/>
  <c r="L79" i="3"/>
  <c r="K79" i="3"/>
  <c r="J79" i="3"/>
  <c r="I79" i="3"/>
  <c r="H79" i="3"/>
  <c r="E79" i="3"/>
  <c r="D79" i="3"/>
  <c r="C79" i="3"/>
  <c r="A79" i="3"/>
  <c r="AG78" i="3"/>
  <c r="AF78" i="3"/>
  <c r="AE78" i="3"/>
  <c r="AD78" i="3"/>
  <c r="AC78" i="3"/>
  <c r="AB78" i="3"/>
  <c r="AA78" i="3"/>
  <c r="Z78" i="3"/>
  <c r="W78" i="3"/>
  <c r="V78" i="3"/>
  <c r="U78" i="3"/>
  <c r="T78" i="3"/>
  <c r="S78" i="3"/>
  <c r="R78" i="3"/>
  <c r="Q78" i="3"/>
  <c r="P78" i="3"/>
  <c r="M78" i="3"/>
  <c r="L78" i="3"/>
  <c r="K78" i="3"/>
  <c r="J78" i="3"/>
  <c r="I78" i="3"/>
  <c r="H78" i="3"/>
  <c r="E78" i="3"/>
  <c r="D78" i="3"/>
  <c r="C78" i="3"/>
  <c r="A78" i="3"/>
  <c r="AG77" i="3"/>
  <c r="AF77" i="3"/>
  <c r="AE77" i="3"/>
  <c r="AD77" i="3"/>
  <c r="AC77" i="3"/>
  <c r="AB77" i="3"/>
  <c r="AA77" i="3"/>
  <c r="Z77" i="3"/>
  <c r="W77" i="3"/>
  <c r="V77" i="3"/>
  <c r="U77" i="3"/>
  <c r="T77" i="3"/>
  <c r="S77" i="3"/>
  <c r="R77" i="3"/>
  <c r="Q77" i="3"/>
  <c r="P77" i="3"/>
  <c r="M77" i="3"/>
  <c r="L77" i="3"/>
  <c r="K77" i="3"/>
  <c r="J77" i="3"/>
  <c r="I77" i="3"/>
  <c r="H77" i="3"/>
  <c r="E77" i="3"/>
  <c r="D77" i="3"/>
  <c r="C77" i="3"/>
  <c r="A77" i="3"/>
  <c r="AG76" i="3"/>
  <c r="AF76" i="3"/>
  <c r="AE76" i="3"/>
  <c r="AD76" i="3"/>
  <c r="AC76" i="3"/>
  <c r="AB76" i="3"/>
  <c r="AA76" i="3"/>
  <c r="Z76" i="3"/>
  <c r="W76" i="3"/>
  <c r="V76" i="3"/>
  <c r="U76" i="3"/>
  <c r="T76" i="3"/>
  <c r="S76" i="3"/>
  <c r="R76" i="3"/>
  <c r="Q76" i="3"/>
  <c r="P76" i="3"/>
  <c r="M76" i="3"/>
  <c r="L76" i="3"/>
  <c r="K76" i="3"/>
  <c r="J76" i="3"/>
  <c r="I76" i="3"/>
  <c r="H76" i="3"/>
  <c r="E76" i="3"/>
  <c r="D76" i="3"/>
  <c r="C76" i="3"/>
  <c r="A76" i="3"/>
  <c r="AG75" i="3"/>
  <c r="AF75" i="3"/>
  <c r="AE75" i="3"/>
  <c r="AD75" i="3"/>
  <c r="AC75" i="3"/>
  <c r="AB75" i="3"/>
  <c r="AA75" i="3"/>
  <c r="Z75" i="3"/>
  <c r="W75" i="3"/>
  <c r="V75" i="3"/>
  <c r="U75" i="3"/>
  <c r="T75" i="3"/>
  <c r="S75" i="3"/>
  <c r="R75" i="3"/>
  <c r="Q75" i="3"/>
  <c r="P75" i="3"/>
  <c r="M75" i="3"/>
  <c r="L75" i="3"/>
  <c r="K75" i="3"/>
  <c r="J75" i="3"/>
  <c r="I75" i="3"/>
  <c r="H75" i="3"/>
  <c r="E75" i="3"/>
  <c r="D75" i="3"/>
  <c r="C75" i="3"/>
  <c r="A75" i="3"/>
  <c r="AG74" i="3"/>
  <c r="AF74" i="3"/>
  <c r="AE74" i="3"/>
  <c r="AD74" i="3"/>
  <c r="AC74" i="3"/>
  <c r="AB74" i="3"/>
  <c r="AA74" i="3"/>
  <c r="Z74" i="3"/>
  <c r="W74" i="3"/>
  <c r="V74" i="3"/>
  <c r="U74" i="3"/>
  <c r="T74" i="3"/>
  <c r="S74" i="3"/>
  <c r="R74" i="3"/>
  <c r="Q74" i="3"/>
  <c r="P74" i="3"/>
  <c r="M74" i="3"/>
  <c r="L74" i="3"/>
  <c r="K74" i="3"/>
  <c r="J74" i="3"/>
  <c r="I74" i="3"/>
  <c r="H74" i="3"/>
  <c r="E74" i="3"/>
  <c r="D74" i="3"/>
  <c r="C74" i="3"/>
  <c r="A74" i="3"/>
  <c r="AG73" i="3"/>
  <c r="AF73" i="3"/>
  <c r="AE73" i="3"/>
  <c r="AD73" i="3"/>
  <c r="AC73" i="3"/>
  <c r="AB73" i="3"/>
  <c r="AA73" i="3"/>
  <c r="Z73" i="3"/>
  <c r="W73" i="3"/>
  <c r="V73" i="3"/>
  <c r="U73" i="3"/>
  <c r="T73" i="3"/>
  <c r="S73" i="3"/>
  <c r="R73" i="3"/>
  <c r="Q73" i="3"/>
  <c r="P73" i="3"/>
  <c r="M73" i="3"/>
  <c r="L73" i="3"/>
  <c r="K73" i="3"/>
  <c r="J73" i="3"/>
  <c r="I73" i="3"/>
  <c r="H73" i="3"/>
  <c r="E73" i="3"/>
  <c r="D73" i="3"/>
  <c r="C73" i="3"/>
  <c r="A73" i="3"/>
  <c r="AG72" i="3"/>
  <c r="AF72" i="3"/>
  <c r="AE72" i="3"/>
  <c r="AD72" i="3"/>
  <c r="AC72" i="3"/>
  <c r="AB72" i="3"/>
  <c r="AA72" i="3"/>
  <c r="Z72" i="3"/>
  <c r="W72" i="3"/>
  <c r="V72" i="3"/>
  <c r="U72" i="3"/>
  <c r="T72" i="3"/>
  <c r="S72" i="3"/>
  <c r="R72" i="3"/>
  <c r="Q72" i="3"/>
  <c r="P72" i="3"/>
  <c r="M72" i="3"/>
  <c r="L72" i="3"/>
  <c r="K72" i="3"/>
  <c r="J72" i="3"/>
  <c r="I72" i="3"/>
  <c r="H72" i="3"/>
  <c r="E72" i="3"/>
  <c r="D72" i="3"/>
  <c r="C72" i="3"/>
  <c r="A72" i="3"/>
  <c r="AG71" i="3"/>
  <c r="AF71" i="3"/>
  <c r="AE71" i="3"/>
  <c r="AD71" i="3"/>
  <c r="AC71" i="3"/>
  <c r="AB71" i="3"/>
  <c r="AA71" i="3"/>
  <c r="Z71" i="3"/>
  <c r="W71" i="3"/>
  <c r="V71" i="3"/>
  <c r="U71" i="3"/>
  <c r="T71" i="3"/>
  <c r="S71" i="3"/>
  <c r="R71" i="3"/>
  <c r="Q71" i="3"/>
  <c r="P71" i="3"/>
  <c r="M71" i="3"/>
  <c r="L71" i="3"/>
  <c r="K71" i="3"/>
  <c r="J71" i="3"/>
  <c r="I71" i="3"/>
  <c r="H71" i="3"/>
  <c r="E71" i="3"/>
  <c r="D71" i="3"/>
  <c r="C71" i="3"/>
  <c r="A71" i="3"/>
  <c r="AG70" i="3"/>
  <c r="AF70" i="3"/>
  <c r="AE70" i="3"/>
  <c r="AD70" i="3"/>
  <c r="AC70" i="3"/>
  <c r="AB70" i="3"/>
  <c r="AA70" i="3"/>
  <c r="Z70" i="3"/>
  <c r="W70" i="3"/>
  <c r="V70" i="3"/>
  <c r="U70" i="3"/>
  <c r="T70" i="3"/>
  <c r="S70" i="3"/>
  <c r="R70" i="3"/>
  <c r="Q70" i="3"/>
  <c r="P70" i="3"/>
  <c r="M70" i="3"/>
  <c r="L70" i="3"/>
  <c r="K70" i="3"/>
  <c r="J70" i="3"/>
  <c r="I70" i="3"/>
  <c r="H70" i="3"/>
  <c r="E70" i="3"/>
  <c r="D70" i="3"/>
  <c r="C70" i="3"/>
  <c r="A70" i="3"/>
  <c r="AG69" i="3"/>
  <c r="AF69" i="3"/>
  <c r="AE69" i="3"/>
  <c r="AD69" i="3"/>
  <c r="AC69" i="3"/>
  <c r="AB69" i="3"/>
  <c r="AA69" i="3"/>
  <c r="Z69" i="3"/>
  <c r="W69" i="3"/>
  <c r="V69" i="3"/>
  <c r="U69" i="3"/>
  <c r="T69" i="3"/>
  <c r="S69" i="3"/>
  <c r="R69" i="3"/>
  <c r="Q69" i="3"/>
  <c r="P69" i="3"/>
  <c r="M69" i="3"/>
  <c r="L69" i="3"/>
  <c r="K69" i="3"/>
  <c r="J69" i="3"/>
  <c r="I69" i="3"/>
  <c r="H69" i="3"/>
  <c r="E69" i="3"/>
  <c r="D69" i="3"/>
  <c r="C69" i="3"/>
  <c r="A69" i="3"/>
  <c r="AG68" i="3"/>
  <c r="AF68" i="3"/>
  <c r="AE68" i="3"/>
  <c r="AD68" i="3"/>
  <c r="AC68" i="3"/>
  <c r="AB68" i="3"/>
  <c r="AA68" i="3"/>
  <c r="Z68" i="3"/>
  <c r="W68" i="3"/>
  <c r="V68" i="3"/>
  <c r="U68" i="3"/>
  <c r="T68" i="3"/>
  <c r="S68" i="3"/>
  <c r="R68" i="3"/>
  <c r="Q68" i="3"/>
  <c r="P68" i="3"/>
  <c r="M68" i="3"/>
  <c r="L68" i="3"/>
  <c r="K68" i="3"/>
  <c r="J68" i="3"/>
  <c r="I68" i="3"/>
  <c r="H68" i="3"/>
  <c r="E68" i="3"/>
  <c r="D68" i="3"/>
  <c r="C68" i="3"/>
  <c r="A68" i="3"/>
  <c r="AG67" i="3"/>
  <c r="AF67" i="3"/>
  <c r="AE67" i="3"/>
  <c r="AD67" i="3"/>
  <c r="AC67" i="3"/>
  <c r="AB67" i="3"/>
  <c r="AA67" i="3"/>
  <c r="Z67" i="3"/>
  <c r="W67" i="3"/>
  <c r="V67" i="3"/>
  <c r="U67" i="3"/>
  <c r="T67" i="3"/>
  <c r="S67" i="3"/>
  <c r="R67" i="3"/>
  <c r="Q67" i="3"/>
  <c r="P67" i="3"/>
  <c r="M67" i="3"/>
  <c r="L67" i="3"/>
  <c r="K67" i="3"/>
  <c r="J67" i="3"/>
  <c r="I67" i="3"/>
  <c r="H67" i="3"/>
  <c r="E67" i="3"/>
  <c r="D67" i="3"/>
  <c r="C67" i="3"/>
  <c r="A67" i="3"/>
  <c r="AG66" i="3"/>
  <c r="AF66" i="3"/>
  <c r="AE66" i="3"/>
  <c r="AD66" i="3"/>
  <c r="AC66" i="3"/>
  <c r="AB66" i="3"/>
  <c r="AA66" i="3"/>
  <c r="Z66" i="3"/>
  <c r="W66" i="3"/>
  <c r="V66" i="3"/>
  <c r="U66" i="3"/>
  <c r="T66" i="3"/>
  <c r="S66" i="3"/>
  <c r="R66" i="3"/>
  <c r="Q66" i="3"/>
  <c r="P66" i="3"/>
  <c r="M66" i="3"/>
  <c r="L66" i="3"/>
  <c r="K66" i="3"/>
  <c r="J66" i="3"/>
  <c r="I66" i="3"/>
  <c r="H66" i="3"/>
  <c r="E66" i="3"/>
  <c r="D66" i="3"/>
  <c r="C66" i="3"/>
  <c r="A66" i="3"/>
  <c r="AG65" i="3"/>
  <c r="AF65" i="3"/>
  <c r="AE65" i="3"/>
  <c r="AD65" i="3"/>
  <c r="AC65" i="3"/>
  <c r="AB65" i="3"/>
  <c r="AA65" i="3"/>
  <c r="Z65" i="3"/>
  <c r="W65" i="3"/>
  <c r="V65" i="3"/>
  <c r="U65" i="3"/>
  <c r="T65" i="3"/>
  <c r="S65" i="3"/>
  <c r="R65" i="3"/>
  <c r="Q65" i="3"/>
  <c r="P65" i="3"/>
  <c r="M65" i="3"/>
  <c r="L65" i="3"/>
  <c r="K65" i="3"/>
  <c r="J65" i="3"/>
  <c r="I65" i="3"/>
  <c r="H65" i="3"/>
  <c r="E65" i="3"/>
  <c r="D65" i="3"/>
  <c r="C65" i="3"/>
  <c r="A65" i="3"/>
  <c r="AG64" i="3"/>
  <c r="AF64" i="3"/>
  <c r="AE64" i="3"/>
  <c r="AD64" i="3"/>
  <c r="AC64" i="3"/>
  <c r="AB64" i="3"/>
  <c r="AA64" i="3"/>
  <c r="Z64" i="3"/>
  <c r="W64" i="3"/>
  <c r="V64" i="3"/>
  <c r="U64" i="3"/>
  <c r="T64" i="3"/>
  <c r="S64" i="3"/>
  <c r="R64" i="3"/>
  <c r="Q64" i="3"/>
  <c r="P64" i="3"/>
  <c r="M64" i="3"/>
  <c r="L64" i="3"/>
  <c r="K64" i="3"/>
  <c r="J64" i="3"/>
  <c r="I64" i="3"/>
  <c r="H64" i="3"/>
  <c r="E64" i="3"/>
  <c r="D64" i="3"/>
  <c r="C64" i="3"/>
  <c r="A64" i="3"/>
  <c r="AG63" i="3"/>
  <c r="AF63" i="3"/>
  <c r="AE63" i="3"/>
  <c r="AD63" i="3"/>
  <c r="AC63" i="3"/>
  <c r="AB63" i="3"/>
  <c r="AA63" i="3"/>
  <c r="Z63" i="3"/>
  <c r="W63" i="3"/>
  <c r="V63" i="3"/>
  <c r="U63" i="3"/>
  <c r="T63" i="3"/>
  <c r="S63" i="3"/>
  <c r="R63" i="3"/>
  <c r="Q63" i="3"/>
  <c r="P63" i="3"/>
  <c r="M63" i="3"/>
  <c r="L63" i="3"/>
  <c r="K63" i="3"/>
  <c r="J63" i="3"/>
  <c r="I63" i="3"/>
  <c r="H63" i="3"/>
  <c r="E63" i="3"/>
  <c r="D63" i="3"/>
  <c r="C63" i="3"/>
  <c r="A63" i="3"/>
  <c r="AG62" i="3"/>
  <c r="AF62" i="3"/>
  <c r="AE62" i="3"/>
  <c r="AD62" i="3"/>
  <c r="AC62" i="3"/>
  <c r="AB62" i="3"/>
  <c r="AA62" i="3"/>
  <c r="Z62" i="3"/>
  <c r="W62" i="3"/>
  <c r="V62" i="3"/>
  <c r="U62" i="3"/>
  <c r="T62" i="3"/>
  <c r="S62" i="3"/>
  <c r="R62" i="3"/>
  <c r="Q62" i="3"/>
  <c r="P62" i="3"/>
  <c r="M62" i="3"/>
  <c r="L62" i="3"/>
  <c r="K62" i="3"/>
  <c r="J62" i="3"/>
  <c r="I62" i="3"/>
  <c r="H62" i="3"/>
  <c r="E62" i="3"/>
  <c r="D62" i="3"/>
  <c r="C62" i="3"/>
  <c r="A62" i="3"/>
  <c r="AG61" i="3"/>
  <c r="AF61" i="3"/>
  <c r="AE61" i="3"/>
  <c r="AD61" i="3"/>
  <c r="AC61" i="3"/>
  <c r="AB61" i="3"/>
  <c r="AA61" i="3"/>
  <c r="Z61" i="3"/>
  <c r="W61" i="3"/>
  <c r="V61" i="3"/>
  <c r="U61" i="3"/>
  <c r="T61" i="3"/>
  <c r="S61" i="3"/>
  <c r="R61" i="3"/>
  <c r="Q61" i="3"/>
  <c r="P61" i="3"/>
  <c r="M61" i="3"/>
  <c r="L61" i="3"/>
  <c r="K61" i="3"/>
  <c r="J61" i="3"/>
  <c r="I61" i="3"/>
  <c r="H61" i="3"/>
  <c r="E61" i="3"/>
  <c r="D61" i="3"/>
  <c r="C61" i="3"/>
  <c r="A61" i="3"/>
  <c r="AG60" i="3"/>
  <c r="AF60" i="3"/>
  <c r="AE60" i="3"/>
  <c r="AD60" i="3"/>
  <c r="AC60" i="3"/>
  <c r="AB60" i="3"/>
  <c r="AA60" i="3"/>
  <c r="Z60" i="3"/>
  <c r="W60" i="3"/>
  <c r="V60" i="3"/>
  <c r="U60" i="3"/>
  <c r="T60" i="3"/>
  <c r="S60" i="3"/>
  <c r="R60" i="3"/>
  <c r="Q60" i="3"/>
  <c r="P60" i="3"/>
  <c r="M60" i="3"/>
  <c r="L60" i="3"/>
  <c r="K60" i="3"/>
  <c r="J60" i="3"/>
  <c r="I60" i="3"/>
  <c r="H60" i="3"/>
  <c r="E60" i="3"/>
  <c r="D60" i="3"/>
  <c r="C60" i="3"/>
  <c r="A60" i="3"/>
  <c r="AG59" i="3"/>
  <c r="AF59" i="3"/>
  <c r="AE59" i="3"/>
  <c r="AD59" i="3"/>
  <c r="AC59" i="3"/>
  <c r="AB59" i="3"/>
  <c r="AA59" i="3"/>
  <c r="Z59" i="3"/>
  <c r="W59" i="3"/>
  <c r="V59" i="3"/>
  <c r="U59" i="3"/>
  <c r="T59" i="3"/>
  <c r="S59" i="3"/>
  <c r="R59" i="3"/>
  <c r="Q59" i="3"/>
  <c r="P59" i="3"/>
  <c r="M59" i="3"/>
  <c r="L59" i="3"/>
  <c r="K59" i="3"/>
  <c r="J59" i="3"/>
  <c r="I59" i="3"/>
  <c r="H59" i="3"/>
  <c r="E59" i="3"/>
  <c r="D59" i="3"/>
  <c r="C59" i="3"/>
  <c r="A59" i="3"/>
  <c r="AG58" i="3"/>
  <c r="AF58" i="3"/>
  <c r="AE58" i="3"/>
  <c r="AD58" i="3"/>
  <c r="AC58" i="3"/>
  <c r="AB58" i="3"/>
  <c r="AA58" i="3"/>
  <c r="Z58" i="3"/>
  <c r="W58" i="3"/>
  <c r="V58" i="3"/>
  <c r="U58" i="3"/>
  <c r="T58" i="3"/>
  <c r="S58" i="3"/>
  <c r="R58" i="3"/>
  <c r="Q58" i="3"/>
  <c r="P58" i="3"/>
  <c r="M58" i="3"/>
  <c r="L58" i="3"/>
  <c r="K58" i="3"/>
  <c r="J58" i="3"/>
  <c r="I58" i="3"/>
  <c r="H58" i="3"/>
  <c r="E58" i="3"/>
  <c r="D58" i="3"/>
  <c r="C58" i="3"/>
  <c r="A58" i="3"/>
  <c r="AG57" i="3"/>
  <c r="AF57" i="3"/>
  <c r="AE57" i="3"/>
  <c r="AD57" i="3"/>
  <c r="AC57" i="3"/>
  <c r="AB57" i="3"/>
  <c r="AA57" i="3"/>
  <c r="Z57" i="3"/>
  <c r="W57" i="3"/>
  <c r="V57" i="3"/>
  <c r="U57" i="3"/>
  <c r="T57" i="3"/>
  <c r="S57" i="3"/>
  <c r="R57" i="3"/>
  <c r="Q57" i="3"/>
  <c r="P57" i="3"/>
  <c r="M57" i="3"/>
  <c r="L57" i="3"/>
  <c r="K57" i="3"/>
  <c r="J57" i="3"/>
  <c r="I57" i="3"/>
  <c r="H57" i="3"/>
  <c r="E57" i="3"/>
  <c r="D57" i="3"/>
  <c r="C57" i="3"/>
  <c r="A57" i="3"/>
  <c r="AG56" i="3"/>
  <c r="AF56" i="3"/>
  <c r="AE56" i="3"/>
  <c r="AD56" i="3"/>
  <c r="AC56" i="3"/>
  <c r="AB56" i="3"/>
  <c r="AA56" i="3"/>
  <c r="Z56" i="3"/>
  <c r="W56" i="3"/>
  <c r="V56" i="3"/>
  <c r="U56" i="3"/>
  <c r="T56" i="3"/>
  <c r="S56" i="3"/>
  <c r="R56" i="3"/>
  <c r="Q56" i="3"/>
  <c r="P56" i="3"/>
  <c r="M56" i="3"/>
  <c r="L56" i="3"/>
  <c r="K56" i="3"/>
  <c r="J56" i="3"/>
  <c r="I56" i="3"/>
  <c r="H56" i="3"/>
  <c r="E56" i="3"/>
  <c r="D56" i="3"/>
  <c r="C56" i="3"/>
  <c r="A56" i="3"/>
  <c r="AG55" i="3"/>
  <c r="AF55" i="3"/>
  <c r="AE55" i="3"/>
  <c r="AD55" i="3"/>
  <c r="AC55" i="3"/>
  <c r="AB55" i="3"/>
  <c r="AA55" i="3"/>
  <c r="Z55" i="3"/>
  <c r="W55" i="3"/>
  <c r="V55" i="3"/>
  <c r="U55" i="3"/>
  <c r="T55" i="3"/>
  <c r="S55" i="3"/>
  <c r="R55" i="3"/>
  <c r="Q55" i="3"/>
  <c r="P55" i="3"/>
  <c r="M55" i="3"/>
  <c r="L55" i="3"/>
  <c r="K55" i="3"/>
  <c r="J55" i="3"/>
  <c r="I55" i="3"/>
  <c r="H55" i="3"/>
  <c r="E55" i="3"/>
  <c r="D55" i="3"/>
  <c r="C55" i="3"/>
  <c r="A55" i="3"/>
  <c r="AG54" i="3"/>
  <c r="AF54" i="3"/>
  <c r="AE54" i="3"/>
  <c r="AD54" i="3"/>
  <c r="AC54" i="3"/>
  <c r="AB54" i="3"/>
  <c r="AA54" i="3"/>
  <c r="Z54" i="3"/>
  <c r="W54" i="3"/>
  <c r="V54" i="3"/>
  <c r="U54" i="3"/>
  <c r="T54" i="3"/>
  <c r="S54" i="3"/>
  <c r="R54" i="3"/>
  <c r="Q54" i="3"/>
  <c r="P54" i="3"/>
  <c r="M54" i="3"/>
  <c r="L54" i="3"/>
  <c r="K54" i="3"/>
  <c r="J54" i="3"/>
  <c r="I54" i="3"/>
  <c r="H54" i="3"/>
  <c r="E54" i="3"/>
  <c r="D54" i="3"/>
  <c r="C54" i="3"/>
  <c r="A54" i="3"/>
  <c r="AG53" i="3"/>
  <c r="AF53" i="3"/>
  <c r="AE53" i="3"/>
  <c r="AD53" i="3"/>
  <c r="AC53" i="3"/>
  <c r="AB53" i="3"/>
  <c r="AA53" i="3"/>
  <c r="Z53" i="3"/>
  <c r="W53" i="3"/>
  <c r="V53" i="3"/>
  <c r="U53" i="3"/>
  <c r="T53" i="3"/>
  <c r="S53" i="3"/>
  <c r="R53" i="3"/>
  <c r="Q53" i="3"/>
  <c r="P53" i="3"/>
  <c r="M53" i="3"/>
  <c r="L53" i="3"/>
  <c r="K53" i="3"/>
  <c r="J53" i="3"/>
  <c r="I53" i="3"/>
  <c r="H53" i="3"/>
  <c r="E53" i="3"/>
  <c r="D53" i="3"/>
  <c r="C53" i="3"/>
  <c r="A53" i="3"/>
  <c r="AG52" i="3"/>
  <c r="AF52" i="3"/>
  <c r="AE52" i="3"/>
  <c r="AD52" i="3"/>
  <c r="AC52" i="3"/>
  <c r="AB52" i="3"/>
  <c r="AA52" i="3"/>
  <c r="Z52" i="3"/>
  <c r="W52" i="3"/>
  <c r="V52" i="3"/>
  <c r="U52" i="3"/>
  <c r="T52" i="3"/>
  <c r="S52" i="3"/>
  <c r="R52" i="3"/>
  <c r="Q52" i="3"/>
  <c r="P52" i="3"/>
  <c r="M52" i="3"/>
  <c r="L52" i="3"/>
  <c r="K52" i="3"/>
  <c r="J52" i="3"/>
  <c r="I52" i="3"/>
  <c r="H52" i="3"/>
  <c r="E52" i="3"/>
  <c r="D52" i="3"/>
  <c r="C52" i="3"/>
  <c r="A52" i="3"/>
  <c r="AG51" i="3"/>
  <c r="AF51" i="3"/>
  <c r="AE51" i="3"/>
  <c r="AD51" i="3"/>
  <c r="AC51" i="3"/>
  <c r="AB51" i="3"/>
  <c r="AA51" i="3"/>
  <c r="Z51" i="3"/>
  <c r="W51" i="3"/>
  <c r="V51" i="3"/>
  <c r="U51" i="3"/>
  <c r="T51" i="3"/>
  <c r="S51" i="3"/>
  <c r="R51" i="3"/>
  <c r="Q51" i="3"/>
  <c r="P51" i="3"/>
  <c r="M51" i="3"/>
  <c r="L51" i="3"/>
  <c r="K51" i="3"/>
  <c r="J51" i="3"/>
  <c r="I51" i="3"/>
  <c r="H51" i="3"/>
  <c r="E51" i="3"/>
  <c r="D51" i="3"/>
  <c r="C51" i="3"/>
  <c r="A51" i="3"/>
  <c r="AG50" i="3"/>
  <c r="AF50" i="3"/>
  <c r="AE50" i="3"/>
  <c r="AD50" i="3"/>
  <c r="AC50" i="3"/>
  <c r="AB50" i="3"/>
  <c r="AA50" i="3"/>
  <c r="Z50" i="3"/>
  <c r="W50" i="3"/>
  <c r="V50" i="3"/>
  <c r="U50" i="3"/>
  <c r="T50" i="3"/>
  <c r="S50" i="3"/>
  <c r="R50" i="3"/>
  <c r="Q50" i="3"/>
  <c r="P50" i="3"/>
  <c r="M50" i="3"/>
  <c r="L50" i="3"/>
  <c r="K50" i="3"/>
  <c r="J50" i="3"/>
  <c r="I50" i="3"/>
  <c r="H50" i="3"/>
  <c r="E50" i="3"/>
  <c r="D50" i="3"/>
  <c r="C50" i="3"/>
  <c r="A50" i="3"/>
  <c r="AG49" i="3"/>
  <c r="AF49" i="3"/>
  <c r="AE49" i="3"/>
  <c r="AD49" i="3"/>
  <c r="AC49" i="3"/>
  <c r="AB49" i="3"/>
  <c r="AA49" i="3"/>
  <c r="Z49" i="3"/>
  <c r="W49" i="3"/>
  <c r="V49" i="3"/>
  <c r="U49" i="3"/>
  <c r="T49" i="3"/>
  <c r="S49" i="3"/>
  <c r="R49" i="3"/>
  <c r="Q49" i="3"/>
  <c r="P49" i="3"/>
  <c r="M49" i="3"/>
  <c r="L49" i="3"/>
  <c r="K49" i="3"/>
  <c r="J49" i="3"/>
  <c r="I49" i="3"/>
  <c r="H49" i="3"/>
  <c r="E49" i="3"/>
  <c r="D49" i="3"/>
  <c r="C49" i="3"/>
  <c r="A49" i="3"/>
  <c r="AG48" i="3"/>
  <c r="AF48" i="3"/>
  <c r="AE48" i="3"/>
  <c r="AD48" i="3"/>
  <c r="AC48" i="3"/>
  <c r="AB48" i="3"/>
  <c r="AA48" i="3"/>
  <c r="Z48" i="3"/>
  <c r="W48" i="3"/>
  <c r="V48" i="3"/>
  <c r="U48" i="3"/>
  <c r="T48" i="3"/>
  <c r="S48" i="3"/>
  <c r="R48" i="3"/>
  <c r="Q48" i="3"/>
  <c r="P48" i="3"/>
  <c r="M48" i="3"/>
  <c r="L48" i="3"/>
  <c r="K48" i="3"/>
  <c r="J48" i="3"/>
  <c r="I48" i="3"/>
  <c r="H48" i="3"/>
  <c r="E48" i="3"/>
  <c r="D48" i="3"/>
  <c r="C48" i="3"/>
  <c r="A48" i="3"/>
  <c r="AG47" i="3"/>
  <c r="AF47" i="3"/>
  <c r="AE47" i="3"/>
  <c r="AD47" i="3"/>
  <c r="AC47" i="3"/>
  <c r="AB47" i="3"/>
  <c r="AA47" i="3"/>
  <c r="Z47" i="3"/>
  <c r="W47" i="3"/>
  <c r="V47" i="3"/>
  <c r="U47" i="3"/>
  <c r="T47" i="3"/>
  <c r="S47" i="3"/>
  <c r="R47" i="3"/>
  <c r="Q47" i="3"/>
  <c r="P47" i="3"/>
  <c r="M47" i="3"/>
  <c r="L47" i="3"/>
  <c r="K47" i="3"/>
  <c r="J47" i="3"/>
  <c r="I47" i="3"/>
  <c r="H47" i="3"/>
  <c r="E47" i="3"/>
  <c r="D47" i="3"/>
  <c r="C47" i="3"/>
  <c r="A47" i="3"/>
  <c r="AG46" i="3"/>
  <c r="AF46" i="3"/>
  <c r="AE46" i="3"/>
  <c r="AD46" i="3"/>
  <c r="AC46" i="3"/>
  <c r="AB46" i="3"/>
  <c r="AA46" i="3"/>
  <c r="Z46" i="3"/>
  <c r="W46" i="3"/>
  <c r="V46" i="3"/>
  <c r="U46" i="3"/>
  <c r="T46" i="3"/>
  <c r="S46" i="3"/>
  <c r="R46" i="3"/>
  <c r="Q46" i="3"/>
  <c r="P46" i="3"/>
  <c r="M46" i="3"/>
  <c r="L46" i="3"/>
  <c r="K46" i="3"/>
  <c r="J46" i="3"/>
  <c r="I46" i="3"/>
  <c r="H46" i="3"/>
  <c r="E46" i="3"/>
  <c r="D46" i="3"/>
  <c r="C46" i="3"/>
  <c r="A46" i="3"/>
  <c r="AG45" i="3"/>
  <c r="AF45" i="3"/>
  <c r="AE45" i="3"/>
  <c r="AD45" i="3"/>
  <c r="AC45" i="3"/>
  <c r="AB45" i="3"/>
  <c r="AA45" i="3"/>
  <c r="Z45" i="3"/>
  <c r="W45" i="3"/>
  <c r="V45" i="3"/>
  <c r="U45" i="3"/>
  <c r="T45" i="3"/>
  <c r="S45" i="3"/>
  <c r="R45" i="3"/>
  <c r="Q45" i="3"/>
  <c r="P45" i="3"/>
  <c r="M45" i="3"/>
  <c r="L45" i="3"/>
  <c r="K45" i="3"/>
  <c r="J45" i="3"/>
  <c r="I45" i="3"/>
  <c r="H45" i="3"/>
  <c r="E45" i="3"/>
  <c r="D45" i="3"/>
  <c r="C45" i="3"/>
  <c r="A45" i="3"/>
  <c r="AG44" i="3"/>
  <c r="AF44" i="3"/>
  <c r="AE44" i="3"/>
  <c r="AD44" i="3"/>
  <c r="AC44" i="3"/>
  <c r="AB44" i="3"/>
  <c r="AA44" i="3"/>
  <c r="Z44" i="3"/>
  <c r="W44" i="3"/>
  <c r="V44" i="3"/>
  <c r="U44" i="3"/>
  <c r="T44" i="3"/>
  <c r="S44" i="3"/>
  <c r="R44" i="3"/>
  <c r="Q44" i="3"/>
  <c r="P44" i="3"/>
  <c r="M44" i="3"/>
  <c r="L44" i="3"/>
  <c r="K44" i="3"/>
  <c r="J44" i="3"/>
  <c r="I44" i="3"/>
  <c r="H44" i="3"/>
  <c r="E44" i="3"/>
  <c r="D44" i="3"/>
  <c r="C44" i="3"/>
  <c r="A44" i="3"/>
  <c r="AG43" i="3"/>
  <c r="AF43" i="3"/>
  <c r="AE43" i="3"/>
  <c r="AD43" i="3"/>
  <c r="AC43" i="3"/>
  <c r="AB43" i="3"/>
  <c r="AA43" i="3"/>
  <c r="Z43" i="3"/>
  <c r="W43" i="3"/>
  <c r="V43" i="3"/>
  <c r="U43" i="3"/>
  <c r="T43" i="3"/>
  <c r="S43" i="3"/>
  <c r="R43" i="3"/>
  <c r="Q43" i="3"/>
  <c r="P43" i="3"/>
  <c r="M43" i="3"/>
  <c r="L43" i="3"/>
  <c r="K43" i="3"/>
  <c r="J43" i="3"/>
  <c r="I43" i="3"/>
  <c r="H43" i="3"/>
  <c r="E43" i="3"/>
  <c r="D43" i="3"/>
  <c r="C43" i="3"/>
  <c r="A43" i="3"/>
  <c r="AG42" i="3"/>
  <c r="AF42" i="3"/>
  <c r="AE42" i="3"/>
  <c r="AD42" i="3"/>
  <c r="AC42" i="3"/>
  <c r="AB42" i="3"/>
  <c r="AA42" i="3"/>
  <c r="Z42" i="3"/>
  <c r="W42" i="3"/>
  <c r="V42" i="3"/>
  <c r="U42" i="3"/>
  <c r="T42" i="3"/>
  <c r="S42" i="3"/>
  <c r="R42" i="3"/>
  <c r="Q42" i="3"/>
  <c r="P42" i="3"/>
  <c r="M42" i="3"/>
  <c r="L42" i="3"/>
  <c r="K42" i="3"/>
  <c r="J42" i="3"/>
  <c r="I42" i="3"/>
  <c r="H42" i="3"/>
  <c r="E42" i="3"/>
  <c r="D42" i="3"/>
  <c r="C42" i="3"/>
  <c r="A42" i="3"/>
  <c r="AG41" i="3"/>
  <c r="AF41" i="3"/>
  <c r="AE41" i="3"/>
  <c r="AD41" i="3"/>
  <c r="AC41" i="3"/>
  <c r="AB41" i="3"/>
  <c r="AA41" i="3"/>
  <c r="Z41" i="3"/>
  <c r="W41" i="3"/>
  <c r="V41" i="3"/>
  <c r="U41" i="3"/>
  <c r="T41" i="3"/>
  <c r="S41" i="3"/>
  <c r="R41" i="3"/>
  <c r="Q41" i="3"/>
  <c r="P41" i="3"/>
  <c r="M41" i="3"/>
  <c r="L41" i="3"/>
  <c r="K41" i="3"/>
  <c r="J41" i="3"/>
  <c r="I41" i="3"/>
  <c r="H41" i="3"/>
  <c r="E41" i="3"/>
  <c r="D41" i="3"/>
  <c r="C41" i="3"/>
  <c r="A41" i="3"/>
  <c r="AG40" i="3"/>
  <c r="AF40" i="3"/>
  <c r="AE40" i="3"/>
  <c r="AD40" i="3"/>
  <c r="AC40" i="3"/>
  <c r="AB40" i="3"/>
  <c r="AA40" i="3"/>
  <c r="Z40" i="3"/>
  <c r="W40" i="3"/>
  <c r="V40" i="3"/>
  <c r="U40" i="3"/>
  <c r="T40" i="3"/>
  <c r="S40" i="3"/>
  <c r="R40" i="3"/>
  <c r="Q40" i="3"/>
  <c r="P40" i="3"/>
  <c r="M40" i="3"/>
  <c r="L40" i="3"/>
  <c r="K40" i="3"/>
  <c r="J40" i="3"/>
  <c r="I40" i="3"/>
  <c r="H40" i="3"/>
  <c r="E40" i="3"/>
  <c r="D40" i="3"/>
  <c r="C40" i="3"/>
  <c r="A40" i="3"/>
  <c r="AG39" i="3"/>
  <c r="AF39" i="3"/>
  <c r="AE39" i="3"/>
  <c r="AD39" i="3"/>
  <c r="AC39" i="3"/>
  <c r="AB39" i="3"/>
  <c r="AA39" i="3"/>
  <c r="Z39" i="3"/>
  <c r="W39" i="3"/>
  <c r="V39" i="3"/>
  <c r="U39" i="3"/>
  <c r="T39" i="3"/>
  <c r="S39" i="3"/>
  <c r="R39" i="3"/>
  <c r="Q39" i="3"/>
  <c r="P39" i="3"/>
  <c r="M39" i="3"/>
  <c r="L39" i="3"/>
  <c r="K39" i="3"/>
  <c r="J39" i="3"/>
  <c r="I39" i="3"/>
  <c r="H39" i="3"/>
  <c r="E39" i="3"/>
  <c r="D39" i="3"/>
  <c r="C39" i="3"/>
  <c r="A39" i="3"/>
  <c r="AG38" i="3"/>
  <c r="AF38" i="3"/>
  <c r="AE38" i="3"/>
  <c r="AD38" i="3"/>
  <c r="AC38" i="3"/>
  <c r="AB38" i="3"/>
  <c r="AA38" i="3"/>
  <c r="Z38" i="3"/>
  <c r="W38" i="3"/>
  <c r="V38" i="3"/>
  <c r="U38" i="3"/>
  <c r="T38" i="3"/>
  <c r="S38" i="3"/>
  <c r="R38" i="3"/>
  <c r="Q38" i="3"/>
  <c r="P38" i="3"/>
  <c r="M38" i="3"/>
  <c r="L38" i="3"/>
  <c r="K38" i="3"/>
  <c r="J38" i="3"/>
  <c r="I38" i="3"/>
  <c r="H38" i="3"/>
  <c r="E38" i="3"/>
  <c r="D38" i="3"/>
  <c r="C38" i="3"/>
  <c r="A38" i="3"/>
  <c r="AG37" i="3"/>
  <c r="AF37" i="3"/>
  <c r="AE37" i="3"/>
  <c r="AD37" i="3"/>
  <c r="AC37" i="3"/>
  <c r="AB37" i="3"/>
  <c r="AA37" i="3"/>
  <c r="Z37" i="3"/>
  <c r="W37" i="3"/>
  <c r="V37" i="3"/>
  <c r="U37" i="3"/>
  <c r="T37" i="3"/>
  <c r="S37" i="3"/>
  <c r="R37" i="3"/>
  <c r="Q37" i="3"/>
  <c r="P37" i="3"/>
  <c r="M37" i="3"/>
  <c r="L37" i="3"/>
  <c r="K37" i="3"/>
  <c r="J37" i="3"/>
  <c r="I37" i="3"/>
  <c r="H37" i="3"/>
  <c r="E37" i="3"/>
  <c r="D37" i="3"/>
  <c r="C37" i="3"/>
  <c r="A37" i="3"/>
  <c r="AG36" i="3"/>
  <c r="AF36" i="3"/>
  <c r="AE36" i="3"/>
  <c r="AD36" i="3"/>
  <c r="AC36" i="3"/>
  <c r="AB36" i="3"/>
  <c r="AA36" i="3"/>
  <c r="Z36" i="3"/>
  <c r="W36" i="3"/>
  <c r="V36" i="3"/>
  <c r="U36" i="3"/>
  <c r="T36" i="3"/>
  <c r="S36" i="3"/>
  <c r="R36" i="3"/>
  <c r="Q36" i="3"/>
  <c r="P36" i="3"/>
  <c r="M36" i="3"/>
  <c r="L36" i="3"/>
  <c r="K36" i="3"/>
  <c r="J36" i="3"/>
  <c r="I36" i="3"/>
  <c r="H36" i="3"/>
  <c r="E36" i="3"/>
  <c r="D36" i="3"/>
  <c r="C36" i="3"/>
  <c r="A36" i="3"/>
  <c r="AG35" i="3"/>
  <c r="AF35" i="3"/>
  <c r="AE35" i="3"/>
  <c r="AD35" i="3"/>
  <c r="AC35" i="3"/>
  <c r="AB35" i="3"/>
  <c r="AA35" i="3"/>
  <c r="Z35" i="3"/>
  <c r="W35" i="3"/>
  <c r="V35" i="3"/>
  <c r="U35" i="3"/>
  <c r="T35" i="3"/>
  <c r="S35" i="3"/>
  <c r="R35" i="3"/>
  <c r="Q35" i="3"/>
  <c r="P35" i="3"/>
  <c r="M35" i="3"/>
  <c r="L35" i="3"/>
  <c r="K35" i="3"/>
  <c r="J35" i="3"/>
  <c r="I35" i="3"/>
  <c r="H35" i="3"/>
  <c r="E35" i="3"/>
  <c r="D35" i="3"/>
  <c r="C35" i="3"/>
  <c r="A35" i="3"/>
  <c r="AG34" i="3"/>
  <c r="AF34" i="3"/>
  <c r="AE34" i="3"/>
  <c r="AD34" i="3"/>
  <c r="AC34" i="3"/>
  <c r="AB34" i="3"/>
  <c r="AA34" i="3"/>
  <c r="Z34" i="3"/>
  <c r="W34" i="3"/>
  <c r="V34" i="3"/>
  <c r="U34" i="3"/>
  <c r="T34" i="3"/>
  <c r="S34" i="3"/>
  <c r="R34" i="3"/>
  <c r="Q34" i="3"/>
  <c r="P34" i="3"/>
  <c r="M34" i="3"/>
  <c r="L34" i="3"/>
  <c r="K34" i="3"/>
  <c r="J34" i="3"/>
  <c r="I34" i="3"/>
  <c r="H34" i="3"/>
  <c r="E34" i="3"/>
  <c r="D34" i="3"/>
  <c r="C34" i="3"/>
  <c r="A34" i="3"/>
  <c r="AG33" i="3"/>
  <c r="AF33" i="3"/>
  <c r="AE33" i="3"/>
  <c r="AD33" i="3"/>
  <c r="AC33" i="3"/>
  <c r="AB33" i="3"/>
  <c r="AA33" i="3"/>
  <c r="Z33" i="3"/>
  <c r="W33" i="3"/>
  <c r="V33" i="3"/>
  <c r="U33" i="3"/>
  <c r="T33" i="3"/>
  <c r="S33" i="3"/>
  <c r="R33" i="3"/>
  <c r="Q33" i="3"/>
  <c r="P33" i="3"/>
  <c r="M33" i="3"/>
  <c r="L33" i="3"/>
  <c r="K33" i="3"/>
  <c r="J33" i="3"/>
  <c r="I33" i="3"/>
  <c r="H33" i="3"/>
  <c r="E33" i="3"/>
  <c r="D33" i="3"/>
  <c r="C33" i="3"/>
  <c r="A33" i="3"/>
  <c r="AG32" i="3"/>
  <c r="AF32" i="3"/>
  <c r="AE32" i="3"/>
  <c r="AD32" i="3"/>
  <c r="AC32" i="3"/>
  <c r="AB32" i="3"/>
  <c r="AA32" i="3"/>
  <c r="Z32" i="3"/>
  <c r="W32" i="3"/>
  <c r="V32" i="3"/>
  <c r="U32" i="3"/>
  <c r="T32" i="3"/>
  <c r="S32" i="3"/>
  <c r="R32" i="3"/>
  <c r="Q32" i="3"/>
  <c r="P32" i="3"/>
  <c r="M32" i="3"/>
  <c r="L32" i="3"/>
  <c r="K32" i="3"/>
  <c r="J32" i="3"/>
  <c r="I32" i="3"/>
  <c r="H32" i="3"/>
  <c r="E32" i="3"/>
  <c r="D32" i="3"/>
  <c r="C32" i="3"/>
  <c r="A32" i="3"/>
  <c r="AG31" i="3"/>
  <c r="AF31" i="3"/>
  <c r="AE31" i="3"/>
  <c r="AD31" i="3"/>
  <c r="AC31" i="3"/>
  <c r="AB31" i="3"/>
  <c r="AA31" i="3"/>
  <c r="Z31" i="3"/>
  <c r="W31" i="3"/>
  <c r="V31" i="3"/>
  <c r="U31" i="3"/>
  <c r="T31" i="3"/>
  <c r="S31" i="3"/>
  <c r="R31" i="3"/>
  <c r="Q31" i="3"/>
  <c r="P31" i="3"/>
  <c r="M31" i="3"/>
  <c r="L31" i="3"/>
  <c r="K31" i="3"/>
  <c r="J31" i="3"/>
  <c r="I31" i="3"/>
  <c r="H31" i="3"/>
  <c r="E31" i="3"/>
  <c r="D31" i="3"/>
  <c r="C31" i="3"/>
  <c r="A31" i="3"/>
  <c r="AG30" i="3"/>
  <c r="AF30" i="3"/>
  <c r="AE30" i="3"/>
  <c r="AD30" i="3"/>
  <c r="AC30" i="3"/>
  <c r="AB30" i="3"/>
  <c r="AA30" i="3"/>
  <c r="Z30" i="3"/>
  <c r="W30" i="3"/>
  <c r="V30" i="3"/>
  <c r="U30" i="3"/>
  <c r="T30" i="3"/>
  <c r="S30" i="3"/>
  <c r="R30" i="3"/>
  <c r="Q30" i="3"/>
  <c r="P30" i="3"/>
  <c r="M30" i="3"/>
  <c r="L30" i="3"/>
  <c r="K30" i="3"/>
  <c r="J30" i="3"/>
  <c r="I30" i="3"/>
  <c r="H30" i="3"/>
  <c r="E30" i="3"/>
  <c r="D30" i="3"/>
  <c r="C30" i="3"/>
  <c r="A30" i="3"/>
  <c r="AG29" i="3"/>
  <c r="AF29" i="3"/>
  <c r="AE29" i="3"/>
  <c r="AD29" i="3"/>
  <c r="AC29" i="3"/>
  <c r="AB29" i="3"/>
  <c r="AA29" i="3"/>
  <c r="Z29" i="3"/>
  <c r="W29" i="3"/>
  <c r="V29" i="3"/>
  <c r="U29" i="3"/>
  <c r="T29" i="3"/>
  <c r="S29" i="3"/>
  <c r="R29" i="3"/>
  <c r="Q29" i="3"/>
  <c r="P29" i="3"/>
  <c r="M29" i="3"/>
  <c r="L29" i="3"/>
  <c r="K29" i="3"/>
  <c r="J29" i="3"/>
  <c r="I29" i="3"/>
  <c r="H29" i="3"/>
  <c r="E29" i="3"/>
  <c r="D29" i="3"/>
  <c r="C29" i="3"/>
  <c r="A29" i="3"/>
  <c r="AG28" i="3"/>
  <c r="AF28" i="3"/>
  <c r="AE28" i="3"/>
  <c r="AD28" i="3"/>
  <c r="AC28" i="3"/>
  <c r="AB28" i="3"/>
  <c r="AA28" i="3"/>
  <c r="Z28" i="3"/>
  <c r="W28" i="3"/>
  <c r="V28" i="3"/>
  <c r="U28" i="3"/>
  <c r="T28" i="3"/>
  <c r="S28" i="3"/>
  <c r="R28" i="3"/>
  <c r="Q28" i="3"/>
  <c r="P28" i="3"/>
  <c r="M28" i="3"/>
  <c r="L28" i="3"/>
  <c r="K28" i="3"/>
  <c r="J28" i="3"/>
  <c r="I28" i="3"/>
  <c r="H28" i="3"/>
  <c r="E28" i="3"/>
  <c r="D28" i="3"/>
  <c r="C28" i="3"/>
  <c r="A28" i="3"/>
  <c r="AG27" i="3"/>
  <c r="AF27" i="3"/>
  <c r="AE27" i="3"/>
  <c r="AD27" i="3"/>
  <c r="AC27" i="3"/>
  <c r="AB27" i="3"/>
  <c r="AA27" i="3"/>
  <c r="Z27" i="3"/>
  <c r="W27" i="3"/>
  <c r="V27" i="3"/>
  <c r="U27" i="3"/>
  <c r="T27" i="3"/>
  <c r="S27" i="3"/>
  <c r="R27" i="3"/>
  <c r="Q27" i="3"/>
  <c r="P27" i="3"/>
  <c r="M27" i="3"/>
  <c r="L27" i="3"/>
  <c r="K27" i="3"/>
  <c r="J27" i="3"/>
  <c r="I27" i="3"/>
  <c r="H27" i="3"/>
  <c r="E27" i="3"/>
  <c r="D27" i="3"/>
  <c r="C27" i="3"/>
  <c r="A27" i="3"/>
  <c r="AG26" i="3"/>
  <c r="AF26" i="3"/>
  <c r="AE26" i="3"/>
  <c r="AD26" i="3"/>
  <c r="AC26" i="3"/>
  <c r="AB26" i="3"/>
  <c r="AA26" i="3"/>
  <c r="Z26" i="3"/>
  <c r="W26" i="3"/>
  <c r="V26" i="3"/>
  <c r="U26" i="3"/>
  <c r="T26" i="3"/>
  <c r="S26" i="3"/>
  <c r="R26" i="3"/>
  <c r="Q26" i="3"/>
  <c r="P26" i="3"/>
  <c r="M26" i="3"/>
  <c r="L26" i="3"/>
  <c r="K26" i="3"/>
  <c r="J26" i="3"/>
  <c r="I26" i="3"/>
  <c r="H26" i="3"/>
  <c r="E26" i="3"/>
  <c r="D26" i="3"/>
  <c r="C26" i="3"/>
  <c r="A26" i="3"/>
  <c r="AG25" i="3"/>
  <c r="AF25" i="3"/>
  <c r="AE25" i="3"/>
  <c r="AD25" i="3"/>
  <c r="AC25" i="3"/>
  <c r="AB25" i="3"/>
  <c r="AA25" i="3"/>
  <c r="Z25" i="3"/>
  <c r="W25" i="3"/>
  <c r="V25" i="3"/>
  <c r="U25" i="3"/>
  <c r="T25" i="3"/>
  <c r="S25" i="3"/>
  <c r="R25" i="3"/>
  <c r="Q25" i="3"/>
  <c r="P25" i="3"/>
  <c r="M25" i="3"/>
  <c r="L25" i="3"/>
  <c r="K25" i="3"/>
  <c r="J25" i="3"/>
  <c r="I25" i="3"/>
  <c r="H25" i="3"/>
  <c r="E25" i="3"/>
  <c r="D25" i="3"/>
  <c r="C25" i="3"/>
  <c r="A25" i="3"/>
  <c r="AG24" i="3"/>
  <c r="AF24" i="3"/>
  <c r="AE24" i="3"/>
  <c r="AD24" i="3"/>
  <c r="AC24" i="3"/>
  <c r="AB24" i="3"/>
  <c r="AA24" i="3"/>
  <c r="Z24" i="3"/>
  <c r="W24" i="3"/>
  <c r="V24" i="3"/>
  <c r="U24" i="3"/>
  <c r="T24" i="3"/>
  <c r="S24" i="3"/>
  <c r="R24" i="3"/>
  <c r="Q24" i="3"/>
  <c r="P24" i="3"/>
  <c r="M24" i="3"/>
  <c r="L24" i="3"/>
  <c r="K24" i="3"/>
  <c r="J24" i="3"/>
  <c r="I24" i="3"/>
  <c r="H24" i="3"/>
  <c r="E24" i="3"/>
  <c r="D24" i="3"/>
  <c r="C24" i="3"/>
  <c r="A24" i="3"/>
  <c r="AG23" i="3"/>
  <c r="AF23" i="3"/>
  <c r="AE23" i="3"/>
  <c r="AD23" i="3"/>
  <c r="AC23" i="3"/>
  <c r="AB23" i="3"/>
  <c r="AA23" i="3"/>
  <c r="Z23" i="3"/>
  <c r="W23" i="3"/>
  <c r="V23" i="3"/>
  <c r="U23" i="3"/>
  <c r="T23" i="3"/>
  <c r="S23" i="3"/>
  <c r="R23" i="3"/>
  <c r="Q23" i="3"/>
  <c r="P23" i="3"/>
  <c r="M23" i="3"/>
  <c r="L23" i="3"/>
  <c r="K23" i="3"/>
  <c r="J23" i="3"/>
  <c r="I23" i="3"/>
  <c r="H23" i="3"/>
  <c r="E23" i="3"/>
  <c r="D23" i="3"/>
  <c r="C23" i="3"/>
  <c r="A23" i="3"/>
  <c r="AG22" i="3"/>
  <c r="AF22" i="3"/>
  <c r="AE22" i="3"/>
  <c r="AD22" i="3"/>
  <c r="AC22" i="3"/>
  <c r="AB22" i="3"/>
  <c r="AA22" i="3"/>
  <c r="Z22" i="3"/>
  <c r="W22" i="3"/>
  <c r="V22" i="3"/>
  <c r="U22" i="3"/>
  <c r="T22" i="3"/>
  <c r="S22" i="3"/>
  <c r="R22" i="3"/>
  <c r="Q22" i="3"/>
  <c r="P22" i="3"/>
  <c r="M22" i="3"/>
  <c r="L22" i="3"/>
  <c r="K22" i="3"/>
  <c r="J22" i="3"/>
  <c r="I22" i="3"/>
  <c r="H22" i="3"/>
  <c r="E22" i="3"/>
  <c r="D22" i="3"/>
  <c r="C22" i="3"/>
  <c r="A22" i="3"/>
  <c r="AG21" i="3"/>
  <c r="AF21" i="3"/>
  <c r="AE21" i="3"/>
  <c r="AD21" i="3"/>
  <c r="AC21" i="3"/>
  <c r="AB21" i="3"/>
  <c r="AA21" i="3"/>
  <c r="Z21" i="3"/>
  <c r="W21" i="3"/>
  <c r="V21" i="3"/>
  <c r="U21" i="3"/>
  <c r="T21" i="3"/>
  <c r="S21" i="3"/>
  <c r="R21" i="3"/>
  <c r="Q21" i="3"/>
  <c r="P21" i="3"/>
  <c r="M21" i="3"/>
  <c r="L21" i="3"/>
  <c r="K21" i="3"/>
  <c r="J21" i="3"/>
  <c r="I21" i="3"/>
  <c r="H21" i="3"/>
  <c r="E21" i="3"/>
  <c r="D21" i="3"/>
  <c r="C21" i="3"/>
  <c r="A21" i="3"/>
  <c r="AG20" i="3"/>
  <c r="AF20" i="3"/>
  <c r="AE20" i="3"/>
  <c r="AD20" i="3"/>
  <c r="AC20" i="3"/>
  <c r="AB20" i="3"/>
  <c r="AA20" i="3"/>
  <c r="Z20" i="3"/>
  <c r="W20" i="3"/>
  <c r="V20" i="3"/>
  <c r="U20" i="3"/>
  <c r="T20" i="3"/>
  <c r="S20" i="3"/>
  <c r="R20" i="3"/>
  <c r="Q20" i="3"/>
  <c r="P20" i="3"/>
  <c r="M20" i="3"/>
  <c r="L20" i="3"/>
  <c r="K20" i="3"/>
  <c r="J20" i="3"/>
  <c r="I20" i="3"/>
  <c r="H20" i="3"/>
  <c r="E20" i="3"/>
  <c r="D20" i="3"/>
  <c r="C20" i="3"/>
  <c r="A20" i="3"/>
  <c r="AG19" i="3"/>
  <c r="AF19" i="3"/>
  <c r="AE19" i="3"/>
  <c r="AD19" i="3"/>
  <c r="AC19" i="3"/>
  <c r="AB19" i="3"/>
  <c r="AA19" i="3"/>
  <c r="Z19" i="3"/>
  <c r="W19" i="3"/>
  <c r="V19" i="3"/>
  <c r="U19" i="3"/>
  <c r="T19" i="3"/>
  <c r="S19" i="3"/>
  <c r="R19" i="3"/>
  <c r="Q19" i="3"/>
  <c r="P19" i="3"/>
  <c r="M19" i="3"/>
  <c r="L19" i="3"/>
  <c r="K19" i="3"/>
  <c r="J19" i="3"/>
  <c r="I19" i="3"/>
  <c r="H19" i="3"/>
  <c r="E19" i="3"/>
  <c r="D19" i="3"/>
  <c r="C19" i="3"/>
  <c r="A19" i="3"/>
  <c r="AG18" i="3"/>
  <c r="AF18" i="3"/>
  <c r="AE18" i="3"/>
  <c r="AD18" i="3"/>
  <c r="AC18" i="3"/>
  <c r="AB18" i="3"/>
  <c r="AA18" i="3"/>
  <c r="Z18" i="3"/>
  <c r="W18" i="3"/>
  <c r="V18" i="3"/>
  <c r="U18" i="3"/>
  <c r="T18" i="3"/>
  <c r="S18" i="3"/>
  <c r="R18" i="3"/>
  <c r="Q18" i="3"/>
  <c r="P18" i="3"/>
  <c r="M18" i="3"/>
  <c r="L18" i="3"/>
  <c r="K18" i="3"/>
  <c r="J18" i="3"/>
  <c r="I18" i="3"/>
  <c r="H18" i="3"/>
  <c r="E18" i="3"/>
  <c r="D18" i="3"/>
  <c r="C18" i="3"/>
  <c r="A18" i="3"/>
  <c r="AG17" i="3"/>
  <c r="AF17" i="3"/>
  <c r="AE17" i="3"/>
  <c r="AD17" i="3"/>
  <c r="AC17" i="3"/>
  <c r="AB17" i="3"/>
  <c r="AA17" i="3"/>
  <c r="Z17" i="3"/>
  <c r="W17" i="3"/>
  <c r="V17" i="3"/>
  <c r="U17" i="3"/>
  <c r="T17" i="3"/>
  <c r="S17" i="3"/>
  <c r="R17" i="3"/>
  <c r="Q17" i="3"/>
  <c r="P17" i="3"/>
  <c r="M17" i="3"/>
  <c r="L17" i="3"/>
  <c r="K17" i="3"/>
  <c r="J17" i="3"/>
  <c r="I17" i="3"/>
  <c r="H17" i="3"/>
  <c r="E17" i="3"/>
  <c r="D17" i="3"/>
  <c r="C17" i="3"/>
  <c r="A17" i="3"/>
  <c r="AG16" i="3"/>
  <c r="AF16" i="3"/>
  <c r="AE16" i="3"/>
  <c r="AD16" i="3"/>
  <c r="AC16" i="3"/>
  <c r="AB16" i="3"/>
  <c r="AA16" i="3"/>
  <c r="Z16" i="3"/>
  <c r="AH16" i="3" s="1"/>
  <c r="AI16" i="3" s="1"/>
  <c r="W16" i="3"/>
  <c r="V16" i="3"/>
  <c r="U16" i="3"/>
  <c r="T16" i="3"/>
  <c r="S16" i="3"/>
  <c r="R16" i="3"/>
  <c r="Q16" i="3"/>
  <c r="P16" i="3"/>
  <c r="X16" i="3" s="1"/>
  <c r="Y16" i="3" s="1"/>
  <c r="M16" i="3"/>
  <c r="L16" i="3"/>
  <c r="K16" i="3"/>
  <c r="J16" i="3"/>
  <c r="I16" i="3"/>
  <c r="H16" i="3"/>
  <c r="N16" i="3" s="1"/>
  <c r="E16" i="3"/>
  <c r="D16" i="3"/>
  <c r="C16" i="3"/>
  <c r="F16" i="3" s="1"/>
  <c r="G16" i="3" s="1"/>
  <c r="A16" i="3"/>
  <c r="AG15" i="3"/>
  <c r="AF15" i="3"/>
  <c r="AE15" i="3"/>
  <c r="AD15" i="3"/>
  <c r="AC15" i="3"/>
  <c r="AB15" i="3"/>
  <c r="AA15" i="3"/>
  <c r="Z15" i="3"/>
  <c r="AH15" i="3" s="1"/>
  <c r="AI15" i="3" s="1"/>
  <c r="W15" i="3"/>
  <c r="V15" i="3"/>
  <c r="U15" i="3"/>
  <c r="T15" i="3"/>
  <c r="S15" i="3"/>
  <c r="R15" i="3"/>
  <c r="Q15" i="3"/>
  <c r="P15" i="3"/>
  <c r="X15" i="3" s="1"/>
  <c r="Y15" i="3" s="1"/>
  <c r="M15" i="3"/>
  <c r="L15" i="3"/>
  <c r="K15" i="3"/>
  <c r="J15" i="3"/>
  <c r="I15" i="3"/>
  <c r="H15" i="3"/>
  <c r="N15" i="3" s="1"/>
  <c r="E15" i="3"/>
  <c r="D15" i="3"/>
  <c r="C15" i="3"/>
  <c r="F15" i="3" s="1"/>
  <c r="G15" i="3" s="1"/>
  <c r="A15" i="3"/>
  <c r="AG14" i="3"/>
  <c r="AF14" i="3"/>
  <c r="AE14" i="3"/>
  <c r="AD14" i="3"/>
  <c r="AC14" i="3"/>
  <c r="AB14" i="3"/>
  <c r="AA14" i="3"/>
  <c r="Z14" i="3"/>
  <c r="AH14" i="3" s="1"/>
  <c r="AI14" i="3" s="1"/>
  <c r="W14" i="3"/>
  <c r="V14" i="3"/>
  <c r="U14" i="3"/>
  <c r="T14" i="3"/>
  <c r="S14" i="3"/>
  <c r="R14" i="3"/>
  <c r="Q14" i="3"/>
  <c r="P14" i="3"/>
  <c r="X14" i="3" s="1"/>
  <c r="Y14" i="3" s="1"/>
  <c r="M14" i="3"/>
  <c r="L14" i="3"/>
  <c r="K14" i="3"/>
  <c r="J14" i="3"/>
  <c r="I14" i="3"/>
  <c r="H14" i="3"/>
  <c r="N14" i="3" s="1"/>
  <c r="E14" i="3"/>
  <c r="D14" i="3"/>
  <c r="C14" i="3"/>
  <c r="F14" i="3" s="1"/>
  <c r="G14" i="3" s="1"/>
  <c r="A14" i="3"/>
  <c r="AG13" i="3"/>
  <c r="AF13" i="3"/>
  <c r="AE13" i="3"/>
  <c r="AD13" i="3"/>
  <c r="AC13" i="3"/>
  <c r="AB13" i="3"/>
  <c r="AA13" i="3"/>
  <c r="Z13" i="3"/>
  <c r="AH13" i="3" s="1"/>
  <c r="AI13" i="3" s="1"/>
  <c r="W13" i="3"/>
  <c r="V13" i="3"/>
  <c r="U13" i="3"/>
  <c r="T13" i="3"/>
  <c r="S13" i="3"/>
  <c r="R13" i="3"/>
  <c r="Q13" i="3"/>
  <c r="P13" i="3"/>
  <c r="X13" i="3" s="1"/>
  <c r="Y13" i="3" s="1"/>
  <c r="M13" i="3"/>
  <c r="L13" i="3"/>
  <c r="K13" i="3"/>
  <c r="J13" i="3"/>
  <c r="I13" i="3"/>
  <c r="H13" i="3"/>
  <c r="N13" i="3" s="1"/>
  <c r="E13" i="3"/>
  <c r="D13" i="3"/>
  <c r="C13" i="3"/>
  <c r="F13" i="3" s="1"/>
  <c r="G13" i="3" s="1"/>
  <c r="A13" i="3"/>
  <c r="AG12" i="3"/>
  <c r="AF12" i="3"/>
  <c r="AE12" i="3"/>
  <c r="AD12" i="3"/>
  <c r="AC12" i="3"/>
  <c r="AB12" i="3"/>
  <c r="AA12" i="3"/>
  <c r="Z12" i="3"/>
  <c r="AH12" i="3" s="1"/>
  <c r="AI12" i="3" s="1"/>
  <c r="W12" i="3"/>
  <c r="V12" i="3"/>
  <c r="U12" i="3"/>
  <c r="T12" i="3"/>
  <c r="S12" i="3"/>
  <c r="R12" i="3"/>
  <c r="Q12" i="3"/>
  <c r="P12" i="3"/>
  <c r="X12" i="3" s="1"/>
  <c r="Y12" i="3" s="1"/>
  <c r="M12" i="3"/>
  <c r="L12" i="3"/>
  <c r="K12" i="3"/>
  <c r="J12" i="3"/>
  <c r="I12" i="3"/>
  <c r="H12" i="3"/>
  <c r="N12" i="3" s="1"/>
  <c r="E12" i="3"/>
  <c r="D12" i="3"/>
  <c r="C12" i="3"/>
  <c r="F12" i="3" s="1"/>
  <c r="G12" i="3" s="1"/>
  <c r="A12" i="3"/>
  <c r="AG11" i="3"/>
  <c r="AF11" i="3"/>
  <c r="AE11" i="3"/>
  <c r="AD11" i="3"/>
  <c r="AC11" i="3"/>
  <c r="AB11" i="3"/>
  <c r="AA11" i="3"/>
  <c r="Z11" i="3"/>
  <c r="AH11" i="3" s="1"/>
  <c r="AI11" i="3" s="1"/>
  <c r="W11" i="3"/>
  <c r="V11" i="3"/>
  <c r="U11" i="3"/>
  <c r="T11" i="3"/>
  <c r="S11" i="3"/>
  <c r="R11" i="3"/>
  <c r="Q11" i="3"/>
  <c r="P11" i="3"/>
  <c r="X11" i="3" s="1"/>
  <c r="Y11" i="3" s="1"/>
  <c r="M11" i="3"/>
  <c r="L11" i="3"/>
  <c r="K11" i="3"/>
  <c r="J11" i="3"/>
  <c r="I11" i="3"/>
  <c r="H11" i="3"/>
  <c r="N11" i="3" s="1"/>
  <c r="E11" i="3"/>
  <c r="D11" i="3"/>
  <c r="C11" i="3"/>
  <c r="F11" i="3" s="1"/>
  <c r="G11" i="3" s="1"/>
  <c r="A11" i="3"/>
  <c r="AG10" i="3"/>
  <c r="AF10" i="3"/>
  <c r="AE10" i="3"/>
  <c r="AD10" i="3"/>
  <c r="AC10" i="3"/>
  <c r="AB10" i="3"/>
  <c r="AA10" i="3"/>
  <c r="Z10" i="3"/>
  <c r="AH10" i="3" s="1"/>
  <c r="AI10" i="3" s="1"/>
  <c r="W10" i="3"/>
  <c r="V10" i="3"/>
  <c r="U10" i="3"/>
  <c r="T10" i="3"/>
  <c r="S10" i="3"/>
  <c r="R10" i="3"/>
  <c r="Q10" i="3"/>
  <c r="P10" i="3"/>
  <c r="X10" i="3" s="1"/>
  <c r="Y10" i="3" s="1"/>
  <c r="M10" i="3"/>
  <c r="L10" i="3"/>
  <c r="K10" i="3"/>
  <c r="J10" i="3"/>
  <c r="I10" i="3"/>
  <c r="H10" i="3"/>
  <c r="N10" i="3" s="1"/>
  <c r="E10" i="3"/>
  <c r="D10" i="3"/>
  <c r="C10" i="3"/>
  <c r="F10" i="3" s="1"/>
  <c r="G10" i="3" s="1"/>
  <c r="A10" i="3"/>
  <c r="AG9" i="3"/>
  <c r="AF9" i="3"/>
  <c r="AE9" i="3"/>
  <c r="AD9" i="3"/>
  <c r="AC9" i="3"/>
  <c r="AB9" i="3"/>
  <c r="AA9" i="3"/>
  <c r="Z9" i="3"/>
  <c r="AH9" i="3" s="1"/>
  <c r="AI9" i="3" s="1"/>
  <c r="W9" i="3"/>
  <c r="V9" i="3"/>
  <c r="U9" i="3"/>
  <c r="T9" i="3"/>
  <c r="S9" i="3"/>
  <c r="R9" i="3"/>
  <c r="Q9" i="3"/>
  <c r="P9" i="3"/>
  <c r="X9" i="3" s="1"/>
  <c r="Y9" i="3" s="1"/>
  <c r="M9" i="3"/>
  <c r="L9" i="3"/>
  <c r="K9" i="3"/>
  <c r="J9" i="3"/>
  <c r="I9" i="3"/>
  <c r="H9" i="3"/>
  <c r="N9" i="3" s="1"/>
  <c r="E9" i="3"/>
  <c r="D9" i="3"/>
  <c r="C9" i="3"/>
  <c r="F9" i="3" s="1"/>
  <c r="G9" i="3" s="1"/>
  <c r="A9" i="3"/>
  <c r="AG8" i="3"/>
  <c r="AF8" i="3"/>
  <c r="AE8" i="3"/>
  <c r="AD8" i="3"/>
  <c r="AC8" i="3"/>
  <c r="AB8" i="3"/>
  <c r="AA8" i="3"/>
  <c r="Z8" i="3"/>
  <c r="AH8" i="3" s="1"/>
  <c r="AI8" i="3" s="1"/>
  <c r="W8" i="3"/>
  <c r="V8" i="3"/>
  <c r="U8" i="3"/>
  <c r="T8" i="3"/>
  <c r="S8" i="3"/>
  <c r="R8" i="3"/>
  <c r="Q8" i="3"/>
  <c r="P8" i="3"/>
  <c r="X8" i="3" s="1"/>
  <c r="Y8" i="3" s="1"/>
  <c r="M8" i="3"/>
  <c r="L8" i="3"/>
  <c r="K8" i="3"/>
  <c r="J8" i="3"/>
  <c r="I8" i="3"/>
  <c r="H8" i="3"/>
  <c r="N8" i="3" s="1"/>
  <c r="E8" i="3"/>
  <c r="D8" i="3"/>
  <c r="C8" i="3"/>
  <c r="F8" i="3" s="1"/>
  <c r="G8" i="3" s="1"/>
  <c r="A8" i="3"/>
  <c r="AG7" i="3"/>
  <c r="AF7" i="3"/>
  <c r="AE7" i="3"/>
  <c r="AD7" i="3"/>
  <c r="AC7" i="3"/>
  <c r="AB7" i="3"/>
  <c r="AA7" i="3"/>
  <c r="Z7" i="3"/>
  <c r="AH7" i="3" s="1"/>
  <c r="AI7" i="3" s="1"/>
  <c r="W7" i="3"/>
  <c r="V7" i="3"/>
  <c r="U7" i="3"/>
  <c r="T7" i="3"/>
  <c r="S7" i="3"/>
  <c r="R7" i="3"/>
  <c r="Q7" i="3"/>
  <c r="P7" i="3"/>
  <c r="X7" i="3" s="1"/>
  <c r="Y7" i="3" s="1"/>
  <c r="M7" i="3"/>
  <c r="L7" i="3"/>
  <c r="K7" i="3"/>
  <c r="J7" i="3"/>
  <c r="I7" i="3"/>
  <c r="H7" i="3"/>
  <c r="N7" i="3" s="1"/>
  <c r="E7" i="3"/>
  <c r="D7" i="3"/>
  <c r="C7" i="3"/>
  <c r="F7" i="3" s="1"/>
  <c r="G7" i="3" s="1"/>
  <c r="A7" i="3"/>
  <c r="AG6" i="3"/>
  <c r="AF6" i="3"/>
  <c r="AE6" i="3"/>
  <c r="AD6" i="3"/>
  <c r="AC6" i="3"/>
  <c r="AB6" i="3"/>
  <c r="AA6" i="3"/>
  <c r="Z6" i="3"/>
  <c r="AH6" i="3" s="1"/>
  <c r="AI6" i="3" s="1"/>
  <c r="W6" i="3"/>
  <c r="V6" i="3"/>
  <c r="U6" i="3"/>
  <c r="T6" i="3"/>
  <c r="S6" i="3"/>
  <c r="R6" i="3"/>
  <c r="Q6" i="3"/>
  <c r="P6" i="3"/>
  <c r="X6" i="3" s="1"/>
  <c r="Y6" i="3" s="1"/>
  <c r="M6" i="3"/>
  <c r="L6" i="3"/>
  <c r="K6" i="3"/>
  <c r="J6" i="3"/>
  <c r="I6" i="3"/>
  <c r="H6" i="3"/>
  <c r="N6" i="3" s="1"/>
  <c r="E6" i="3"/>
  <c r="D6" i="3"/>
  <c r="C6" i="3"/>
  <c r="F6" i="3" s="1"/>
  <c r="G6" i="3" s="1"/>
  <c r="A6" i="3"/>
  <c r="AG5" i="3"/>
  <c r="AF5" i="3"/>
  <c r="AE5" i="3"/>
  <c r="AD5" i="3"/>
  <c r="AC5" i="3"/>
  <c r="AB5" i="3"/>
  <c r="AA5" i="3"/>
  <c r="Z5" i="3"/>
  <c r="AH5" i="3" s="1"/>
  <c r="AI5" i="3" s="1"/>
  <c r="W5" i="3"/>
  <c r="V5" i="3"/>
  <c r="U5" i="3"/>
  <c r="T5" i="3"/>
  <c r="S5" i="3"/>
  <c r="R5" i="3"/>
  <c r="Q5" i="3"/>
  <c r="P5" i="3"/>
  <c r="X5" i="3" s="1"/>
  <c r="Y5" i="3" s="1"/>
  <c r="M5" i="3"/>
  <c r="L5" i="3"/>
  <c r="K5" i="3"/>
  <c r="J5" i="3"/>
  <c r="I5" i="3"/>
  <c r="H5" i="3"/>
  <c r="N5" i="3" s="1"/>
  <c r="E5" i="3"/>
  <c r="D5" i="3"/>
  <c r="C5" i="3"/>
  <c r="F5" i="3" s="1"/>
  <c r="G5" i="3" s="1"/>
  <c r="A5" i="3"/>
  <c r="AG4" i="3"/>
  <c r="AF4" i="3"/>
  <c r="AE4" i="3"/>
  <c r="AD4" i="3"/>
  <c r="AC4" i="3"/>
  <c r="AB4" i="3"/>
  <c r="AA4" i="3"/>
  <c r="Z4" i="3"/>
  <c r="AH4" i="3" s="1"/>
  <c r="AI4" i="3" s="1"/>
  <c r="W4" i="3"/>
  <c r="V4" i="3"/>
  <c r="U4" i="3"/>
  <c r="T4" i="3"/>
  <c r="S4" i="3"/>
  <c r="R4" i="3"/>
  <c r="Q4" i="3"/>
  <c r="P4" i="3"/>
  <c r="X4" i="3" s="1"/>
  <c r="Y4" i="3" s="1"/>
  <c r="M4" i="3"/>
  <c r="L4" i="3"/>
  <c r="K4" i="3"/>
  <c r="J4" i="3"/>
  <c r="I4" i="3"/>
  <c r="H4" i="3"/>
  <c r="N4" i="3" s="1"/>
  <c r="E4" i="3"/>
  <c r="D4" i="3"/>
  <c r="C4" i="3"/>
  <c r="F4" i="3" s="1"/>
  <c r="G4" i="3" s="1"/>
  <c r="A4" i="3"/>
  <c r="AG3" i="3"/>
  <c r="AF3" i="3"/>
  <c r="AE3" i="3"/>
  <c r="AD3" i="3"/>
  <c r="AC3" i="3"/>
  <c r="AB3" i="3"/>
  <c r="AA3" i="3"/>
  <c r="Z3" i="3"/>
  <c r="AH3" i="3" s="1"/>
  <c r="AI3" i="3" s="1"/>
  <c r="W3" i="3"/>
  <c r="V3" i="3"/>
  <c r="U3" i="3"/>
  <c r="T3" i="3"/>
  <c r="S3" i="3"/>
  <c r="R3" i="3"/>
  <c r="Q3" i="3"/>
  <c r="P3" i="3"/>
  <c r="X3" i="3" s="1"/>
  <c r="Y3" i="3" s="1"/>
  <c r="M3" i="3"/>
  <c r="L3" i="3"/>
  <c r="K3" i="3"/>
  <c r="J3" i="3"/>
  <c r="I3" i="3"/>
  <c r="H3" i="3"/>
  <c r="N3" i="3" s="1"/>
  <c r="E3" i="3"/>
  <c r="D3" i="3"/>
  <c r="C3" i="3"/>
  <c r="F3" i="3" s="1"/>
  <c r="G3" i="3" s="1"/>
  <c r="A3" i="3"/>
  <c r="AG2" i="3"/>
  <c r="AF2" i="3"/>
  <c r="AE2" i="3"/>
  <c r="AD2" i="3"/>
  <c r="AC2" i="3"/>
  <c r="AB2" i="3"/>
  <c r="AA2" i="3"/>
  <c r="Z2" i="3"/>
  <c r="AH2" i="3" s="1"/>
  <c r="AI2" i="3" s="1"/>
  <c r="W2" i="3"/>
  <c r="V2" i="3"/>
  <c r="U2" i="3"/>
  <c r="T2" i="3"/>
  <c r="S2" i="3"/>
  <c r="R2" i="3"/>
  <c r="Q2" i="3"/>
  <c r="P2" i="3"/>
  <c r="X2" i="3" s="1"/>
  <c r="Y2" i="3" s="1"/>
  <c r="M2" i="3"/>
  <c r="L2" i="3"/>
  <c r="K2" i="3"/>
  <c r="J2" i="3"/>
  <c r="I2" i="3"/>
  <c r="H2" i="3"/>
  <c r="N2" i="3" s="1"/>
  <c r="E2" i="3"/>
  <c r="D2" i="3"/>
  <c r="C2" i="3"/>
  <c r="F2" i="3" s="1"/>
  <c r="G2" i="3" s="1"/>
  <c r="A2" i="3"/>
  <c r="C68" i="18"/>
  <c r="B68" i="18"/>
  <c r="A68" i="18"/>
  <c r="C68" i="14"/>
  <c r="B68" i="14"/>
  <c r="A68" i="14"/>
  <c r="C68" i="12"/>
  <c r="B68" i="12"/>
  <c r="A68" i="12"/>
  <c r="E6" i="12"/>
  <c r="B2" i="11"/>
  <c r="B10" i="10"/>
  <c r="B2" i="6"/>
  <c r="CP203" i="1"/>
  <c r="BE203" i="1"/>
  <c r="BD202" i="1"/>
  <c r="R202" i="1" s="1"/>
  <c r="V202" i="1"/>
  <c r="U202" i="1" s="1"/>
  <c r="P202" i="1"/>
  <c r="BD201" i="1"/>
  <c r="R201" i="1" s="1"/>
  <c r="V201" i="1"/>
  <c r="U201" i="1" s="1"/>
  <c r="P201" i="1"/>
  <c r="BD200" i="1"/>
  <c r="R200" i="1" s="1"/>
  <c r="V200" i="1"/>
  <c r="U200" i="1" s="1"/>
  <c r="P200" i="1"/>
  <c r="BD199" i="1"/>
  <c r="R199" i="1" s="1"/>
  <c r="V199" i="1"/>
  <c r="U199" i="1"/>
  <c r="P199" i="1"/>
  <c r="BD198" i="1"/>
  <c r="R198" i="1" s="1"/>
  <c r="V198" i="1"/>
  <c r="U198" i="1" s="1"/>
  <c r="P198" i="1"/>
  <c r="BD197" i="1"/>
  <c r="R197" i="1" s="1"/>
  <c r="V197" i="1"/>
  <c r="U197" i="1" s="1"/>
  <c r="P197" i="1"/>
  <c r="BD196" i="1"/>
  <c r="R196" i="1" s="1"/>
  <c r="V196" i="1"/>
  <c r="U196" i="1" s="1"/>
  <c r="P196" i="1"/>
  <c r="BD195" i="1"/>
  <c r="R195" i="1" s="1"/>
  <c r="V195" i="1"/>
  <c r="U195" i="1" s="1"/>
  <c r="P195" i="1"/>
  <c r="BD194" i="1"/>
  <c r="R194" i="1" s="1"/>
  <c r="V194" i="1"/>
  <c r="U194" i="1" s="1"/>
  <c r="P194" i="1"/>
  <c r="BD193" i="1"/>
  <c r="R193" i="1" s="1"/>
  <c r="V193" i="1"/>
  <c r="U193" i="1" s="1"/>
  <c r="P193" i="1"/>
  <c r="BD192" i="1"/>
  <c r="R192" i="1" s="1"/>
  <c r="V192" i="1"/>
  <c r="U192" i="1" s="1"/>
  <c r="P192" i="1"/>
  <c r="BD191" i="1"/>
  <c r="R191" i="1" s="1"/>
  <c r="V191" i="1"/>
  <c r="U191" i="1" s="1"/>
  <c r="P191" i="1"/>
  <c r="BD190" i="1"/>
  <c r="R190" i="1" s="1"/>
  <c r="V190" i="1"/>
  <c r="U190" i="1" s="1"/>
  <c r="P190" i="1"/>
  <c r="BD189" i="1"/>
  <c r="R189" i="1" s="1"/>
  <c r="V189" i="1"/>
  <c r="U189" i="1" s="1"/>
  <c r="P189" i="1"/>
  <c r="BD188" i="1"/>
  <c r="R188" i="1" s="1"/>
  <c r="V188" i="1"/>
  <c r="U188" i="1" s="1"/>
  <c r="P188" i="1"/>
  <c r="BD187" i="1"/>
  <c r="R187" i="1" s="1"/>
  <c r="V187" i="1"/>
  <c r="U187" i="1" s="1"/>
  <c r="P187" i="1"/>
  <c r="BD186" i="1"/>
  <c r="R186" i="1" s="1"/>
  <c r="V186" i="1"/>
  <c r="U186" i="1" s="1"/>
  <c r="P186" i="1"/>
  <c r="BD185" i="1"/>
  <c r="R185" i="1" s="1"/>
  <c r="V185" i="1"/>
  <c r="U185" i="1" s="1"/>
  <c r="P185" i="1"/>
  <c r="BD184" i="1"/>
  <c r="R184" i="1" s="1"/>
  <c r="V184" i="1"/>
  <c r="U184" i="1" s="1"/>
  <c r="P184" i="1"/>
  <c r="BD183" i="1"/>
  <c r="R183" i="1" s="1"/>
  <c r="V183" i="1"/>
  <c r="U183" i="1" s="1"/>
  <c r="P183" i="1"/>
  <c r="BD182" i="1"/>
  <c r="R182" i="1" s="1"/>
  <c r="V182" i="1"/>
  <c r="U182" i="1" s="1"/>
  <c r="P182" i="1"/>
  <c r="BD181" i="1"/>
  <c r="V181" i="1"/>
  <c r="U181" i="1" s="1"/>
  <c r="R181" i="1"/>
  <c r="P181" i="1"/>
  <c r="BD180" i="1"/>
  <c r="V180" i="1"/>
  <c r="U180" i="1" s="1"/>
  <c r="R180" i="1"/>
  <c r="P180" i="1"/>
  <c r="BD179" i="1"/>
  <c r="R179" i="1" s="1"/>
  <c r="V179" i="1"/>
  <c r="U179" i="1" s="1"/>
  <c r="P179" i="1"/>
  <c r="BD178" i="1"/>
  <c r="R178" i="1" s="1"/>
  <c r="V178" i="1"/>
  <c r="U178" i="1" s="1"/>
  <c r="P178" i="1"/>
  <c r="BD177" i="1"/>
  <c r="R177" i="1" s="1"/>
  <c r="V177" i="1"/>
  <c r="U177" i="1" s="1"/>
  <c r="P177" i="1"/>
  <c r="BD176" i="1"/>
  <c r="R176" i="1" s="1"/>
  <c r="V176" i="1"/>
  <c r="U176" i="1" s="1"/>
  <c r="P176" i="1"/>
  <c r="BD175" i="1"/>
  <c r="R175" i="1" s="1"/>
  <c r="V175" i="1"/>
  <c r="U175" i="1" s="1"/>
  <c r="P175" i="1"/>
  <c r="BD174" i="1"/>
  <c r="R174" i="1" s="1"/>
  <c r="V174" i="1"/>
  <c r="U174" i="1" s="1"/>
  <c r="P174" i="1"/>
  <c r="BD173" i="1"/>
  <c r="R173" i="1" s="1"/>
  <c r="V173" i="1"/>
  <c r="U173" i="1" s="1"/>
  <c r="P173" i="1"/>
  <c r="BD172" i="1"/>
  <c r="R172" i="1" s="1"/>
  <c r="V172" i="1"/>
  <c r="U172" i="1" s="1"/>
  <c r="P172" i="1"/>
  <c r="BD171" i="1"/>
  <c r="R171" i="1" s="1"/>
  <c r="V171" i="1"/>
  <c r="U171" i="1" s="1"/>
  <c r="P171" i="1"/>
  <c r="BD170" i="1"/>
  <c r="R170" i="1" s="1"/>
  <c r="V170" i="1"/>
  <c r="U170" i="1" s="1"/>
  <c r="P170" i="1"/>
  <c r="BD169" i="1"/>
  <c r="R169" i="1" s="1"/>
  <c r="V169" i="1"/>
  <c r="U169" i="1" s="1"/>
  <c r="P169" i="1"/>
  <c r="BD168" i="1"/>
  <c r="R168" i="1" s="1"/>
  <c r="V168" i="1"/>
  <c r="U168" i="1" s="1"/>
  <c r="P168" i="1"/>
  <c r="BD167" i="1"/>
  <c r="R167" i="1" s="1"/>
  <c r="V167" i="1"/>
  <c r="U167" i="1" s="1"/>
  <c r="P167" i="1"/>
  <c r="BD166" i="1"/>
  <c r="R166" i="1" s="1"/>
  <c r="V166" i="1"/>
  <c r="U166" i="1" s="1"/>
  <c r="P166" i="1"/>
  <c r="BD165" i="1"/>
  <c r="R165" i="1" s="1"/>
  <c r="V165" i="1"/>
  <c r="U165" i="1" s="1"/>
  <c r="P165" i="1"/>
  <c r="BD164" i="1"/>
  <c r="R164" i="1" s="1"/>
  <c r="V164" i="1"/>
  <c r="U164" i="1" s="1"/>
  <c r="P164" i="1"/>
  <c r="BD163" i="1"/>
  <c r="R163" i="1" s="1"/>
  <c r="V163" i="1"/>
  <c r="U163" i="1" s="1"/>
  <c r="P163" i="1"/>
  <c r="BD162" i="1"/>
  <c r="R162" i="1" s="1"/>
  <c r="V162" i="1"/>
  <c r="U162" i="1" s="1"/>
  <c r="P162" i="1"/>
  <c r="BD161" i="1"/>
  <c r="R161" i="1" s="1"/>
  <c r="V161" i="1"/>
  <c r="U161" i="1" s="1"/>
  <c r="P161" i="1"/>
  <c r="BD160" i="1"/>
  <c r="R160" i="1" s="1"/>
  <c r="V160" i="1"/>
  <c r="U160" i="1" s="1"/>
  <c r="P160" i="1"/>
  <c r="BD159" i="1"/>
  <c r="R159" i="1" s="1"/>
  <c r="V159" i="1"/>
  <c r="U159" i="1"/>
  <c r="P159" i="1"/>
  <c r="BD158" i="1"/>
  <c r="R158" i="1" s="1"/>
  <c r="V158" i="1"/>
  <c r="U158" i="1"/>
  <c r="P158" i="1"/>
  <c r="BD157" i="1"/>
  <c r="R157" i="1" s="1"/>
  <c r="V157" i="1"/>
  <c r="U157" i="1"/>
  <c r="P157" i="1"/>
  <c r="BD156" i="1"/>
  <c r="R156" i="1" s="1"/>
  <c r="V156" i="1"/>
  <c r="U156" i="1"/>
  <c r="P156" i="1"/>
  <c r="BD155" i="1"/>
  <c r="R155" i="1" s="1"/>
  <c r="V155" i="1"/>
  <c r="U155" i="1" s="1"/>
  <c r="P155" i="1"/>
  <c r="BD154" i="1"/>
  <c r="R154" i="1" s="1"/>
  <c r="V154" i="1"/>
  <c r="U154" i="1" s="1"/>
  <c r="P154" i="1"/>
  <c r="BD153" i="1"/>
  <c r="R153" i="1" s="1"/>
  <c r="V153" i="1"/>
  <c r="U153" i="1" s="1"/>
  <c r="P153" i="1"/>
  <c r="BD152" i="1"/>
  <c r="R152" i="1" s="1"/>
  <c r="V152" i="1"/>
  <c r="U152" i="1" s="1"/>
  <c r="P152" i="1"/>
  <c r="BD151" i="1"/>
  <c r="R151" i="1" s="1"/>
  <c r="V151" i="1"/>
  <c r="U151" i="1"/>
  <c r="P151" i="1"/>
  <c r="BD150" i="1"/>
  <c r="R150" i="1" s="1"/>
  <c r="V150" i="1"/>
  <c r="U150" i="1"/>
  <c r="P150" i="1"/>
  <c r="BD149" i="1"/>
  <c r="R149" i="1" s="1"/>
  <c r="V149" i="1"/>
  <c r="U149" i="1" s="1"/>
  <c r="P149" i="1"/>
  <c r="BD148" i="1"/>
  <c r="R148" i="1" s="1"/>
  <c r="V148" i="1"/>
  <c r="U148" i="1" s="1"/>
  <c r="P148" i="1"/>
  <c r="BD147" i="1"/>
  <c r="R147" i="1" s="1"/>
  <c r="V147" i="1"/>
  <c r="U147" i="1" s="1"/>
  <c r="P147" i="1"/>
  <c r="BD146" i="1"/>
  <c r="R146" i="1" s="1"/>
  <c r="V146" i="1"/>
  <c r="U146" i="1" s="1"/>
  <c r="P146" i="1"/>
  <c r="BD145" i="1"/>
  <c r="R145" i="1" s="1"/>
  <c r="V145" i="1"/>
  <c r="U145" i="1" s="1"/>
  <c r="P145" i="1"/>
  <c r="BD144" i="1"/>
  <c r="R144" i="1" s="1"/>
  <c r="V144" i="1"/>
  <c r="U144" i="1" s="1"/>
  <c r="P144" i="1"/>
  <c r="BD143" i="1"/>
  <c r="R143" i="1" s="1"/>
  <c r="V143" i="1"/>
  <c r="U143" i="1" s="1"/>
  <c r="P143" i="1"/>
  <c r="BD142" i="1"/>
  <c r="R142" i="1" s="1"/>
  <c r="V142" i="1"/>
  <c r="U142" i="1" s="1"/>
  <c r="P142" i="1"/>
  <c r="BD141" i="1"/>
  <c r="R141" i="1" s="1"/>
  <c r="V141" i="1"/>
  <c r="U141" i="1" s="1"/>
  <c r="P141" i="1"/>
  <c r="BD140" i="1"/>
  <c r="R140" i="1" s="1"/>
  <c r="V140" i="1"/>
  <c r="U140" i="1" s="1"/>
  <c r="P140" i="1"/>
  <c r="BD139" i="1"/>
  <c r="R139" i="1" s="1"/>
  <c r="V139" i="1"/>
  <c r="U139" i="1" s="1"/>
  <c r="P139" i="1"/>
  <c r="BD138" i="1"/>
  <c r="R138" i="1" s="1"/>
  <c r="V138" i="1"/>
  <c r="U138" i="1" s="1"/>
  <c r="P138" i="1"/>
  <c r="BD137" i="1"/>
  <c r="R137" i="1" s="1"/>
  <c r="V137" i="1"/>
  <c r="U137" i="1" s="1"/>
  <c r="P137" i="1"/>
  <c r="BD136" i="1"/>
  <c r="R136" i="1" s="1"/>
  <c r="V136" i="1"/>
  <c r="U136" i="1" s="1"/>
  <c r="P136" i="1"/>
  <c r="BD135" i="1"/>
  <c r="R135" i="1" s="1"/>
  <c r="V135" i="1"/>
  <c r="U135" i="1" s="1"/>
  <c r="P135" i="1"/>
  <c r="BD134" i="1"/>
  <c r="R134" i="1" s="1"/>
  <c r="V134" i="1"/>
  <c r="U134" i="1" s="1"/>
  <c r="P134" i="1"/>
  <c r="BD133" i="1"/>
  <c r="V133" i="1"/>
  <c r="U133" i="1" s="1"/>
  <c r="R133" i="1"/>
  <c r="P133" i="1"/>
  <c r="BD132" i="1"/>
  <c r="R132" i="1" s="1"/>
  <c r="V132" i="1"/>
  <c r="U132" i="1"/>
  <c r="P132" i="1"/>
  <c r="BD131" i="1"/>
  <c r="R131" i="1" s="1"/>
  <c r="V131" i="1"/>
  <c r="U131" i="1" s="1"/>
  <c r="P131" i="1"/>
  <c r="BD130" i="1"/>
  <c r="R130" i="1" s="1"/>
  <c r="V130" i="1"/>
  <c r="U130" i="1" s="1"/>
  <c r="P130" i="1"/>
  <c r="BD129" i="1"/>
  <c r="R129" i="1" s="1"/>
  <c r="V129" i="1"/>
  <c r="U129" i="1" s="1"/>
  <c r="P129" i="1"/>
  <c r="BD128" i="1"/>
  <c r="R128" i="1" s="1"/>
  <c r="V128" i="1"/>
  <c r="U128" i="1" s="1"/>
  <c r="P128" i="1"/>
  <c r="BD127" i="1"/>
  <c r="R127" i="1" s="1"/>
  <c r="V127" i="1"/>
  <c r="U127" i="1" s="1"/>
  <c r="P127" i="1"/>
  <c r="BD126" i="1"/>
  <c r="R126" i="1" s="1"/>
  <c r="V126" i="1"/>
  <c r="U126" i="1" s="1"/>
  <c r="P126" i="1"/>
  <c r="BD125" i="1"/>
  <c r="R125" i="1" s="1"/>
  <c r="V125" i="1"/>
  <c r="U125" i="1" s="1"/>
  <c r="P125" i="1"/>
  <c r="BD124" i="1"/>
  <c r="R124" i="1" s="1"/>
  <c r="V124" i="1"/>
  <c r="U124" i="1" s="1"/>
  <c r="P124" i="1"/>
  <c r="BD123" i="1"/>
  <c r="R123" i="1" s="1"/>
  <c r="V123" i="1"/>
  <c r="U123" i="1" s="1"/>
  <c r="P123" i="1"/>
  <c r="BD122" i="1"/>
  <c r="R122" i="1" s="1"/>
  <c r="V122" i="1"/>
  <c r="U122" i="1" s="1"/>
  <c r="P122" i="1"/>
  <c r="BD121" i="1"/>
  <c r="R121" i="1" s="1"/>
  <c r="V121" i="1"/>
  <c r="U121" i="1" s="1"/>
  <c r="P121" i="1"/>
  <c r="BD120" i="1"/>
  <c r="R120" i="1" s="1"/>
  <c r="V120" i="1"/>
  <c r="U120" i="1" s="1"/>
  <c r="P120" i="1"/>
  <c r="BD119" i="1"/>
  <c r="R119" i="1" s="1"/>
  <c r="V119" i="1"/>
  <c r="U119" i="1" s="1"/>
  <c r="P119" i="1"/>
  <c r="BD118" i="1"/>
  <c r="R118" i="1" s="1"/>
  <c r="V118" i="1"/>
  <c r="U118" i="1" s="1"/>
  <c r="P118" i="1"/>
  <c r="BD117" i="1"/>
  <c r="R117" i="1" s="1"/>
  <c r="V117" i="1"/>
  <c r="U117" i="1" s="1"/>
  <c r="P117" i="1"/>
  <c r="BD116" i="1"/>
  <c r="R116" i="1" s="1"/>
  <c r="V116" i="1"/>
  <c r="U116" i="1" s="1"/>
  <c r="P116" i="1"/>
  <c r="BD115" i="1"/>
  <c r="R115" i="1" s="1"/>
  <c r="V115" i="1"/>
  <c r="U115" i="1" s="1"/>
  <c r="P115" i="1"/>
  <c r="BD114" i="1"/>
  <c r="R114" i="1" s="1"/>
  <c r="V114" i="1"/>
  <c r="U114" i="1" s="1"/>
  <c r="P114" i="1"/>
  <c r="BD113" i="1"/>
  <c r="R113" i="1" s="1"/>
  <c r="V113" i="1"/>
  <c r="U113" i="1" s="1"/>
  <c r="P113" i="1"/>
  <c r="BD112" i="1"/>
  <c r="R112" i="1" s="1"/>
  <c r="V112" i="1"/>
  <c r="U112" i="1" s="1"/>
  <c r="P112" i="1"/>
  <c r="BD111" i="1"/>
  <c r="R111" i="1" s="1"/>
  <c r="V111" i="1"/>
  <c r="U111" i="1" s="1"/>
  <c r="P111" i="1"/>
  <c r="BD110" i="1"/>
  <c r="R110" i="1" s="1"/>
  <c r="V110" i="1"/>
  <c r="U110" i="1" s="1"/>
  <c r="P110" i="1"/>
  <c r="BD109" i="1"/>
  <c r="R109" i="1" s="1"/>
  <c r="V109" i="1"/>
  <c r="U109" i="1" s="1"/>
  <c r="P109" i="1"/>
  <c r="BD108" i="1"/>
  <c r="R108" i="1" s="1"/>
  <c r="V108" i="1"/>
  <c r="U108" i="1" s="1"/>
  <c r="P108" i="1"/>
  <c r="BD107" i="1"/>
  <c r="R107" i="1" s="1"/>
  <c r="V107" i="1"/>
  <c r="U107" i="1" s="1"/>
  <c r="P107" i="1"/>
  <c r="BD106" i="1"/>
  <c r="R106" i="1" s="1"/>
  <c r="V106" i="1"/>
  <c r="U106" i="1" s="1"/>
  <c r="P106" i="1"/>
  <c r="BD105" i="1"/>
  <c r="R105" i="1" s="1"/>
  <c r="V105" i="1"/>
  <c r="U105" i="1" s="1"/>
  <c r="P105" i="1"/>
  <c r="BD104" i="1"/>
  <c r="R104" i="1" s="1"/>
  <c r="V104" i="1"/>
  <c r="U104" i="1" s="1"/>
  <c r="P104" i="1"/>
  <c r="BD103" i="1"/>
  <c r="R103" i="1" s="1"/>
  <c r="V103" i="1"/>
  <c r="U103" i="1" s="1"/>
  <c r="P103" i="1"/>
  <c r="BD102" i="1"/>
  <c r="R102" i="1" s="1"/>
  <c r="V102" i="1"/>
  <c r="U102" i="1" s="1"/>
  <c r="P102" i="1"/>
  <c r="BD101" i="1"/>
  <c r="R101" i="1" s="1"/>
  <c r="V101" i="1"/>
  <c r="U101" i="1" s="1"/>
  <c r="P101" i="1"/>
  <c r="BD100" i="1"/>
  <c r="R100" i="1" s="1"/>
  <c r="V100" i="1"/>
  <c r="U100" i="1" s="1"/>
  <c r="P100" i="1"/>
  <c r="BD99" i="1"/>
  <c r="R99" i="1" s="1"/>
  <c r="V99" i="1"/>
  <c r="U99" i="1" s="1"/>
  <c r="P99" i="1"/>
  <c r="BD98" i="1"/>
  <c r="R98" i="1" s="1"/>
  <c r="V98" i="1"/>
  <c r="U98" i="1" s="1"/>
  <c r="P98" i="1"/>
  <c r="BD97" i="1"/>
  <c r="R97" i="1" s="1"/>
  <c r="V97" i="1"/>
  <c r="U97" i="1" s="1"/>
  <c r="P97" i="1"/>
  <c r="BD96" i="1"/>
  <c r="R96" i="1" s="1"/>
  <c r="V96" i="1"/>
  <c r="U96" i="1" s="1"/>
  <c r="P96" i="1"/>
  <c r="BD95" i="1"/>
  <c r="R95" i="1" s="1"/>
  <c r="V95" i="1"/>
  <c r="U95" i="1" s="1"/>
  <c r="P95" i="1"/>
  <c r="BD94" i="1"/>
  <c r="R94" i="1" s="1"/>
  <c r="V94" i="1"/>
  <c r="U94" i="1" s="1"/>
  <c r="P94" i="1"/>
  <c r="BD93" i="1"/>
  <c r="R93" i="1" s="1"/>
  <c r="V93" i="1"/>
  <c r="U93" i="1" s="1"/>
  <c r="P93" i="1"/>
  <c r="BD92" i="1"/>
  <c r="R92" i="1" s="1"/>
  <c r="V92" i="1"/>
  <c r="U92" i="1" s="1"/>
  <c r="P92" i="1"/>
  <c r="BD91" i="1"/>
  <c r="R91" i="1" s="1"/>
  <c r="V91" i="1"/>
  <c r="U91" i="1" s="1"/>
  <c r="P91" i="1"/>
  <c r="BD90" i="1"/>
  <c r="R90" i="1" s="1"/>
  <c r="V90" i="1"/>
  <c r="U90" i="1" s="1"/>
  <c r="P90" i="1"/>
  <c r="BD89" i="1"/>
  <c r="R89" i="1" s="1"/>
  <c r="V89" i="1"/>
  <c r="U89" i="1" s="1"/>
  <c r="P89" i="1"/>
  <c r="BD88" i="1"/>
  <c r="R88" i="1" s="1"/>
  <c r="V88" i="1"/>
  <c r="U88" i="1" s="1"/>
  <c r="P88" i="1"/>
  <c r="BD87" i="1"/>
  <c r="R87" i="1" s="1"/>
  <c r="V87" i="1"/>
  <c r="U87" i="1" s="1"/>
  <c r="P87" i="1"/>
  <c r="BD86" i="1"/>
  <c r="R86" i="1" s="1"/>
  <c r="V86" i="1"/>
  <c r="U86" i="1" s="1"/>
  <c r="P86" i="1"/>
  <c r="BD85" i="1"/>
  <c r="R85" i="1" s="1"/>
  <c r="V85" i="1"/>
  <c r="U85" i="1" s="1"/>
  <c r="P85" i="1"/>
  <c r="BD84" i="1"/>
  <c r="R84" i="1" s="1"/>
  <c r="V84" i="1"/>
  <c r="U84" i="1" s="1"/>
  <c r="P84" i="1"/>
  <c r="BD83" i="1"/>
  <c r="R83" i="1" s="1"/>
  <c r="V83" i="1"/>
  <c r="U83" i="1" s="1"/>
  <c r="P83" i="1"/>
  <c r="BD82" i="1"/>
  <c r="R82" i="1" s="1"/>
  <c r="V82" i="1"/>
  <c r="U82" i="1" s="1"/>
  <c r="P82" i="1"/>
  <c r="BD81" i="1"/>
  <c r="R81" i="1" s="1"/>
  <c r="V81" i="1"/>
  <c r="U81" i="1" s="1"/>
  <c r="P81" i="1"/>
  <c r="BD80" i="1"/>
  <c r="R80" i="1" s="1"/>
  <c r="V80" i="1"/>
  <c r="U80" i="1" s="1"/>
  <c r="P80" i="1"/>
  <c r="BD79" i="1"/>
  <c r="R79" i="1" s="1"/>
  <c r="V79" i="1"/>
  <c r="U79" i="1" s="1"/>
  <c r="P79" i="1"/>
  <c r="BD78" i="1"/>
  <c r="R78" i="1" s="1"/>
  <c r="V78" i="1"/>
  <c r="U78" i="1" s="1"/>
  <c r="P78" i="1"/>
  <c r="BD77" i="1"/>
  <c r="R77" i="1" s="1"/>
  <c r="V77" i="1"/>
  <c r="U77" i="1" s="1"/>
  <c r="P77" i="1"/>
  <c r="BD76" i="1"/>
  <c r="R76" i="1" s="1"/>
  <c r="V76" i="1"/>
  <c r="U76" i="1" s="1"/>
  <c r="P76" i="1"/>
  <c r="BD75" i="1"/>
  <c r="R75" i="1" s="1"/>
  <c r="V75" i="1"/>
  <c r="U75" i="1" s="1"/>
  <c r="P75" i="1"/>
  <c r="BD74" i="1"/>
  <c r="R74" i="1" s="1"/>
  <c r="V74" i="1"/>
  <c r="U74" i="1" s="1"/>
  <c r="P74" i="1"/>
  <c r="BD73" i="1"/>
  <c r="R73" i="1" s="1"/>
  <c r="V73" i="1"/>
  <c r="U73" i="1" s="1"/>
  <c r="P73" i="1"/>
  <c r="BD72" i="1"/>
  <c r="R72" i="1" s="1"/>
  <c r="V72" i="1"/>
  <c r="U72" i="1" s="1"/>
  <c r="P72" i="1"/>
  <c r="BD71" i="1"/>
  <c r="R71" i="1" s="1"/>
  <c r="V71" i="1"/>
  <c r="U71" i="1" s="1"/>
  <c r="P71" i="1"/>
  <c r="BD70" i="1"/>
  <c r="R70" i="1" s="1"/>
  <c r="V70" i="1"/>
  <c r="U70" i="1" s="1"/>
  <c r="P70" i="1"/>
  <c r="BD69" i="1"/>
  <c r="R69" i="1" s="1"/>
  <c r="V69" i="1"/>
  <c r="U69" i="1" s="1"/>
  <c r="P69" i="1"/>
  <c r="BD68" i="1"/>
  <c r="R68" i="1" s="1"/>
  <c r="V68" i="1"/>
  <c r="U68" i="1" s="1"/>
  <c r="P68" i="1"/>
  <c r="BD67" i="1"/>
  <c r="R67" i="1" s="1"/>
  <c r="V67" i="1"/>
  <c r="U67" i="1" s="1"/>
  <c r="P67" i="1"/>
  <c r="BD66" i="1"/>
  <c r="R66" i="1" s="1"/>
  <c r="V66" i="1"/>
  <c r="U66" i="1" s="1"/>
  <c r="P66" i="1"/>
  <c r="BD65" i="1"/>
  <c r="R65" i="1" s="1"/>
  <c r="V65" i="1"/>
  <c r="U65" i="1" s="1"/>
  <c r="P65" i="1"/>
  <c r="BD64" i="1"/>
  <c r="R64" i="1" s="1"/>
  <c r="V64" i="1"/>
  <c r="U64" i="1" s="1"/>
  <c r="P64" i="1"/>
  <c r="BD63" i="1"/>
  <c r="R63" i="1" s="1"/>
  <c r="V63" i="1"/>
  <c r="U63" i="1" s="1"/>
  <c r="P63" i="1"/>
  <c r="BD62" i="1"/>
  <c r="R62" i="1" s="1"/>
  <c r="V62" i="1"/>
  <c r="U62" i="1" s="1"/>
  <c r="P62" i="1"/>
  <c r="BD61" i="1"/>
  <c r="R61" i="1" s="1"/>
  <c r="V61" i="1"/>
  <c r="U61" i="1" s="1"/>
  <c r="P61" i="1"/>
  <c r="BD60" i="1"/>
  <c r="R60" i="1" s="1"/>
  <c r="V60" i="1"/>
  <c r="U60" i="1" s="1"/>
  <c r="P60" i="1"/>
  <c r="BD59" i="1"/>
  <c r="R59" i="1" s="1"/>
  <c r="V59" i="1"/>
  <c r="U59" i="1" s="1"/>
  <c r="P59" i="1"/>
  <c r="BD58" i="1"/>
  <c r="R58" i="1" s="1"/>
  <c r="V58" i="1"/>
  <c r="U58" i="1" s="1"/>
  <c r="P58" i="1"/>
  <c r="BD57" i="1"/>
  <c r="R57" i="1" s="1"/>
  <c r="V57" i="1"/>
  <c r="U57" i="1" s="1"/>
  <c r="P57" i="1"/>
  <c r="BD56" i="1"/>
  <c r="R56" i="1" s="1"/>
  <c r="V56" i="1"/>
  <c r="U56" i="1" s="1"/>
  <c r="P56" i="1"/>
  <c r="BD55" i="1"/>
  <c r="R55" i="1" s="1"/>
  <c r="V55" i="1"/>
  <c r="U55" i="1" s="1"/>
  <c r="P55" i="1"/>
  <c r="BD54" i="1"/>
  <c r="R54" i="1" s="1"/>
  <c r="V54" i="1"/>
  <c r="U54" i="1" s="1"/>
  <c r="P54" i="1"/>
  <c r="BD53" i="1"/>
  <c r="R53" i="1" s="1"/>
  <c r="V53" i="1"/>
  <c r="U53" i="1" s="1"/>
  <c r="P53" i="1"/>
  <c r="BD52" i="1"/>
  <c r="R52" i="1" s="1"/>
  <c r="V52" i="1"/>
  <c r="U52" i="1" s="1"/>
  <c r="P52" i="1"/>
  <c r="BD51" i="1"/>
  <c r="R51" i="1" s="1"/>
  <c r="V51" i="1"/>
  <c r="U51" i="1" s="1"/>
  <c r="P51" i="1"/>
  <c r="BD50" i="1"/>
  <c r="R50" i="1" s="1"/>
  <c r="V50" i="1"/>
  <c r="U50" i="1" s="1"/>
  <c r="P50" i="1"/>
  <c r="BD49" i="1"/>
  <c r="R49" i="1" s="1"/>
  <c r="V49" i="1"/>
  <c r="U49" i="1" s="1"/>
  <c r="P49" i="1"/>
  <c r="BD48" i="1"/>
  <c r="R48" i="1" s="1"/>
  <c r="V48" i="1"/>
  <c r="U48" i="1" s="1"/>
  <c r="P48" i="1"/>
  <c r="BD47" i="1"/>
  <c r="R47" i="1" s="1"/>
  <c r="V47" i="1"/>
  <c r="U47" i="1" s="1"/>
  <c r="P47" i="1"/>
  <c r="BD46" i="1"/>
  <c r="R46" i="1" s="1"/>
  <c r="V46" i="1"/>
  <c r="U46" i="1" s="1"/>
  <c r="P46" i="1"/>
  <c r="BD45" i="1"/>
  <c r="R45" i="1" s="1"/>
  <c r="V45" i="1"/>
  <c r="U45" i="1" s="1"/>
  <c r="P45" i="1"/>
  <c r="BD44" i="1"/>
  <c r="R44" i="1" s="1"/>
  <c r="V44" i="1"/>
  <c r="U44" i="1" s="1"/>
  <c r="P44" i="1"/>
  <c r="BD43" i="1"/>
  <c r="R43" i="1" s="1"/>
  <c r="V43" i="1"/>
  <c r="U43" i="1" s="1"/>
  <c r="P43" i="1"/>
  <c r="BD42" i="1"/>
  <c r="R42" i="1" s="1"/>
  <c r="V42" i="1"/>
  <c r="U42" i="1" s="1"/>
  <c r="P42" i="1"/>
  <c r="BD41" i="1"/>
  <c r="R41" i="1" s="1"/>
  <c r="V41" i="1"/>
  <c r="U41" i="1" s="1"/>
  <c r="P41" i="1"/>
  <c r="BD40" i="1"/>
  <c r="R40" i="1" s="1"/>
  <c r="V40" i="1"/>
  <c r="U40" i="1" s="1"/>
  <c r="P40" i="1"/>
  <c r="BD39" i="1"/>
  <c r="R39" i="1" s="1"/>
  <c r="V39" i="1"/>
  <c r="U39" i="1" s="1"/>
  <c r="P39" i="1"/>
  <c r="BD38" i="1"/>
  <c r="R38" i="1" s="1"/>
  <c r="V38" i="1"/>
  <c r="U38" i="1" s="1"/>
  <c r="P38" i="1"/>
  <c r="BD37" i="1"/>
  <c r="R37" i="1" s="1"/>
  <c r="V37" i="1"/>
  <c r="U37" i="1" s="1"/>
  <c r="P37" i="1"/>
  <c r="BD36" i="1"/>
  <c r="R36" i="1" s="1"/>
  <c r="V36" i="1"/>
  <c r="U36" i="1" s="1"/>
  <c r="P36" i="1"/>
  <c r="BD35" i="1"/>
  <c r="R35" i="1" s="1"/>
  <c r="V35" i="1"/>
  <c r="U35" i="1" s="1"/>
  <c r="P35" i="1"/>
  <c r="BD34" i="1"/>
  <c r="R34" i="1" s="1"/>
  <c r="V34" i="1"/>
  <c r="U34" i="1" s="1"/>
  <c r="P34" i="1"/>
  <c r="BD33" i="1"/>
  <c r="R33" i="1" s="1"/>
  <c r="V33" i="1"/>
  <c r="U33" i="1" s="1"/>
  <c r="P33" i="1"/>
  <c r="BD32" i="1"/>
  <c r="R32" i="1" s="1"/>
  <c r="V32" i="1"/>
  <c r="U32" i="1" s="1"/>
  <c r="P32" i="1"/>
  <c r="BD31" i="1"/>
  <c r="V31" i="1"/>
  <c r="U31" i="1" s="1"/>
  <c r="R31" i="1"/>
  <c r="P31" i="1"/>
  <c r="BD30" i="1"/>
  <c r="R30" i="1" s="1"/>
  <c r="V30" i="1"/>
  <c r="U30" i="1" s="1"/>
  <c r="P30" i="1"/>
  <c r="BD29" i="1"/>
  <c r="R29" i="1" s="1"/>
  <c r="V29" i="1"/>
  <c r="U29" i="1" s="1"/>
  <c r="P29" i="1"/>
  <c r="BD28" i="1"/>
  <c r="R28" i="1" s="1"/>
  <c r="V28" i="1"/>
  <c r="U28" i="1" s="1"/>
  <c r="P28" i="1"/>
  <c r="BD27" i="1"/>
  <c r="R27" i="1" s="1"/>
  <c r="V27" i="1"/>
  <c r="U27" i="1" s="1"/>
  <c r="P27" i="1"/>
  <c r="BD26" i="1"/>
  <c r="R26" i="1" s="1"/>
  <c r="V26" i="1"/>
  <c r="U26" i="1" s="1"/>
  <c r="P26" i="1"/>
  <c r="BD25" i="1"/>
  <c r="R25" i="1" s="1"/>
  <c r="V25" i="1"/>
  <c r="U25" i="1" s="1"/>
  <c r="P25" i="1"/>
  <c r="BD24" i="1"/>
  <c r="R24" i="1" s="1"/>
  <c r="V24" i="1"/>
  <c r="U24" i="1" s="1"/>
  <c r="P24" i="1"/>
  <c r="BD23" i="1"/>
  <c r="R23" i="1" s="1"/>
  <c r="V23" i="1"/>
  <c r="U23" i="1" s="1"/>
  <c r="P23" i="1"/>
  <c r="BD22" i="1"/>
  <c r="R22" i="1" s="1"/>
  <c r="V22" i="1"/>
  <c r="U22" i="1" s="1"/>
  <c r="P22" i="1"/>
  <c r="BD21" i="1"/>
  <c r="R21" i="1" s="1"/>
  <c r="V21" i="1"/>
  <c r="U21" i="1" s="1"/>
  <c r="P21" i="1"/>
  <c r="BD20" i="1"/>
  <c r="R20" i="1" s="1"/>
  <c r="V20" i="1"/>
  <c r="U20" i="1" s="1"/>
  <c r="P20" i="1"/>
  <c r="BD19" i="1"/>
  <c r="R19" i="1" s="1"/>
  <c r="V19" i="1"/>
  <c r="U19" i="1" s="1"/>
  <c r="P19" i="1"/>
  <c r="BD18" i="1"/>
  <c r="R18" i="1" s="1"/>
  <c r="V18" i="1"/>
  <c r="U18" i="1" s="1"/>
  <c r="P18" i="1"/>
  <c r="BD17" i="1"/>
  <c r="R17" i="1" s="1"/>
  <c r="V17" i="1"/>
  <c r="U17" i="1" s="1"/>
  <c r="P17" i="1"/>
  <c r="BD16" i="1"/>
  <c r="R16" i="1" s="1"/>
  <c r="V16" i="1"/>
  <c r="U16" i="1"/>
  <c r="P16" i="1"/>
  <c r="BD15" i="1"/>
  <c r="V15" i="1"/>
  <c r="U15" i="1" s="1"/>
  <c r="R15" i="1"/>
  <c r="P15" i="1"/>
  <c r="BD14" i="1"/>
  <c r="V14" i="1"/>
  <c r="U14" i="1" s="1"/>
  <c r="R14" i="1"/>
  <c r="P14" i="1"/>
  <c r="BD13" i="1"/>
  <c r="R13" i="1" s="1"/>
  <c r="V13" i="1"/>
  <c r="U13" i="1"/>
  <c r="P13" i="1"/>
  <c r="BD12" i="1"/>
  <c r="R12" i="1" s="1"/>
  <c r="V12" i="1"/>
  <c r="U12" i="1" s="1"/>
  <c r="P12" i="1"/>
  <c r="BD11" i="1"/>
  <c r="R11" i="1" s="1"/>
  <c r="V11" i="1"/>
  <c r="U11" i="1" s="1"/>
  <c r="P11" i="1"/>
  <c r="BD10" i="1"/>
  <c r="R10" i="1" s="1"/>
  <c r="V10" i="1"/>
  <c r="U10" i="1" s="1"/>
  <c r="P10" i="1"/>
  <c r="BD9" i="1"/>
  <c r="R9" i="1" s="1"/>
  <c r="V9" i="1"/>
  <c r="U9" i="1" s="1"/>
  <c r="P9" i="1"/>
  <c r="BD8" i="1"/>
  <c r="R8" i="1" s="1"/>
  <c r="V8" i="1"/>
  <c r="U8" i="1" s="1"/>
  <c r="P8" i="1"/>
  <c r="BD7" i="1"/>
  <c r="R7" i="1" s="1"/>
  <c r="V7" i="1"/>
  <c r="U7" i="1" s="1"/>
  <c r="P7" i="1"/>
  <c r="BD6" i="1"/>
  <c r="R6" i="1" s="1"/>
  <c r="V6" i="1"/>
  <c r="U6" i="1" s="1"/>
  <c r="P6" i="1"/>
  <c r="BD5" i="1"/>
  <c r="R5" i="1" s="1"/>
  <c r="V5" i="1"/>
  <c r="U5" i="1" s="1"/>
  <c r="P5" i="1"/>
  <c r="BD4" i="1"/>
  <c r="R4" i="1" s="1"/>
  <c r="V4" i="1"/>
  <c r="U4" i="1"/>
  <c r="P4" i="1"/>
  <c r="BD3" i="1"/>
  <c r="R3" i="1" s="1"/>
  <c r="V3" i="1"/>
  <c r="U3" i="1" s="1"/>
  <c r="P3" i="1"/>
  <c r="BD2" i="1"/>
  <c r="V2" i="1"/>
  <c r="U2" i="1" s="1"/>
  <c r="P2" i="1"/>
  <c r="X231" i="3" l="1"/>
  <c r="Y231" i="3" s="1"/>
  <c r="N133" i="1" s="1"/>
  <c r="AH231" i="3"/>
  <c r="AI231" i="3" s="1"/>
  <c r="O133" i="1" s="1"/>
  <c r="N232" i="3"/>
  <c r="F34" i="3"/>
  <c r="G34" i="3" s="1"/>
  <c r="L19" i="1" s="1"/>
  <c r="K19" i="1" s="1"/>
  <c r="F38" i="3"/>
  <c r="G38" i="3" s="1"/>
  <c r="L23" i="1" s="1"/>
  <c r="K23" i="1" s="1"/>
  <c r="F42" i="3"/>
  <c r="G42" i="3" s="1"/>
  <c r="L27" i="1" s="1"/>
  <c r="K27" i="1" s="1"/>
  <c r="F44" i="3"/>
  <c r="G44" i="3" s="1"/>
  <c r="L29" i="1" s="1"/>
  <c r="K29" i="1" s="1"/>
  <c r="F46" i="3"/>
  <c r="G46" i="3" s="1"/>
  <c r="L31" i="1" s="1"/>
  <c r="K31" i="1" s="1"/>
  <c r="F48" i="3"/>
  <c r="G48" i="3" s="1"/>
  <c r="L33" i="1" s="1"/>
  <c r="K33" i="1" s="1"/>
  <c r="F50" i="3"/>
  <c r="G50" i="3" s="1"/>
  <c r="L35" i="1" s="1"/>
  <c r="K35" i="1" s="1"/>
  <c r="F70" i="3"/>
  <c r="G70" i="3" s="1"/>
  <c r="L136" i="1" s="1"/>
  <c r="K136" i="1" s="1"/>
  <c r="F72" i="3"/>
  <c r="G72" i="3" s="1"/>
  <c r="L150" i="1" s="1"/>
  <c r="K150" i="1" s="1"/>
  <c r="F182" i="3"/>
  <c r="G182" i="3" s="1"/>
  <c r="L56" i="1" s="1"/>
  <c r="K56" i="1" s="1"/>
  <c r="BD203" i="1"/>
  <c r="N166" i="3"/>
  <c r="F167" i="3"/>
  <c r="G167" i="3" s="1"/>
  <c r="L114" i="1" s="1"/>
  <c r="K114" i="1" s="1"/>
  <c r="X167" i="3"/>
  <c r="Y167" i="3" s="1"/>
  <c r="N114" i="1" s="1"/>
  <c r="AH167" i="3"/>
  <c r="AI167" i="3" s="1"/>
  <c r="O114" i="1" s="1"/>
  <c r="N168" i="3"/>
  <c r="N205" i="3"/>
  <c r="X205" i="3"/>
  <c r="Y205" i="3" s="1"/>
  <c r="N193" i="1" s="1"/>
  <c r="AH205" i="3"/>
  <c r="AI205" i="3" s="1"/>
  <c r="O193" i="1" s="1"/>
  <c r="N206" i="3"/>
  <c r="F202" i="3"/>
  <c r="G202" i="3" s="1"/>
  <c r="L190" i="1" s="1"/>
  <c r="K190" i="1" s="1"/>
  <c r="X184" i="3"/>
  <c r="Y184" i="3" s="1"/>
  <c r="N58" i="1" s="1"/>
  <c r="AH184" i="3"/>
  <c r="AI184" i="3" s="1"/>
  <c r="O58" i="1" s="1"/>
  <c r="N185" i="3"/>
  <c r="X186" i="3"/>
  <c r="Y186" i="3" s="1"/>
  <c r="N60" i="1" s="1"/>
  <c r="AH186" i="3"/>
  <c r="AI186" i="3" s="1"/>
  <c r="O60" i="1" s="1"/>
  <c r="N187" i="3"/>
  <c r="X188" i="3"/>
  <c r="Y188" i="3" s="1"/>
  <c r="N62" i="1" s="1"/>
  <c r="AH188" i="3"/>
  <c r="AI188" i="3" s="1"/>
  <c r="O62" i="1" s="1"/>
  <c r="N189" i="3"/>
  <c r="X190" i="3"/>
  <c r="Y190" i="3" s="1"/>
  <c r="N64" i="1" s="1"/>
  <c r="AH190" i="3"/>
  <c r="AI190" i="3" s="1"/>
  <c r="O64" i="1" s="1"/>
  <c r="N191" i="3"/>
  <c r="X192" i="3"/>
  <c r="Y192" i="3" s="1"/>
  <c r="N180" i="1" s="1"/>
  <c r="AH192" i="3"/>
  <c r="AI192" i="3" s="1"/>
  <c r="O180" i="1" s="1"/>
  <c r="N193" i="3"/>
  <c r="N194" i="3"/>
  <c r="X194" i="3"/>
  <c r="Y194" i="3" s="1"/>
  <c r="N182" i="1" s="1"/>
  <c r="AH194" i="3"/>
  <c r="AI194" i="3" s="1"/>
  <c r="O182" i="1" s="1"/>
  <c r="N196" i="3"/>
  <c r="X196" i="3"/>
  <c r="Y196" i="3" s="1"/>
  <c r="N184" i="1" s="1"/>
  <c r="AH196" i="3"/>
  <c r="AI196" i="3" s="1"/>
  <c r="O184" i="1" s="1"/>
  <c r="N198" i="3"/>
  <c r="X198" i="3"/>
  <c r="Y198" i="3" s="1"/>
  <c r="N186" i="1" s="1"/>
  <c r="AH198" i="3"/>
  <c r="AI198" i="3" s="1"/>
  <c r="O186" i="1" s="1"/>
  <c r="F173" i="3"/>
  <c r="G173" i="3" s="1"/>
  <c r="L48" i="1" s="1"/>
  <c r="K48" i="1" s="1"/>
  <c r="F175" i="3"/>
  <c r="G175" i="3" s="1"/>
  <c r="L50" i="1" s="1"/>
  <c r="K50" i="1" s="1"/>
  <c r="R2" i="1"/>
  <c r="R203" i="1" s="1"/>
  <c r="X51" i="3"/>
  <c r="Y51" i="3" s="1"/>
  <c r="N36" i="1" s="1"/>
  <c r="AH51" i="3"/>
  <c r="AI51" i="3" s="1"/>
  <c r="O36" i="1" s="1"/>
  <c r="N52" i="3"/>
  <c r="X53" i="3"/>
  <c r="Y53" i="3" s="1"/>
  <c r="N38" i="1" s="1"/>
  <c r="AH53" i="3"/>
  <c r="AI53" i="3" s="1"/>
  <c r="O38" i="1" s="1"/>
  <c r="N54" i="3"/>
  <c r="X55" i="3"/>
  <c r="Y55" i="3" s="1"/>
  <c r="N40" i="1" s="1"/>
  <c r="AH55" i="3"/>
  <c r="AI55" i="3" s="1"/>
  <c r="O40" i="1" s="1"/>
  <c r="N56" i="3"/>
  <c r="X57" i="3"/>
  <c r="Y57" i="3" s="1"/>
  <c r="N42" i="1" s="1"/>
  <c r="AH57" i="3"/>
  <c r="AI57" i="3" s="1"/>
  <c r="O42" i="1" s="1"/>
  <c r="N58" i="3"/>
  <c r="X59" i="3"/>
  <c r="Y59" i="3" s="1"/>
  <c r="N44" i="1" s="1"/>
  <c r="AH59" i="3"/>
  <c r="AI59" i="3" s="1"/>
  <c r="O44" i="1" s="1"/>
  <c r="N60" i="3"/>
  <c r="X61" i="3"/>
  <c r="Y61" i="3" s="1"/>
  <c r="N139" i="1" s="1"/>
  <c r="AH61" i="3"/>
  <c r="AI61" i="3" s="1"/>
  <c r="O139" i="1" s="1"/>
  <c r="N62" i="3"/>
  <c r="X63" i="3"/>
  <c r="Y63" i="3" s="1"/>
  <c r="N141" i="1" s="1"/>
  <c r="AH63" i="3"/>
  <c r="AI63" i="3" s="1"/>
  <c r="O141" i="1" s="1"/>
  <c r="N64" i="3"/>
  <c r="X65" i="3"/>
  <c r="Y65" i="3" s="1"/>
  <c r="N144" i="1" s="1"/>
  <c r="AH65" i="3"/>
  <c r="AI65" i="3" s="1"/>
  <c r="O144" i="1" s="1"/>
  <c r="N66" i="3"/>
  <c r="X67" i="3"/>
  <c r="Y67" i="3" s="1"/>
  <c r="AH67" i="3"/>
  <c r="AI67" i="3" s="1"/>
  <c r="N68" i="3"/>
  <c r="X69" i="3"/>
  <c r="Y69" i="3" s="1"/>
  <c r="N146" i="1" s="1"/>
  <c r="AH69" i="3"/>
  <c r="AI69" i="3" s="1"/>
  <c r="O146" i="1" s="1"/>
  <c r="N70" i="3"/>
  <c r="X71" i="3"/>
  <c r="Y71" i="3" s="1"/>
  <c r="N148" i="1" s="1"/>
  <c r="AH71" i="3"/>
  <c r="AI71" i="3" s="1"/>
  <c r="O148" i="1" s="1"/>
  <c r="N72" i="3"/>
  <c r="X73" i="3"/>
  <c r="Y73" i="3" s="1"/>
  <c r="N151" i="1" s="1"/>
  <c r="N74" i="3"/>
  <c r="O74" i="3" s="1"/>
  <c r="M152" i="1" s="1"/>
  <c r="X28" i="3"/>
  <c r="Y28" i="3" s="1"/>
  <c r="N13" i="1" s="1"/>
  <c r="X30" i="3"/>
  <c r="Y30" i="3" s="1"/>
  <c r="N15" i="1" s="1"/>
  <c r="X78" i="3"/>
  <c r="X80" i="3"/>
  <c r="Y80" i="3" s="1"/>
  <c r="N157" i="1" s="1"/>
  <c r="X82" i="3"/>
  <c r="Y82" i="3" s="1"/>
  <c r="N159" i="1" s="1"/>
  <c r="AH84" i="3"/>
  <c r="AI84" i="3" s="1"/>
  <c r="O160" i="1" s="1"/>
  <c r="N85" i="3"/>
  <c r="X86" i="3"/>
  <c r="Y86" i="3" s="1"/>
  <c r="N162" i="1" s="1"/>
  <c r="AH86" i="3"/>
  <c r="AI86" i="3" s="1"/>
  <c r="O162" i="1" s="1"/>
  <c r="N87" i="3"/>
  <c r="X88" i="3"/>
  <c r="Y88" i="3" s="1"/>
  <c r="N164" i="1" s="1"/>
  <c r="AH88" i="3"/>
  <c r="AI88" i="3" s="1"/>
  <c r="O164" i="1" s="1"/>
  <c r="N89" i="3"/>
  <c r="X90" i="3"/>
  <c r="Y90" i="3" s="1"/>
  <c r="N166" i="1" s="1"/>
  <c r="AH90" i="3"/>
  <c r="AI90" i="3" s="1"/>
  <c r="O166" i="1" s="1"/>
  <c r="N91" i="3"/>
  <c r="X92" i="3"/>
  <c r="Y92" i="3" s="1"/>
  <c r="N168" i="1" s="1"/>
  <c r="AH92" i="3"/>
  <c r="AI92" i="3" s="1"/>
  <c r="O168" i="1" s="1"/>
  <c r="N93" i="3"/>
  <c r="X94" i="3"/>
  <c r="Y94" i="3" s="1"/>
  <c r="N66" i="1" s="1"/>
  <c r="AH94" i="3"/>
  <c r="AI94" i="3" s="1"/>
  <c r="O66" i="1" s="1"/>
  <c r="N95" i="3"/>
  <c r="X96" i="3"/>
  <c r="Y96" i="3" s="1"/>
  <c r="N68" i="1" s="1"/>
  <c r="F17" i="3"/>
  <c r="G17" i="3" s="1"/>
  <c r="L2" i="1" s="1"/>
  <c r="K2" i="1" s="1"/>
  <c r="F19" i="3"/>
  <c r="G19" i="3" s="1"/>
  <c r="L4" i="1" s="1"/>
  <c r="K4" i="1" s="1"/>
  <c r="F21" i="3"/>
  <c r="G21" i="3" s="1"/>
  <c r="L6" i="1" s="1"/>
  <c r="K6" i="1" s="1"/>
  <c r="F23" i="3"/>
  <c r="G23" i="3" s="1"/>
  <c r="L8" i="1" s="1"/>
  <c r="K8" i="1" s="1"/>
  <c r="F27" i="3"/>
  <c r="G27" i="3" s="1"/>
  <c r="L12" i="1" s="1"/>
  <c r="K12" i="1" s="1"/>
  <c r="F81" i="3"/>
  <c r="G81" i="3" s="1"/>
  <c r="L158" i="1" s="1"/>
  <c r="K158" i="1" s="1"/>
  <c r="F145" i="3"/>
  <c r="G145" i="3" s="1"/>
  <c r="L96" i="1" s="1"/>
  <c r="K96" i="1" s="1"/>
  <c r="F147" i="3"/>
  <c r="G147" i="3" s="1"/>
  <c r="L98" i="1" s="1"/>
  <c r="K98" i="1" s="1"/>
  <c r="F161" i="3"/>
  <c r="G161" i="3" s="1"/>
  <c r="N176" i="3"/>
  <c r="AH176" i="3"/>
  <c r="AI176" i="3" s="1"/>
  <c r="O51" i="1" s="1"/>
  <c r="N178" i="3"/>
  <c r="AH178" i="3"/>
  <c r="AI178" i="3" s="1"/>
  <c r="O53" i="1" s="1"/>
  <c r="F200" i="3"/>
  <c r="G200" i="3" s="1"/>
  <c r="L188" i="1" s="1"/>
  <c r="K188" i="1" s="1"/>
  <c r="AH96" i="3"/>
  <c r="AI96" i="3" s="1"/>
  <c r="O68" i="1" s="1"/>
  <c r="N97" i="3"/>
  <c r="N99" i="3"/>
  <c r="X100" i="3"/>
  <c r="Y100" i="3" s="1"/>
  <c r="N71" i="1" s="1"/>
  <c r="AH100" i="3"/>
  <c r="AI100" i="3" s="1"/>
  <c r="O71" i="1" s="1"/>
  <c r="N101" i="3"/>
  <c r="N103" i="3"/>
  <c r="X104" i="3"/>
  <c r="Y104" i="3" s="1"/>
  <c r="N74" i="1" s="1"/>
  <c r="AH104" i="3"/>
  <c r="AI104" i="3" s="1"/>
  <c r="O74" i="1" s="1"/>
  <c r="N105" i="3"/>
  <c r="X106" i="3"/>
  <c r="Y106" i="3" s="1"/>
  <c r="N76" i="1" s="1"/>
  <c r="AH106" i="3"/>
  <c r="AI106" i="3" s="1"/>
  <c r="O76" i="1" s="1"/>
  <c r="N107" i="3"/>
  <c r="X108" i="3"/>
  <c r="Y108" i="3" s="1"/>
  <c r="N105" i="1" s="1"/>
  <c r="AH108" i="3"/>
  <c r="AI108" i="3" s="1"/>
  <c r="O105" i="1" s="1"/>
  <c r="N109" i="3"/>
  <c r="N111" i="3"/>
  <c r="X112" i="3"/>
  <c r="Y112" i="3" s="1"/>
  <c r="N80" i="1" s="1"/>
  <c r="AH112" i="3"/>
  <c r="AI112" i="3" s="1"/>
  <c r="O80" i="1" s="1"/>
  <c r="N113" i="3"/>
  <c r="N115" i="3"/>
  <c r="X116" i="3"/>
  <c r="Y116" i="3" s="1"/>
  <c r="N83" i="1" s="1"/>
  <c r="AH116" i="3"/>
  <c r="AI116" i="3" s="1"/>
  <c r="O83" i="1" s="1"/>
  <c r="N117" i="3"/>
  <c r="N119" i="3"/>
  <c r="X120" i="3"/>
  <c r="Y120" i="3" s="1"/>
  <c r="N86" i="1" s="1"/>
  <c r="AH120" i="3"/>
  <c r="AI120" i="3" s="1"/>
  <c r="O86" i="1" s="1"/>
  <c r="N121" i="3"/>
  <c r="X122" i="3"/>
  <c r="Y122" i="3" s="1"/>
  <c r="N88" i="1" s="1"/>
  <c r="AH122" i="3"/>
  <c r="AI122" i="3" s="1"/>
  <c r="O88" i="1" s="1"/>
  <c r="N123" i="3"/>
  <c r="X124" i="3"/>
  <c r="Y124" i="3" s="1"/>
  <c r="N90" i="1" s="1"/>
  <c r="AH124" i="3"/>
  <c r="AI124" i="3" s="1"/>
  <c r="O90" i="1" s="1"/>
  <c r="N125" i="3"/>
  <c r="X126" i="3"/>
  <c r="Y126" i="3" s="1"/>
  <c r="N143" i="1" s="1"/>
  <c r="AH126" i="3"/>
  <c r="AI126" i="3" s="1"/>
  <c r="O143" i="1" s="1"/>
  <c r="N127" i="3"/>
  <c r="X128" i="3"/>
  <c r="Y128" i="3" s="1"/>
  <c r="N172" i="1" s="1"/>
  <c r="AH128" i="3"/>
  <c r="AI128" i="3" s="1"/>
  <c r="O172" i="1" s="1"/>
  <c r="N129" i="3"/>
  <c r="O129" i="3" s="1"/>
  <c r="M173" i="1" s="1"/>
  <c r="X130" i="3"/>
  <c r="Y130" i="3" s="1"/>
  <c r="N147" i="1" s="1"/>
  <c r="AH130" i="3"/>
  <c r="AI130" i="3" s="1"/>
  <c r="O147" i="1" s="1"/>
  <c r="N131" i="3"/>
  <c r="X132" i="3"/>
  <c r="Y132" i="3" s="1"/>
  <c r="N149" i="1" s="1"/>
  <c r="AH132" i="3"/>
  <c r="AI132" i="3" s="1"/>
  <c r="O149" i="1" s="1"/>
  <c r="N133" i="3"/>
  <c r="O133" i="3" s="1"/>
  <c r="M175" i="1" s="1"/>
  <c r="X134" i="3"/>
  <c r="Y134" i="3" s="1"/>
  <c r="N176" i="1" s="1"/>
  <c r="AH134" i="3"/>
  <c r="AI134" i="3" s="1"/>
  <c r="O176" i="1" s="1"/>
  <c r="N135" i="3"/>
  <c r="X136" i="3"/>
  <c r="Y136" i="3" s="1"/>
  <c r="N178" i="1" s="1"/>
  <c r="AH136" i="3"/>
  <c r="AI136" i="3" s="1"/>
  <c r="O178" i="1" s="1"/>
  <c r="N137" i="3"/>
  <c r="X138" i="3"/>
  <c r="Y138" i="3" s="1"/>
  <c r="N155" i="1" s="1"/>
  <c r="AH138" i="3"/>
  <c r="AI138" i="3" s="1"/>
  <c r="O155" i="1" s="1"/>
  <c r="N139" i="3"/>
  <c r="X140" i="3"/>
  <c r="Y140" i="3" s="1"/>
  <c r="N92" i="1" s="1"/>
  <c r="AH140" i="3"/>
  <c r="AI140" i="3" s="1"/>
  <c r="O92" i="1" s="1"/>
  <c r="N141" i="3"/>
  <c r="O141" i="3" s="1"/>
  <c r="M93" i="1" s="1"/>
  <c r="X142" i="3"/>
  <c r="Y142" i="3" s="1"/>
  <c r="N94" i="1" s="1"/>
  <c r="AH142" i="3"/>
  <c r="AI142" i="3" s="1"/>
  <c r="O94" i="1" s="1"/>
  <c r="N143" i="3"/>
  <c r="X144" i="3"/>
  <c r="Y144" i="3" s="1"/>
  <c r="N116" i="1" s="1"/>
  <c r="AH144" i="3"/>
  <c r="AI144" i="3" s="1"/>
  <c r="O116" i="1" s="1"/>
  <c r="N145" i="3"/>
  <c r="F146" i="3"/>
  <c r="G146" i="3" s="1"/>
  <c r="L97" i="1" s="1"/>
  <c r="K97" i="1" s="1"/>
  <c r="X146" i="3"/>
  <c r="Y146" i="3" s="1"/>
  <c r="N97" i="1" s="1"/>
  <c r="AH146" i="3"/>
  <c r="AI146" i="3" s="1"/>
  <c r="O97" i="1" s="1"/>
  <c r="N147" i="3"/>
  <c r="F148" i="3"/>
  <c r="G148" i="3" s="1"/>
  <c r="X148" i="3"/>
  <c r="Y148" i="3" s="1"/>
  <c r="X150" i="3"/>
  <c r="Y150" i="3" s="1"/>
  <c r="N100" i="1" s="1"/>
  <c r="X152" i="3"/>
  <c r="Y152" i="3" s="1"/>
  <c r="N102" i="1" s="1"/>
  <c r="X154" i="3"/>
  <c r="Y154" i="3" s="1"/>
  <c r="N104" i="1" s="1"/>
  <c r="X156" i="3"/>
  <c r="Y156" i="3" s="1"/>
  <c r="N107" i="1" s="1"/>
  <c r="X158" i="3"/>
  <c r="Y158" i="3" s="1"/>
  <c r="N109" i="1" s="1"/>
  <c r="X160" i="3"/>
  <c r="Y160" i="3" s="1"/>
  <c r="N110" i="1" s="1"/>
  <c r="AH160" i="3"/>
  <c r="AI160" i="3" s="1"/>
  <c r="O110" i="1" s="1"/>
  <c r="N161" i="3"/>
  <c r="O161" i="3" s="1"/>
  <c r="N181" i="3"/>
  <c r="X181" i="3"/>
  <c r="Y181" i="3" s="1"/>
  <c r="N55" i="1" s="1"/>
  <c r="AH181" i="3"/>
  <c r="AI181" i="3" s="1"/>
  <c r="O55" i="1" s="1"/>
  <c r="F183" i="3"/>
  <c r="G183" i="3" s="1"/>
  <c r="L57" i="1" s="1"/>
  <c r="K57" i="1" s="1"/>
  <c r="F201" i="3"/>
  <c r="G201" i="3" s="1"/>
  <c r="L189" i="1" s="1"/>
  <c r="K189" i="1" s="1"/>
  <c r="F204" i="3"/>
  <c r="G204" i="3" s="1"/>
  <c r="L192" i="1" s="1"/>
  <c r="K192" i="1" s="1"/>
  <c r="F166" i="3"/>
  <c r="G166" i="3" s="1"/>
  <c r="L113" i="1" s="1"/>
  <c r="K113" i="1" s="1"/>
  <c r="F168" i="3"/>
  <c r="G168" i="3" s="1"/>
  <c r="L117" i="1" s="1"/>
  <c r="K117" i="1" s="1"/>
  <c r="F176" i="3"/>
  <c r="G176" i="3" s="1"/>
  <c r="L51" i="1" s="1"/>
  <c r="K51" i="1" s="1"/>
  <c r="N201" i="3"/>
  <c r="X201" i="3"/>
  <c r="Y201" i="3" s="1"/>
  <c r="N189" i="1" s="1"/>
  <c r="AH201" i="3"/>
  <c r="AI201" i="3" s="1"/>
  <c r="O189" i="1" s="1"/>
  <c r="F203" i="3"/>
  <c r="G203" i="3" s="1"/>
  <c r="L191" i="1" s="1"/>
  <c r="K191" i="1" s="1"/>
  <c r="F205" i="3"/>
  <c r="G205" i="3" s="1"/>
  <c r="L193" i="1" s="1"/>
  <c r="K193" i="1" s="1"/>
  <c r="F213" i="3"/>
  <c r="G213" i="3" s="1"/>
  <c r="L201" i="1" s="1"/>
  <c r="K201" i="1" s="1"/>
  <c r="F217" i="3"/>
  <c r="G217" i="3" s="1"/>
  <c r="L119" i="1" s="1"/>
  <c r="K119" i="1" s="1"/>
  <c r="F219" i="3"/>
  <c r="G219" i="3" s="1"/>
  <c r="L121" i="1" s="1"/>
  <c r="K121" i="1" s="1"/>
  <c r="F221" i="3"/>
  <c r="G221" i="3" s="1"/>
  <c r="L123" i="1" s="1"/>
  <c r="K123" i="1" s="1"/>
  <c r="F223" i="3"/>
  <c r="G223" i="3" s="1"/>
  <c r="L125" i="1" s="1"/>
  <c r="K125" i="1" s="1"/>
  <c r="F225" i="3"/>
  <c r="G225" i="3" s="1"/>
  <c r="L127" i="1" s="1"/>
  <c r="K127" i="1" s="1"/>
  <c r="F227" i="3"/>
  <c r="G227" i="3" s="1"/>
  <c r="L129" i="1" s="1"/>
  <c r="K129" i="1" s="1"/>
  <c r="F229" i="3"/>
  <c r="G229" i="3" s="1"/>
  <c r="L131" i="1" s="1"/>
  <c r="K131" i="1" s="1"/>
  <c r="X17" i="3"/>
  <c r="Y17" i="3" s="1"/>
  <c r="N2" i="1" s="1"/>
  <c r="AH17" i="3"/>
  <c r="AI17" i="3" s="1"/>
  <c r="O2" i="1" s="1"/>
  <c r="N18" i="3"/>
  <c r="X19" i="3"/>
  <c r="Y19" i="3" s="1"/>
  <c r="N4" i="1" s="1"/>
  <c r="AH19" i="3"/>
  <c r="AI19" i="3" s="1"/>
  <c r="O4" i="1" s="1"/>
  <c r="N20" i="3"/>
  <c r="AK20" i="3" s="1"/>
  <c r="Q5" i="1" s="1"/>
  <c r="X21" i="3"/>
  <c r="Y21" i="3" s="1"/>
  <c r="N6" i="1" s="1"/>
  <c r="AH21" i="3"/>
  <c r="AI21" i="3" s="1"/>
  <c r="O6" i="1" s="1"/>
  <c r="N22" i="3"/>
  <c r="O22" i="3" s="1"/>
  <c r="M7" i="1" s="1"/>
  <c r="X23" i="3"/>
  <c r="Y23" i="3" s="1"/>
  <c r="N8" i="1" s="1"/>
  <c r="AH23" i="3"/>
  <c r="AI23" i="3" s="1"/>
  <c r="O8" i="1" s="1"/>
  <c r="N24" i="3"/>
  <c r="X25" i="3"/>
  <c r="Y25" i="3" s="1"/>
  <c r="N10" i="1" s="1"/>
  <c r="AH25" i="3"/>
  <c r="AI25" i="3" s="1"/>
  <c r="O10" i="1" s="1"/>
  <c r="N26" i="3"/>
  <c r="F31" i="3"/>
  <c r="G31" i="3" s="1"/>
  <c r="L16" i="1" s="1"/>
  <c r="K16" i="1" s="1"/>
  <c r="X32" i="3"/>
  <c r="Y32" i="3" s="1"/>
  <c r="N17" i="1" s="1"/>
  <c r="X34" i="3"/>
  <c r="Y34" i="3" s="1"/>
  <c r="N19" i="1" s="1"/>
  <c r="N35" i="3"/>
  <c r="X36" i="3"/>
  <c r="Y36" i="3" s="1"/>
  <c r="N21" i="1" s="1"/>
  <c r="N37" i="3"/>
  <c r="X38" i="3"/>
  <c r="Y38" i="3" s="1"/>
  <c r="N23" i="1" s="1"/>
  <c r="N39" i="3"/>
  <c r="X40" i="3"/>
  <c r="Y40" i="3" s="1"/>
  <c r="N25" i="1" s="1"/>
  <c r="X42" i="3"/>
  <c r="Y42" i="3" s="1"/>
  <c r="N27" i="1" s="1"/>
  <c r="N43" i="3"/>
  <c r="X44" i="3"/>
  <c r="Y44" i="3" s="1"/>
  <c r="N29" i="1" s="1"/>
  <c r="F52" i="3"/>
  <c r="G52" i="3" s="1"/>
  <c r="L37" i="1" s="1"/>
  <c r="K37" i="1" s="1"/>
  <c r="F54" i="3"/>
  <c r="G54" i="3" s="1"/>
  <c r="L39" i="1" s="1"/>
  <c r="K39" i="1" s="1"/>
  <c r="F56" i="3"/>
  <c r="G56" i="3" s="1"/>
  <c r="L41" i="1" s="1"/>
  <c r="K41" i="1" s="1"/>
  <c r="F58" i="3"/>
  <c r="G58" i="3" s="1"/>
  <c r="L43" i="1" s="1"/>
  <c r="K43" i="1" s="1"/>
  <c r="F60" i="3"/>
  <c r="G60" i="3" s="1"/>
  <c r="L45" i="1" s="1"/>
  <c r="K45" i="1" s="1"/>
  <c r="F62" i="3"/>
  <c r="G62" i="3" s="1"/>
  <c r="L140" i="1" s="1"/>
  <c r="K140" i="1" s="1"/>
  <c r="F18" i="3"/>
  <c r="G18" i="3" s="1"/>
  <c r="L3" i="1" s="1"/>
  <c r="K3" i="1" s="1"/>
  <c r="F20" i="3"/>
  <c r="G20" i="3" s="1"/>
  <c r="L5" i="1" s="1"/>
  <c r="K5" i="1" s="1"/>
  <c r="F22" i="3"/>
  <c r="G22" i="3" s="1"/>
  <c r="L7" i="1" s="1"/>
  <c r="K7" i="1" s="1"/>
  <c r="F24" i="3"/>
  <c r="G24" i="3" s="1"/>
  <c r="L9" i="1" s="1"/>
  <c r="K9" i="1" s="1"/>
  <c r="F26" i="3"/>
  <c r="G26" i="3" s="1"/>
  <c r="L11" i="1" s="1"/>
  <c r="K11" i="1" s="1"/>
  <c r="X27" i="3"/>
  <c r="Y27" i="3" s="1"/>
  <c r="N12" i="1" s="1"/>
  <c r="X29" i="3"/>
  <c r="Y29" i="3" s="1"/>
  <c r="N14" i="1" s="1"/>
  <c r="AH29" i="3"/>
  <c r="AI29" i="3" s="1"/>
  <c r="O14" i="1" s="1"/>
  <c r="N30" i="3"/>
  <c r="O30" i="3" s="1"/>
  <c r="M15" i="1" s="1"/>
  <c r="F35" i="3"/>
  <c r="G35" i="3" s="1"/>
  <c r="L20" i="1" s="1"/>
  <c r="K20" i="1" s="1"/>
  <c r="F39" i="3"/>
  <c r="G39" i="3" s="1"/>
  <c r="L24" i="1" s="1"/>
  <c r="K24" i="1" s="1"/>
  <c r="F43" i="3"/>
  <c r="G43" i="3" s="1"/>
  <c r="L28" i="1" s="1"/>
  <c r="K28" i="1" s="1"/>
  <c r="F47" i="3"/>
  <c r="G47" i="3" s="1"/>
  <c r="L32" i="1" s="1"/>
  <c r="K32" i="1" s="1"/>
  <c r="N51" i="3"/>
  <c r="X52" i="3"/>
  <c r="Y52" i="3" s="1"/>
  <c r="N37" i="1" s="1"/>
  <c r="AH52" i="3"/>
  <c r="AI52" i="3" s="1"/>
  <c r="O37" i="1" s="1"/>
  <c r="N53" i="3"/>
  <c r="AK53" i="3" s="1"/>
  <c r="Q38" i="1" s="1"/>
  <c r="X54" i="3"/>
  <c r="Y54" i="3" s="1"/>
  <c r="N39" i="1" s="1"/>
  <c r="AH54" i="3"/>
  <c r="AI54" i="3" s="1"/>
  <c r="O39" i="1" s="1"/>
  <c r="N55" i="3"/>
  <c r="AK55" i="3" s="1"/>
  <c r="Q40" i="1" s="1"/>
  <c r="X56" i="3"/>
  <c r="Y56" i="3" s="1"/>
  <c r="N41" i="1" s="1"/>
  <c r="AH56" i="3"/>
  <c r="AI56" i="3" s="1"/>
  <c r="O41" i="1" s="1"/>
  <c r="N57" i="3"/>
  <c r="X58" i="3"/>
  <c r="Y58" i="3" s="1"/>
  <c r="N43" i="1" s="1"/>
  <c r="AH58" i="3"/>
  <c r="AI58" i="3" s="1"/>
  <c r="O43" i="1" s="1"/>
  <c r="N59" i="3"/>
  <c r="X60" i="3"/>
  <c r="Y60" i="3" s="1"/>
  <c r="N45" i="1" s="1"/>
  <c r="AH60" i="3"/>
  <c r="AI60" i="3" s="1"/>
  <c r="O45" i="1" s="1"/>
  <c r="N61" i="3"/>
  <c r="O61" i="3" s="1"/>
  <c r="M139" i="1" s="1"/>
  <c r="X62" i="3"/>
  <c r="Y62" i="3" s="1"/>
  <c r="N140" i="1" s="1"/>
  <c r="AH62" i="3"/>
  <c r="AI62" i="3" s="1"/>
  <c r="O140" i="1" s="1"/>
  <c r="N63" i="3"/>
  <c r="O63" i="3" s="1"/>
  <c r="M141" i="1" s="1"/>
  <c r="X64" i="3"/>
  <c r="Y64" i="3" s="1"/>
  <c r="N142" i="1" s="1"/>
  <c r="AH64" i="3"/>
  <c r="AI64" i="3" s="1"/>
  <c r="O142" i="1" s="1"/>
  <c r="N65" i="3"/>
  <c r="X66" i="3"/>
  <c r="Y66" i="3" s="1"/>
  <c r="N135" i="1" s="1"/>
  <c r="AH66" i="3"/>
  <c r="AI66" i="3" s="1"/>
  <c r="O135" i="1" s="1"/>
  <c r="N17" i="3"/>
  <c r="X18" i="3"/>
  <c r="Y18" i="3" s="1"/>
  <c r="N3" i="1" s="1"/>
  <c r="AH18" i="3"/>
  <c r="AI18" i="3" s="1"/>
  <c r="O3" i="1" s="1"/>
  <c r="N19" i="3"/>
  <c r="O19" i="3" s="1"/>
  <c r="M4" i="1" s="1"/>
  <c r="X20" i="3"/>
  <c r="Y20" i="3" s="1"/>
  <c r="N5" i="1" s="1"/>
  <c r="AH20" i="3"/>
  <c r="AI20" i="3" s="1"/>
  <c r="O5" i="1" s="1"/>
  <c r="N21" i="3"/>
  <c r="X22" i="3"/>
  <c r="Y22" i="3" s="1"/>
  <c r="N7" i="1" s="1"/>
  <c r="AH22" i="3"/>
  <c r="AI22" i="3" s="1"/>
  <c r="O7" i="1" s="1"/>
  <c r="N23" i="3"/>
  <c r="X24" i="3"/>
  <c r="Y24" i="3" s="1"/>
  <c r="N9" i="1" s="1"/>
  <c r="AH24" i="3"/>
  <c r="AI24" i="3" s="1"/>
  <c r="O9" i="1" s="1"/>
  <c r="X26" i="3"/>
  <c r="Y26" i="3" s="1"/>
  <c r="N11" i="1" s="1"/>
  <c r="F30" i="3"/>
  <c r="G30" i="3" s="1"/>
  <c r="L15" i="1" s="1"/>
  <c r="K15" i="1" s="1"/>
  <c r="X31" i="3"/>
  <c r="Y31" i="3" s="1"/>
  <c r="N16" i="1" s="1"/>
  <c r="X33" i="3"/>
  <c r="Y33" i="3" s="1"/>
  <c r="N18" i="1" s="1"/>
  <c r="AH33" i="3"/>
  <c r="AI33" i="3" s="1"/>
  <c r="O18" i="1" s="1"/>
  <c r="N34" i="3"/>
  <c r="X35" i="3"/>
  <c r="Y35" i="3" s="1"/>
  <c r="N20" i="1" s="1"/>
  <c r="X37" i="3"/>
  <c r="Y37" i="3" s="1"/>
  <c r="N22" i="1" s="1"/>
  <c r="AH37" i="3"/>
  <c r="AI37" i="3" s="1"/>
  <c r="O22" i="1" s="1"/>
  <c r="N38" i="3"/>
  <c r="X39" i="3"/>
  <c r="Y39" i="3" s="1"/>
  <c r="N24" i="1" s="1"/>
  <c r="X41" i="3"/>
  <c r="Y41" i="3" s="1"/>
  <c r="N26" i="1" s="1"/>
  <c r="AH41" i="3"/>
  <c r="AI41" i="3" s="1"/>
  <c r="O26" i="1" s="1"/>
  <c r="N42" i="3"/>
  <c r="X43" i="3"/>
  <c r="Y43" i="3" s="1"/>
  <c r="N28" i="1" s="1"/>
  <c r="N44" i="3"/>
  <c r="O44" i="3" s="1"/>
  <c r="M29" i="1" s="1"/>
  <c r="N67" i="3"/>
  <c r="X68" i="3"/>
  <c r="Y68" i="3" s="1"/>
  <c r="N145" i="1" s="1"/>
  <c r="AH68" i="3"/>
  <c r="AI68" i="3" s="1"/>
  <c r="O145" i="1" s="1"/>
  <c r="N69" i="3"/>
  <c r="AK69" i="3" s="1"/>
  <c r="Q146" i="1" s="1"/>
  <c r="X70" i="3"/>
  <c r="Y70" i="3" s="1"/>
  <c r="N136" i="1" s="1"/>
  <c r="AH70" i="3"/>
  <c r="AI70" i="3" s="1"/>
  <c r="O136" i="1" s="1"/>
  <c r="N71" i="3"/>
  <c r="O71" i="3" s="1"/>
  <c r="M148" i="1" s="1"/>
  <c r="X72" i="3"/>
  <c r="Y72" i="3" s="1"/>
  <c r="N150" i="1" s="1"/>
  <c r="F76" i="3"/>
  <c r="G76" i="3" s="1"/>
  <c r="L153" i="1" s="1"/>
  <c r="K153" i="1" s="1"/>
  <c r="X79" i="3"/>
  <c r="Y79" i="3" s="1"/>
  <c r="N156" i="1" s="1"/>
  <c r="AH79" i="3"/>
  <c r="AI79" i="3" s="1"/>
  <c r="O156" i="1" s="1"/>
  <c r="N80" i="3"/>
  <c r="X81" i="3"/>
  <c r="Y81" i="3" s="1"/>
  <c r="N158" i="1" s="1"/>
  <c r="X85" i="3"/>
  <c r="Y85" i="3" s="1"/>
  <c r="N161" i="1" s="1"/>
  <c r="AH85" i="3"/>
  <c r="AI85" i="3" s="1"/>
  <c r="O161" i="1" s="1"/>
  <c r="N86" i="3"/>
  <c r="O86" i="3" s="1"/>
  <c r="M162" i="1" s="1"/>
  <c r="X87" i="3"/>
  <c r="Y87" i="3" s="1"/>
  <c r="N163" i="1" s="1"/>
  <c r="AH87" i="3"/>
  <c r="AI87" i="3" s="1"/>
  <c r="O163" i="1" s="1"/>
  <c r="N88" i="3"/>
  <c r="O88" i="3" s="1"/>
  <c r="M164" i="1" s="1"/>
  <c r="X89" i="3"/>
  <c r="Y89" i="3" s="1"/>
  <c r="N165" i="1" s="1"/>
  <c r="AH89" i="3"/>
  <c r="AI89" i="3" s="1"/>
  <c r="O165" i="1" s="1"/>
  <c r="N90" i="3"/>
  <c r="X91" i="3"/>
  <c r="Y91" i="3" s="1"/>
  <c r="N167" i="1" s="1"/>
  <c r="AH91" i="3"/>
  <c r="AI91" i="3" s="1"/>
  <c r="O167" i="1" s="1"/>
  <c r="N92" i="3"/>
  <c r="X93" i="3"/>
  <c r="Y93" i="3" s="1"/>
  <c r="N169" i="1" s="1"/>
  <c r="AH93" i="3"/>
  <c r="AI93" i="3" s="1"/>
  <c r="O169" i="1" s="1"/>
  <c r="N94" i="3"/>
  <c r="AJ94" i="3" s="1"/>
  <c r="T66" i="1" s="1"/>
  <c r="X95" i="3"/>
  <c r="Y95" i="3" s="1"/>
  <c r="N67" i="1" s="1"/>
  <c r="AH95" i="3"/>
  <c r="AI95" i="3" s="1"/>
  <c r="O67" i="1" s="1"/>
  <c r="N96" i="3"/>
  <c r="O96" i="3" s="1"/>
  <c r="M68" i="1" s="1"/>
  <c r="X97" i="3"/>
  <c r="Y97" i="3" s="1"/>
  <c r="N69" i="1" s="1"/>
  <c r="AH97" i="3"/>
  <c r="AI97" i="3" s="1"/>
  <c r="O69" i="1" s="1"/>
  <c r="X99" i="3"/>
  <c r="Y99" i="3" s="1"/>
  <c r="N70" i="1" s="1"/>
  <c r="AH99" i="3"/>
  <c r="AI99" i="3" s="1"/>
  <c r="O70" i="1" s="1"/>
  <c r="N100" i="3"/>
  <c r="AK100" i="3" s="1"/>
  <c r="Q71" i="1" s="1"/>
  <c r="X101" i="3"/>
  <c r="Y101" i="3" s="1"/>
  <c r="N72" i="1" s="1"/>
  <c r="AH101" i="3"/>
  <c r="AI101" i="3" s="1"/>
  <c r="O72" i="1" s="1"/>
  <c r="X103" i="3"/>
  <c r="Y103" i="3" s="1"/>
  <c r="N73" i="1" s="1"/>
  <c r="AH103" i="3"/>
  <c r="AI103" i="3" s="1"/>
  <c r="O73" i="1" s="1"/>
  <c r="N104" i="3"/>
  <c r="X105" i="3"/>
  <c r="Y105" i="3" s="1"/>
  <c r="N75" i="1" s="1"/>
  <c r="AH105" i="3"/>
  <c r="AI105" i="3" s="1"/>
  <c r="O75" i="1" s="1"/>
  <c r="N106" i="3"/>
  <c r="O106" i="3" s="1"/>
  <c r="M76" i="1" s="1"/>
  <c r="X107" i="3"/>
  <c r="Y107" i="3" s="1"/>
  <c r="N77" i="1" s="1"/>
  <c r="AH107" i="3"/>
  <c r="AI107" i="3" s="1"/>
  <c r="O77" i="1" s="1"/>
  <c r="N108" i="3"/>
  <c r="O108" i="3" s="1"/>
  <c r="M105" i="1" s="1"/>
  <c r="X109" i="3"/>
  <c r="Y109" i="3" s="1"/>
  <c r="N78" i="1" s="1"/>
  <c r="AH109" i="3"/>
  <c r="AI109" i="3" s="1"/>
  <c r="O78" i="1" s="1"/>
  <c r="X111" i="3"/>
  <c r="Y111" i="3" s="1"/>
  <c r="N79" i="1" s="1"/>
  <c r="AH111" i="3"/>
  <c r="AI111" i="3" s="1"/>
  <c r="O79" i="1" s="1"/>
  <c r="N112" i="3"/>
  <c r="AK112" i="3" s="1"/>
  <c r="Q80" i="1" s="1"/>
  <c r="X113" i="3"/>
  <c r="Y113" i="3" s="1"/>
  <c r="N81" i="1" s="1"/>
  <c r="AH113" i="3"/>
  <c r="AI113" i="3" s="1"/>
  <c r="O81" i="1" s="1"/>
  <c r="X115" i="3"/>
  <c r="Y115" i="3" s="1"/>
  <c r="N82" i="1" s="1"/>
  <c r="AH115" i="3"/>
  <c r="AI115" i="3" s="1"/>
  <c r="O82" i="1" s="1"/>
  <c r="N116" i="3"/>
  <c r="X117" i="3"/>
  <c r="Y117" i="3" s="1"/>
  <c r="N84" i="1" s="1"/>
  <c r="AH117" i="3"/>
  <c r="AI117" i="3" s="1"/>
  <c r="O84" i="1" s="1"/>
  <c r="X119" i="3"/>
  <c r="Y119" i="3" s="1"/>
  <c r="N85" i="1" s="1"/>
  <c r="AH119" i="3"/>
  <c r="AI119" i="3" s="1"/>
  <c r="O85" i="1" s="1"/>
  <c r="N120" i="3"/>
  <c r="X121" i="3"/>
  <c r="Y121" i="3" s="1"/>
  <c r="N87" i="1" s="1"/>
  <c r="AH121" i="3"/>
  <c r="AI121" i="3" s="1"/>
  <c r="O87" i="1" s="1"/>
  <c r="N122" i="3"/>
  <c r="X123" i="3"/>
  <c r="Y123" i="3" s="1"/>
  <c r="N89" i="1" s="1"/>
  <c r="AH123" i="3"/>
  <c r="AI123" i="3" s="1"/>
  <c r="O89" i="1" s="1"/>
  <c r="N124" i="3"/>
  <c r="O124" i="3" s="1"/>
  <c r="M90" i="1" s="1"/>
  <c r="X125" i="3"/>
  <c r="Y125" i="3" s="1"/>
  <c r="N170" i="1" s="1"/>
  <c r="AH125" i="3"/>
  <c r="AI125" i="3" s="1"/>
  <c r="O170" i="1" s="1"/>
  <c r="N126" i="3"/>
  <c r="O126" i="3" s="1"/>
  <c r="M143" i="1" s="1"/>
  <c r="X127" i="3"/>
  <c r="Y127" i="3" s="1"/>
  <c r="N171" i="1" s="1"/>
  <c r="X129" i="3"/>
  <c r="Y129" i="3" s="1"/>
  <c r="N173" i="1" s="1"/>
  <c r="N130" i="3"/>
  <c r="X131" i="3"/>
  <c r="Y131" i="3" s="1"/>
  <c r="N174" i="1" s="1"/>
  <c r="AH131" i="3"/>
  <c r="AI131" i="3" s="1"/>
  <c r="O174" i="1" s="1"/>
  <c r="N132" i="3"/>
  <c r="X133" i="3"/>
  <c r="Y133" i="3" s="1"/>
  <c r="N175" i="1" s="1"/>
  <c r="AH133" i="3"/>
  <c r="AI133" i="3" s="1"/>
  <c r="O175" i="1" s="1"/>
  <c r="N134" i="3"/>
  <c r="AJ134" i="3" s="1"/>
  <c r="T176" i="1" s="1"/>
  <c r="X135" i="3"/>
  <c r="Y135" i="3" s="1"/>
  <c r="N177" i="1" s="1"/>
  <c r="AH135" i="3"/>
  <c r="AI135" i="3" s="1"/>
  <c r="O177" i="1" s="1"/>
  <c r="N136" i="3"/>
  <c r="O136" i="3" s="1"/>
  <c r="M178" i="1" s="1"/>
  <c r="X137" i="3"/>
  <c r="Y137" i="3" s="1"/>
  <c r="N179" i="1" s="1"/>
  <c r="X49" i="3"/>
  <c r="Y49" i="3" s="1"/>
  <c r="N34" i="1" s="1"/>
  <c r="N50" i="3"/>
  <c r="O50" i="3" s="1"/>
  <c r="M35" i="1" s="1"/>
  <c r="F51" i="3"/>
  <c r="G51" i="3" s="1"/>
  <c r="L36" i="1" s="1"/>
  <c r="K36" i="1" s="1"/>
  <c r="F53" i="3"/>
  <c r="G53" i="3" s="1"/>
  <c r="L38" i="1" s="1"/>
  <c r="K38" i="1" s="1"/>
  <c r="F55" i="3"/>
  <c r="G55" i="3" s="1"/>
  <c r="L40" i="1" s="1"/>
  <c r="K40" i="1" s="1"/>
  <c r="F57" i="3"/>
  <c r="G57" i="3" s="1"/>
  <c r="L42" i="1" s="1"/>
  <c r="K42" i="1" s="1"/>
  <c r="F59" i="3"/>
  <c r="G59" i="3" s="1"/>
  <c r="L44" i="1" s="1"/>
  <c r="K44" i="1" s="1"/>
  <c r="F61" i="3"/>
  <c r="G61" i="3" s="1"/>
  <c r="L139" i="1" s="1"/>
  <c r="K139" i="1" s="1"/>
  <c r="F63" i="3"/>
  <c r="G63" i="3" s="1"/>
  <c r="L141" i="1" s="1"/>
  <c r="K141" i="1" s="1"/>
  <c r="F65" i="3"/>
  <c r="G65" i="3" s="1"/>
  <c r="L144" i="1" s="1"/>
  <c r="K144" i="1" s="1"/>
  <c r="F67" i="3"/>
  <c r="G67" i="3" s="1"/>
  <c r="F69" i="3"/>
  <c r="G69" i="3" s="1"/>
  <c r="L146" i="1" s="1"/>
  <c r="K146" i="1" s="1"/>
  <c r="F71" i="3"/>
  <c r="G71" i="3" s="1"/>
  <c r="L148" i="1" s="1"/>
  <c r="K148" i="1" s="1"/>
  <c r="X74" i="3"/>
  <c r="X76" i="3"/>
  <c r="Y76" i="3" s="1"/>
  <c r="N153" i="1" s="1"/>
  <c r="F80" i="3"/>
  <c r="G80" i="3" s="1"/>
  <c r="L157" i="1" s="1"/>
  <c r="K157" i="1" s="1"/>
  <c r="F86" i="3"/>
  <c r="G86" i="3" s="1"/>
  <c r="L162" i="1" s="1"/>
  <c r="K162" i="1" s="1"/>
  <c r="F88" i="3"/>
  <c r="G88" i="3" s="1"/>
  <c r="L164" i="1" s="1"/>
  <c r="K164" i="1" s="1"/>
  <c r="F90" i="3"/>
  <c r="G90" i="3" s="1"/>
  <c r="L166" i="1" s="1"/>
  <c r="K166" i="1" s="1"/>
  <c r="F92" i="3"/>
  <c r="G92" i="3" s="1"/>
  <c r="L168" i="1" s="1"/>
  <c r="K168" i="1" s="1"/>
  <c r="F94" i="3"/>
  <c r="G94" i="3" s="1"/>
  <c r="L66" i="1" s="1"/>
  <c r="K66" i="1" s="1"/>
  <c r="F96" i="3"/>
  <c r="G96" i="3" s="1"/>
  <c r="L68" i="1" s="1"/>
  <c r="K68" i="1" s="1"/>
  <c r="F100" i="3"/>
  <c r="G100" i="3" s="1"/>
  <c r="L71" i="1" s="1"/>
  <c r="K71" i="1" s="1"/>
  <c r="F104" i="3"/>
  <c r="G104" i="3" s="1"/>
  <c r="L74" i="1" s="1"/>
  <c r="K74" i="1" s="1"/>
  <c r="F106" i="3"/>
  <c r="G106" i="3" s="1"/>
  <c r="L76" i="1" s="1"/>
  <c r="K76" i="1" s="1"/>
  <c r="F108" i="3"/>
  <c r="G108" i="3" s="1"/>
  <c r="L105" i="1" s="1"/>
  <c r="K105" i="1" s="1"/>
  <c r="F112" i="3"/>
  <c r="G112" i="3" s="1"/>
  <c r="L80" i="1" s="1"/>
  <c r="K80" i="1" s="1"/>
  <c r="F116" i="3"/>
  <c r="G116" i="3" s="1"/>
  <c r="L83" i="1" s="1"/>
  <c r="K83" i="1" s="1"/>
  <c r="F120" i="3"/>
  <c r="G120" i="3" s="1"/>
  <c r="L86" i="1" s="1"/>
  <c r="K86" i="1" s="1"/>
  <c r="F122" i="3"/>
  <c r="G122" i="3" s="1"/>
  <c r="L88" i="1" s="1"/>
  <c r="K88" i="1" s="1"/>
  <c r="F124" i="3"/>
  <c r="G124" i="3" s="1"/>
  <c r="L90" i="1" s="1"/>
  <c r="K90" i="1" s="1"/>
  <c r="F126" i="3"/>
  <c r="G126" i="3" s="1"/>
  <c r="L143" i="1" s="1"/>
  <c r="K143" i="1" s="1"/>
  <c r="F64" i="3"/>
  <c r="G64" i="3" s="1"/>
  <c r="L142" i="1" s="1"/>
  <c r="K142" i="1" s="1"/>
  <c r="F66" i="3"/>
  <c r="G66" i="3" s="1"/>
  <c r="L135" i="1" s="1"/>
  <c r="K135" i="1" s="1"/>
  <c r="F68" i="3"/>
  <c r="G68" i="3" s="1"/>
  <c r="L145" i="1" s="1"/>
  <c r="K145" i="1" s="1"/>
  <c r="X75" i="3"/>
  <c r="Y75" i="3" s="1"/>
  <c r="N137" i="1" s="1"/>
  <c r="AH75" i="3"/>
  <c r="AI75" i="3" s="1"/>
  <c r="O137" i="1" s="1"/>
  <c r="N76" i="3"/>
  <c r="X77" i="3"/>
  <c r="Y77" i="3" s="1"/>
  <c r="N138" i="1" s="1"/>
  <c r="N78" i="3"/>
  <c r="O78" i="3" s="1"/>
  <c r="M154" i="1" s="1"/>
  <c r="F85" i="3"/>
  <c r="G85" i="3" s="1"/>
  <c r="L161" i="1" s="1"/>
  <c r="K161" i="1" s="1"/>
  <c r="F87" i="3"/>
  <c r="G87" i="3" s="1"/>
  <c r="L163" i="1" s="1"/>
  <c r="K163" i="1" s="1"/>
  <c r="F89" i="3"/>
  <c r="G89" i="3" s="1"/>
  <c r="L165" i="1" s="1"/>
  <c r="K165" i="1" s="1"/>
  <c r="F91" i="3"/>
  <c r="G91" i="3" s="1"/>
  <c r="L167" i="1" s="1"/>
  <c r="K167" i="1" s="1"/>
  <c r="F93" i="3"/>
  <c r="G93" i="3" s="1"/>
  <c r="L169" i="1" s="1"/>
  <c r="K169" i="1" s="1"/>
  <c r="F95" i="3"/>
  <c r="G95" i="3" s="1"/>
  <c r="L67" i="1" s="1"/>
  <c r="K67" i="1" s="1"/>
  <c r="F97" i="3"/>
  <c r="G97" i="3" s="1"/>
  <c r="L69" i="1" s="1"/>
  <c r="K69" i="1" s="1"/>
  <c r="F99" i="3"/>
  <c r="G99" i="3" s="1"/>
  <c r="L70" i="1" s="1"/>
  <c r="K70" i="1" s="1"/>
  <c r="F101" i="3"/>
  <c r="G101" i="3" s="1"/>
  <c r="L72" i="1" s="1"/>
  <c r="K72" i="1" s="1"/>
  <c r="F103" i="3"/>
  <c r="G103" i="3" s="1"/>
  <c r="L73" i="1" s="1"/>
  <c r="K73" i="1" s="1"/>
  <c r="F105" i="3"/>
  <c r="G105" i="3" s="1"/>
  <c r="L75" i="1" s="1"/>
  <c r="K75" i="1" s="1"/>
  <c r="F107" i="3"/>
  <c r="G107" i="3" s="1"/>
  <c r="L77" i="1" s="1"/>
  <c r="K77" i="1" s="1"/>
  <c r="F109" i="3"/>
  <c r="G109" i="3" s="1"/>
  <c r="L78" i="1" s="1"/>
  <c r="K78" i="1" s="1"/>
  <c r="F111" i="3"/>
  <c r="G111" i="3" s="1"/>
  <c r="L79" i="1" s="1"/>
  <c r="K79" i="1" s="1"/>
  <c r="F113" i="3"/>
  <c r="G113" i="3" s="1"/>
  <c r="L81" i="1" s="1"/>
  <c r="K81" i="1" s="1"/>
  <c r="F115" i="3"/>
  <c r="G115" i="3" s="1"/>
  <c r="L82" i="1" s="1"/>
  <c r="K82" i="1" s="1"/>
  <c r="F117" i="3"/>
  <c r="G117" i="3" s="1"/>
  <c r="L84" i="1" s="1"/>
  <c r="K84" i="1" s="1"/>
  <c r="F119" i="3"/>
  <c r="G119" i="3" s="1"/>
  <c r="L85" i="1" s="1"/>
  <c r="K85" i="1" s="1"/>
  <c r="F121" i="3"/>
  <c r="G121" i="3" s="1"/>
  <c r="L87" i="1" s="1"/>
  <c r="K87" i="1" s="1"/>
  <c r="F123" i="3"/>
  <c r="G123" i="3" s="1"/>
  <c r="L89" i="1" s="1"/>
  <c r="K89" i="1" s="1"/>
  <c r="F125" i="3"/>
  <c r="G125" i="3" s="1"/>
  <c r="L170" i="1" s="1"/>
  <c r="K170" i="1" s="1"/>
  <c r="F127" i="3"/>
  <c r="G127" i="3" s="1"/>
  <c r="L171" i="1" s="1"/>
  <c r="K171" i="1" s="1"/>
  <c r="F131" i="3"/>
  <c r="G131" i="3" s="1"/>
  <c r="L174" i="1" s="1"/>
  <c r="K174" i="1" s="1"/>
  <c r="F133" i="3"/>
  <c r="G133" i="3" s="1"/>
  <c r="L175" i="1" s="1"/>
  <c r="K175" i="1" s="1"/>
  <c r="F135" i="3"/>
  <c r="G135" i="3" s="1"/>
  <c r="L177" i="1" s="1"/>
  <c r="K177" i="1" s="1"/>
  <c r="F137" i="3"/>
  <c r="G137" i="3" s="1"/>
  <c r="L179" i="1" s="1"/>
  <c r="K179" i="1" s="1"/>
  <c r="F139" i="3"/>
  <c r="G139" i="3" s="1"/>
  <c r="L91" i="1" s="1"/>
  <c r="K91" i="1" s="1"/>
  <c r="F141" i="3"/>
  <c r="G141" i="3" s="1"/>
  <c r="L93" i="1" s="1"/>
  <c r="K93" i="1" s="1"/>
  <c r="F143" i="3"/>
  <c r="G143" i="3" s="1"/>
  <c r="L95" i="1" s="1"/>
  <c r="K95" i="1" s="1"/>
  <c r="F149" i="3"/>
  <c r="G149" i="3" s="1"/>
  <c r="L99" i="1" s="1"/>
  <c r="K99" i="1" s="1"/>
  <c r="F151" i="3"/>
  <c r="G151" i="3" s="1"/>
  <c r="L101" i="1" s="1"/>
  <c r="K101" i="1" s="1"/>
  <c r="N163" i="3"/>
  <c r="O163" i="3" s="1"/>
  <c r="M111" i="1" s="1"/>
  <c r="F164" i="3"/>
  <c r="G164" i="3" s="1"/>
  <c r="L112" i="1" s="1"/>
  <c r="K112" i="1" s="1"/>
  <c r="X164" i="3"/>
  <c r="Y164" i="3" s="1"/>
  <c r="N112" i="1" s="1"/>
  <c r="AH164" i="3"/>
  <c r="AI164" i="3" s="1"/>
  <c r="O112" i="1" s="1"/>
  <c r="N170" i="3"/>
  <c r="O170" i="3" s="1"/>
  <c r="M115" i="1" s="1"/>
  <c r="F171" i="3"/>
  <c r="G171" i="3" s="1"/>
  <c r="L46" i="1" s="1"/>
  <c r="K46" i="1" s="1"/>
  <c r="X171" i="3"/>
  <c r="Y171" i="3" s="1"/>
  <c r="N46" i="1" s="1"/>
  <c r="AH171" i="3"/>
  <c r="AI171" i="3" s="1"/>
  <c r="O46" i="1" s="1"/>
  <c r="N173" i="3"/>
  <c r="O173" i="3" s="1"/>
  <c r="M48" i="1" s="1"/>
  <c r="AH173" i="3"/>
  <c r="AI173" i="3" s="1"/>
  <c r="O48" i="1" s="1"/>
  <c r="N175" i="3"/>
  <c r="AH175" i="3"/>
  <c r="AI175" i="3" s="1"/>
  <c r="O50" i="1" s="1"/>
  <c r="F177" i="3"/>
  <c r="G177" i="3" s="1"/>
  <c r="L52" i="1" s="1"/>
  <c r="K52" i="1" s="1"/>
  <c r="F180" i="3"/>
  <c r="G180" i="3" s="1"/>
  <c r="L54" i="1" s="1"/>
  <c r="K54" i="1" s="1"/>
  <c r="F185" i="3"/>
  <c r="G185" i="3" s="1"/>
  <c r="L59" i="1" s="1"/>
  <c r="K59" i="1" s="1"/>
  <c r="F187" i="3"/>
  <c r="G187" i="3" s="1"/>
  <c r="L61" i="1" s="1"/>
  <c r="K61" i="1" s="1"/>
  <c r="F189" i="3"/>
  <c r="G189" i="3" s="1"/>
  <c r="L63" i="1" s="1"/>
  <c r="K63" i="1" s="1"/>
  <c r="F191" i="3"/>
  <c r="G191" i="3" s="1"/>
  <c r="L65" i="1" s="1"/>
  <c r="K65" i="1" s="1"/>
  <c r="F193" i="3"/>
  <c r="G193" i="3" s="1"/>
  <c r="L181" i="1" s="1"/>
  <c r="K181" i="1" s="1"/>
  <c r="F195" i="3"/>
  <c r="G195" i="3" s="1"/>
  <c r="L183" i="1" s="1"/>
  <c r="K183" i="1" s="1"/>
  <c r="F197" i="3"/>
  <c r="G197" i="3" s="1"/>
  <c r="L185" i="1" s="1"/>
  <c r="K185" i="1" s="1"/>
  <c r="F199" i="3"/>
  <c r="G199" i="3" s="1"/>
  <c r="L187" i="1" s="1"/>
  <c r="K187" i="1" s="1"/>
  <c r="N200" i="3"/>
  <c r="X200" i="3"/>
  <c r="Y200" i="3" s="1"/>
  <c r="N188" i="1" s="1"/>
  <c r="AH200" i="3"/>
  <c r="AI200" i="3" s="1"/>
  <c r="O188" i="1" s="1"/>
  <c r="N204" i="3"/>
  <c r="X204" i="3"/>
  <c r="Y204" i="3" s="1"/>
  <c r="N192" i="1" s="1"/>
  <c r="AH204" i="3"/>
  <c r="AI204" i="3" s="1"/>
  <c r="O192" i="1" s="1"/>
  <c r="F206" i="3"/>
  <c r="G206" i="3" s="1"/>
  <c r="L194" i="1" s="1"/>
  <c r="K194" i="1" s="1"/>
  <c r="X207" i="3"/>
  <c r="Y207" i="3" s="1"/>
  <c r="N195" i="1" s="1"/>
  <c r="X209" i="3"/>
  <c r="Y209" i="3" s="1"/>
  <c r="N197" i="1" s="1"/>
  <c r="X211" i="3"/>
  <c r="Y211" i="3" s="1"/>
  <c r="N199" i="1" s="1"/>
  <c r="AH211" i="3"/>
  <c r="AI211" i="3" s="1"/>
  <c r="O199" i="1" s="1"/>
  <c r="X213" i="3"/>
  <c r="Y213" i="3" s="1"/>
  <c r="N201" i="1" s="1"/>
  <c r="AH213" i="3"/>
  <c r="AI213" i="3" s="1"/>
  <c r="O201" i="1" s="1"/>
  <c r="N214" i="3"/>
  <c r="N216" i="3"/>
  <c r="X217" i="3"/>
  <c r="Y217" i="3" s="1"/>
  <c r="N119" i="1" s="1"/>
  <c r="AH217" i="3"/>
  <c r="AI217" i="3" s="1"/>
  <c r="O119" i="1" s="1"/>
  <c r="N218" i="3"/>
  <c r="X219" i="3"/>
  <c r="Y219" i="3" s="1"/>
  <c r="N121" i="1" s="1"/>
  <c r="AH219" i="3"/>
  <c r="AI219" i="3" s="1"/>
  <c r="O121" i="1" s="1"/>
  <c r="N220" i="3"/>
  <c r="X221" i="3"/>
  <c r="Y221" i="3" s="1"/>
  <c r="N123" i="1" s="1"/>
  <c r="AH221" i="3"/>
  <c r="AI221" i="3" s="1"/>
  <c r="O123" i="1" s="1"/>
  <c r="N222" i="3"/>
  <c r="X223" i="3"/>
  <c r="Y223" i="3" s="1"/>
  <c r="N125" i="1" s="1"/>
  <c r="AH223" i="3"/>
  <c r="AI223" i="3" s="1"/>
  <c r="O125" i="1" s="1"/>
  <c r="N224" i="3"/>
  <c r="X225" i="3"/>
  <c r="Y225" i="3" s="1"/>
  <c r="N127" i="1" s="1"/>
  <c r="AH225" i="3"/>
  <c r="AI225" i="3" s="1"/>
  <c r="O127" i="1" s="1"/>
  <c r="N226" i="3"/>
  <c r="X227" i="3"/>
  <c r="Y227" i="3" s="1"/>
  <c r="N129" i="1" s="1"/>
  <c r="AH227" i="3"/>
  <c r="AI227" i="3" s="1"/>
  <c r="O129" i="1" s="1"/>
  <c r="N228" i="3"/>
  <c r="X229" i="3"/>
  <c r="Y229" i="3" s="1"/>
  <c r="N131" i="1" s="1"/>
  <c r="AH229" i="3"/>
  <c r="AI229" i="3" s="1"/>
  <c r="O131" i="1" s="1"/>
  <c r="N230" i="3"/>
  <c r="AH137" i="3"/>
  <c r="AI137" i="3" s="1"/>
  <c r="O179" i="1" s="1"/>
  <c r="N138" i="3"/>
  <c r="O138" i="3" s="1"/>
  <c r="M155" i="1" s="1"/>
  <c r="X139" i="3"/>
  <c r="Y139" i="3" s="1"/>
  <c r="N91" i="1" s="1"/>
  <c r="AH139" i="3"/>
  <c r="AI139" i="3" s="1"/>
  <c r="O91" i="1" s="1"/>
  <c r="N140" i="3"/>
  <c r="X141" i="3"/>
  <c r="Y141" i="3" s="1"/>
  <c r="N93" i="1" s="1"/>
  <c r="AH141" i="3"/>
  <c r="AI141" i="3" s="1"/>
  <c r="O93" i="1" s="1"/>
  <c r="N142" i="3"/>
  <c r="X143" i="3"/>
  <c r="Y143" i="3" s="1"/>
  <c r="N95" i="1" s="1"/>
  <c r="AH143" i="3"/>
  <c r="AI143" i="3" s="1"/>
  <c r="O95" i="1" s="1"/>
  <c r="N144" i="3"/>
  <c r="AJ144" i="3" s="1"/>
  <c r="T116" i="1" s="1"/>
  <c r="X145" i="3"/>
  <c r="Y145" i="3" s="1"/>
  <c r="N96" i="1" s="1"/>
  <c r="AH145" i="3"/>
  <c r="AI145" i="3" s="1"/>
  <c r="O96" i="1" s="1"/>
  <c r="N146" i="3"/>
  <c r="O146" i="3" s="1"/>
  <c r="M97" i="1" s="1"/>
  <c r="X147" i="3"/>
  <c r="Y147" i="3" s="1"/>
  <c r="N98" i="1" s="1"/>
  <c r="AH147" i="3"/>
  <c r="AI147" i="3" s="1"/>
  <c r="O98" i="1" s="1"/>
  <c r="N148" i="3"/>
  <c r="X149" i="3"/>
  <c r="Y149" i="3" s="1"/>
  <c r="N99" i="1" s="1"/>
  <c r="X151" i="3"/>
  <c r="Y151" i="3" s="1"/>
  <c r="N101" i="1" s="1"/>
  <c r="N152" i="3"/>
  <c r="O152" i="3" s="1"/>
  <c r="M102" i="1" s="1"/>
  <c r="X153" i="3"/>
  <c r="Y153" i="3" s="1"/>
  <c r="N103" i="1" s="1"/>
  <c r="N154" i="3"/>
  <c r="O154" i="3" s="1"/>
  <c r="M104" i="1" s="1"/>
  <c r="X155" i="3"/>
  <c r="Y155" i="3" s="1"/>
  <c r="N106" i="1" s="1"/>
  <c r="N156" i="3"/>
  <c r="O156" i="3" s="1"/>
  <c r="M107" i="1" s="1"/>
  <c r="X157" i="3"/>
  <c r="Y157" i="3" s="1"/>
  <c r="N108" i="1" s="1"/>
  <c r="N158" i="3"/>
  <c r="O158" i="3" s="1"/>
  <c r="M109" i="1" s="1"/>
  <c r="N160" i="3"/>
  <c r="AJ160" i="3" s="1"/>
  <c r="T110" i="1" s="1"/>
  <c r="X161" i="3"/>
  <c r="Y161" i="3" s="1"/>
  <c r="AH161" i="3"/>
  <c r="AI161" i="3" s="1"/>
  <c r="X166" i="3"/>
  <c r="Y166" i="3" s="1"/>
  <c r="N113" i="1" s="1"/>
  <c r="AH166" i="3"/>
  <c r="AI166" i="3" s="1"/>
  <c r="O113" i="1" s="1"/>
  <c r="N167" i="3"/>
  <c r="X168" i="3"/>
  <c r="Y168" i="3" s="1"/>
  <c r="N117" i="1" s="1"/>
  <c r="AH168" i="3"/>
  <c r="AI168" i="3" s="1"/>
  <c r="O117" i="1" s="1"/>
  <c r="F172" i="3"/>
  <c r="G172" i="3" s="1"/>
  <c r="L47" i="1" s="1"/>
  <c r="K47" i="1" s="1"/>
  <c r="F174" i="3"/>
  <c r="G174" i="3" s="1"/>
  <c r="L49" i="1" s="1"/>
  <c r="K49" i="1" s="1"/>
  <c r="N177" i="3"/>
  <c r="AH177" i="3"/>
  <c r="AI177" i="3" s="1"/>
  <c r="O52" i="1" s="1"/>
  <c r="N180" i="3"/>
  <c r="O180" i="3" s="1"/>
  <c r="M54" i="1" s="1"/>
  <c r="X180" i="3"/>
  <c r="Y180" i="3" s="1"/>
  <c r="N54" i="1" s="1"/>
  <c r="AH180" i="3"/>
  <c r="AI180" i="3" s="1"/>
  <c r="O54" i="1" s="1"/>
  <c r="N183" i="3"/>
  <c r="O183" i="3" s="1"/>
  <c r="M57" i="1" s="1"/>
  <c r="AH183" i="3"/>
  <c r="AI183" i="3" s="1"/>
  <c r="O57" i="1" s="1"/>
  <c r="N184" i="3"/>
  <c r="X185" i="3"/>
  <c r="Y185" i="3" s="1"/>
  <c r="N59" i="1" s="1"/>
  <c r="AH185" i="3"/>
  <c r="AI185" i="3" s="1"/>
  <c r="O59" i="1" s="1"/>
  <c r="N186" i="3"/>
  <c r="AK186" i="3" s="1"/>
  <c r="Q60" i="1" s="1"/>
  <c r="X187" i="3"/>
  <c r="Y187" i="3" s="1"/>
  <c r="N61" i="1" s="1"/>
  <c r="AH187" i="3"/>
  <c r="AI187" i="3" s="1"/>
  <c r="O61" i="1" s="1"/>
  <c r="N188" i="3"/>
  <c r="AJ188" i="3" s="1"/>
  <c r="T62" i="1" s="1"/>
  <c r="X189" i="3"/>
  <c r="Y189" i="3" s="1"/>
  <c r="N63" i="1" s="1"/>
  <c r="AH189" i="3"/>
  <c r="AI189" i="3" s="1"/>
  <c r="O63" i="1" s="1"/>
  <c r="N190" i="3"/>
  <c r="X191" i="3"/>
  <c r="Y191" i="3" s="1"/>
  <c r="N65" i="1" s="1"/>
  <c r="AH191" i="3"/>
  <c r="AI191" i="3" s="1"/>
  <c r="O65" i="1" s="1"/>
  <c r="N192" i="3"/>
  <c r="X193" i="3"/>
  <c r="Y193" i="3" s="1"/>
  <c r="N181" i="1" s="1"/>
  <c r="AH193" i="3"/>
  <c r="AI193" i="3" s="1"/>
  <c r="O181" i="1" s="1"/>
  <c r="N195" i="3"/>
  <c r="O195" i="3" s="1"/>
  <c r="M183" i="1" s="1"/>
  <c r="X195" i="3"/>
  <c r="Y195" i="3" s="1"/>
  <c r="N183" i="1" s="1"/>
  <c r="AH195" i="3"/>
  <c r="AI195" i="3" s="1"/>
  <c r="O183" i="1" s="1"/>
  <c r="N197" i="3"/>
  <c r="O197" i="3" s="1"/>
  <c r="M185" i="1" s="1"/>
  <c r="X197" i="3"/>
  <c r="Y197" i="3" s="1"/>
  <c r="N185" i="1" s="1"/>
  <c r="AH197" i="3"/>
  <c r="AI197" i="3" s="1"/>
  <c r="O185" i="1" s="1"/>
  <c r="N199" i="3"/>
  <c r="X199" i="3"/>
  <c r="Y199" i="3" s="1"/>
  <c r="N187" i="1" s="1"/>
  <c r="AH199" i="3"/>
  <c r="AI199" i="3" s="1"/>
  <c r="O187" i="1" s="1"/>
  <c r="N203" i="3"/>
  <c r="X203" i="3"/>
  <c r="Y203" i="3" s="1"/>
  <c r="N191" i="1" s="1"/>
  <c r="AH203" i="3"/>
  <c r="AI203" i="3" s="1"/>
  <c r="O191" i="1" s="1"/>
  <c r="X206" i="3"/>
  <c r="Y206" i="3" s="1"/>
  <c r="N194" i="1" s="1"/>
  <c r="F214" i="3"/>
  <c r="G214" i="3" s="1"/>
  <c r="L202" i="1" s="1"/>
  <c r="K202" i="1" s="1"/>
  <c r="F216" i="3"/>
  <c r="G216" i="3" s="1"/>
  <c r="L118" i="1" s="1"/>
  <c r="K118" i="1" s="1"/>
  <c r="F218" i="3"/>
  <c r="G218" i="3" s="1"/>
  <c r="L120" i="1" s="1"/>
  <c r="K120" i="1" s="1"/>
  <c r="F220" i="3"/>
  <c r="G220" i="3" s="1"/>
  <c r="L122" i="1" s="1"/>
  <c r="K122" i="1" s="1"/>
  <c r="F222" i="3"/>
  <c r="G222" i="3" s="1"/>
  <c r="L124" i="1" s="1"/>
  <c r="K124" i="1" s="1"/>
  <c r="F224" i="3"/>
  <c r="G224" i="3" s="1"/>
  <c r="L126" i="1" s="1"/>
  <c r="K126" i="1" s="1"/>
  <c r="F226" i="3"/>
  <c r="G226" i="3" s="1"/>
  <c r="L128" i="1" s="1"/>
  <c r="K128" i="1" s="1"/>
  <c r="F228" i="3"/>
  <c r="G228" i="3" s="1"/>
  <c r="L130" i="1" s="1"/>
  <c r="K130" i="1" s="1"/>
  <c r="F230" i="3"/>
  <c r="G230" i="3" s="1"/>
  <c r="L132" i="1" s="1"/>
  <c r="K132" i="1" s="1"/>
  <c r="F232" i="3"/>
  <c r="G232" i="3" s="1"/>
  <c r="L134" i="1" s="1"/>
  <c r="K134" i="1" s="1"/>
  <c r="F132" i="3"/>
  <c r="G132" i="3" s="1"/>
  <c r="L149" i="1" s="1"/>
  <c r="K149" i="1" s="1"/>
  <c r="F134" i="3"/>
  <c r="G134" i="3" s="1"/>
  <c r="L176" i="1" s="1"/>
  <c r="K176" i="1" s="1"/>
  <c r="F136" i="3"/>
  <c r="G136" i="3" s="1"/>
  <c r="L178" i="1" s="1"/>
  <c r="K178" i="1" s="1"/>
  <c r="F138" i="3"/>
  <c r="G138" i="3" s="1"/>
  <c r="L155" i="1" s="1"/>
  <c r="K155" i="1" s="1"/>
  <c r="F140" i="3"/>
  <c r="G140" i="3" s="1"/>
  <c r="L92" i="1" s="1"/>
  <c r="K92" i="1" s="1"/>
  <c r="F142" i="3"/>
  <c r="G142" i="3" s="1"/>
  <c r="L94" i="1" s="1"/>
  <c r="K94" i="1" s="1"/>
  <c r="F144" i="3"/>
  <c r="G144" i="3" s="1"/>
  <c r="L116" i="1" s="1"/>
  <c r="K116" i="1" s="1"/>
  <c r="F163" i="3"/>
  <c r="G163" i="3" s="1"/>
  <c r="L111" i="1" s="1"/>
  <c r="K111" i="1" s="1"/>
  <c r="X163" i="3"/>
  <c r="Y163" i="3" s="1"/>
  <c r="N111" i="1" s="1"/>
  <c r="AH163" i="3"/>
  <c r="AI163" i="3" s="1"/>
  <c r="O111" i="1" s="1"/>
  <c r="N164" i="3"/>
  <c r="F170" i="3"/>
  <c r="G170" i="3" s="1"/>
  <c r="L115" i="1" s="1"/>
  <c r="K115" i="1" s="1"/>
  <c r="X170" i="3"/>
  <c r="Y170" i="3" s="1"/>
  <c r="N115" i="1" s="1"/>
  <c r="AH170" i="3"/>
  <c r="AI170" i="3" s="1"/>
  <c r="O115" i="1" s="1"/>
  <c r="N171" i="3"/>
  <c r="N172" i="3"/>
  <c r="AH172" i="3"/>
  <c r="AI172" i="3" s="1"/>
  <c r="O47" i="1" s="1"/>
  <c r="N174" i="3"/>
  <c r="O174" i="3" s="1"/>
  <c r="M49" i="1" s="1"/>
  <c r="AH174" i="3"/>
  <c r="AI174" i="3" s="1"/>
  <c r="O49" i="1" s="1"/>
  <c r="F178" i="3"/>
  <c r="G178" i="3" s="1"/>
  <c r="L53" i="1" s="1"/>
  <c r="K53" i="1" s="1"/>
  <c r="F181" i="3"/>
  <c r="G181" i="3" s="1"/>
  <c r="L55" i="1" s="1"/>
  <c r="K55" i="1" s="1"/>
  <c r="N182" i="3"/>
  <c r="X182" i="3"/>
  <c r="Y182" i="3" s="1"/>
  <c r="N56" i="1" s="1"/>
  <c r="AH182" i="3"/>
  <c r="AI182" i="3" s="1"/>
  <c r="O56" i="1" s="1"/>
  <c r="F184" i="3"/>
  <c r="G184" i="3" s="1"/>
  <c r="L58" i="1" s="1"/>
  <c r="K58" i="1" s="1"/>
  <c r="F186" i="3"/>
  <c r="G186" i="3" s="1"/>
  <c r="L60" i="1" s="1"/>
  <c r="K60" i="1" s="1"/>
  <c r="F188" i="3"/>
  <c r="G188" i="3" s="1"/>
  <c r="L62" i="1" s="1"/>
  <c r="K62" i="1" s="1"/>
  <c r="F190" i="3"/>
  <c r="G190" i="3" s="1"/>
  <c r="L64" i="1" s="1"/>
  <c r="K64" i="1" s="1"/>
  <c r="F192" i="3"/>
  <c r="G192" i="3" s="1"/>
  <c r="L180" i="1" s="1"/>
  <c r="K180" i="1" s="1"/>
  <c r="F194" i="3"/>
  <c r="G194" i="3" s="1"/>
  <c r="L182" i="1" s="1"/>
  <c r="K182" i="1" s="1"/>
  <c r="F196" i="3"/>
  <c r="G196" i="3" s="1"/>
  <c r="L184" i="1" s="1"/>
  <c r="K184" i="1" s="1"/>
  <c r="F198" i="3"/>
  <c r="G198" i="3" s="1"/>
  <c r="L186" i="1" s="1"/>
  <c r="K186" i="1" s="1"/>
  <c r="N202" i="3"/>
  <c r="X202" i="3"/>
  <c r="Y202" i="3" s="1"/>
  <c r="N190" i="1" s="1"/>
  <c r="AH202" i="3"/>
  <c r="AI202" i="3" s="1"/>
  <c r="O190" i="1" s="1"/>
  <c r="F207" i="3"/>
  <c r="G207" i="3" s="1"/>
  <c r="L195" i="1" s="1"/>
  <c r="K195" i="1" s="1"/>
  <c r="X208" i="3"/>
  <c r="Y208" i="3" s="1"/>
  <c r="N196" i="1" s="1"/>
  <c r="N209" i="3"/>
  <c r="O209" i="3" s="1"/>
  <c r="M197" i="1" s="1"/>
  <c r="X210" i="3"/>
  <c r="Y210" i="3" s="1"/>
  <c r="N198" i="1" s="1"/>
  <c r="N211" i="3"/>
  <c r="O211" i="3" s="1"/>
  <c r="M199" i="1" s="1"/>
  <c r="X212" i="3"/>
  <c r="Y212" i="3" s="1"/>
  <c r="N200" i="1" s="1"/>
  <c r="X214" i="3"/>
  <c r="Y214" i="3" s="1"/>
  <c r="N202" i="1" s="1"/>
  <c r="AH214" i="3"/>
  <c r="AI214" i="3" s="1"/>
  <c r="O202" i="1" s="1"/>
  <c r="X216" i="3"/>
  <c r="Y216" i="3" s="1"/>
  <c r="N118" i="1" s="1"/>
  <c r="AH216" i="3"/>
  <c r="AI216" i="3" s="1"/>
  <c r="O118" i="1" s="1"/>
  <c r="N217" i="3"/>
  <c r="X218" i="3"/>
  <c r="Y218" i="3" s="1"/>
  <c r="N120" i="1" s="1"/>
  <c r="AH218" i="3"/>
  <c r="AI218" i="3" s="1"/>
  <c r="O120" i="1" s="1"/>
  <c r="N219" i="3"/>
  <c r="X220" i="3"/>
  <c r="Y220" i="3" s="1"/>
  <c r="N122" i="1" s="1"/>
  <c r="AH220" i="3"/>
  <c r="AI220" i="3" s="1"/>
  <c r="O122" i="1" s="1"/>
  <c r="N221" i="3"/>
  <c r="X222" i="3"/>
  <c r="Y222" i="3" s="1"/>
  <c r="N124" i="1" s="1"/>
  <c r="AH222" i="3"/>
  <c r="AI222" i="3" s="1"/>
  <c r="O124" i="1" s="1"/>
  <c r="N223" i="3"/>
  <c r="X224" i="3"/>
  <c r="Y224" i="3" s="1"/>
  <c r="N126" i="1" s="1"/>
  <c r="AH224" i="3"/>
  <c r="AI224" i="3" s="1"/>
  <c r="O126" i="1" s="1"/>
  <c r="N225" i="3"/>
  <c r="O225" i="3" s="1"/>
  <c r="M127" i="1" s="1"/>
  <c r="X226" i="3"/>
  <c r="Y226" i="3" s="1"/>
  <c r="N128" i="1" s="1"/>
  <c r="AH226" i="3"/>
  <c r="AI226" i="3" s="1"/>
  <c r="O128" i="1" s="1"/>
  <c r="N227" i="3"/>
  <c r="X228" i="3"/>
  <c r="Y228" i="3" s="1"/>
  <c r="N130" i="1" s="1"/>
  <c r="AH228" i="3"/>
  <c r="AI228" i="3" s="1"/>
  <c r="O130" i="1" s="1"/>
  <c r="N229" i="3"/>
  <c r="X230" i="3"/>
  <c r="Y230" i="3" s="1"/>
  <c r="N132" i="1" s="1"/>
  <c r="AH230" i="3"/>
  <c r="AI230" i="3" s="1"/>
  <c r="O132" i="1" s="1"/>
  <c r="N231" i="3"/>
  <c r="X232" i="3"/>
  <c r="Y232" i="3" s="1"/>
  <c r="N134" i="1" s="1"/>
  <c r="AH232" i="3"/>
  <c r="AI232" i="3" s="1"/>
  <c r="O134" i="1" s="1"/>
  <c r="F231" i="3"/>
  <c r="G231" i="3" s="1"/>
  <c r="L133" i="1" s="1"/>
  <c r="K133" i="1" s="1"/>
  <c r="AK2" i="3"/>
  <c r="AJ2" i="3"/>
  <c r="O2" i="3"/>
  <c r="AK4" i="3"/>
  <c r="AJ4" i="3"/>
  <c r="O4" i="3"/>
  <c r="AK6" i="3"/>
  <c r="AJ6" i="3"/>
  <c r="O6" i="3"/>
  <c r="AK8" i="3"/>
  <c r="AJ8" i="3"/>
  <c r="O8" i="3"/>
  <c r="AK10" i="3"/>
  <c r="AJ10" i="3"/>
  <c r="O10" i="3"/>
  <c r="AK12" i="3"/>
  <c r="AJ12" i="3"/>
  <c r="O12" i="3"/>
  <c r="AK14" i="3"/>
  <c r="AJ14" i="3"/>
  <c r="O14" i="3"/>
  <c r="AK16" i="3"/>
  <c r="AJ16" i="3"/>
  <c r="O16" i="3"/>
  <c r="O18" i="3"/>
  <c r="M3" i="1" s="1"/>
  <c r="O20" i="3"/>
  <c r="M5" i="1" s="1"/>
  <c r="O24" i="3"/>
  <c r="M9" i="1" s="1"/>
  <c r="AK3" i="3"/>
  <c r="AJ3" i="3"/>
  <c r="O3" i="3"/>
  <c r="AK5" i="3"/>
  <c r="AJ5" i="3"/>
  <c r="O5" i="3"/>
  <c r="AK7" i="3"/>
  <c r="AJ7" i="3"/>
  <c r="O7" i="3"/>
  <c r="AK9" i="3"/>
  <c r="AJ9" i="3"/>
  <c r="O9" i="3"/>
  <c r="AK11" i="3"/>
  <c r="AJ11" i="3"/>
  <c r="O11" i="3"/>
  <c r="AK13" i="3"/>
  <c r="AJ13" i="3"/>
  <c r="O13" i="3"/>
  <c r="AK15" i="3"/>
  <c r="AJ15" i="3"/>
  <c r="O15" i="3"/>
  <c r="AJ17" i="3"/>
  <c r="T2" i="1" s="1"/>
  <c r="O17" i="3"/>
  <c r="M2" i="1" s="1"/>
  <c r="O21" i="3"/>
  <c r="M6" i="1" s="1"/>
  <c r="AK23" i="3"/>
  <c r="Q8" i="1" s="1"/>
  <c r="O23" i="3"/>
  <c r="M8" i="1" s="1"/>
  <c r="O26" i="3"/>
  <c r="M11" i="1" s="1"/>
  <c r="AH27" i="3"/>
  <c r="AI27" i="3" s="1"/>
  <c r="O12" i="1" s="1"/>
  <c r="F28" i="3"/>
  <c r="G28" i="3" s="1"/>
  <c r="L13" i="1" s="1"/>
  <c r="K13" i="1" s="1"/>
  <c r="N28" i="3"/>
  <c r="AH31" i="3"/>
  <c r="AI31" i="3" s="1"/>
  <c r="O16" i="1" s="1"/>
  <c r="F32" i="3"/>
  <c r="G32" i="3" s="1"/>
  <c r="L17" i="1" s="1"/>
  <c r="K17" i="1" s="1"/>
  <c r="N32" i="3"/>
  <c r="O34" i="3"/>
  <c r="M19" i="1" s="1"/>
  <c r="AH35" i="3"/>
  <c r="AI35" i="3" s="1"/>
  <c r="O20" i="1" s="1"/>
  <c r="F36" i="3"/>
  <c r="G36" i="3" s="1"/>
  <c r="L21" i="1" s="1"/>
  <c r="K21" i="1" s="1"/>
  <c r="N36" i="3"/>
  <c r="O38" i="3"/>
  <c r="M23" i="1" s="1"/>
  <c r="AH39" i="3"/>
  <c r="AI39" i="3" s="1"/>
  <c r="O24" i="1" s="1"/>
  <c r="F40" i="3"/>
  <c r="G40" i="3" s="1"/>
  <c r="L25" i="1" s="1"/>
  <c r="K25" i="1" s="1"/>
  <c r="N40" i="3"/>
  <c r="O42" i="3"/>
  <c r="M27" i="1" s="1"/>
  <c r="AH43" i="3"/>
  <c r="AI43" i="3" s="1"/>
  <c r="O28" i="1" s="1"/>
  <c r="X45" i="3"/>
  <c r="Y45" i="3" s="1"/>
  <c r="N30" i="1" s="1"/>
  <c r="N46" i="3"/>
  <c r="AH46" i="3"/>
  <c r="AI46" i="3" s="1"/>
  <c r="O31" i="1" s="1"/>
  <c r="F25" i="3"/>
  <c r="G25" i="3" s="1"/>
  <c r="L10" i="1" s="1"/>
  <c r="K10" i="1" s="1"/>
  <c r="N25" i="3"/>
  <c r="AH28" i="3"/>
  <c r="AI28" i="3" s="1"/>
  <c r="O13" i="1" s="1"/>
  <c r="F29" i="3"/>
  <c r="G29" i="3" s="1"/>
  <c r="L14" i="1" s="1"/>
  <c r="K14" i="1" s="1"/>
  <c r="N29" i="3"/>
  <c r="AH32" i="3"/>
  <c r="AI32" i="3" s="1"/>
  <c r="O17" i="1" s="1"/>
  <c r="F33" i="3"/>
  <c r="G33" i="3" s="1"/>
  <c r="L18" i="1" s="1"/>
  <c r="K18" i="1" s="1"/>
  <c r="N33" i="3"/>
  <c r="O35" i="3"/>
  <c r="M20" i="1" s="1"/>
  <c r="AH36" i="3"/>
  <c r="AI36" i="3" s="1"/>
  <c r="O21" i="1" s="1"/>
  <c r="F37" i="3"/>
  <c r="G37" i="3" s="1"/>
  <c r="L22" i="1" s="1"/>
  <c r="K22" i="1" s="1"/>
  <c r="O39" i="3"/>
  <c r="M24" i="1" s="1"/>
  <c r="AH40" i="3"/>
  <c r="AI40" i="3" s="1"/>
  <c r="O25" i="1" s="1"/>
  <c r="F41" i="3"/>
  <c r="G41" i="3" s="1"/>
  <c r="L26" i="1" s="1"/>
  <c r="K26" i="1" s="1"/>
  <c r="N41" i="3"/>
  <c r="O43" i="3"/>
  <c r="M28" i="1" s="1"/>
  <c r="AH44" i="3"/>
  <c r="AI44" i="3" s="1"/>
  <c r="O29" i="1" s="1"/>
  <c r="F45" i="3"/>
  <c r="G45" i="3" s="1"/>
  <c r="L30" i="1" s="1"/>
  <c r="K30" i="1" s="1"/>
  <c r="N45" i="3"/>
  <c r="AH45" i="3"/>
  <c r="AI45" i="3" s="1"/>
  <c r="O30" i="1" s="1"/>
  <c r="X48" i="3"/>
  <c r="Y48" i="3" s="1"/>
  <c r="N33" i="1" s="1"/>
  <c r="F49" i="3"/>
  <c r="G49" i="3" s="1"/>
  <c r="L34" i="1" s="1"/>
  <c r="K34" i="1" s="1"/>
  <c r="N49" i="3"/>
  <c r="AH49" i="3"/>
  <c r="AI49" i="3" s="1"/>
  <c r="O34" i="1" s="1"/>
  <c r="O51" i="3"/>
  <c r="M36" i="1" s="1"/>
  <c r="AK51" i="3"/>
  <c r="Q36" i="1" s="1"/>
  <c r="AJ51" i="3"/>
  <c r="T36" i="1" s="1"/>
  <c r="O53" i="3"/>
  <c r="M38" i="1" s="1"/>
  <c r="O55" i="3"/>
  <c r="M40" i="1" s="1"/>
  <c r="O57" i="3"/>
  <c r="M42" i="1" s="1"/>
  <c r="AK57" i="3"/>
  <c r="Q42" i="1" s="1"/>
  <c r="AJ57" i="3"/>
  <c r="T42" i="1" s="1"/>
  <c r="O59" i="3"/>
  <c r="M44" i="1" s="1"/>
  <c r="AK59" i="3"/>
  <c r="Q44" i="1" s="1"/>
  <c r="AJ59" i="3"/>
  <c r="T44" i="1" s="1"/>
  <c r="AJ61" i="3"/>
  <c r="T139" i="1" s="1"/>
  <c r="AK63" i="3"/>
  <c r="Q141" i="1" s="1"/>
  <c r="O65" i="3"/>
  <c r="M144" i="1" s="1"/>
  <c r="AK65" i="3"/>
  <c r="Q144" i="1" s="1"/>
  <c r="AJ65" i="3"/>
  <c r="T144" i="1" s="1"/>
  <c r="O67" i="3"/>
  <c r="AK67" i="3"/>
  <c r="AJ67" i="3"/>
  <c r="O69" i="3"/>
  <c r="M146" i="1" s="1"/>
  <c r="AK83" i="3"/>
  <c r="Y83" i="3"/>
  <c r="X47" i="3"/>
  <c r="Y47" i="3" s="1"/>
  <c r="N32" i="1" s="1"/>
  <c r="N48" i="3"/>
  <c r="AH48" i="3"/>
  <c r="AI48" i="3" s="1"/>
  <c r="O33" i="1" s="1"/>
  <c r="Y74" i="3"/>
  <c r="N152" i="1" s="1"/>
  <c r="AH26" i="3"/>
  <c r="AI26" i="3" s="1"/>
  <c r="O11" i="1" s="1"/>
  <c r="N27" i="3"/>
  <c r="AH30" i="3"/>
  <c r="AI30" i="3" s="1"/>
  <c r="O15" i="1" s="1"/>
  <c r="N31" i="3"/>
  <c r="AH34" i="3"/>
  <c r="AI34" i="3" s="1"/>
  <c r="O19" i="1" s="1"/>
  <c r="O37" i="3"/>
  <c r="M22" i="1" s="1"/>
  <c r="AH38" i="3"/>
  <c r="AI38" i="3" s="1"/>
  <c r="O23" i="1" s="1"/>
  <c r="AH42" i="3"/>
  <c r="AI42" i="3" s="1"/>
  <c r="O27" i="1" s="1"/>
  <c r="X46" i="3"/>
  <c r="Y46" i="3" s="1"/>
  <c r="N31" i="1" s="1"/>
  <c r="N47" i="3"/>
  <c r="AH47" i="3"/>
  <c r="AI47" i="3" s="1"/>
  <c r="O32" i="1" s="1"/>
  <c r="X50" i="3"/>
  <c r="Y50" i="3" s="1"/>
  <c r="N35" i="1" s="1"/>
  <c r="AH50" i="3"/>
  <c r="AI50" i="3" s="1"/>
  <c r="O35" i="1" s="1"/>
  <c r="O52" i="3"/>
  <c r="M37" i="1" s="1"/>
  <c r="O54" i="3"/>
  <c r="M39" i="1" s="1"/>
  <c r="AK54" i="3"/>
  <c r="Q39" i="1" s="1"/>
  <c r="AJ54" i="3"/>
  <c r="T39" i="1" s="1"/>
  <c r="O56" i="3"/>
  <c r="M41" i="1" s="1"/>
  <c r="AK56" i="3"/>
  <c r="Q41" i="1" s="1"/>
  <c r="O58" i="3"/>
  <c r="M43" i="1" s="1"/>
  <c r="O60" i="3"/>
  <c r="M45" i="1" s="1"/>
  <c r="O62" i="3"/>
  <c r="M140" i="1" s="1"/>
  <c r="AK62" i="3"/>
  <c r="Q140" i="1" s="1"/>
  <c r="AJ62" i="3"/>
  <c r="T140" i="1" s="1"/>
  <c r="O64" i="3"/>
  <c r="M142" i="1" s="1"/>
  <c r="AK64" i="3"/>
  <c r="Q142" i="1" s="1"/>
  <c r="O66" i="3"/>
  <c r="M135" i="1" s="1"/>
  <c r="O68" i="3"/>
  <c r="M145" i="1" s="1"/>
  <c r="O70" i="3"/>
  <c r="M136" i="1" s="1"/>
  <c r="AK70" i="3"/>
  <c r="Q136" i="1" s="1"/>
  <c r="AJ70" i="3"/>
  <c r="T136" i="1" s="1"/>
  <c r="Y78" i="3"/>
  <c r="N154" i="1" s="1"/>
  <c r="AH72" i="3"/>
  <c r="AI72" i="3" s="1"/>
  <c r="O150" i="1" s="1"/>
  <c r="F73" i="3"/>
  <c r="G73" i="3" s="1"/>
  <c r="L151" i="1" s="1"/>
  <c r="K151" i="1" s="1"/>
  <c r="N73" i="3"/>
  <c r="AH76" i="3"/>
  <c r="AI76" i="3" s="1"/>
  <c r="O153" i="1" s="1"/>
  <c r="F77" i="3"/>
  <c r="G77" i="3" s="1"/>
  <c r="L138" i="1" s="1"/>
  <c r="K138" i="1" s="1"/>
  <c r="N77" i="3"/>
  <c r="AH80" i="3"/>
  <c r="AI80" i="3" s="1"/>
  <c r="O157" i="1" s="1"/>
  <c r="N82" i="3"/>
  <c r="AH82" i="3"/>
  <c r="AI82" i="3" s="1"/>
  <c r="O159" i="1" s="1"/>
  <c r="N84" i="3"/>
  <c r="O72" i="3"/>
  <c r="M150" i="1" s="1"/>
  <c r="AH73" i="3"/>
  <c r="AI73" i="3" s="1"/>
  <c r="O151" i="1" s="1"/>
  <c r="F74" i="3"/>
  <c r="G74" i="3" s="1"/>
  <c r="L152" i="1" s="1"/>
  <c r="K152" i="1" s="1"/>
  <c r="O76" i="3"/>
  <c r="M153" i="1" s="1"/>
  <c r="AH77" i="3"/>
  <c r="AI77" i="3" s="1"/>
  <c r="O138" i="1" s="1"/>
  <c r="F78" i="3"/>
  <c r="G78" i="3" s="1"/>
  <c r="L154" i="1" s="1"/>
  <c r="K154" i="1" s="1"/>
  <c r="O80" i="3"/>
  <c r="M157" i="1" s="1"/>
  <c r="F82" i="3"/>
  <c r="G82" i="3" s="1"/>
  <c r="L159" i="1" s="1"/>
  <c r="K159" i="1" s="1"/>
  <c r="F84" i="3"/>
  <c r="G84" i="3" s="1"/>
  <c r="L160" i="1" s="1"/>
  <c r="K160" i="1" s="1"/>
  <c r="AJ86" i="3"/>
  <c r="T162" i="1" s="1"/>
  <c r="AK90" i="3"/>
  <c r="Q166" i="1" s="1"/>
  <c r="AJ90" i="3"/>
  <c r="T166" i="1" s="1"/>
  <c r="O90" i="3"/>
  <c r="M166" i="1" s="1"/>
  <c r="AK92" i="3"/>
  <c r="Q168" i="1" s="1"/>
  <c r="AJ92" i="3"/>
  <c r="T168" i="1" s="1"/>
  <c r="O92" i="3"/>
  <c r="M168" i="1" s="1"/>
  <c r="AK94" i="3"/>
  <c r="Q66" i="1" s="1"/>
  <c r="AK98" i="3"/>
  <c r="AJ98" i="3"/>
  <c r="O98" i="3"/>
  <c r="O100" i="3"/>
  <c r="M71" i="1" s="1"/>
  <c r="AK102" i="3"/>
  <c r="AJ102" i="3"/>
  <c r="O102" i="3"/>
  <c r="AK104" i="3"/>
  <c r="Q74" i="1" s="1"/>
  <c r="AJ104" i="3"/>
  <c r="T74" i="1" s="1"/>
  <c r="O104" i="3"/>
  <c r="M74" i="1" s="1"/>
  <c r="AJ106" i="3"/>
  <c r="T76" i="1" s="1"/>
  <c r="AK110" i="3"/>
  <c r="AJ110" i="3"/>
  <c r="O110" i="3"/>
  <c r="AK114" i="3"/>
  <c r="AJ114" i="3"/>
  <c r="O114" i="3"/>
  <c r="AK116" i="3"/>
  <c r="Q83" i="1" s="1"/>
  <c r="AJ116" i="3"/>
  <c r="T83" i="1" s="1"/>
  <c r="O116" i="3"/>
  <c r="M83" i="1" s="1"/>
  <c r="AK118" i="3"/>
  <c r="AJ118" i="3"/>
  <c r="O118" i="3"/>
  <c r="AK120" i="3"/>
  <c r="Q86" i="1" s="1"/>
  <c r="AJ120" i="3"/>
  <c r="T86" i="1" s="1"/>
  <c r="O120" i="3"/>
  <c r="M86" i="1" s="1"/>
  <c r="AK122" i="3"/>
  <c r="Q88" i="1" s="1"/>
  <c r="AJ122" i="3"/>
  <c r="T88" i="1" s="1"/>
  <c r="O122" i="3"/>
  <c r="M88" i="1" s="1"/>
  <c r="AJ124" i="3"/>
  <c r="T90" i="1" s="1"/>
  <c r="AH74" i="3"/>
  <c r="AI74" i="3" s="1"/>
  <c r="O152" i="1" s="1"/>
  <c r="F75" i="3"/>
  <c r="G75" i="3" s="1"/>
  <c r="L137" i="1" s="1"/>
  <c r="K137" i="1" s="1"/>
  <c r="N75" i="3"/>
  <c r="AH78" i="3"/>
  <c r="AI78" i="3" s="1"/>
  <c r="O154" i="1" s="1"/>
  <c r="F79" i="3"/>
  <c r="G79" i="3" s="1"/>
  <c r="L156" i="1" s="1"/>
  <c r="K156" i="1" s="1"/>
  <c r="N79" i="3"/>
  <c r="N81" i="3"/>
  <c r="AH81" i="3"/>
  <c r="AI81" i="3" s="1"/>
  <c r="O158" i="1" s="1"/>
  <c r="AJ83" i="3"/>
  <c r="X84" i="3"/>
  <c r="Y84" i="3" s="1"/>
  <c r="N160" i="1" s="1"/>
  <c r="O85" i="3"/>
  <c r="M161" i="1" s="1"/>
  <c r="AK87" i="3"/>
  <c r="Q163" i="1" s="1"/>
  <c r="AJ87" i="3"/>
  <c r="T163" i="1" s="1"/>
  <c r="O87" i="3"/>
  <c r="M163" i="1" s="1"/>
  <c r="AK89" i="3"/>
  <c r="Q165" i="1" s="1"/>
  <c r="O89" i="3"/>
  <c r="M165" i="1" s="1"/>
  <c r="O91" i="3"/>
  <c r="M167" i="1" s="1"/>
  <c r="O93" i="3"/>
  <c r="M169" i="1" s="1"/>
  <c r="AK95" i="3"/>
  <c r="Q67" i="1" s="1"/>
  <c r="AJ95" i="3"/>
  <c r="T67" i="1" s="1"/>
  <c r="O95" i="3"/>
  <c r="M67" i="1" s="1"/>
  <c r="AK97" i="3"/>
  <c r="Q69" i="1" s="1"/>
  <c r="O97" i="3"/>
  <c r="M69" i="1" s="1"/>
  <c r="O99" i="3"/>
  <c r="M70" i="1" s="1"/>
  <c r="AK101" i="3"/>
  <c r="Q72" i="1" s="1"/>
  <c r="AJ101" i="3"/>
  <c r="T72" i="1" s="1"/>
  <c r="O101" i="3"/>
  <c r="M72" i="1" s="1"/>
  <c r="O103" i="3"/>
  <c r="M73" i="1" s="1"/>
  <c r="O105" i="3"/>
  <c r="M75" i="1" s="1"/>
  <c r="AK107" i="3"/>
  <c r="Q77" i="1" s="1"/>
  <c r="AJ107" i="3"/>
  <c r="T77" i="1" s="1"/>
  <c r="O107" i="3"/>
  <c r="M77" i="1" s="1"/>
  <c r="AK109" i="3"/>
  <c r="Q78" i="1" s="1"/>
  <c r="O109" i="3"/>
  <c r="M78" i="1" s="1"/>
  <c r="O111" i="3"/>
  <c r="M79" i="1" s="1"/>
  <c r="AK113" i="3"/>
  <c r="Q81" i="1" s="1"/>
  <c r="AJ113" i="3"/>
  <c r="T81" i="1" s="1"/>
  <c r="O113" i="3"/>
  <c r="M81" i="1" s="1"/>
  <c r="O115" i="3"/>
  <c r="M82" i="1" s="1"/>
  <c r="O117" i="3"/>
  <c r="M84" i="1" s="1"/>
  <c r="O119" i="3"/>
  <c r="M85" i="1" s="1"/>
  <c r="O121" i="3"/>
  <c r="M87" i="1" s="1"/>
  <c r="AJ123" i="3"/>
  <c r="T89" i="1" s="1"/>
  <c r="O123" i="3"/>
  <c r="M89" i="1" s="1"/>
  <c r="AK125" i="3"/>
  <c r="Q170" i="1" s="1"/>
  <c r="AJ125" i="3"/>
  <c r="T170" i="1" s="1"/>
  <c r="O125" i="3"/>
  <c r="M170" i="1" s="1"/>
  <c r="F129" i="3"/>
  <c r="G129" i="3" s="1"/>
  <c r="L173" i="1" s="1"/>
  <c r="K173" i="1" s="1"/>
  <c r="AH127" i="3"/>
  <c r="AI127" i="3" s="1"/>
  <c r="O171" i="1" s="1"/>
  <c r="F128" i="3"/>
  <c r="G128" i="3" s="1"/>
  <c r="L172" i="1" s="1"/>
  <c r="K172" i="1" s="1"/>
  <c r="N128" i="3"/>
  <c r="AJ130" i="3"/>
  <c r="T147" i="1" s="1"/>
  <c r="O130" i="3"/>
  <c r="M147" i="1" s="1"/>
  <c r="AK132" i="3"/>
  <c r="Q149" i="1" s="1"/>
  <c r="AJ132" i="3"/>
  <c r="T149" i="1" s="1"/>
  <c r="O132" i="3"/>
  <c r="M149" i="1" s="1"/>
  <c r="AK134" i="3"/>
  <c r="Q176" i="1" s="1"/>
  <c r="AK140" i="3"/>
  <c r="Q92" i="1" s="1"/>
  <c r="AJ140" i="3"/>
  <c r="T92" i="1" s="1"/>
  <c r="O140" i="3"/>
  <c r="M92" i="1" s="1"/>
  <c r="AK142" i="3"/>
  <c r="Q94" i="1" s="1"/>
  <c r="AJ142" i="3"/>
  <c r="T94" i="1" s="1"/>
  <c r="O142" i="3"/>
  <c r="M94" i="1" s="1"/>
  <c r="O148" i="3"/>
  <c r="Y159" i="3"/>
  <c r="AJ159" i="3"/>
  <c r="O127" i="3"/>
  <c r="M171" i="1" s="1"/>
  <c r="F130" i="3"/>
  <c r="G130" i="3" s="1"/>
  <c r="L147" i="1" s="1"/>
  <c r="K147" i="1" s="1"/>
  <c r="AH129" i="3"/>
  <c r="AI129" i="3" s="1"/>
  <c r="O173" i="1" s="1"/>
  <c r="O131" i="3"/>
  <c r="M174" i="1" s="1"/>
  <c r="AK135" i="3"/>
  <c r="Q177" i="1" s="1"/>
  <c r="AJ135" i="3"/>
  <c r="T177" i="1" s="1"/>
  <c r="O135" i="3"/>
  <c r="M177" i="1" s="1"/>
  <c r="O137" i="3"/>
  <c r="M179" i="1" s="1"/>
  <c r="O139" i="3"/>
  <c r="M91" i="1" s="1"/>
  <c r="O143" i="3"/>
  <c r="M95" i="1" s="1"/>
  <c r="AK145" i="3"/>
  <c r="Q96" i="1" s="1"/>
  <c r="AJ145" i="3"/>
  <c r="T96" i="1" s="1"/>
  <c r="O145" i="3"/>
  <c r="M96" i="1" s="1"/>
  <c r="O147" i="3"/>
  <c r="M98" i="1" s="1"/>
  <c r="AH148" i="3"/>
  <c r="AI148" i="3" s="1"/>
  <c r="N149" i="3"/>
  <c r="F152" i="3"/>
  <c r="G152" i="3" s="1"/>
  <c r="L102" i="1" s="1"/>
  <c r="K102" i="1" s="1"/>
  <c r="F154" i="3"/>
  <c r="G154" i="3" s="1"/>
  <c r="L104" i="1" s="1"/>
  <c r="K104" i="1" s="1"/>
  <c r="F156" i="3"/>
  <c r="G156" i="3" s="1"/>
  <c r="L107" i="1" s="1"/>
  <c r="K107" i="1" s="1"/>
  <c r="F158" i="3"/>
  <c r="G158" i="3" s="1"/>
  <c r="L109" i="1" s="1"/>
  <c r="K109" i="1" s="1"/>
  <c r="O175" i="3"/>
  <c r="M50" i="1" s="1"/>
  <c r="AH149" i="3"/>
  <c r="AI149" i="3" s="1"/>
  <c r="O99" i="1" s="1"/>
  <c r="F150" i="3"/>
  <c r="G150" i="3" s="1"/>
  <c r="L100" i="1" s="1"/>
  <c r="K100" i="1" s="1"/>
  <c r="N150" i="3"/>
  <c r="N151" i="3"/>
  <c r="AH151" i="3"/>
  <c r="AI151" i="3" s="1"/>
  <c r="O101" i="1" s="1"/>
  <c r="N153" i="3"/>
  <c r="AH153" i="3"/>
  <c r="AI153" i="3" s="1"/>
  <c r="O103" i="1" s="1"/>
  <c r="N155" i="3"/>
  <c r="AH155" i="3"/>
  <c r="AI155" i="3" s="1"/>
  <c r="O106" i="1" s="1"/>
  <c r="N157" i="3"/>
  <c r="AH157" i="3"/>
  <c r="AI157" i="3" s="1"/>
  <c r="O108" i="1" s="1"/>
  <c r="O159" i="3"/>
  <c r="AK159" i="3"/>
  <c r="O165" i="3"/>
  <c r="AK165" i="3"/>
  <c r="AJ165" i="3"/>
  <c r="O167" i="3"/>
  <c r="M114" i="1" s="1"/>
  <c r="AK167" i="3"/>
  <c r="Q114" i="1" s="1"/>
  <c r="AJ167" i="3"/>
  <c r="T114" i="1" s="1"/>
  <c r="O177" i="3"/>
  <c r="M52" i="1" s="1"/>
  <c r="AH150" i="3"/>
  <c r="AI150" i="3" s="1"/>
  <c r="O100" i="1" s="1"/>
  <c r="F153" i="3"/>
  <c r="G153" i="3" s="1"/>
  <c r="L103" i="1" s="1"/>
  <c r="K103" i="1" s="1"/>
  <c r="F155" i="3"/>
  <c r="G155" i="3" s="1"/>
  <c r="L106" i="1" s="1"/>
  <c r="K106" i="1" s="1"/>
  <c r="F157" i="3"/>
  <c r="G157" i="3" s="1"/>
  <c r="L108" i="1" s="1"/>
  <c r="K108" i="1" s="1"/>
  <c r="F160" i="3"/>
  <c r="G160" i="3" s="1"/>
  <c r="L110" i="1" s="1"/>
  <c r="K110" i="1" s="1"/>
  <c r="O162" i="3"/>
  <c r="AK162" i="3"/>
  <c r="AJ162" i="3"/>
  <c r="O164" i="3"/>
  <c r="M112" i="1" s="1"/>
  <c r="O169" i="3"/>
  <c r="AK169" i="3"/>
  <c r="AJ169" i="3"/>
  <c r="O171" i="3"/>
  <c r="M46" i="1" s="1"/>
  <c r="O172" i="3"/>
  <c r="M47" i="1" s="1"/>
  <c r="AH152" i="3"/>
  <c r="AI152" i="3" s="1"/>
  <c r="O102" i="1" s="1"/>
  <c r="AH154" i="3"/>
  <c r="AI154" i="3" s="1"/>
  <c r="O104" i="1" s="1"/>
  <c r="AH156" i="3"/>
  <c r="AI156" i="3" s="1"/>
  <c r="O107" i="1" s="1"/>
  <c r="AH158" i="3"/>
  <c r="AI158" i="3" s="1"/>
  <c r="O109" i="1" s="1"/>
  <c r="AK161" i="3"/>
  <c r="AJ161" i="3"/>
  <c r="O166" i="3"/>
  <c r="M113" i="1" s="1"/>
  <c r="O168" i="3"/>
  <c r="M117" i="1" s="1"/>
  <c r="O176" i="3"/>
  <c r="M51" i="1" s="1"/>
  <c r="O178" i="3"/>
  <c r="M53" i="1" s="1"/>
  <c r="AK181" i="3"/>
  <c r="Q55" i="1" s="1"/>
  <c r="AJ181" i="3"/>
  <c r="T55" i="1" s="1"/>
  <c r="O181" i="3"/>
  <c r="M55" i="1" s="1"/>
  <c r="O200" i="3"/>
  <c r="M188" i="1" s="1"/>
  <c r="O204" i="3"/>
  <c r="M192" i="1" s="1"/>
  <c r="AK179" i="3"/>
  <c r="AJ179" i="3"/>
  <c r="X183" i="3"/>
  <c r="Y183" i="3" s="1"/>
  <c r="N57" i="1" s="1"/>
  <c r="AK184" i="3"/>
  <c r="Q58" i="1" s="1"/>
  <c r="AJ184" i="3"/>
  <c r="T58" i="1" s="1"/>
  <c r="O184" i="3"/>
  <c r="M58" i="1" s="1"/>
  <c r="AK190" i="3"/>
  <c r="Q64" i="1" s="1"/>
  <c r="AJ190" i="3"/>
  <c r="T64" i="1" s="1"/>
  <c r="O190" i="3"/>
  <c r="M64" i="1" s="1"/>
  <c r="AK192" i="3"/>
  <c r="Q180" i="1" s="1"/>
  <c r="AJ192" i="3"/>
  <c r="T180" i="1" s="1"/>
  <c r="O192" i="3"/>
  <c r="M180" i="1" s="1"/>
  <c r="O199" i="3"/>
  <c r="M187" i="1" s="1"/>
  <c r="AJ203" i="3"/>
  <c r="T191" i="1" s="1"/>
  <c r="O203" i="3"/>
  <c r="M191" i="1" s="1"/>
  <c r="X172" i="3"/>
  <c r="Y172" i="3" s="1"/>
  <c r="N47" i="1" s="1"/>
  <c r="X173" i="3"/>
  <c r="Y173" i="3" s="1"/>
  <c r="N48" i="1" s="1"/>
  <c r="X174" i="3"/>
  <c r="Y174" i="3" s="1"/>
  <c r="N49" i="1" s="1"/>
  <c r="X175" i="3"/>
  <c r="Y175" i="3" s="1"/>
  <c r="N50" i="1" s="1"/>
  <c r="X176" i="3"/>
  <c r="Y176" i="3" s="1"/>
  <c r="N51" i="1" s="1"/>
  <c r="X177" i="3"/>
  <c r="Y177" i="3" s="1"/>
  <c r="N52" i="1" s="1"/>
  <c r="X178" i="3"/>
  <c r="Y178" i="3" s="1"/>
  <c r="N53" i="1" s="1"/>
  <c r="O185" i="3"/>
  <c r="M59" i="1" s="1"/>
  <c r="AK187" i="3"/>
  <c r="Q61" i="1" s="1"/>
  <c r="AJ187" i="3"/>
  <c r="T61" i="1" s="1"/>
  <c r="O187" i="3"/>
  <c r="M61" i="1" s="1"/>
  <c r="O189" i="3"/>
  <c r="M63" i="1" s="1"/>
  <c r="O191" i="3"/>
  <c r="M65" i="1" s="1"/>
  <c r="O193" i="3"/>
  <c r="M181" i="1" s="1"/>
  <c r="AK194" i="3"/>
  <c r="Q182" i="1" s="1"/>
  <c r="AJ194" i="3"/>
  <c r="T182" i="1" s="1"/>
  <c r="O194" i="3"/>
  <c r="M182" i="1" s="1"/>
  <c r="AK196" i="3"/>
  <c r="Q184" i="1" s="1"/>
  <c r="AJ196" i="3"/>
  <c r="T184" i="1" s="1"/>
  <c r="O196" i="3"/>
  <c r="M184" i="1" s="1"/>
  <c r="AK198" i="3"/>
  <c r="Q186" i="1" s="1"/>
  <c r="AJ198" i="3"/>
  <c r="T186" i="1" s="1"/>
  <c r="O198" i="3"/>
  <c r="M186" i="1" s="1"/>
  <c r="O201" i="3"/>
  <c r="M189" i="1" s="1"/>
  <c r="AK205" i="3"/>
  <c r="Q193" i="1" s="1"/>
  <c r="AJ205" i="3"/>
  <c r="T193" i="1" s="1"/>
  <c r="O205" i="3"/>
  <c r="M193" i="1" s="1"/>
  <c r="AH206" i="3"/>
  <c r="AI206" i="3" s="1"/>
  <c r="O194" i="1" s="1"/>
  <c r="N207" i="3"/>
  <c r="AH209" i="3"/>
  <c r="AI209" i="3" s="1"/>
  <c r="O197" i="1" s="1"/>
  <c r="AJ220" i="3"/>
  <c r="T122" i="1" s="1"/>
  <c r="O220" i="3"/>
  <c r="M122" i="1" s="1"/>
  <c r="O222" i="3"/>
  <c r="M124" i="1" s="1"/>
  <c r="O228" i="3"/>
  <c r="M130" i="1" s="1"/>
  <c r="O230" i="3"/>
  <c r="M132" i="1" s="1"/>
  <c r="O232" i="3"/>
  <c r="M134" i="1" s="1"/>
  <c r="O206" i="3"/>
  <c r="M194" i="1" s="1"/>
  <c r="AH207" i="3"/>
  <c r="AI207" i="3" s="1"/>
  <c r="O195" i="1" s="1"/>
  <c r="F208" i="3"/>
  <c r="G208" i="3" s="1"/>
  <c r="L196" i="1" s="1"/>
  <c r="K196" i="1" s="1"/>
  <c r="N208" i="3"/>
  <c r="F209" i="3"/>
  <c r="G209" i="3" s="1"/>
  <c r="L197" i="1" s="1"/>
  <c r="K197" i="1" s="1"/>
  <c r="F211" i="3"/>
  <c r="G211" i="3" s="1"/>
  <c r="L199" i="1" s="1"/>
  <c r="K199" i="1" s="1"/>
  <c r="AH212" i="3"/>
  <c r="AI212" i="3" s="1"/>
  <c r="O200" i="1" s="1"/>
  <c r="AH208" i="3"/>
  <c r="AI208" i="3" s="1"/>
  <c r="O196" i="1" s="1"/>
  <c r="N210" i="3"/>
  <c r="AH210" i="3"/>
  <c r="AI210" i="3" s="1"/>
  <c r="O198" i="1" s="1"/>
  <c r="N212" i="3"/>
  <c r="N213" i="3"/>
  <c r="AK215" i="3"/>
  <c r="AJ215" i="3"/>
  <c r="O215" i="3"/>
  <c r="O221" i="3"/>
  <c r="M123" i="1" s="1"/>
  <c r="O223" i="3"/>
  <c r="M125" i="1" s="1"/>
  <c r="O229" i="3"/>
  <c r="M131" i="1" s="1"/>
  <c r="AK231" i="3"/>
  <c r="Q133" i="1" s="1"/>
  <c r="AJ231" i="3"/>
  <c r="T133" i="1" s="1"/>
  <c r="O231" i="3"/>
  <c r="M133" i="1" s="1"/>
  <c r="AK233" i="3"/>
  <c r="AJ233" i="3"/>
  <c r="O233" i="3"/>
  <c r="F210" i="3"/>
  <c r="G210" i="3" s="1"/>
  <c r="L198" i="1" s="1"/>
  <c r="K198" i="1" s="1"/>
  <c r="F212" i="3"/>
  <c r="G212" i="3" s="1"/>
  <c r="L200" i="1" s="1"/>
  <c r="K200" i="1" s="1"/>
  <c r="AJ131" i="3" l="1"/>
  <c r="T174" i="1" s="1"/>
  <c r="AK124" i="3"/>
  <c r="Q90" i="1" s="1"/>
  <c r="O112" i="3"/>
  <c r="M80" i="1" s="1"/>
  <c r="AK106" i="3"/>
  <c r="Q76" i="1" s="1"/>
  <c r="AJ100" i="3"/>
  <c r="T71" i="1" s="1"/>
  <c r="AK86" i="3"/>
  <c r="Q162" i="1" s="1"/>
  <c r="AK61" i="3"/>
  <c r="Q139" i="1" s="1"/>
  <c r="AK37" i="3"/>
  <c r="Q22" i="1" s="1"/>
  <c r="AJ20" i="3"/>
  <c r="T5" i="1" s="1"/>
  <c r="AJ227" i="3"/>
  <c r="T129" i="1" s="1"/>
  <c r="AJ219" i="3"/>
  <c r="T121" i="1" s="1"/>
  <c r="AJ228" i="3"/>
  <c r="T130" i="1" s="1"/>
  <c r="O160" i="3"/>
  <c r="M110" i="1" s="1"/>
  <c r="AJ137" i="3"/>
  <c r="T179" i="1" s="1"/>
  <c r="O134" i="3"/>
  <c r="M176" i="1" s="1"/>
  <c r="AK130" i="3"/>
  <c r="Q147" i="1" s="1"/>
  <c r="AJ119" i="3"/>
  <c r="T85" i="1" s="1"/>
  <c r="AJ112" i="3"/>
  <c r="T80" i="1" s="1"/>
  <c r="O94" i="3"/>
  <c r="M66" i="1" s="1"/>
  <c r="AJ69" i="3"/>
  <c r="T146" i="1" s="1"/>
  <c r="AJ53" i="3"/>
  <c r="T38" i="1" s="1"/>
  <c r="O186" i="3"/>
  <c r="M60" i="1" s="1"/>
  <c r="AK137" i="3"/>
  <c r="Q179" i="1" s="1"/>
  <c r="AK119" i="3"/>
  <c r="Q85" i="1" s="1"/>
  <c r="AJ109" i="3"/>
  <c r="T78" i="1" s="1"/>
  <c r="AJ97" i="3"/>
  <c r="T69" i="1" s="1"/>
  <c r="AJ89" i="3"/>
  <c r="T165" i="1" s="1"/>
  <c r="AJ64" i="3"/>
  <c r="T142" i="1" s="1"/>
  <c r="AJ56" i="3"/>
  <c r="T41" i="1" s="1"/>
  <c r="AJ23" i="3"/>
  <c r="T8" i="1" s="1"/>
  <c r="AJ24" i="3"/>
  <c r="T9" i="1" s="1"/>
  <c r="AK226" i="3"/>
  <c r="Q128" i="1" s="1"/>
  <c r="AK218" i="3"/>
  <c r="Q120" i="1" s="1"/>
  <c r="AJ201" i="3"/>
  <c r="T189" i="1" s="1"/>
  <c r="AK168" i="3"/>
  <c r="Q117" i="1" s="1"/>
  <c r="AJ115" i="3"/>
  <c r="T82" i="1" s="1"/>
  <c r="AK103" i="3"/>
  <c r="Q73" i="1" s="1"/>
  <c r="AK126" i="3"/>
  <c r="Q143" i="1" s="1"/>
  <c r="AJ88" i="3"/>
  <c r="T164" i="1" s="1"/>
  <c r="AK68" i="3"/>
  <c r="Q145" i="1" s="1"/>
  <c r="AK71" i="3"/>
  <c r="Q148" i="1" s="1"/>
  <c r="AK17" i="3"/>
  <c r="Q2" i="1" s="1"/>
  <c r="AJ22" i="3"/>
  <c r="T7" i="1" s="1"/>
  <c r="AK201" i="3"/>
  <c r="Q189" i="1" s="1"/>
  <c r="O188" i="3"/>
  <c r="M62" i="1" s="1"/>
  <c r="AJ121" i="3"/>
  <c r="T87" i="1" s="1"/>
  <c r="AK111" i="3"/>
  <c r="Q79" i="1" s="1"/>
  <c r="AJ105" i="3"/>
  <c r="T75" i="1" s="1"/>
  <c r="AJ99" i="3"/>
  <c r="T70" i="1" s="1"/>
  <c r="AJ96" i="3"/>
  <c r="T68" i="1" s="1"/>
  <c r="AK88" i="3"/>
  <c r="Q164" i="1" s="1"/>
  <c r="AK60" i="3"/>
  <c r="Q45" i="1" s="1"/>
  <c r="AJ19" i="3"/>
  <c r="T4" i="1" s="1"/>
  <c r="AK22" i="3"/>
  <c r="Q7" i="1" s="1"/>
  <c r="AJ229" i="3"/>
  <c r="T131" i="1" s="1"/>
  <c r="AK185" i="3"/>
  <c r="Q59" i="1" s="1"/>
  <c r="AK166" i="3"/>
  <c r="Q113" i="1" s="1"/>
  <c r="AK171" i="3"/>
  <c r="Q46" i="1" s="1"/>
  <c r="AJ164" i="3"/>
  <c r="T112" i="1" s="1"/>
  <c r="AK146" i="3"/>
  <c r="Q97" i="1" s="1"/>
  <c r="AK121" i="3"/>
  <c r="Q87" i="1" s="1"/>
  <c r="AK105" i="3"/>
  <c r="Q75" i="1" s="1"/>
  <c r="AJ91" i="3"/>
  <c r="T167" i="1" s="1"/>
  <c r="AK96" i="3"/>
  <c r="Q68" i="1" s="1"/>
  <c r="AK52" i="3"/>
  <c r="Q37" i="1" s="1"/>
  <c r="AK202" i="3"/>
  <c r="Q190" i="1" s="1"/>
  <c r="AK197" i="3"/>
  <c r="Q185" i="1" s="1"/>
  <c r="AJ154" i="3"/>
  <c r="T104" i="1" s="1"/>
  <c r="AJ72" i="3"/>
  <c r="T150" i="1" s="1"/>
  <c r="AJ226" i="3"/>
  <c r="T128" i="1" s="1"/>
  <c r="AJ218" i="3"/>
  <c r="T120" i="1" s="1"/>
  <c r="AK214" i="3"/>
  <c r="Q202" i="1" s="1"/>
  <c r="O202" i="3"/>
  <c r="M190" i="1" s="1"/>
  <c r="AK143" i="3"/>
  <c r="Q95" i="1" s="1"/>
  <c r="AK219" i="3"/>
  <c r="Q121" i="1" s="1"/>
  <c r="AJ223" i="3"/>
  <c r="T125" i="1" s="1"/>
  <c r="O214" i="3"/>
  <c r="M202" i="1" s="1"/>
  <c r="AK193" i="3"/>
  <c r="Q181" i="1" s="1"/>
  <c r="AK199" i="3"/>
  <c r="Q187" i="1" s="1"/>
  <c r="AJ168" i="3"/>
  <c r="T117" i="1" s="1"/>
  <c r="AJ158" i="3"/>
  <c r="T109" i="1" s="1"/>
  <c r="AJ170" i="3"/>
  <c r="T115" i="1" s="1"/>
  <c r="AK138" i="3"/>
  <c r="Q155" i="1" s="1"/>
  <c r="AK217" i="3"/>
  <c r="Q119" i="1" s="1"/>
  <c r="AJ182" i="3"/>
  <c r="T56" i="1" s="1"/>
  <c r="AJ195" i="3"/>
  <c r="T183" i="1" s="1"/>
  <c r="AK180" i="3"/>
  <c r="Q54" i="1" s="1"/>
  <c r="AK224" i="3"/>
  <c r="Q126" i="1" s="1"/>
  <c r="AK216" i="3"/>
  <c r="Q118" i="1" s="1"/>
  <c r="AJ136" i="3"/>
  <c r="T178" i="1" s="1"/>
  <c r="AJ108" i="3"/>
  <c r="T105" i="1" s="1"/>
  <c r="AJ71" i="3"/>
  <c r="T148" i="1" s="1"/>
  <c r="AJ21" i="3"/>
  <c r="T6" i="1" s="1"/>
  <c r="AJ63" i="3"/>
  <c r="T141" i="1" s="1"/>
  <c r="AJ55" i="3"/>
  <c r="T40" i="1" s="1"/>
  <c r="AJ37" i="3"/>
  <c r="T22" i="1" s="1"/>
  <c r="AK227" i="3"/>
  <c r="Q129" i="1" s="1"/>
  <c r="AJ221" i="3"/>
  <c r="T123" i="1" s="1"/>
  <c r="AK203" i="3"/>
  <c r="Q191" i="1" s="1"/>
  <c r="AK164" i="3"/>
  <c r="Q112" i="1" s="1"/>
  <c r="AK163" i="3"/>
  <c r="Q111" i="1" s="1"/>
  <c r="AJ44" i="3"/>
  <c r="T29" i="1" s="1"/>
  <c r="AK221" i="3"/>
  <c r="Q123" i="1" s="1"/>
  <c r="O217" i="3"/>
  <c r="M119" i="1" s="1"/>
  <c r="AJ230" i="3"/>
  <c r="T132" i="1" s="1"/>
  <c r="AK228" i="3"/>
  <c r="Q130" i="1" s="1"/>
  <c r="O224" i="3"/>
  <c r="M126" i="1" s="1"/>
  <c r="AJ222" i="3"/>
  <c r="T124" i="1" s="1"/>
  <c r="AK220" i="3"/>
  <c r="Q122" i="1" s="1"/>
  <c r="O216" i="3"/>
  <c r="M118" i="1" s="1"/>
  <c r="AJ214" i="3"/>
  <c r="T202" i="1" s="1"/>
  <c r="AJ186" i="3"/>
  <c r="T60" i="1" s="1"/>
  <c r="AJ180" i="3"/>
  <c r="T54" i="1" s="1"/>
  <c r="AJ147" i="3"/>
  <c r="T98" i="1" s="1"/>
  <c r="AJ139" i="3"/>
  <c r="T91" i="1" s="1"/>
  <c r="O227" i="3"/>
  <c r="M129" i="1" s="1"/>
  <c r="AJ225" i="3"/>
  <c r="T127" i="1" s="1"/>
  <c r="AK223" i="3"/>
  <c r="Q125" i="1" s="1"/>
  <c r="O219" i="3"/>
  <c r="M121" i="1" s="1"/>
  <c r="AJ217" i="3"/>
  <c r="T119" i="1" s="1"/>
  <c r="AJ232" i="3"/>
  <c r="T134" i="1" s="1"/>
  <c r="AK230" i="3"/>
  <c r="Q132" i="1" s="1"/>
  <c r="O226" i="3"/>
  <c r="M128" i="1" s="1"/>
  <c r="AJ224" i="3"/>
  <c r="T126" i="1" s="1"/>
  <c r="AK222" i="3"/>
  <c r="Q124" i="1" s="1"/>
  <c r="O218" i="3"/>
  <c r="M120" i="1" s="1"/>
  <c r="AJ216" i="3"/>
  <c r="T118" i="1" s="1"/>
  <c r="AJ191" i="3"/>
  <c r="T65" i="1" s="1"/>
  <c r="AK189" i="3"/>
  <c r="Q63" i="1" s="1"/>
  <c r="AJ197" i="3"/>
  <c r="T185" i="1" s="1"/>
  <c r="AK195" i="3"/>
  <c r="Q183" i="1" s="1"/>
  <c r="AK225" i="3"/>
  <c r="Q127" i="1" s="1"/>
  <c r="AJ206" i="3"/>
  <c r="T194" i="1" s="1"/>
  <c r="AK232" i="3"/>
  <c r="Q134" i="1" s="1"/>
  <c r="AJ211" i="3"/>
  <c r="T199" i="1" s="1"/>
  <c r="AJ193" i="3"/>
  <c r="T181" i="1" s="1"/>
  <c r="AK191" i="3"/>
  <c r="Q65" i="1" s="1"/>
  <c r="AJ185" i="3"/>
  <c r="T59" i="1" s="1"/>
  <c r="AJ199" i="3"/>
  <c r="T187" i="1" s="1"/>
  <c r="AK188" i="3"/>
  <c r="Q62" i="1" s="1"/>
  <c r="AK204" i="3"/>
  <c r="Q192" i="1" s="1"/>
  <c r="AJ166" i="3"/>
  <c r="T113" i="1" s="1"/>
  <c r="AJ156" i="3"/>
  <c r="T107" i="1" s="1"/>
  <c r="AJ152" i="3"/>
  <c r="T102" i="1" s="1"/>
  <c r="AK182" i="3"/>
  <c r="Q56" i="1" s="1"/>
  <c r="AK160" i="3"/>
  <c r="Q110" i="1" s="1"/>
  <c r="AJ163" i="3"/>
  <c r="T111" i="1" s="1"/>
  <c r="AJ143" i="3"/>
  <c r="T95" i="1" s="1"/>
  <c r="AK141" i="3"/>
  <c r="Q93" i="1" s="1"/>
  <c r="AK133" i="3"/>
  <c r="Q175" i="1" s="1"/>
  <c r="AJ129" i="3"/>
  <c r="T173" i="1" s="1"/>
  <c r="AJ146" i="3"/>
  <c r="T97" i="1" s="1"/>
  <c r="AK144" i="3"/>
  <c r="Q116" i="1" s="1"/>
  <c r="AJ138" i="3"/>
  <c r="T155" i="1" s="1"/>
  <c r="AK136" i="3"/>
  <c r="Q178" i="1" s="1"/>
  <c r="AK117" i="3"/>
  <c r="Q84" i="1" s="1"/>
  <c r="AJ111" i="3"/>
  <c r="T79" i="1" s="1"/>
  <c r="AJ103" i="3"/>
  <c r="T73" i="1" s="1"/>
  <c r="AK93" i="3"/>
  <c r="Q169" i="1" s="1"/>
  <c r="AK85" i="3"/>
  <c r="Q161" i="1" s="1"/>
  <c r="AJ126" i="3"/>
  <c r="T143" i="1" s="1"/>
  <c r="AK108" i="3"/>
  <c r="Q105" i="1" s="1"/>
  <c r="AJ80" i="3"/>
  <c r="T157" i="1" s="1"/>
  <c r="AJ68" i="3"/>
  <c r="T145" i="1" s="1"/>
  <c r="AK66" i="3"/>
  <c r="Q135" i="1" s="1"/>
  <c r="AJ60" i="3"/>
  <c r="T45" i="1" s="1"/>
  <c r="AK58" i="3"/>
  <c r="Q43" i="1" s="1"/>
  <c r="AJ52" i="3"/>
  <c r="T37" i="1" s="1"/>
  <c r="AK21" i="3"/>
  <c r="Q6" i="1" s="1"/>
  <c r="AK18" i="3"/>
  <c r="Q3" i="1" s="1"/>
  <c r="AK211" i="3"/>
  <c r="Q199" i="1" s="1"/>
  <c r="AJ189" i="3"/>
  <c r="T63" i="1" s="1"/>
  <c r="AJ202" i="3"/>
  <c r="T190" i="1" s="1"/>
  <c r="AJ200" i="3"/>
  <c r="T188" i="1" s="1"/>
  <c r="O144" i="3"/>
  <c r="M116" i="1" s="1"/>
  <c r="AK229" i="3"/>
  <c r="Q131" i="1" s="1"/>
  <c r="O182" i="3"/>
  <c r="M56" i="1" s="1"/>
  <c r="AK170" i="3"/>
  <c r="Q115" i="1" s="1"/>
  <c r="AJ204" i="3"/>
  <c r="T192" i="1" s="1"/>
  <c r="AK200" i="3"/>
  <c r="Q188" i="1" s="1"/>
  <c r="AJ171" i="3"/>
  <c r="T46" i="1" s="1"/>
  <c r="AK147" i="3"/>
  <c r="Q98" i="1" s="1"/>
  <c r="AJ141" i="3"/>
  <c r="T93" i="1" s="1"/>
  <c r="AK139" i="3"/>
  <c r="Q91" i="1" s="1"/>
  <c r="AJ133" i="3"/>
  <c r="T175" i="1" s="1"/>
  <c r="AK131" i="3"/>
  <c r="Q174" i="1" s="1"/>
  <c r="AK123" i="3"/>
  <c r="Q89" i="1" s="1"/>
  <c r="AJ117" i="3"/>
  <c r="T84" i="1" s="1"/>
  <c r="AK115" i="3"/>
  <c r="Q82" i="1" s="1"/>
  <c r="AK99" i="3"/>
  <c r="Q70" i="1" s="1"/>
  <c r="AJ93" i="3"/>
  <c r="T169" i="1" s="1"/>
  <c r="AK91" i="3"/>
  <c r="Q167" i="1" s="1"/>
  <c r="AJ85" i="3"/>
  <c r="T161" i="1" s="1"/>
  <c r="AJ76" i="3"/>
  <c r="T153" i="1" s="1"/>
  <c r="AJ66" i="3"/>
  <c r="T135" i="1" s="1"/>
  <c r="AJ58" i="3"/>
  <c r="T43" i="1" s="1"/>
  <c r="AK19" i="3"/>
  <c r="Q4" i="1" s="1"/>
  <c r="AK24" i="3"/>
  <c r="Q9" i="1" s="1"/>
  <c r="AJ18" i="3"/>
  <c r="T3" i="1" s="1"/>
  <c r="AK39" i="3"/>
  <c r="Q24" i="1" s="1"/>
  <c r="AK129" i="3"/>
  <c r="Q173" i="1" s="1"/>
  <c r="AK209" i="3"/>
  <c r="Q197" i="1" s="1"/>
  <c r="AJ127" i="3"/>
  <c r="T171" i="1" s="1"/>
  <c r="AJ39" i="3"/>
  <c r="T24" i="1" s="1"/>
  <c r="AJ35" i="3"/>
  <c r="T20" i="1" s="1"/>
  <c r="AK34" i="3"/>
  <c r="Q19" i="1" s="1"/>
  <c r="O210" i="3"/>
  <c r="M198" i="1" s="1"/>
  <c r="AK210" i="3"/>
  <c r="Q198" i="1" s="1"/>
  <c r="AJ210" i="3"/>
  <c r="T198" i="1" s="1"/>
  <c r="AJ178" i="3"/>
  <c r="T53" i="1" s="1"/>
  <c r="AK176" i="3"/>
  <c r="Q51" i="1" s="1"/>
  <c r="AK177" i="3"/>
  <c r="Q52" i="1" s="1"/>
  <c r="AJ150" i="3"/>
  <c r="T100" i="1" s="1"/>
  <c r="O150" i="3"/>
  <c r="M100" i="1" s="1"/>
  <c r="AK150" i="3"/>
  <c r="Q100" i="1" s="1"/>
  <c r="AJ175" i="3"/>
  <c r="T50" i="1" s="1"/>
  <c r="AK173" i="3"/>
  <c r="Q48" i="1" s="1"/>
  <c r="AJ148" i="3"/>
  <c r="O82" i="3"/>
  <c r="M159" i="1" s="1"/>
  <c r="AK82" i="3"/>
  <c r="Q159" i="1" s="1"/>
  <c r="AJ82" i="3"/>
  <c r="T159" i="1" s="1"/>
  <c r="AK72" i="3"/>
  <c r="Q150" i="1" s="1"/>
  <c r="AK31" i="3"/>
  <c r="Q16" i="1" s="1"/>
  <c r="AJ31" i="3"/>
  <c r="T16" i="1" s="1"/>
  <c r="O31" i="3"/>
  <c r="M16" i="1" s="1"/>
  <c r="AJ49" i="3"/>
  <c r="T34" i="1" s="1"/>
  <c r="O49" i="3"/>
  <c r="M34" i="1" s="1"/>
  <c r="AK49" i="3"/>
  <c r="Q34" i="1" s="1"/>
  <c r="AJ45" i="3"/>
  <c r="T30" i="1" s="1"/>
  <c r="O45" i="3"/>
  <c r="M30" i="1" s="1"/>
  <c r="AK45" i="3"/>
  <c r="Q30" i="1" s="1"/>
  <c r="AJ25" i="3"/>
  <c r="T10" i="1" s="1"/>
  <c r="O25" i="3"/>
  <c r="M10" i="1" s="1"/>
  <c r="AK25" i="3"/>
  <c r="Q10" i="1" s="1"/>
  <c r="AJ50" i="3"/>
  <c r="T35" i="1" s="1"/>
  <c r="AK40" i="3"/>
  <c r="Q25" i="1" s="1"/>
  <c r="AJ40" i="3"/>
  <c r="T25" i="1" s="1"/>
  <c r="O40" i="3"/>
  <c r="M25" i="1" s="1"/>
  <c r="AK28" i="3"/>
  <c r="Q13" i="1" s="1"/>
  <c r="AJ28" i="3"/>
  <c r="T13" i="1" s="1"/>
  <c r="O28" i="3"/>
  <c r="M13" i="1" s="1"/>
  <c r="AK213" i="3"/>
  <c r="Q201" i="1" s="1"/>
  <c r="AJ213" i="3"/>
  <c r="T201" i="1" s="1"/>
  <c r="O213" i="3"/>
  <c r="M201" i="1" s="1"/>
  <c r="AK207" i="3"/>
  <c r="Q195" i="1" s="1"/>
  <c r="AJ207" i="3"/>
  <c r="T195" i="1" s="1"/>
  <c r="O207" i="3"/>
  <c r="M195" i="1" s="1"/>
  <c r="AK178" i="3"/>
  <c r="Q53" i="1" s="1"/>
  <c r="AJ172" i="3"/>
  <c r="T47" i="1" s="1"/>
  <c r="AJ183" i="3"/>
  <c r="T57" i="1" s="1"/>
  <c r="O157" i="3"/>
  <c r="M108" i="1" s="1"/>
  <c r="AK157" i="3"/>
  <c r="Q108" i="1" s="1"/>
  <c r="AJ157" i="3"/>
  <c r="T108" i="1" s="1"/>
  <c r="O153" i="3"/>
  <c r="M103" i="1" s="1"/>
  <c r="AK153" i="3"/>
  <c r="Q103" i="1" s="1"/>
  <c r="AJ153" i="3"/>
  <c r="T103" i="1" s="1"/>
  <c r="AK175" i="3"/>
  <c r="Q50" i="1" s="1"/>
  <c r="AK156" i="3"/>
  <c r="Q107" i="1" s="1"/>
  <c r="AK152" i="3"/>
  <c r="Q102" i="1" s="1"/>
  <c r="AK148" i="3"/>
  <c r="O128" i="3"/>
  <c r="M172" i="1" s="1"/>
  <c r="AK128" i="3"/>
  <c r="Q172" i="1" s="1"/>
  <c r="AJ128" i="3"/>
  <c r="T172" i="1" s="1"/>
  <c r="O81" i="3"/>
  <c r="M158" i="1" s="1"/>
  <c r="AK81" i="3"/>
  <c r="Q158" i="1" s="1"/>
  <c r="AJ81" i="3"/>
  <c r="T158" i="1" s="1"/>
  <c r="AK75" i="3"/>
  <c r="Q137" i="1" s="1"/>
  <c r="AJ75" i="3"/>
  <c r="T137" i="1" s="1"/>
  <c r="O75" i="3"/>
  <c r="M137" i="1" s="1"/>
  <c r="AJ74" i="3"/>
  <c r="T152" i="1" s="1"/>
  <c r="AK80" i="3"/>
  <c r="Q157" i="1" s="1"/>
  <c r="AJ41" i="3"/>
  <c r="T26" i="1" s="1"/>
  <c r="O41" i="3"/>
  <c r="M26" i="1" s="1"/>
  <c r="AK41" i="3"/>
  <c r="Q26" i="1" s="1"/>
  <c r="AJ29" i="3"/>
  <c r="T14" i="1" s="1"/>
  <c r="O29" i="3"/>
  <c r="M14" i="1" s="1"/>
  <c r="AK29" i="3"/>
  <c r="Q14" i="1" s="1"/>
  <c r="AK50" i="3"/>
  <c r="Q35" i="1" s="1"/>
  <c r="AJ34" i="3"/>
  <c r="T19" i="1" s="1"/>
  <c r="AK44" i="3"/>
  <c r="Q29" i="1" s="1"/>
  <c r="AJ212" i="3"/>
  <c r="T200" i="1" s="1"/>
  <c r="O212" i="3"/>
  <c r="M200" i="1" s="1"/>
  <c r="AK212" i="3"/>
  <c r="Q200" i="1" s="1"/>
  <c r="AJ174" i="3"/>
  <c r="T49" i="1" s="1"/>
  <c r="AK172" i="3"/>
  <c r="Q47" i="1" s="1"/>
  <c r="AK183" i="3"/>
  <c r="Q57" i="1" s="1"/>
  <c r="AK127" i="3"/>
  <c r="Q171" i="1" s="1"/>
  <c r="AK79" i="3"/>
  <c r="Q156" i="1" s="1"/>
  <c r="AJ79" i="3"/>
  <c r="T156" i="1" s="1"/>
  <c r="O79" i="3"/>
  <c r="M156" i="1" s="1"/>
  <c r="AK84" i="3"/>
  <c r="Q160" i="1" s="1"/>
  <c r="AJ84" i="3"/>
  <c r="T160" i="1" s="1"/>
  <c r="O84" i="3"/>
  <c r="M160" i="1" s="1"/>
  <c r="AK73" i="3"/>
  <c r="Q151" i="1" s="1"/>
  <c r="AJ73" i="3"/>
  <c r="T151" i="1" s="1"/>
  <c r="O73" i="3"/>
  <c r="M151" i="1" s="1"/>
  <c r="AJ78" i="3"/>
  <c r="T154" i="1" s="1"/>
  <c r="AJ47" i="3"/>
  <c r="T32" i="1" s="1"/>
  <c r="O47" i="3"/>
  <c r="M32" i="1" s="1"/>
  <c r="AK47" i="3"/>
  <c r="Q32" i="1" s="1"/>
  <c r="AK27" i="3"/>
  <c r="Q12" i="1" s="1"/>
  <c r="AJ27" i="3"/>
  <c r="T12" i="1" s="1"/>
  <c r="O27" i="3"/>
  <c r="M12" i="1" s="1"/>
  <c r="AJ33" i="3"/>
  <c r="T18" i="1" s="1"/>
  <c r="O33" i="3"/>
  <c r="M18" i="1" s="1"/>
  <c r="AK33" i="3"/>
  <c r="Q18" i="1" s="1"/>
  <c r="AK78" i="3"/>
  <c r="Q154" i="1" s="1"/>
  <c r="AJ42" i="3"/>
  <c r="T27" i="1" s="1"/>
  <c r="AK36" i="3"/>
  <c r="Q21" i="1" s="1"/>
  <c r="AJ36" i="3"/>
  <c r="T21" i="1" s="1"/>
  <c r="O36" i="3"/>
  <c r="M21" i="1" s="1"/>
  <c r="AJ30" i="3"/>
  <c r="T15" i="1" s="1"/>
  <c r="AK42" i="3"/>
  <c r="Q27" i="1" s="1"/>
  <c r="AK30" i="3"/>
  <c r="Q15" i="1" s="1"/>
  <c r="AK35" i="3"/>
  <c r="Q20" i="1" s="1"/>
  <c r="AK208" i="3"/>
  <c r="Q196" i="1" s="1"/>
  <c r="O208" i="3"/>
  <c r="M196" i="1" s="1"/>
  <c r="AJ208" i="3"/>
  <c r="T196" i="1" s="1"/>
  <c r="AJ209" i="3"/>
  <c r="T197" i="1" s="1"/>
  <c r="AK206" i="3"/>
  <c r="Q194" i="1" s="1"/>
  <c r="AJ176" i="3"/>
  <c r="T51" i="1" s="1"/>
  <c r="AK174" i="3"/>
  <c r="Q49" i="1" s="1"/>
  <c r="AJ177" i="3"/>
  <c r="T52" i="1" s="1"/>
  <c r="O155" i="3"/>
  <c r="M106" i="1" s="1"/>
  <c r="AK155" i="3"/>
  <c r="Q106" i="1" s="1"/>
  <c r="AJ155" i="3"/>
  <c r="T106" i="1" s="1"/>
  <c r="O151" i="3"/>
  <c r="M101" i="1" s="1"/>
  <c r="AK151" i="3"/>
  <c r="Q101" i="1" s="1"/>
  <c r="AJ151" i="3"/>
  <c r="T101" i="1" s="1"/>
  <c r="AJ173" i="3"/>
  <c r="T48" i="1" s="1"/>
  <c r="AK158" i="3"/>
  <c r="Q109" i="1" s="1"/>
  <c r="AK154" i="3"/>
  <c r="Q104" i="1" s="1"/>
  <c r="AK149" i="3"/>
  <c r="Q99" i="1" s="1"/>
  <c r="AJ149" i="3"/>
  <c r="T99" i="1" s="1"/>
  <c r="O149" i="3"/>
  <c r="M99" i="1" s="1"/>
  <c r="AK77" i="3"/>
  <c r="Q138" i="1" s="1"/>
  <c r="AJ77" i="3"/>
  <c r="T138" i="1" s="1"/>
  <c r="O77" i="3"/>
  <c r="M138" i="1" s="1"/>
  <c r="AK74" i="3"/>
  <c r="Q152" i="1" s="1"/>
  <c r="AJ48" i="3"/>
  <c r="T33" i="1" s="1"/>
  <c r="AK48" i="3"/>
  <c r="Q33" i="1" s="1"/>
  <c r="O48" i="3"/>
  <c r="M33" i="1" s="1"/>
  <c r="AJ43" i="3"/>
  <c r="T28" i="1" s="1"/>
  <c r="AK76" i="3"/>
  <c r="Q153" i="1" s="1"/>
  <c r="AJ46" i="3"/>
  <c r="T31" i="1" s="1"/>
  <c r="O46" i="3"/>
  <c r="M31" i="1" s="1"/>
  <c r="AK46" i="3"/>
  <c r="Q31" i="1" s="1"/>
  <c r="AJ38" i="3"/>
  <c r="T23" i="1" s="1"/>
  <c r="AK32" i="3"/>
  <c r="Q17" i="1" s="1"/>
  <c r="AJ32" i="3"/>
  <c r="T17" i="1" s="1"/>
  <c r="O32" i="3"/>
  <c r="M17" i="1" s="1"/>
  <c r="AJ26" i="3"/>
  <c r="T11" i="1" s="1"/>
  <c r="AK38" i="3"/>
  <c r="Q23" i="1" s="1"/>
  <c r="AK43" i="3"/>
  <c r="Q28" i="1" s="1"/>
  <c r="AK26" i="3"/>
  <c r="Q11" i="1" s="1"/>
  <c r="T203" i="1" l="1"/>
</calcChain>
</file>

<file path=xl/sharedStrings.xml><?xml version="1.0" encoding="utf-8"?>
<sst xmlns="http://schemas.openxmlformats.org/spreadsheetml/2006/main" count="9482" uniqueCount="1244">
  <si>
    <t>id</t>
  </si>
  <si>
    <t>submitdate</t>
  </si>
  <si>
    <t>lastpage</t>
  </si>
  <si>
    <t>startlanguage</t>
  </si>
  <si>
    <t>seed</t>
  </si>
  <si>
    <t>startdate</t>
  </si>
  <si>
    <t>datestamp</t>
  </si>
  <si>
    <t>refurl</t>
  </si>
  <si>
    <t>prolific</t>
  </si>
  <si>
    <t>priorKnowledge[CLUSTERING]</t>
  </si>
  <si>
    <t>priorKnowledge[NLP]</t>
  </si>
  <si>
    <t>priorKnowledge[ZSCORES]</t>
  </si>
  <si>
    <t>priorKnowledge[RUSSIA]</t>
  </si>
  <si>
    <t>priorClinton</t>
  </si>
  <si>
    <t>priorTrump</t>
  </si>
  <si>
    <t>priorWinner</t>
  </si>
  <si>
    <t>cluster3</t>
  </si>
  <si>
    <t>cluster5</t>
  </si>
  <si>
    <t>cluster1</t>
  </si>
  <si>
    <t>cluster0</t>
  </si>
  <si>
    <t>cliuster2</t>
  </si>
  <si>
    <t>cluster4</t>
  </si>
  <si>
    <t>explain1</t>
  </si>
  <si>
    <t>explain2</t>
  </si>
  <si>
    <t>explain3</t>
  </si>
  <si>
    <t>explain4</t>
  </si>
  <si>
    <t>explain5</t>
  </si>
  <si>
    <t>explain6</t>
  </si>
  <si>
    <t>explain7</t>
  </si>
  <si>
    <t>explain8</t>
  </si>
  <si>
    <t>validate1</t>
  </si>
  <si>
    <t>validate2</t>
  </si>
  <si>
    <t>validate3</t>
  </si>
  <si>
    <t>validate4</t>
  </si>
  <si>
    <t>validate5</t>
  </si>
  <si>
    <t>validate6</t>
  </si>
  <si>
    <t>validate7</t>
  </si>
  <si>
    <t>validate8</t>
  </si>
  <si>
    <t>comprescore</t>
  </si>
  <si>
    <t>comprecomment</t>
  </si>
  <si>
    <t>feedback</t>
  </si>
  <si>
    <t>interviewtime</t>
  </si>
  <si>
    <t>groupTime26</t>
  </si>
  <si>
    <t>prolificTime</t>
  </si>
  <si>
    <t>groupTime21</t>
  </si>
  <si>
    <t>priorKnowledgeTime</t>
  </si>
  <si>
    <t>priorClintonTime</t>
  </si>
  <si>
    <t>priorTrumpTime</t>
  </si>
  <si>
    <t>priorWinnerTime</t>
  </si>
  <si>
    <t>groupTime22</t>
  </si>
  <si>
    <t>cluster3Time</t>
  </si>
  <si>
    <t>cluster5Time</t>
  </si>
  <si>
    <t>cluster1Time</t>
  </si>
  <si>
    <t>cluster0Time</t>
  </si>
  <si>
    <t>cliuster2Time</t>
  </si>
  <si>
    <t>cluster4Time</t>
  </si>
  <si>
    <t>groupTime23</t>
  </si>
  <si>
    <t>explain1Time</t>
  </si>
  <si>
    <t>explain2Time</t>
  </si>
  <si>
    <t>explain3Time</t>
  </si>
  <si>
    <t>explain4Time</t>
  </si>
  <si>
    <t>explain5Time</t>
  </si>
  <si>
    <t>explain6Time</t>
  </si>
  <si>
    <t>explain7Time</t>
  </si>
  <si>
    <t>explain8Time</t>
  </si>
  <si>
    <t>groupTime24</t>
  </si>
  <si>
    <t>validate1Time</t>
  </si>
  <si>
    <t>validate2Time</t>
  </si>
  <si>
    <t>validate3Time</t>
  </si>
  <si>
    <t>validate4Time</t>
  </si>
  <si>
    <t>validate5Time</t>
  </si>
  <si>
    <t>validate6Time</t>
  </si>
  <si>
    <t>validate7Time</t>
  </si>
  <si>
    <t>validate8Time</t>
  </si>
  <si>
    <t>groupTime25</t>
  </si>
  <si>
    <t>comprescoreTime</t>
  </si>
  <si>
    <t>comprecommentTime</t>
  </si>
  <si>
    <t>groupTime31</t>
  </si>
  <si>
    <t>feedbackTime</t>
  </si>
  <si>
    <t>en</t>
  </si>
  <si>
    <t>https://n-7gn6f3ymqlyeypjitxev2qsjqakgimt2ontr6eq-0lu-script.googleusercontent.com/userCodeAppPanel</t>
  </si>
  <si>
    <t>Republicans</t>
  </si>
  <si>
    <t>Donald Trump</t>
  </si>
  <si>
    <t>Cluster 3</t>
  </si>
  <si>
    <t>Cluster 0</t>
  </si>
  <si>
    <t>Cluster 5</t>
  </si>
  <si>
    <t>Cluster 1</t>
  </si>
  <si>
    <t>black, police, white</t>
  </si>
  <si>
    <t>love, heart, thing</t>
  </si>
  <si>
    <t>black</t>
  </si>
  <si>
    <t>trump</t>
  </si>
  <si>
    <t>accounts that tweet about crime</t>
  </si>
  <si>
    <t>accounts that tweet about Donald Trump</t>
  </si>
  <si>
    <t>False</t>
  </si>
  <si>
    <t>True</t>
  </si>
  <si>
    <t>very easy to comprehend</t>
  </si>
  <si>
    <t>https://n-7gn6f3ymqlyeypjitxev2qsjqakgimt2ontr6eq-0lu-script.googleusercontent.com/blank</t>
  </si>
  <si>
    <t>Democrats</t>
  </si>
  <si>
    <t>Cluster 4</t>
  </si>
  <si>
    <t>police</t>
  </si>
  <si>
    <t>look</t>
  </si>
  <si>
    <t>accounts that tweet about news stories</t>
  </si>
  <si>
    <t>accounts that tweet about American presidents</t>
  </si>
  <si>
    <t>difficult to comprehend</t>
  </si>
  <si>
    <t>Cluster 2</t>
  </si>
  <si>
    <t>news</t>
  </si>
  <si>
    <t>easy to comprehend</t>
  </si>
  <si>
    <t>comprehensible</t>
  </si>
  <si>
    <t>police, Trump, Obama</t>
  </si>
  <si>
    <t>obama</t>
  </si>
  <si>
    <t>very difficult to comprehend</t>
  </si>
  <si>
    <t>accounts that tweet American presidents</t>
  </si>
  <si>
    <t>visualization</t>
  </si>
  <si>
    <t>Z-score charts</t>
  </si>
  <si>
    <t>Z-score wordcloud</t>
  </si>
  <si>
    <t>Wordcloud</t>
  </si>
  <si>
    <t>Question</t>
  </si>
  <si>
    <t>Answer</t>
  </si>
  <si>
    <t>priorTotalSuccess</t>
  </si>
  <si>
    <t>priorSuccessRatio</t>
  </si>
  <si>
    <t>classifyTotalSuccess</t>
  </si>
  <si>
    <t>classifySuccessRatio</t>
  </si>
  <si>
    <t>explainTotalSuccess</t>
  </si>
  <si>
    <t>explainSuccessRatio</t>
  </si>
  <si>
    <t>totalSuccessRatio</t>
  </si>
  <si>
    <t>validateTotalSuccess</t>
  </si>
  <si>
    <t>validateSuccessRatio</t>
  </si>
  <si>
    <t>interviewminutes</t>
  </si>
  <si>
    <t>Total</t>
  </si>
  <si>
    <t>no</t>
  </si>
  <si>
    <t>Row Labels</t>
  </si>
  <si>
    <t>Grand Total</t>
  </si>
  <si>
    <t>Average of classifySuccessRatio</t>
  </si>
  <si>
    <t>Average of explainSuccessRatio</t>
  </si>
  <si>
    <t>Average of validateSuccessRatio</t>
  </si>
  <si>
    <t>Average of totalSuccessRatio</t>
  </si>
  <si>
    <t>priorKnowledgeTechQuestionCount</t>
  </si>
  <si>
    <t>totalCorrectAnswers</t>
  </si>
  <si>
    <t>Key</t>
  </si>
  <si>
    <t>Value</t>
  </si>
  <si>
    <t>subjectiveComprehensibility</t>
  </si>
  <si>
    <t>priorKnowledgeTechAvg</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</si>
  <si>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</si>
  <si>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</si>
  <si>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</si>
  <si>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</si>
  <si>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</si>
  <si>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</si>
  <si>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</si>
  <si>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</si>
  <si>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</si>
  <si>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</si>
  <si>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</si>
  <si>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</si>
  <si>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</si>
  <si>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</si>
  <si>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</si>
  <si>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</si>
  <si>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</si>
  <si>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</si>
  <si>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</si>
  <si>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</si>
  <si>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</si>
  <si>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</si>
  <si>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</si>
  <si>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</si>
  <si>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Variance</t>
  </si>
  <si>
    <t>Independent variable (X)</t>
  </si>
  <si>
    <t>Dependent variable (Y)</t>
  </si>
  <si>
    <t>timeToComplete</t>
  </si>
  <si>
    <t>Correlation</t>
  </si>
  <si>
    <t>Anova: Single Factor</t>
  </si>
  <si>
    <t>SUMMARY</t>
  </si>
  <si>
    <t>Groups</t>
  </si>
  <si>
    <t>Count</t>
  </si>
  <si>
    <t>Sum</t>
  </si>
  <si>
    <t>Average</t>
  </si>
  <si>
    <t>Source of Variation</t>
  </si>
  <si>
    <t>F crit</t>
  </si>
  <si>
    <t>Between Groups</t>
  </si>
  <si>
    <t>Within Groups</t>
  </si>
  <si>
    <t>run</t>
  </si>
  <si>
    <t>2019-09-06 10:36:54</t>
  </si>
  <si>
    <t>2019-09-06 10:30:33</t>
  </si>
  <si>
    <t>2019-09-06 10:48:18</t>
  </si>
  <si>
    <t>2019-09-06 10:33:04</t>
  </si>
  <si>
    <t>2019-09-06 10:48:54</t>
  </si>
  <si>
    <t>2019-09-06 10:40:34</t>
  </si>
  <si>
    <t>2019-09-06 10:54:33</t>
  </si>
  <si>
    <t>2019-09-06 10:45:26</t>
  </si>
  <si>
    <t>2019-09-06 10:54:32</t>
  </si>
  <si>
    <t>2019-09-06 10:53:55</t>
  </si>
  <si>
    <t>2019-09-06 10:46:48</t>
  </si>
  <si>
    <t>2019-09-06 11:07:17</t>
  </si>
  <si>
    <t>2019-09-06 10:49:16</t>
  </si>
  <si>
    <t>2019-09-06 11:11:56</t>
  </si>
  <si>
    <t>2019-09-06 10:51:07</t>
  </si>
  <si>
    <t>2019-09-06 11:08:30</t>
  </si>
  <si>
    <t>2019-09-06 10:53:38</t>
  </si>
  <si>
    <t>2019-09-06 11:04:46</t>
  </si>
  <si>
    <t>2019-09-06 10:56:53</t>
  </si>
  <si>
    <t>https://n-7gn6f3ymqlyeypjitxev2qsjqakgimt2ontr6eq-0lu-script.googleusercontent.com/</t>
  </si>
  <si>
    <t>2019-09-06 11:09:40</t>
  </si>
  <si>
    <t>2019-09-06 10:57:09</t>
  </si>
  <si>
    <t>2019-09-06 11:13:33</t>
  </si>
  <si>
    <t>2019-09-06 10:58:39</t>
  </si>
  <si>
    <t>2019-09-06 11:25:09</t>
  </si>
  <si>
    <t>2019-09-06 10:58:49</t>
  </si>
  <si>
    <t>2019-09-06 11:12:44</t>
  </si>
  <si>
    <t>2019-09-06 11:01:17</t>
  </si>
  <si>
    <t>2019-09-06 11:15:22</t>
  </si>
  <si>
    <t>2019-09-06 11:03:04</t>
  </si>
  <si>
    <t>2019-09-06 11:18:08</t>
  </si>
  <si>
    <t>2019-09-06 11:05:45</t>
  </si>
  <si>
    <t>2019-09-06 11:28:13</t>
  </si>
  <si>
    <t>2019-09-06 11:06:58</t>
  </si>
  <si>
    <t>2019-09-06 11:17:12</t>
  </si>
  <si>
    <t>2019-09-06 11:08:31</t>
  </si>
  <si>
    <t>2019-09-06 11:21:29</t>
  </si>
  <si>
    <t>2019-09-06 11:10:09</t>
  </si>
  <si>
    <t>2019-09-06 11:18:53</t>
  </si>
  <si>
    <t>2019-09-06 11:10:11</t>
  </si>
  <si>
    <t>2019-09-06 11:27:53</t>
  </si>
  <si>
    <t>2019-09-06 11:14:40</t>
  </si>
  <si>
    <t>2019-09-06 11:24:28</t>
  </si>
  <si>
    <t>2019-09-06 11:16:06</t>
  </si>
  <si>
    <t>2019-09-06 11:24:22</t>
  </si>
  <si>
    <t>2019-09-06 11:40:58</t>
  </si>
  <si>
    <t>2019-09-06 11:16:50</t>
  </si>
  <si>
    <t>2019-09-06 11:23:41</t>
  </si>
  <si>
    <t>2019-09-06 11:17:00</t>
  </si>
  <si>
    <t>2019-09-06 11:26:55</t>
  </si>
  <si>
    <t>2019-09-06 11:17:38</t>
  </si>
  <si>
    <t>2019-09-06 11:28:19</t>
  </si>
  <si>
    <t>2019-09-06 11:17:53</t>
  </si>
  <si>
    <t>2019-09-06 11:39:45</t>
  </si>
  <si>
    <t>2019-09-06 11:18:11</t>
  </si>
  <si>
    <t>2019-09-06 11:34:58</t>
  </si>
  <si>
    <t>2019-09-06 11:19:06</t>
  </si>
  <si>
    <t>2019-09-06 11:50:24</t>
  </si>
  <si>
    <t>2019-09-06 11:19:39</t>
  </si>
  <si>
    <t>2019-09-06 11:31:38</t>
  </si>
  <si>
    <t>2019-09-06 11:19:54</t>
  </si>
  <si>
    <t>2019-09-06 11:30:25</t>
  </si>
  <si>
    <t>2019-09-06 11:33:24</t>
  </si>
  <si>
    <t>2019-09-06 11:20:07</t>
  </si>
  <si>
    <t>2019-09-06 11:28:29</t>
  </si>
  <si>
    <t>2019-09-06 11:20:18</t>
  </si>
  <si>
    <t>2019-09-06 11:32:13</t>
  </si>
  <si>
    <t>2019-09-06 11:20:31</t>
  </si>
  <si>
    <t>2019-09-06 11:31:46</t>
  </si>
  <si>
    <t>2019-09-06 11:22:17</t>
  </si>
  <si>
    <t>2019-09-06 11:30:24</t>
  </si>
  <si>
    <t>2019-09-06 11:22:31</t>
  </si>
  <si>
    <t>2019-09-06 11:38:50</t>
  </si>
  <si>
    <t>2019-09-06 11:23:23</t>
  </si>
  <si>
    <t>2019-09-06 11:32:47</t>
  </si>
  <si>
    <t>2019-09-06 11:23:30</t>
  </si>
  <si>
    <t>2019-09-06 11:34:29</t>
  </si>
  <si>
    <t>2019-09-06 11:23:52</t>
  </si>
  <si>
    <t>2019-09-06 11:49:08</t>
  </si>
  <si>
    <t>2019-09-06 11:24:26</t>
  </si>
  <si>
    <t>2019-09-06 11:33:30</t>
  </si>
  <si>
    <t>2019-09-06 11:25:11</t>
  </si>
  <si>
    <t>2019-09-06 11:41:22</t>
  </si>
  <si>
    <t>2019-09-06 11:31:09</t>
  </si>
  <si>
    <t>2019-09-06 11:45:48</t>
  </si>
  <si>
    <t>2019-09-06 11:31:17</t>
  </si>
  <si>
    <t>2019-09-06 12:14:47</t>
  </si>
  <si>
    <t>2019-09-06 12:03:19</t>
  </si>
  <si>
    <t>5c6693d3a3636800013e2a5b</t>
  </si>
  <si>
    <t>I found it quite difficult at times to interpret what I could see but as the survey continued I was able to understand it better.</t>
  </si>
  <si>
    <t>5b9b7d4608c0fc0001472a30</t>
  </si>
  <si>
    <t>The risk is that you focus on the largest words and don't take in the smaller words. And it is sometimes hard to judge the relative significance/frequency of the different sized words in the cloud.</t>
  </si>
  <si>
    <t>5b884440f325000001e561fa</t>
  </si>
  <si>
    <t>Quality of the understanding of the language</t>
  </si>
  <si>
    <t>5b77ee2d87d85f0001b9b3ff</t>
  </si>
  <si>
    <t>5c9c7cc072bf7f0017b6b798</t>
  </si>
  <si>
    <t>new</t>
  </si>
  <si>
    <t>Confusing and not in context</t>
  </si>
  <si>
    <t>5cc0e3310eb97100172de934</t>
  </si>
  <si>
    <t>The principle and the words are very easy to comprehend. However, the visualisation falls down by using colours that are difficult to see, eg. yellow or light green on white.</t>
  </si>
  <si>
    <t>5d1bb1ba36b2500019b307fa</t>
  </si>
  <si>
    <t>It does help to visualise/categorise the twits better</t>
  </si>
  <si>
    <t>5ce193181b186d0018af0392</t>
  </si>
  <si>
    <t>death</t>
  </si>
  <si>
    <t>It could be difficult for some people and people could see it differently</t>
  </si>
  <si>
    <t>597076ad965d930001322d01</t>
  </si>
  <si>
    <t>It is hard to remember so many</t>
  </si>
  <si>
    <t>5ccb259c78e7d000013b2cae</t>
  </si>
  <si>
    <t>I find Word cloud easy to comprehend because it's like a summary.</t>
  </si>
  <si>
    <t>5c63151b6414c8000172b062</t>
  </si>
  <si>
    <t>5cfbd834bd7c730001d1730d</t>
  </si>
  <si>
    <t>5ca7050c6fa13f00199cc2d4</t>
  </si>
  <si>
    <t>It lacks context but gives an overview of themes</t>
  </si>
  <si>
    <t>5d093ff714de190001842a6b</t>
  </si>
  <si>
    <t>I tend to focus mainly on the 3-4 largest words. It feels like there are too many smaller words to take them all in, so I was at risk of generalising just based on the top 3-4 words.</t>
  </si>
  <si>
    <t>5c45bcf43d08e80001368aed</t>
  </si>
  <si>
    <t>59f99e8305d1d60001f1484b</t>
  </si>
  <si>
    <t>I found that it was reasonably easy to comprehend the general message that each panel of the tweet cloud visualizations was trying to get across. The larger sized text was key in getting the message across and the larger more colourful text was very eye-catching and influenced my reading of the messages.</t>
  </si>
  <si>
    <t>5d53a5e5a8b69800169db103</t>
  </si>
  <si>
    <t>An insightful, overarching view on someone’s digital timeline.</t>
  </si>
  <si>
    <t>5c533f8fb78e9500010dbab7</t>
  </si>
  <si>
    <t>5afbfb5f02b1b5000103e455</t>
  </si>
  <si>
    <t>The fact that all the words are clustered, with different sizes, orientation, colors, make it hard to read it beyond the largest words. It is very useful to gain an understanding of context, but very hard to gain specific ideas from it.</t>
  </si>
  <si>
    <t>5bdcf08f05ed110001ab2bbf</t>
  </si>
  <si>
    <t>5c7b4c4654ebb10001ecfc8f</t>
  </si>
  <si>
    <t>Once you understand how it works it’s quite simple</t>
  </si>
  <si>
    <t>59df7ab8ac0af70001b3648e</t>
  </si>
  <si>
    <t>Sometimes font colour makes a different but otherwise was easy enough to read</t>
  </si>
  <si>
    <t>5ced28579d75d000011572be</t>
  </si>
  <si>
    <t>It's easy to understand 3 or 4 of the most common keywords. But after that, the rest just becomes smaller and less understandable.</t>
  </si>
  <si>
    <t>5b8d2a0db1b22d00017e1eeb</t>
  </si>
  <si>
    <t>It gave me a good idea about what the tweets were about (it was a bit confusing that the numbering started with 0 not 1 though)</t>
  </si>
  <si>
    <t>5cf03597beaebd001f0d73ab</t>
  </si>
  <si>
    <t>It's easy to pick out the most used words - words that are used to strike emotion and make you want to find out more and read more about it.</t>
  </si>
  <si>
    <t>5c250b4e2c45d4000148a914</t>
  </si>
  <si>
    <t>It is quite easy to depict common words used in tweets and group them together on this basis.  It makes logical sense to group them in the way they have been.</t>
  </si>
  <si>
    <t>5c8c28368f5b6400018e19b3</t>
  </si>
  <si>
    <t>To me it looked like some phrases belonged in multiple clusters.</t>
  </si>
  <si>
    <t>5d42ee25beeecd0015d00973</t>
  </si>
  <si>
    <t>difficult to comprehend at first and gets easier after a few minutes</t>
  </si>
  <si>
    <t>5d2754939bf87a001a94f8bb</t>
  </si>
  <si>
    <t>The visualisations seem cluttered and require studying closely.</t>
  </si>
  <si>
    <t>5d404c6a584cc80017e81001</t>
  </si>
  <si>
    <t>You are drawn to the large words and it's hard to totally see the small ones.</t>
  </si>
  <si>
    <t>5d15ca372c9f77001808efd2</t>
  </si>
  <si>
    <t>Other</t>
  </si>
  <si>
    <t>It is easy to identify the main words and then the next three sets of them, but after that it is a little small to read, but that is only the listing we have here. Otherwise it shows ok .</t>
  </si>
  <si>
    <t>5a549f948e6259000175983a</t>
  </si>
  <si>
    <t>interesting concept</t>
  </si>
  <si>
    <t>5d5677fd7e82b2000122eb6d</t>
  </si>
  <si>
    <t>word association</t>
  </si>
  <si>
    <t>5716a297c5aca200128d2c52</t>
  </si>
  <si>
    <t>It is very easy to understand these word clouds but also easy to ignore some of the smaller words in favour of the larger ones</t>
  </si>
  <si>
    <t>5c194f0ff9b08300010be258</t>
  </si>
  <si>
    <t>I found the bigger words were more significant for me to understand the main topics, however difficult to gage whether these were in a positive or negative light. The smaller words were more difficult to make out, and my brain shut them off after a while.</t>
  </si>
  <si>
    <t>5994b3dcf9db7d0001895842</t>
  </si>
  <si>
    <t>I wonder how much I am picking up on colours and sizes of the words and which is drawing my attention. I may be missing things when looking at this visualisation.</t>
  </si>
  <si>
    <t>5c6e992b9d7a31000146fd95</t>
  </si>
  <si>
    <t>59fc2094087f2e0001ead5fa</t>
  </si>
  <si>
    <t>Fairly easy to understand as it is very visual</t>
  </si>
  <si>
    <t>5970a273965d930001323b08</t>
  </si>
  <si>
    <t>Misleading by only emphasising certain words.  The truth gets list in the buzz words</t>
  </si>
  <si>
    <t>5c3a4daa6c4e3d0001b89af8</t>
  </si>
  <si>
    <t>I am not familiar with this type of visualisation, therefore it took me a bit of time and effort to answer the questions. I think with a bit of training the process of reading these clouds might get easier. I tried to answer the questions at best of my abilities.</t>
  </si>
  <si>
    <t>5c88cfc680858000011363df</t>
  </si>
  <si>
    <t>obviously the big words were easy to read but finding all the smaller words took time but they did make sense eventually</t>
  </si>
  <si>
    <t>5ca4b6a74c30330001f14c70</t>
  </si>
  <si>
    <t>It's good for showing you the strongest themes being tweeted about</t>
  </si>
  <si>
    <t>5ced7e9f3cad8c00179175af</t>
  </si>
  <si>
    <t>The obvious large words are easy to understand. Some of the smaller words are hard to see.
It is unclear what the impact of smaller words and lesser terms is on the larger more used terms.</t>
  </si>
  <si>
    <t>full</t>
  </si>
  <si>
    <t>2019-09-06 10:37:49</t>
  </si>
  <si>
    <t>2019-09-06 10:21:34</t>
  </si>
  <si>
    <t>2019-09-06 10:42:41</t>
  </si>
  <si>
    <t>2019-09-06 10:32:39</t>
  </si>
  <si>
    <t>2019-09-06 10:56:52</t>
  </si>
  <si>
    <t>2019-09-06 10:42:16</t>
  </si>
  <si>
    <t>2019-09-06 10:58:47</t>
  </si>
  <si>
    <t>2019-09-06 10:43:52</t>
  </si>
  <si>
    <t>2019-09-06 11:01:50</t>
  </si>
  <si>
    <t>2019-09-06 10:49:03</t>
  </si>
  <si>
    <t>2019-09-06 11:01:04</t>
  </si>
  <si>
    <t>2019-09-06 10:51:17</t>
  </si>
  <si>
    <t>2019-09-06 11:10:55</t>
  </si>
  <si>
    <t>2019-09-06 10:53:06</t>
  </si>
  <si>
    <t>2019-09-06 11:12:26</t>
  </si>
  <si>
    <t>2019-09-06 10:53:22</t>
  </si>
  <si>
    <t>2019-09-06 11:15:25</t>
  </si>
  <si>
    <t>2019-09-06 10:58:16</t>
  </si>
  <si>
    <t>https://n-7gn6f3ymqlyeypjitxev2qsjqakgimt2ontr6eq-1lu-script.googleusercontent.com/userCodeAppPanel</t>
  </si>
  <si>
    <t>2019-09-06 11:14:43</t>
  </si>
  <si>
    <t>2019-09-06 10:58:52</t>
  </si>
  <si>
    <t>2019-09-06 11:13:51</t>
  </si>
  <si>
    <t>2019-09-06 11:01:27</t>
  </si>
  <si>
    <t>2019-09-06 11:14:51</t>
  </si>
  <si>
    <t>2019-09-06 11:01:39</t>
  </si>
  <si>
    <t>2019-09-06 11:13:05</t>
  </si>
  <si>
    <t>2019-09-06 11:02:32</t>
  </si>
  <si>
    <t>2019-09-06 11:19:36</t>
  </si>
  <si>
    <t>2019-09-06 11:04:35</t>
  </si>
  <si>
    <t>2019-09-06 11:19:34</t>
  </si>
  <si>
    <t>2019-09-06 11:31:06</t>
  </si>
  <si>
    <t>2019-09-06 11:07:00</t>
  </si>
  <si>
    <t>2019-09-06 11:31:05</t>
  </si>
  <si>
    <t>2019-09-06 11:13:55</t>
  </si>
  <si>
    <t>2019-09-06 11:07:04</t>
  </si>
  <si>
    <t>2019-09-06 11:30:16</t>
  </si>
  <si>
    <t>2019-09-06 11:08:36</t>
  </si>
  <si>
    <t>2019-09-06 11:22:20</t>
  </si>
  <si>
    <t>2019-09-06 11:12:24</t>
  </si>
  <si>
    <t>2019-09-06 11:22:19</t>
  </si>
  <si>
    <t>2019-09-06 11:24:51</t>
  </si>
  <si>
    <t>2019-09-06 11:13:21</t>
  </si>
  <si>
    <t>2019-09-06 11:26:27</t>
  </si>
  <si>
    <t>2019-09-06 11:14:06</t>
  </si>
  <si>
    <t>2019-09-06 11:22:41</t>
  </si>
  <si>
    <t>2019-09-06 11:14:39</t>
  </si>
  <si>
    <t>2019-09-06 11:46:21</t>
  </si>
  <si>
    <t>2019-09-06 11:15:50</t>
  </si>
  <si>
    <t>2019-09-06 11:28:50</t>
  </si>
  <si>
    <t>2019-09-06 11:19:53</t>
  </si>
  <si>
    <t>2019-09-06 11:32:30</t>
  </si>
  <si>
    <t>2019-09-06 11:19:56</t>
  </si>
  <si>
    <t>2019-09-06 11:31:49</t>
  </si>
  <si>
    <t>2019-09-06 11:22:33</t>
  </si>
  <si>
    <t>2019-09-06 11:31:53</t>
  </si>
  <si>
    <t>2019-09-06 11:24:18</t>
  </si>
  <si>
    <t>2019-09-06 11:33:52</t>
  </si>
  <si>
    <t>2019-09-06 11:25:18</t>
  </si>
  <si>
    <t>2019-09-06 11:30:38</t>
  </si>
  <si>
    <t>2019-09-06 11:25:25</t>
  </si>
  <si>
    <t>2019-09-06 11:36:35</t>
  </si>
  <si>
    <t>2019-09-06 11:26:28</t>
  </si>
  <si>
    <t>2019-09-06 11:42:34</t>
  </si>
  <si>
    <t>2019-09-06 11:30:28</t>
  </si>
  <si>
    <t>2019-09-06 11:54:23</t>
  </si>
  <si>
    <t>2019-09-06 11:46:00</t>
  </si>
  <si>
    <t>5cc5a2c5974731000119eafc</t>
  </si>
  <si>
    <t>575d94abef120200067e5e5a</t>
  </si>
  <si>
    <t>Some were clearer than others. Cluster 2 was very generic and hard to see the relationship between the words</t>
  </si>
  <si>
    <t>5c97730c25e64c0015118482</t>
  </si>
  <si>
    <t>Difficult to understand</t>
  </si>
  <si>
    <t>5c0974db5b283a0001c8a32b</t>
  </si>
  <si>
    <t>Easy to comprehend and summarise the categories.</t>
  </si>
  <si>
    <t>5c3aea9cf5ebd500018551fa</t>
  </si>
  <si>
    <t>is was ok for me</t>
  </si>
  <si>
    <t>I found this very interesting and fairly easy to use. Not sure if my interpretation is correct though!</t>
  </si>
  <si>
    <t>5c28f3efdfe7fc0001cd8b28</t>
  </si>
  <si>
    <t>No comment to make</t>
  </si>
  <si>
    <t>5cb50391e585bc001573bb03</t>
  </si>
  <si>
    <t>It's much easier to understand when you have a picture in front of you as an example. If it's just a description, it's much more difficult to understand.</t>
  </si>
  <si>
    <t>the most common used words are easier to spot</t>
  </si>
  <si>
    <t>5bdf514805ba8e0001965d25</t>
  </si>
  <si>
    <t>Doesn’t give you the full picture</t>
  </si>
  <si>
    <t>579a2047275be6000135a94c</t>
  </si>
  <si>
    <t>Good visually but a bit confusing</t>
  </si>
  <si>
    <t>5c42c4b05aca820001f71477</t>
  </si>
  <si>
    <t>I can understand the basic theme but am not sure I am interpreting them correctly.</t>
  </si>
  <si>
    <t>5a23fe78bf56cc0001770280</t>
  </si>
  <si>
    <t>I think its an interesting way of grouping tweets together, you can start to see a pattern emerge.</t>
  </si>
  <si>
    <t>It's comprehensible and assumptions can be made easily but I fear that we have lost the context .</t>
  </si>
  <si>
    <t>5978e0fc13dc5e0001e2e3d4</t>
  </si>
  <si>
    <t>words that comprehend each other, are close in meanong, found together in a cloud</t>
  </si>
  <si>
    <t>it is diverse, so can be confusing</t>
  </si>
  <si>
    <t>5b9ae2e307c6960001613886</t>
  </si>
  <si>
    <t>It is a little bit confusing with this mess of words</t>
  </si>
  <si>
    <t>5caaa5da0adbf40001d85a81</t>
  </si>
  <si>
    <t>I struggled to read the blue words. Also they are not accessible to people with colour blindness, dyslexia, and other SpLDs.</t>
  </si>
  <si>
    <t>5d5ba95a81cb29001f76efed</t>
  </si>
  <si>
    <t>A scale in regards to the size and colour of the words may help with comprehension. People with colour vision problems may need additional versions or the ability to change the colours.</t>
  </si>
  <si>
    <t>5b8fdd69182eb80001622a73</t>
  </si>
  <si>
    <t>making data easy to understand and analyse without having to need deep explanations.</t>
  </si>
  <si>
    <t>5cbf7efc33c9c70017d49c79</t>
  </si>
  <si>
    <t>it's easy to follow because the most used words are bolder and brighter than the lesser-used words, and also the clusters are all different</t>
  </si>
  <si>
    <t>5d67b2b7aa02520001b1a74b</t>
  </si>
  <si>
    <t>5cd49645dd6659000170d5b7</t>
  </si>
  <si>
    <t>It is a word that you cannot really state whether easy or difficult depending on the presentation at the time. So it can sometimes be difficult and sometimes appear easier</t>
  </si>
  <si>
    <t>5d53febd4e0e9a00177a9d54</t>
  </si>
  <si>
    <t>5d6d0dc7fbd73a00017123e6</t>
  </si>
  <si>
    <t>It is easy to decipher the topics/ words most used but not the context behind them, for example someone could tweet about Donald Trump a lot but that doesn't say whether this is in a negative or positive way.</t>
  </si>
  <si>
    <t>5be2f1a1ed8fe50001c402e4</t>
  </si>
  <si>
    <t>5a6f9ac482968f0001a6a158</t>
  </si>
  <si>
    <t>since the most used words are the biggest, it is easier to get an overview of what the account mostly tweets about</t>
  </si>
  <si>
    <t>5cc4ce7c3bcc4500016216df</t>
  </si>
  <si>
    <t>I have to be honest I wasn't entirely sure what word cloud comprehensibility was until taking this survey, its actually very interesting will probably look into it a little bit more</t>
  </si>
  <si>
    <t>5c9a95ef9de0ed0015388e77</t>
  </si>
  <si>
    <t>Really easy to see what words appeared the most.</t>
  </si>
  <si>
    <t>58513454b9f14b000151795f</t>
  </si>
  <si>
    <t>ITs is usually obvious what is going on in each cloud but not every single option is easy to place</t>
  </si>
  <si>
    <t>59e0d7d6ac0af70001b365b4</t>
  </si>
  <si>
    <t>I found it easy to understand although you focus less on the less noticeable wording</t>
  </si>
  <si>
    <t>5c87e674c558df0014565c72</t>
  </si>
  <si>
    <t>The grouping of keywords makes it easier for me to categorise the tweets</t>
  </si>
  <si>
    <t>2019-09-06 10:48:32</t>
  </si>
  <si>
    <t>2019-09-06 10:32:45</t>
  </si>
  <si>
    <t>2019-09-06 10:48:00</t>
  </si>
  <si>
    <t>2019-09-06 10:38:54</t>
  </si>
  <si>
    <t>2019-09-06 10:53:52</t>
  </si>
  <si>
    <t>2019-09-06 10:42:20</t>
  </si>
  <si>
    <t>2019-09-06 10:59:52</t>
  </si>
  <si>
    <t>2019-09-06 10:44:56</t>
  </si>
  <si>
    <t>2019-09-06 11:14:58</t>
  </si>
  <si>
    <t>2019-09-06 11:00:40</t>
  </si>
  <si>
    <t>2019-09-06 11:11:11</t>
  </si>
  <si>
    <t>2019-09-06 11:00:44</t>
  </si>
  <si>
    <t>2019-09-06 11:21:25</t>
  </si>
  <si>
    <t>2019-09-06 11:01:35</t>
  </si>
  <si>
    <t>2019-09-06 11:29:38</t>
  </si>
  <si>
    <t>2019-09-06 11:12:29</t>
  </si>
  <si>
    <t>2019-09-06 11:30:30</t>
  </si>
  <si>
    <t>2019-09-06 11:16:17</t>
  </si>
  <si>
    <t>2019-09-06 11:48:17</t>
  </si>
  <si>
    <t>2019-09-06 11:16:22</t>
  </si>
  <si>
    <t>2019-09-06 11:27:51</t>
  </si>
  <si>
    <t>2019-09-06 11:36:26</t>
  </si>
  <si>
    <t>2019-09-06 11:17:39</t>
  </si>
  <si>
    <t>2019-09-06 11:21:46</t>
  </si>
  <si>
    <t>2019-09-06 11:30:39</t>
  </si>
  <si>
    <t>2019-09-06 11:19:57</t>
  </si>
  <si>
    <t>2019-09-06 11:35:08</t>
  </si>
  <si>
    <t>2019-09-06 11:20:44</t>
  </si>
  <si>
    <t>2019-09-06 11:34:54</t>
  </si>
  <si>
    <t>2019-09-06 11:21:06</t>
  </si>
  <si>
    <t>2019-09-06 11:51:31</t>
  </si>
  <si>
    <t>2019-09-06 11:21:40</t>
  </si>
  <si>
    <t>2019-09-06 11:32:35</t>
  </si>
  <si>
    <t>2019-09-06 11:23:07</t>
  </si>
  <si>
    <t>2019-09-06 11:30:52</t>
  </si>
  <si>
    <t>2019-09-06 11:23:24</t>
  </si>
  <si>
    <t>2019-09-06 11:43:53</t>
  </si>
  <si>
    <t>2019-09-06 11:23:29</t>
  </si>
  <si>
    <t>2019-09-06 11:38:53</t>
  </si>
  <si>
    <t>2019-09-06 11:25:06</t>
  </si>
  <si>
    <t>2019-09-06 11:38:10</t>
  </si>
  <si>
    <t>2019-09-06 11:27:25</t>
  </si>
  <si>
    <t>2019-09-06 11:28:27</t>
  </si>
  <si>
    <t>2019-09-06 11:54:20</t>
  </si>
  <si>
    <t>2019-09-06 11:45:56</t>
  </si>
  <si>
    <t>2019-09-06 12:02:26</t>
  </si>
  <si>
    <t>2019-09-06 11:54:11</t>
  </si>
  <si>
    <t>2019-09-06 12:13:06</t>
  </si>
  <si>
    <t>2019-09-06 12:01:06</t>
  </si>
  <si>
    <t>5d31acf5958ca00001ccf59c</t>
  </si>
  <si>
    <t>n/a</t>
  </si>
  <si>
    <t>5bf6e87cb7dc2400013f9d8f</t>
  </si>
  <si>
    <t>very messy to read</t>
  </si>
  <si>
    <t>59e879752f63d30001c8fb9f</t>
  </si>
  <si>
    <t>The different colours makes it easier to differentiate between commonalities in subject matter</t>
  </si>
  <si>
    <t>5cf6a4546bc16c001918e83a</t>
  </si>
  <si>
    <t>Once explained it is easily understood</t>
  </si>
  <si>
    <t>5d581d2b3cdc100018ec95f9</t>
  </si>
  <si>
    <t>5847e60f73170700013697c6</t>
  </si>
  <si>
    <t>Clear and concise way to visualise the data.</t>
  </si>
  <si>
    <t>5c51913edaaeba00011f68cc</t>
  </si>
  <si>
    <t>The visual bar makes it easier to see how much a topic is mentioned</t>
  </si>
  <si>
    <t>5beb38b7aec9ef0001e9c835</t>
  </si>
  <si>
    <t>Some were clearer than others. Some I struggled to get any real meaning from. Possibly because I'm not American</t>
  </si>
  <si>
    <t>5bddaf6263f08d0001fb7b59</t>
  </si>
  <si>
    <t>59c9cc4846f7210001906928</t>
  </si>
  <si>
    <t>explains news content</t>
  </si>
  <si>
    <t>5d55b643d3554300018a9237</t>
  </si>
  <si>
    <t>The colour coding and bar charts make it easy to follow</t>
  </si>
  <si>
    <t>5d1cab684d6d860001410d5a</t>
  </si>
  <si>
    <t>I think I understood the charts reasonably enough although it was certainly a struggle at times.</t>
  </si>
  <si>
    <t>5d31d3395fbb460018e0672c</t>
  </si>
  <si>
    <t>Simple graphical representation of data as a horizontal bar relating to frequency allows for easy comparison and comprehension.</t>
  </si>
  <si>
    <t>5cdbf3589cb22f0019cce05f</t>
  </si>
  <si>
    <t>At first I didn't fully understand the blue bars - but I think I got it on the second reading, after answering the first few questions</t>
  </si>
  <si>
    <t>N/a</t>
  </si>
  <si>
    <t>5c322f84508b7a0001fcb70d</t>
  </si>
  <si>
    <t>It is easy to identify the terms that have been tweeted the most.</t>
  </si>
  <si>
    <t>5c7d7b7b266f210010af4bc3</t>
  </si>
  <si>
    <t>5bf587d07b47600001769ac4</t>
  </si>
  <si>
    <t>5c56025fcb61950001038a76</t>
  </si>
  <si>
    <t>it is hard to cateogorise random words and assign them to Boolean values (Democrat V Republican). Some tweets were not even political  - girl, love etc. It is easy to see the top values and the low values.</t>
  </si>
  <si>
    <t>5ce7d6b62e037a0015e7333c</t>
  </si>
  <si>
    <t>595238239d914e000136d762</t>
  </si>
  <si>
    <t>57739704c1b42d0001a58ae6</t>
  </si>
  <si>
    <t>simply represented as to what is communicated often and what is not</t>
  </si>
  <si>
    <t>5cab9c01291df900015c2849</t>
  </si>
  <si>
    <t>They looked confusing at first, but I quickly grasped how to understand them.</t>
  </si>
  <si>
    <t>5bead56b5324b10001c2551c</t>
  </si>
  <si>
    <t>After seeing them for the first time and reading the description of what they are i kind of understood how to read them. Ideally i would need someone to tell me how they should be read and given the chance to ask questions to clarify whether i am reading the graph correctly.</t>
  </si>
  <si>
    <t>5cc2ef1f8402ff0017e8863b</t>
  </si>
  <si>
    <t>5cc5a51042a9c30018caad3d</t>
  </si>
  <si>
    <t>There appears to be overlap and ambiguity</t>
  </si>
  <si>
    <t>5aa83706f05361000172818f</t>
  </si>
  <si>
    <t>It was fairly easy to understand</t>
  </si>
  <si>
    <t>5b17642244127b00013f7f65</t>
  </si>
  <si>
    <t>5accded9a3ba7a0001b504e5</t>
  </si>
  <si>
    <t>it seems quite straight forward</t>
  </si>
  <si>
    <t>5cebdbd50b72600016fd86a9</t>
  </si>
  <si>
    <t>I think it was OK to understand however I don't think hash tags in general are easy to understand and I don't have twitter because it is annoying and confusing to look at for the eye.</t>
  </si>
  <si>
    <t>5be59e4c520a3300010e28fa</t>
  </si>
  <si>
    <t>(All)</t>
  </si>
  <si>
    <t>Prolific ID</t>
  </si>
  <si>
    <t>Visualization</t>
  </si>
  <si>
    <t>exclude</t>
  </si>
  <si>
    <t>=&gt; TYPE OF VISUALIZATION HAS STAT. SIGNIFICANT EFFECT ON CORRECTNESS OF ANSWERS</t>
  </si>
  <si>
    <t>F &gt; F crit and p-value &lt; 0,05</t>
  </si>
  <si>
    <t>OVERALL</t>
  </si>
  <si>
    <t>Z-SCORE CHARTS</t>
  </si>
  <si>
    <t>2019-09-10 12:52:44</t>
  </si>
  <si>
    <t>2019-09-10 12:36:58</t>
  </si>
  <si>
    <t>https://n-7ndajzbjmzh6ng24opzqo36guykgimt2ontr6eq-0lu-script.googleusercontent.com/blank</t>
  </si>
  <si>
    <t>2019-09-10 12:54:02</t>
  </si>
  <si>
    <t>2019-09-10 12:41:00</t>
  </si>
  <si>
    <t>https://n-7ndajzbjmzh6ng24opzqo36guykgimt2ontr6eq-0lu-script.googleusercontent.com/userCodeAppPanel</t>
  </si>
  <si>
    <t>2019-09-10 12:52:19</t>
  </si>
  <si>
    <t>2019-09-10 12:42:51</t>
  </si>
  <si>
    <t>2019-09-10 12:55:50</t>
  </si>
  <si>
    <t>2019-09-10 12:46:25</t>
  </si>
  <si>
    <t>https://n-7ndajzbjmzh6ng24opzqo36guykgimt2ontr6eq-1lu-script.googleusercontent.com/userCodeAppPanel</t>
  </si>
  <si>
    <t>2019-09-10 13:03:39</t>
  </si>
  <si>
    <t>2019-09-10 12:52:11</t>
  </si>
  <si>
    <t>2019-09-10 12:59:59</t>
  </si>
  <si>
    <t>2019-09-10 12:53:23</t>
  </si>
  <si>
    <t>2019-09-10 12:59:58</t>
  </si>
  <si>
    <t>2019-09-10 13:04:16</t>
  </si>
  <si>
    <t>2019-09-10 12:55:25</t>
  </si>
  <si>
    <t>2019-09-10 13:07:10</t>
  </si>
  <si>
    <t>2019-09-10 12:55:53</t>
  </si>
  <si>
    <t>2019-09-10 13:10:45</t>
  </si>
  <si>
    <t>2019-09-10 12:57:07</t>
  </si>
  <si>
    <t>2019-09-10 13:07:26</t>
  </si>
  <si>
    <t>2019-09-10 12:57:13</t>
  </si>
  <si>
    <t>2019-09-10 13:05:20</t>
  </si>
  <si>
    <t>2019-09-10 12:57:59</t>
  </si>
  <si>
    <t>2019-09-10 13:11:21</t>
  </si>
  <si>
    <t>2019-09-10 12:59:25</t>
  </si>
  <si>
    <t>2019-09-10 13:13:06</t>
  </si>
  <si>
    <t>2019-09-10 13:02:48</t>
  </si>
  <si>
    <t>2019-09-10 14:38:56</t>
  </si>
  <si>
    <t>2019-09-10 14:30:23</t>
  </si>
  <si>
    <t>5d76b59830e6c500019de3aa</t>
  </si>
  <si>
    <t>Gives some idea, but important nuances of the tweets may be lost.</t>
  </si>
  <si>
    <t>Details .</t>
  </si>
  <si>
    <t>5727267ae386b900093e2b8e</t>
  </si>
  <si>
    <t>I found it relatively straightforward to understand the key themes presented in each visualisation, and to associate these with the presented tweets.</t>
  </si>
  <si>
    <t>59f1d43d24d7bf00012f17f2</t>
  </si>
  <si>
    <t>Very clear and familiar format (I didn't recognise the name initially)</t>
  </si>
  <si>
    <t>5d52c9a1954940001995c26a</t>
  </si>
  <si>
    <t>It is easy to see what the most important words are in the cloud</t>
  </si>
  <si>
    <t>59660957135b5e0001929fd5</t>
  </si>
  <si>
    <t>I found the red, most mention words much easier to concentrate on than the blue, less mentioned.</t>
  </si>
  <si>
    <t>Hillary Clinton</t>
  </si>
  <si>
    <t>5c7f8ac84209d4000177fad5</t>
  </si>
  <si>
    <t>Was able to understand to a degree but I found some tricky to comprehend</t>
  </si>
  <si>
    <t>58b5e2f5731c3f0001d2828f</t>
  </si>
  <si>
    <t>The tweets don't always fit into one of the clouds easily</t>
  </si>
  <si>
    <t>5c5f1e4f4fff5700017ec90e</t>
  </si>
  <si>
    <t>Easy to see the words/topics in involved but connection between topics can be vague</t>
  </si>
  <si>
    <t>5d333965f56db60001f01782</t>
  </si>
  <si>
    <t>5ce3bc173d3878001971daa1</t>
  </si>
  <si>
    <t>Sizes and colouration of words definitely help to quickly interpret the most discussed topics in a certain context.</t>
  </si>
  <si>
    <t>easy to understand the words and identify the words.</t>
  </si>
  <si>
    <t>full2</t>
  </si>
  <si>
    <t>2019-09-10 12:46:57</t>
  </si>
  <si>
    <t>2019-09-10 12:33:30</t>
  </si>
  <si>
    <t>2019-09-10 12:50:26</t>
  </si>
  <si>
    <t>2019-09-10 12:35:34</t>
  </si>
  <si>
    <t>2019-09-10 12:47:14</t>
  </si>
  <si>
    <t>2019-09-10 12:38:43</t>
  </si>
  <si>
    <t>2019-09-10 13:16:11</t>
  </si>
  <si>
    <t>2019-09-10 12:42:09</t>
  </si>
  <si>
    <t>2019-09-10 13:03:42</t>
  </si>
  <si>
    <t>2019-09-10 12:42:18</t>
  </si>
  <si>
    <t>2019-09-10 12:53:48</t>
  </si>
  <si>
    <t>2019-09-10 12:44:44</t>
  </si>
  <si>
    <t>2019-09-10 13:01:17</t>
  </si>
  <si>
    <t>2019-09-10 12:46:52</t>
  </si>
  <si>
    <t>2019-09-10 13:06:12</t>
  </si>
  <si>
    <t>2019-09-10 12:47:32</t>
  </si>
  <si>
    <t>2019-09-10 13:22:23</t>
  </si>
  <si>
    <t>2019-09-10 12:48:50</t>
  </si>
  <si>
    <t>2019-09-10 13:09:38</t>
  </si>
  <si>
    <t>2019-09-10 12:54:53</t>
  </si>
  <si>
    <t>2019-09-10 13:14:10</t>
  </si>
  <si>
    <t>2019-09-10 12:55:05</t>
  </si>
  <si>
    <t>2019-09-10 13:01:59</t>
  </si>
  <si>
    <t>2019-09-10 12:55:15</t>
  </si>
  <si>
    <t>2019-09-10 13:02:33</t>
  </si>
  <si>
    <t>2019-09-10 12:55:41</t>
  </si>
  <si>
    <t>2019-09-10 13:12:22</t>
  </si>
  <si>
    <t>2019-09-10 12:56:59</t>
  </si>
  <si>
    <t>2019-09-10 13:09:26</t>
  </si>
  <si>
    <t>2019-09-10 12:57:50</t>
  </si>
  <si>
    <t>2019-09-10 13:11:55</t>
  </si>
  <si>
    <t>2019-09-10 12:58:12</t>
  </si>
  <si>
    <t>2019-09-10 13:17:54</t>
  </si>
  <si>
    <t>2019-09-10 12:58:38</t>
  </si>
  <si>
    <t>2019-09-10 13:14:31</t>
  </si>
  <si>
    <t>2019-09-10 12:59:46</t>
  </si>
  <si>
    <t>2019-09-10 13:15:06</t>
  </si>
  <si>
    <t>2019-09-10 13:00:23</t>
  </si>
  <si>
    <t>2019-09-10 13:15:05</t>
  </si>
  <si>
    <t>2019-09-10 13:20:41</t>
  </si>
  <si>
    <t>2019-09-10 13:03:37</t>
  </si>
  <si>
    <t>2019-09-10 13:16:35</t>
  </si>
  <si>
    <t>2019-09-10 13:04:13</t>
  </si>
  <si>
    <t>2019-09-10 13:19:47</t>
  </si>
  <si>
    <t>2019-09-10 13:04:19</t>
  </si>
  <si>
    <t>2019-09-10 13:24:33</t>
  </si>
  <si>
    <t>2019-09-10 13:06:27</t>
  </si>
  <si>
    <t>2019-09-10 13:27:21</t>
  </si>
  <si>
    <t>2019-09-10 13:16:32</t>
  </si>
  <si>
    <t>2019-09-10 13:52:30</t>
  </si>
  <si>
    <t>2019-09-10 13:32:33</t>
  </si>
  <si>
    <t>2019-09-10 14:13:47</t>
  </si>
  <si>
    <t>2019-09-10 14:00:19</t>
  </si>
  <si>
    <t>5bfd8910eed5280001ead1dd</t>
  </si>
  <si>
    <t>5c0436da4e1b7b00016ab8b4</t>
  </si>
  <si>
    <t>5c421b47125d6f0001d1d79c</t>
  </si>
  <si>
    <t>Would prefer a summary</t>
  </si>
  <si>
    <t>5d762a162cd3ff00198c7fcb</t>
  </si>
  <si>
    <t>I found it somewhat difficult to keep scanning around for consistencies or inconsistencies when contemplating my response, as there were simply too many options.</t>
  </si>
  <si>
    <t>58473a1ef8cfb900012641e5</t>
  </si>
  <si>
    <t>Relatively easy to distinguish them into topic but yes there can be some overlaps. Best to use the least likely wording to then distinguish</t>
  </si>
  <si>
    <t>5c7047334d38530001518ab0</t>
  </si>
  <si>
    <t>It is quite time consuming for the human eye, this might be due to having to keep scrolling and page layout,if it was all visible at once I feel it could be quicker.  Sometimes the word choices don't quite fit one category easily.</t>
  </si>
  <si>
    <t>5d72876dfeb6240017e67ba3</t>
  </si>
  <si>
    <t>Easy to comprehend the extremes, difficult to measure what sits in the middle. Visualization could be improved</t>
  </si>
  <si>
    <t>5d68166982225900188f2fe3</t>
  </si>
  <si>
    <t>Easy to understand once you have looked at it a few times and answered some questions, but initially explanations a bit difficult</t>
  </si>
  <si>
    <t>57892012454e5400015f35c4</t>
  </si>
  <si>
    <t>This took a while to get the hang of but seemed comprehensible to me when I reached the true/false questions. Despite repeating the image it was still annoying having to scroll back up for reference. Also visually, 0,1 on top line makes no sense. Should be 1,2 etc.</t>
  </si>
  <si>
    <t>5bda4059ea656500011d5334</t>
  </si>
  <si>
    <t>5d51bb808dace500197a54c7</t>
  </si>
  <si>
    <t>Clear visuals and you can see associated terms</t>
  </si>
  <si>
    <t>5b66d1996f0d0400010d680a</t>
  </si>
  <si>
    <t>ive never seen one before. it seems a great way to monitor and track keywords</t>
  </si>
  <si>
    <t>5c7e48179782c300191ce450</t>
  </si>
  <si>
    <t>It seems that it would be much more comprehensible once you get a feel for it; it is a little difficult at first.</t>
  </si>
  <si>
    <t>5bf8558726e31d000103fb6a</t>
  </si>
  <si>
    <t>they easily display the volume of words used, however it is hard to retain the information for later recall</t>
  </si>
  <si>
    <t>5ce64d9e2a55320019a34af4</t>
  </si>
  <si>
    <t>it is a little complicated to completely understand for somebody who isn't used to using these type of charts to examine data</t>
  </si>
  <si>
    <t>5c77e6e6e8df4d00160c5640</t>
  </si>
  <si>
    <t>Having the blue scores made me think that the words were frequent in the clusters, but less so than the orange words. I had to keep reminding myself this wasn't the case and tried to think of them as being the opposite of the orange words.</t>
  </si>
  <si>
    <t>58f880acd7c57d0001249c99</t>
  </si>
  <si>
    <t>It was a bit inconvenient to keep on going up and down the screen to confirm the answers.</t>
  </si>
  <si>
    <t>5c0e6a7a390d55000101923e</t>
  </si>
  <si>
    <t>It would be easier to understand if you didn't provide standard definitions and instead provided a few example tweets (not politically related) and used that to show how they fit into a cluster AND what would happen to a similar tweet, which doesn't quite fit the criteria and why (eg four tweets about growing flowers and one about adding rose petals to a dish).</t>
  </si>
  <si>
    <t>5c59aa0e0be57e0001fa00e0</t>
  </si>
  <si>
    <t>5aa82bc235237b0001131a33</t>
  </si>
  <si>
    <t>Without direction of which terms to focus on, the results can be difficult to access - along with the intended implications.</t>
  </si>
  <si>
    <t>559a75fbfdf99b76b2483afb</t>
  </si>
  <si>
    <t>5b87f12a4e4b480001125b92</t>
  </si>
  <si>
    <t>It takes quite a lot of reading to understand what is actually going on. I think I have understood it now but it took quite some time to make sure I am reading them correctly and understanding them right.</t>
  </si>
  <si>
    <t>5d76e07d01cf3c000165cde0</t>
  </si>
  <si>
    <t>Had to distinct colors representing two different values. Gap in between the colors was confusing</t>
  </si>
  <si>
    <t>5c8e2abeda2d46001addf1d3</t>
  </si>
  <si>
    <t>59706c6162ef6900017a3ce6</t>
  </si>
  <si>
    <t>5d065939e22a26000104d498</t>
  </si>
  <si>
    <t>colour coding helps</t>
  </si>
  <si>
    <t>5bf55db5ec7b5f000159fc6f</t>
  </si>
  <si>
    <t>5cacd129abf37b0015a49f71</t>
  </si>
  <si>
    <t>Depends what the question is asking</t>
  </si>
  <si>
    <t>DUPLICATE</t>
  </si>
  <si>
    <t>p-value &gt; 0,05 =&gt; REGRESSION DOES NOT FIT</t>
  </si>
  <si>
    <t>p-value &lt; 0,05 =&gt; REGRESSION FITS WELL</t>
  </si>
  <si>
    <t>2019-09-11 08:28:49</t>
  </si>
  <si>
    <t>2019-09-11 08:25:46</t>
  </si>
  <si>
    <t>5c6dd46d81dbdb00011e8b8e</t>
  </si>
  <si>
    <t>2019-09-11 08:38:41</t>
  </si>
  <si>
    <t>2019-09-11 08:25:55</t>
  </si>
  <si>
    <t>lisafletcher09@hotmail.co.uk</t>
  </si>
  <si>
    <t>2019-09-11 08:39:56</t>
  </si>
  <si>
    <t>2019-09-11 08:25:59</t>
  </si>
  <si>
    <t>5cf4dfa4a602eb001be2e8c5</t>
  </si>
  <si>
    <t>2019-09-11 08:41:21</t>
  </si>
  <si>
    <t>2019-09-11 08:26:26</t>
  </si>
  <si>
    <t>56ca3e3237d66c000c59a891</t>
  </si>
  <si>
    <t>2019-09-11 08:32:40</t>
  </si>
  <si>
    <t>2019-09-11 08:26:36</t>
  </si>
  <si>
    <t>5d58a7bc257b370018265ffe</t>
  </si>
  <si>
    <t>2019-09-11 08:40:58</t>
  </si>
  <si>
    <t>2019-09-11 08:26:47</t>
  </si>
  <si>
    <t>5d6ef023cfe0a400198f911e</t>
  </si>
  <si>
    <t>2019-09-11 08:43:21</t>
  </si>
  <si>
    <t>2019-09-11 08:26:59</t>
  </si>
  <si>
    <t>5cd2e5dc3c43570018b98f0a</t>
  </si>
  <si>
    <t>2019-09-11 08:40:03</t>
  </si>
  <si>
    <t>2019-09-11 08:27:34</t>
  </si>
  <si>
    <t>5b89c530f12d55000126ec48</t>
  </si>
  <si>
    <t>2019-09-11 08:41:56</t>
  </si>
  <si>
    <t>2019-09-11 08:27:58</t>
  </si>
  <si>
    <t>5d533625b45aff0001980b1a</t>
  </si>
  <si>
    <t>2019-09-11 08:36:22</t>
  </si>
  <si>
    <t>2019-09-11 08:28:12</t>
  </si>
  <si>
    <t>5b7ecfe47a63030001019c35</t>
  </si>
  <si>
    <t>2019-09-11 08:45:41</t>
  </si>
  <si>
    <t>2019-09-11 08:28:13</t>
  </si>
  <si>
    <t>5cbc071f2edc3b00018ab097</t>
  </si>
  <si>
    <t>2019-09-11 08:34:48</t>
  </si>
  <si>
    <t>2019-09-11 08:28:17</t>
  </si>
  <si>
    <t>5aedec6e76b763000132f75e</t>
  </si>
  <si>
    <t>2019-09-11 08:37:16</t>
  </si>
  <si>
    <t>2019-09-11 08:28:27</t>
  </si>
  <si>
    <t>592bb32c943e670001cde123</t>
  </si>
  <si>
    <t>2019-09-11 08:39:52</t>
  </si>
  <si>
    <t>2019-09-11 08:28:39</t>
  </si>
  <si>
    <t>2019-09-11 08:39:51</t>
  </si>
  <si>
    <t>5bf077098500d800010a99e0</t>
  </si>
  <si>
    <t>2019-09-11 08:49:47</t>
  </si>
  <si>
    <t>2019-09-11 08:29:04</t>
  </si>
  <si>
    <t>5d61b08dc1cfe8001740f405</t>
  </si>
  <si>
    <t>2019-09-11 08:37:59</t>
  </si>
  <si>
    <t>2019-09-11 08:29:06</t>
  </si>
  <si>
    <t>5cf8529eb13a580001bdc7d9</t>
  </si>
  <si>
    <t>2019-09-11 08:53:23</t>
  </si>
  <si>
    <t>2019-09-11 08:29:24</t>
  </si>
  <si>
    <t>5d4927e399f83a00152bad4c</t>
  </si>
  <si>
    <t>2019-09-11 08:29:31</t>
  </si>
  <si>
    <t>5d2b08784588590018cf70bb</t>
  </si>
  <si>
    <t>2019-09-11 08:44:00</t>
  </si>
  <si>
    <t>2019-09-11 08:30:15</t>
  </si>
  <si>
    <t>5c2b80f371d2760001eff037</t>
  </si>
  <si>
    <t>2019-09-11 08:52:21</t>
  </si>
  <si>
    <t>2019-09-11 08:30:27</t>
  </si>
  <si>
    <t>5cab944b41de360017e2c3db</t>
  </si>
  <si>
    <t>I liked always this idea</t>
  </si>
  <si>
    <t>To many words jammed into small spaces, only ever creating emphasis on the words the advertisers wants you to see.</t>
  </si>
  <si>
    <t>Many seem very similar and seem to be making the same point.  The only one that appears quite different is Cluster 0</t>
  </si>
  <si>
    <t>Different way of thinking</t>
  </si>
  <si>
    <t>respresentation of the big picture</t>
  </si>
  <si>
    <t>Holistically, I can see the most prominent trends in these clusters. When looking for nuance, however, I tend to get lost. This most often occurred with the Trump/Obama and News clusters. That being said, I do find these useful when reading into macro-level trends.</t>
  </si>
  <si>
    <t>I feel as though I have to extrapolate a lot here, and don’t find it easy</t>
  </si>
  <si>
    <t>Some words stand out more than others</t>
  </si>
  <si>
    <t>I think they are easier to "see" common words</t>
  </si>
  <si>
    <t>i found it easier as time went on to decipher wording</t>
  </si>
  <si>
    <t>The clusters do seem to be somewhat similar.</t>
  </si>
  <si>
    <t>Some of the word words in the word cloud were easy to read with a quick look. Others words required  a lot of concentration and consideration about their connection to each other, etc.</t>
  </si>
  <si>
    <t>fits well as grouped</t>
  </si>
  <si>
    <t>It seems to make sense if you start with the biggest words and move to the smaller ones and they all seem to interconnect</t>
  </si>
  <si>
    <t>Words clouds tend to make a visually appealing graphic, but are often hard to understand for a range of reasons; words at odd/right angles are hard to read, do different colours mean anything?, sometimes different font weights are used, what does that mean? Is the placement/location of a word important? etc...
Generally the best (most comprehensible) ones I've seen have used a single font colour, are irregularly shaped like clouds where font size &amp; placement is significant e.g. the largest most popular word is in the center, with smallest, least popular around the edges, and all words are displayed upright with the same orientation for readbility.</t>
  </si>
  <si>
    <t>Confusing to see so many together</t>
  </si>
  <si>
    <t>focused and can be biased</t>
  </si>
  <si>
    <t>I could understand each word cloud for the most part, but I did find some clusters to be a tad more difficult to separate at times.</t>
  </si>
  <si>
    <t>full3</t>
  </si>
  <si>
    <t>2019-09-11 08:34:29</t>
  </si>
  <si>
    <t>2019-09-11 08:25:27</t>
  </si>
  <si>
    <t>2019-09-11 08:34:28</t>
  </si>
  <si>
    <t>2019-09-11 08:45:02</t>
  </si>
  <si>
    <t>2019-09-11 08:34:40</t>
  </si>
  <si>
    <t>2019-09-11 08:26:55</t>
  </si>
  <si>
    <t>2019-09-11 08:34:39</t>
  </si>
  <si>
    <t>2019-09-11 08:33:43</t>
  </si>
  <si>
    <t>2019-09-11 08:27:07</t>
  </si>
  <si>
    <t>2019-09-11 08:36:53</t>
  </si>
  <si>
    <t>2019-09-11 08:27:13</t>
  </si>
  <si>
    <t>2019-09-11 08:39:30</t>
  </si>
  <si>
    <t>2019-09-11 08:27:20</t>
  </si>
  <si>
    <t>2019-09-11 08:36:58</t>
  </si>
  <si>
    <t>2019-09-11 08:27:35</t>
  </si>
  <si>
    <t>2019-09-11 08:36:57</t>
  </si>
  <si>
    <t>2019-09-11 08:42:31</t>
  </si>
  <si>
    <t>2019-09-11 08:27:53</t>
  </si>
  <si>
    <t>2019-09-11 08:44:16</t>
  </si>
  <si>
    <t>2019-09-11 08:37:53</t>
  </si>
  <si>
    <t>2019-09-11 08:27:54</t>
  </si>
  <si>
    <t>2019-09-11 08:37:22</t>
  </si>
  <si>
    <t>2019-09-11 08:27:59</t>
  </si>
  <si>
    <t>2019-09-11 08:53:29</t>
  </si>
  <si>
    <t>2019-09-11 08:28:18</t>
  </si>
  <si>
    <t>2019-09-11 08:33:37</t>
  </si>
  <si>
    <t>2019-09-11 08:35:32</t>
  </si>
  <si>
    <t>2019-09-11 08:28:20</t>
  </si>
  <si>
    <t>2019-09-11 08:35:31</t>
  </si>
  <si>
    <t>2019-09-11 08:47:41</t>
  </si>
  <si>
    <t>2019-09-11 08:28:32</t>
  </si>
  <si>
    <t>2019-09-11 08:38:48</t>
  </si>
  <si>
    <t>2019-09-11 08:28:33</t>
  </si>
  <si>
    <t>2019-09-11 08:39:11</t>
  </si>
  <si>
    <t>2019-09-11 08:28:36</t>
  </si>
  <si>
    <t>2019-09-11 08:56:02</t>
  </si>
  <si>
    <t>2019-09-11 08:28:57</t>
  </si>
  <si>
    <t>2019-09-11 08:38:01</t>
  </si>
  <si>
    <t>2019-09-11 08:30:41</t>
  </si>
  <si>
    <t>2019-09-11 08:58:05</t>
  </si>
  <si>
    <t>2019-09-11 08:31:01</t>
  </si>
  <si>
    <t>2019-09-11 09:00:28</t>
  </si>
  <si>
    <t>2019-09-11 08:34:14</t>
  </si>
  <si>
    <t>2019-09-11 08:49:28</t>
  </si>
  <si>
    <t>2019-09-11 08:34:59</t>
  </si>
  <si>
    <t>2019-09-11 09:05:08</t>
  </si>
  <si>
    <t>2019-09-11 08:55:38</t>
  </si>
  <si>
    <t>5c2e93f54c025f000187d7a9</t>
  </si>
  <si>
    <t>5a1f412e074b1900012534ea</t>
  </si>
  <si>
    <t>understanding the cloud</t>
  </si>
  <si>
    <t>5a4b5c5135c9d50001fdd221</t>
  </si>
  <si>
    <t>Good data analysis</t>
  </si>
  <si>
    <t>5cd6ba1d36870e001901b349</t>
  </si>
  <si>
    <t>5d64759fedf23500018f9334</t>
  </si>
  <si>
    <t>Very interesting subject.</t>
  </si>
  <si>
    <t>59f3a778b47dfc0001b65cf9</t>
  </si>
  <si>
    <t>5979d62b1fc28a000191759a</t>
  </si>
  <si>
    <t>understandable</t>
  </si>
  <si>
    <t>591c76c53ae7870001cb0c60</t>
  </si>
  <si>
    <t>Seemingly straightforward at first, but needs more careful observation to pick up more subtle indications of subject matter.</t>
  </si>
  <si>
    <t>5d0c7c551c7a8f0001e3d2e6</t>
  </si>
  <si>
    <t>Easy to read, the big words jump out at you, but the smallest words are harder to read so have to concentrate harder</t>
  </si>
  <si>
    <t>5ad35bcdfb109b0001a32b20</t>
  </si>
  <si>
    <t>I really do not fully understand word cloud comprehensibility</t>
  </si>
  <si>
    <t>5bca0e5d00e90f0001b47ed7</t>
  </si>
  <si>
    <t>The final series of questions highlighted the weaknesses of Z score comprehensibility, by removing the context of the tweets it became more difficult to ascertain the connection to broad topics</t>
  </si>
  <si>
    <t>5d4b4c318cbe900001c1f771</t>
  </si>
  <si>
    <t>Clear, quick, visualisation. Harder when comparing 2 clusters to be the same</t>
  </si>
  <si>
    <t>5d3263cabdebd60019c15cca</t>
  </si>
  <si>
    <t>A visual representation on how often a word appears.</t>
  </si>
  <si>
    <t>5d3111ed96d003001a2383e2</t>
  </si>
  <si>
    <t>I'd prefer a bar graph of most commonly used words. Much easier to visualize.</t>
  </si>
  <si>
    <t>59607e59aba046000124bf07</t>
  </si>
  <si>
    <t>large letters in red stand out and you don't always see a clear view of all the other words</t>
  </si>
  <si>
    <t>5c46cd391ddd660001ca68a4</t>
  </si>
  <si>
    <t>The associations with the Z-Score clouds is easy to comprehend, but is difficult for an individual to quickly discern specific differences between them at a passing glance.  There are nuances to each that make them different, and given a larger number of word clouds, the differences would narrow significantly, making it even more difficult to glean the true nature of each subset.</t>
  </si>
  <si>
    <t>5d534a87dccb050001bd5dbc</t>
  </si>
  <si>
    <t>The colours need to be easy to differentiate. Some of the reds, you couldn't tell which is darker</t>
  </si>
  <si>
    <t>5c3ce5cde0ea82000145f9f9</t>
  </si>
  <si>
    <t>Good visual representation</t>
  </si>
  <si>
    <t>5c4d28046ac1a000011fffaa</t>
  </si>
  <si>
    <t>it was very readable</t>
  </si>
  <si>
    <t>5cd1bbc59e657600172becf0</t>
  </si>
  <si>
    <t>SOME OF IT WAS EASY WHILE OTHERS WERE HARDER</t>
  </si>
  <si>
    <t>5c5ac2869d974300015d81fc</t>
  </si>
  <si>
    <t>It was easy to understand and I can see how it is good to use for learning about whats being said</t>
  </si>
  <si>
    <t>593533d4ed2e9a0001d37c0b</t>
  </si>
  <si>
    <t>It's tricky to visualise with the words at different angles. Also some of them are not fully coloured which means you have to really look hard. If it were possible to group the words together in corresponding categories it might make things easier.</t>
  </si>
  <si>
    <t>5d2466b24813f6000188f4b4</t>
  </si>
  <si>
    <t>The colours and size make it easier to pick out the priority words.</t>
  </si>
  <si>
    <t>2019-09-11 08:50:45</t>
  </si>
  <si>
    <t>2019-09-11 08:26:02</t>
  </si>
  <si>
    <t>2019-09-11 08:45:46</t>
  </si>
  <si>
    <t>2019-09-11 08:27:26</t>
  </si>
  <si>
    <t>2019-09-11 08:39:57</t>
  </si>
  <si>
    <t>2019-09-11 08:27:28</t>
  </si>
  <si>
    <t>2019-09-11 08:43:49</t>
  </si>
  <si>
    <t>2019-09-11 08:27:46</t>
  </si>
  <si>
    <t>2019-09-11 08:41:03</t>
  </si>
  <si>
    <t>2019-09-11 08:27:48</t>
  </si>
  <si>
    <t>2019-09-11 08:41:50</t>
  </si>
  <si>
    <t>2019-09-11 08:27:55</t>
  </si>
  <si>
    <t>2019-09-11 08:42:03</t>
  </si>
  <si>
    <t>2019-09-11 08:27:56</t>
  </si>
  <si>
    <t>2019-09-11 08:42:54</t>
  </si>
  <si>
    <t>2019-09-11 08:28:02</t>
  </si>
  <si>
    <t>2019-09-11 08:31:00</t>
  </si>
  <si>
    <t>2019-09-11 08:28:04</t>
  </si>
  <si>
    <t>2019-09-11 08:38:43</t>
  </si>
  <si>
    <t>2019-09-11 08:28:16</t>
  </si>
  <si>
    <t>2019-09-11 08:44:55</t>
  </si>
  <si>
    <t>2019-09-11 08:47:29</t>
  </si>
  <si>
    <t>2019-09-11 08:28:42</t>
  </si>
  <si>
    <t>2019-09-11 08:45:42</t>
  </si>
  <si>
    <t>2019-09-11 08:28:46</t>
  </si>
  <si>
    <t>2019-09-11 08:55:27</t>
  </si>
  <si>
    <t>2019-09-11 08:28:54</t>
  </si>
  <si>
    <t>2019-09-11 08:37:18</t>
  </si>
  <si>
    <t>2019-09-11 08:29:26</t>
  </si>
  <si>
    <t>2019-09-11 08:52:14</t>
  </si>
  <si>
    <t>2019-09-11 08:32:02</t>
  </si>
  <si>
    <t>2019-09-11 08:54:39</t>
  </si>
  <si>
    <t>2019-09-11 08:32:32</t>
  </si>
  <si>
    <t>5d3eec0098afa00015f63a53</t>
  </si>
  <si>
    <t>Plot clusters would perhaps be easier to interpret.</t>
  </si>
  <si>
    <t>5c858149bc64870012babfe3</t>
  </si>
  <si>
    <t>as for me, it's comprehensible, but I'm an ordinary person. Maybe for the professionals those charts are very easy to comprehend</t>
  </si>
  <si>
    <t>5b7467ea50075a0001107043</t>
  </si>
  <si>
    <t>I found it difficult reading and having to scroll up to look, found it hard to comprehend</t>
  </si>
  <si>
    <t>5bd6c7a7abc5ee00017a5928</t>
  </si>
  <si>
    <t>the word frequency is shown on  a bar graph, where orange words appear as a high frequency  and blue words appear less so.</t>
  </si>
  <si>
    <t>5d53c802ef30820001091f0d</t>
  </si>
  <si>
    <t>I could understand which words were mentioned often</t>
  </si>
  <si>
    <t>5d7134d0670bec0016d5b695</t>
  </si>
  <si>
    <t>When the Z-score chart was originally brought up it was very easy to comprehend and locate nearly each account with it's frequent cluster, but an overlap could happen which made it harder to tell which chart the cluster would fit under.</t>
  </si>
  <si>
    <t>5cb25b29eb56e10001c0b442</t>
  </si>
  <si>
    <t>They are easy to understand as long as they are there for reference.</t>
  </si>
  <si>
    <t>5d59046cb8398c001abb6822</t>
  </si>
  <si>
    <t>Easy</t>
  </si>
  <si>
    <t>5bdbf5ee55beac00014a82ea</t>
  </si>
  <si>
    <t>I would have preferred a vertical representation as easier to see negative scores.</t>
  </si>
  <si>
    <t>5c8974ef34daa70015e92daf</t>
  </si>
  <si>
    <t>They are comprehensible, but I think there might be a better way</t>
  </si>
  <si>
    <t>5d60d2bb8ae0bc001abbeeec</t>
  </si>
  <si>
    <t>It's all statistics.</t>
  </si>
  <si>
    <t>571b3de05d40840013c49f3a</t>
  </si>
  <si>
    <t>A little complicated when reading the description but generally appears easy enough to group clusters</t>
  </si>
  <si>
    <t>5d49edc1b1b6770016498a4e</t>
  </si>
  <si>
    <t>I had no problem understanding the data.</t>
  </si>
  <si>
    <t>5d4523425c4d1a000104f55a</t>
  </si>
  <si>
    <t>I can somewhat understand that the length of the orange bars portray how much a certain word appears in a cluster of accounts' tweets and the blue bars vice-versa, but other than that I do not understand any other significance of the graphs.</t>
  </si>
  <si>
    <t>593b9110048d06000182f1b1</t>
  </si>
  <si>
    <t>While I understand that the upper bars in orange are words more often used, and the bottom bars in blue are less used, some of the rest of the aspects of Z-score charts are a bit odd to comprehend without any prior experience to seeing this type of chart</t>
  </si>
  <si>
    <t>5d3f60334cca8f0017b5bec1</t>
  </si>
  <si>
    <t>It took me this survey to understand that the Z-scores charted blue meant that in those clusters of tweets mentioning the orange that the blue appeared less than in the complete data set. It was incredibly difficult to understand what was asked of me in this survey and the explanations given were not that great. I have no idea if that was intentional or not. I feel as though I learned how to better understand the charts through the questions asked of me. I still don't feel entirely sure. So, I would have to say they are difficult to understand.</t>
  </si>
  <si>
    <t>WORD CLOUD</t>
  </si>
  <si>
    <t>Z-SCORE WORD CLOUD</t>
  </si>
  <si>
    <t>Z-score charts vs Z-score wordcloud</t>
  </si>
  <si>
    <t>Z-score wordcloud vs Wordcloud</t>
  </si>
  <si>
    <t>Z-score charts vs word cloud</t>
  </si>
  <si>
    <t>Z-score charts vsWord cloud</t>
  </si>
  <si>
    <t>Total correct answers</t>
  </si>
  <si>
    <t>Classify - correct answers</t>
  </si>
  <si>
    <t>Explain - correct answers</t>
  </si>
  <si>
    <t>Validate - correct answers</t>
  </si>
  <si>
    <t>Average of subjectiveComprehensibility</t>
  </si>
  <si>
    <t>Word cloud</t>
  </si>
  <si>
    <t>1 vs 2</t>
  </si>
  <si>
    <t>1 vs 3</t>
  </si>
  <si>
    <t>Word cloud2</t>
  </si>
  <si>
    <t>2 vs 3</t>
  </si>
  <si>
    <t>WORDCLOUD</t>
  </si>
  <si>
    <t>classifyTime</t>
  </si>
  <si>
    <t>explainTime</t>
  </si>
  <si>
    <t>validateTime</t>
  </si>
  <si>
    <t>Column1</t>
  </si>
  <si>
    <t>tasksTimeToComplete</t>
  </si>
  <si>
    <t>tasksTimetoComplete</t>
  </si>
  <si>
    <t>Z-SCORE CAHRTS</t>
  </si>
  <si>
    <t>ZSCORE CHARTS</t>
  </si>
  <si>
    <t>ZSCORE WORDCLOUD</t>
  </si>
  <si>
    <t>ZSCORE WORD CLOUD</t>
  </si>
  <si>
    <t>Z-score charts 2</t>
  </si>
  <si>
    <t>Classify - time</t>
  </si>
  <si>
    <t>Explain - time</t>
  </si>
  <si>
    <t>Validate - time</t>
  </si>
  <si>
    <t>Total time</t>
  </si>
  <si>
    <t>Correctness of answers</t>
  </si>
  <si>
    <t>Classify</t>
  </si>
  <si>
    <t>Explain</t>
  </si>
  <si>
    <t>Validate</t>
  </si>
  <si>
    <t>Word clouds</t>
  </si>
  <si>
    <t>Z-score word clouds</t>
  </si>
  <si>
    <t>Minutes to complete</t>
  </si>
  <si>
    <t>0d37b830c606e3de7ac6e8cb3ca954752a07c4530458bd41d934591b7da8d10f</t>
  </si>
  <si>
    <t>8bf7bc6bab5bafa35bf8dc873c3d9b436d2826998a0d54cead6d1d1a985398a7</t>
  </si>
  <si>
    <t>5a7a59406beb4e1a26512ed96955ee068fd2229ee36efc5f14188220990f97f1</t>
  </si>
  <si>
    <t>fe74fd7153a1167d1f5d749bf73006e7591300819c4b3da09c4311b7cbf1d7ff</t>
  </si>
  <si>
    <t>6b0fe9cdb4c7f5556ff2f29dd570cf4a01f7511333b49f63d7852adfc199457d</t>
  </si>
  <si>
    <t>6680bbb9bcdf6bec531ea6dd172bed15f99f8d8a033d7d42809b4de92ca369fe</t>
  </si>
  <si>
    <t>0241636225dca9e4ff2e86993e19c61fa8cbc8af1d3f636cfeafd4582a4bf5b6</t>
  </si>
  <si>
    <t>75f02d2cc2b28ead916d0ebee89737f11d8ecb480e52c94eddf01f54e09d4c00</t>
  </si>
  <si>
    <t>ebb09f23e8085fa2627ba509d4afba39796296f57cdf76660409e9c98c1832d5</t>
  </si>
  <si>
    <t>ac166a10860db1da2b3a0553490d7a04b001ccd0edb810ebc2f60a3ec475c088</t>
  </si>
  <si>
    <t>7920d0e16bb65d95e7a07f5cf741d56550ba3986b8d48ea8f6f4efadc393d6d9</t>
  </si>
  <si>
    <t>c0723a5575a6517f213dfcc5bc0918e7450668097a9a0a93c9f2eba0d5573388</t>
  </si>
  <si>
    <t>2acc69d7291cf8b9435894a0bcb4c1dae4e3c8866f417cb2b880112116da0e43</t>
  </si>
  <si>
    <t>c7df735e8eaba166f66ed6eb0b46caaddf856934bcdeaa674a937dd46823b75d</t>
  </si>
  <si>
    <t>bfdd2bccaa050fc281fe29358f5f522996ec6e9d681dfd40998d94e4719b87fe</t>
  </si>
  <si>
    <t>d5ed478e1584b72488b5aab506e652573ac5bea189f64e63487c28e3e65db817</t>
  </si>
  <si>
    <t>f892c3dfffd25043a97ca110377013393f95deb0ba2afa193dc551a7cdc89675</t>
  </si>
  <si>
    <t>a8e9572e3c19712d51ebf5d9e3fca6903995715e78bd5dc79eb64c863a1b2c2f</t>
  </si>
  <si>
    <t>e8a0d8875f66d856416cb673d6450b5e80c58ee3236493b530869a30ba13dcb0</t>
  </si>
  <si>
    <t>35555dbfbb081451cebd41a1e83e34516becae8129c875650c9b519b00971156</t>
  </si>
  <si>
    <t>bead1ef6e6e518eb9ade9d598e7ba15e7da6819bd998276e8b0062b1fcf3fba9</t>
  </si>
  <si>
    <t>fb793ea30510aa27fa73824a7c773ec8b0ba12de0fbb4e1c508329dbf4f6baad</t>
  </si>
  <si>
    <t>b9ccd407b1cd00b71740c576fe79889a3551ce4c516a7ac23d5a971e14ec438e</t>
  </si>
  <si>
    <t>503cc7077722aa77a3b5b15979549e5b4c89a466d61cee4bbf2632fd9393278e</t>
  </si>
  <si>
    <t>89da23ba317efb0a3588a537268ed19a46d1c32f265e054967ca6c7affa353d4</t>
  </si>
  <si>
    <t>727e46b633fab49248504379ef58a4e40380fc07f2fe4cc0ea981f35f455fa9a</t>
  </si>
  <si>
    <t>791b4694cd48ac135730e90228eab9b5995650fa3837db28efcaf0c40fbcf322</t>
  </si>
  <si>
    <t>8f323415e6e8b569e91d0b196959a827c44bd436ecba53b15adc3defdf679eae</t>
  </si>
  <si>
    <t>6a19148999dbff49b2298260bc910ed565e3a351a085e27add881377b4a6a399</t>
  </si>
  <si>
    <t>412689025cdf02cab85a3d43caef3a1743b3cd3c6d284618661cfd996e4467a2</t>
  </si>
  <si>
    <t>17d85d8f22b9c0636e6ad1248d84b652ef2c05173d7ca677bc520d28ba0bc945</t>
  </si>
  <si>
    <t>934ca248774d2703aa501047c2e31e0549c2a303fda5178b8d443bf4147a42a0</t>
  </si>
  <si>
    <t>eb8a573773ab5091a786dd40ee05926abaab8b4451b21c472a4ae11a2c1cc252</t>
  </si>
  <si>
    <t>a84a4ed77a3f5cc90900a365abc679f7a8eb27489c0caec8ab4b06396e9eb619</t>
  </si>
  <si>
    <t>8056038ce5f022d9f8581c34a528fe2b8837cdb6f4269c11cd77d06fb31d327a</t>
  </si>
  <si>
    <t>9451e3a232fa16ebbc9f78b08f1248371dc9bfe12e162dd63b5f5a6d76dd0255</t>
  </si>
  <si>
    <t>637e602086c12c479bc2d919032b5f070cffeb4a286e1353a13f9123bf88bb71</t>
  </si>
  <si>
    <t>ab240e7e8abff11d8386488bfe121d406bc1a1265c22e8af4da90f79e3740ba6</t>
  </si>
  <si>
    <t>d3b82f8a7bd77c7da6761f6a3c9f6114700233c7f173cc38e2cce83b01a3be59</t>
  </si>
  <si>
    <t>65afb5034f324f30c27777b5cf141c957e333aa65521ea686035bcfbafd042e4</t>
  </si>
  <si>
    <t>86541c7e2a1777b5c1ecd36354e278f6ee5eaeb0bb2062af00924b732df7b7c4</t>
  </si>
  <si>
    <t>41d1923f59f27683a8b6f3e2c1c2b67e5efc6408b281ccf3259d944b8c2faf66</t>
  </si>
  <si>
    <t>203be42a634eaa845225efb1526ec7f98a3de606cac26b300d422b01e038073b</t>
  </si>
  <si>
    <t>6a9a3aeec607b8304f4be311e70bc886e72da4dec3dedfb4f6dde64e106dfce6</t>
  </si>
  <si>
    <t>790325543f7ad77ba4f05c880d5d7842c12701275459a71fb54fa1df0b834ef0</t>
  </si>
  <si>
    <t>9213171094447e2bab18b572a701d8888766e8a1cb0539009ccdf3a7737c30e7</t>
  </si>
  <si>
    <t>5fc4304ddc856c1274957a795436e9e783badf2f0072a320f1fd2241f44881f1</t>
  </si>
  <si>
    <t>fb2921732064071e463f5eb52d6368bf3994f976ce5ae6d75daff7c87c2d7287</t>
  </si>
  <si>
    <t>43e24f90be72f77ebf03a3eb8ae0caeb057e942380e3cf93ac7843faf9003a33</t>
  </si>
  <si>
    <t>4f9511d4707fab2e527752510f185b6eb27d3c624f9abe8cc70896c029ad4b7d</t>
  </si>
  <si>
    <t>997035218725716a9df660a95c79d2ae94a74f41d6f072bc528c096b805e090d</t>
  </si>
  <si>
    <t>a65767f1354e21130c5ca552dd46e4bbf67c698a35c71d1f54cdf410a1fdbc77</t>
  </si>
  <si>
    <t>7499cbeae8f57b868e2b30899d12a6ec07baa23dd0b1f970f74cc3ca7c19708b</t>
  </si>
  <si>
    <t>890830674a3cad9cd8209d88cd1e700c124433def4737fe371d38c1f574d483b</t>
  </si>
  <si>
    <t>b6fa22a2a5d252573500d6f1f28e57f535943f2e37fe8f3163a6145d2ad7a4e0</t>
  </si>
  <si>
    <t>a0f78e892d90ac3f2cb24079f6bbbc3be66f71ae48f2154af7cd2d3cb889d82f</t>
  </si>
  <si>
    <t>4685cdacfddab44b7516a7eb8a54ac7852e544edb3769346f41e07a779675e15</t>
  </si>
  <si>
    <t>5218dc4412851e843ddacfb0bbb4d049fd2f5fcc99158a187d2265945352e9ce</t>
  </si>
  <si>
    <t>49fa22ea2a745b3b304abf54d6a9b6b8377eec69c1d00443f73690f8b0d72480</t>
  </si>
  <si>
    <t>e3727bd6c0c0a005ef48764bde575f6e99c975a8236390189df5fdfbc4792cad</t>
  </si>
  <si>
    <t>7efdbd9b3453a7c18acbc0b5a610d5e7d992c8fd50edff94e348311f50df02d9</t>
  </si>
  <si>
    <t>2df635783629edb3f610267c8e94736ed72e1260ce5c26edcf60beb0b5d00a48</t>
  </si>
  <si>
    <t>23b552bbb02b10bd0810931b65cd1f36dd8d7ca5281d85ef37e0c0c1cffbc735</t>
  </si>
  <si>
    <t>eaf5966ec7936a7de1777ff5b6eb80a2dcaa037a70d4ce969f2238eff9dd75c2</t>
  </si>
  <si>
    <t>1795489cd10fd05c55db301205f9450db41309a2479e6950fc32cfc54be3deb8</t>
  </si>
  <si>
    <t>5ccbd6caddc0d8b96155c628361996965a51398d1a07e2eea7f984d0fa5e66a1</t>
  </si>
  <si>
    <t>04bee60ff59c14697fe6eeef082223c208481cb7cd7fb23fdfbb8bc3cef1027e</t>
  </si>
  <si>
    <t>409ade05f689b5eeef7da3684e6e237a3641c391654993819fc2e5fdc1ef071a</t>
  </si>
  <si>
    <t>09d5980f6747c466c8f902389270728fec1885a0da17a16582a99d014395ffb6</t>
  </si>
  <si>
    <t>79a6d3ed0c35b28216c902568201885f8149dc5fb392a92e79369e8af7546887</t>
  </si>
  <si>
    <t>bbeb2f714ae2f865987861499fcd5a318cd2f12793495d2bf098e9977a0ac004</t>
  </si>
  <si>
    <t>76861ea1f47a519940088c54a667cab1fa88b22bca8daca3b50f5efa5ba60536</t>
  </si>
  <si>
    <t>111b1b6baaecd0269520ed6a8e0d4d4332e2bd0ab93e4540fe80c2afcc605483</t>
  </si>
  <si>
    <t>5cdcc60bd39109c411ba129b4a0fe6b3e2388d709f1039f75a535c8cbd3d7fd1</t>
  </si>
  <si>
    <t>a50ac2083b2f023bb8e4b725bafabc1427fe2166d16d1bf37aa834bd323ad78a</t>
  </si>
  <si>
    <t>839882e39e3cb58441f7fbd58a6ff15283acfe12eed50407058889a881465344</t>
  </si>
  <si>
    <t>9c7fc7431103cd5f0e9d0c7540a7bc9a4e5932f9c9b16f52ece73e2b113bc0be</t>
  </si>
  <si>
    <t>dd2ff0834e3284a4b25e858a1b93cc548fc911b07d4dc67b5f4464d079982ae6</t>
  </si>
  <si>
    <t>cedb60105663fe85cc452f97f22a074aaf0217bb7f90e1e36caec8aa418d4950</t>
  </si>
  <si>
    <t>fcf07137734ae8b58796898d49a9047e612791789c347747ac6accf7937d2645</t>
  </si>
  <si>
    <t>8a5e56d8cf8ee441895720259949a8755d7666eb51296b0e4b7a12880a1778f5</t>
  </si>
  <si>
    <t>54dec676e7aa8e3c4d86ef4a013ab7f4860d41620f6f2573251cd1a04f0985af</t>
  </si>
  <si>
    <t>e4b1e93aa20bcc205f168b036dde764533fd100258048ed7206ff433900e45fe</t>
  </si>
  <si>
    <t>3d0916e1eafaa7e230354fccb932c5faa95d8cd18ebb36b1ef16196cebbe9578</t>
  </si>
  <si>
    <t>a1ac303f4337555b280ebdb7a8b4e0109234635b14f4ff7308f2bd0c4bc83dd1</t>
  </si>
  <si>
    <t>40eb07162ff97f40314774004901f6557265a273a5cd742d1b41195e96e5ccfd</t>
  </si>
  <si>
    <t>50f3b3615dc47a4fc26f5c449b234eff36ce6aee9bfba80bee4f4b42717e8c6b</t>
  </si>
  <si>
    <t>97e93ff03cdcd9408512addd25a681eedbfe10e63a8a2425f30e13c40a98525d</t>
  </si>
  <si>
    <t>4e29ad0522f60c4af2c21853b96ad2f150ce9d31bac352d8968950f9d75fd704</t>
  </si>
  <si>
    <t>fd47d4ebac3d255e89c9a299ba409c1bcd65c23a788f22816ced3647911d1eea</t>
  </si>
  <si>
    <t>abc8c36195a28ec8e969b22581f521cce4503c0bf245896e34aacf40fa2f104b</t>
  </si>
  <si>
    <t>6c3b05494fb13b709e46632638240e30c0ad10b1f89dcdc2017d62e52f7ac69d</t>
  </si>
  <si>
    <t>6969812276bd599f0692512b34f2874e8e6e607a6478b6086110425c53febc16</t>
  </si>
  <si>
    <t>499e91a02b42c20612ecade21b3ec7dbee186143806344d044e650c3d0f6f1db</t>
  </si>
  <si>
    <t>0a30fbebeac63fc86653e8c802e0bbdf277e8e09b82b782d6ced3384b5fb15c4</t>
  </si>
  <si>
    <t>d05eb04222ba2ae85564ff12931150f5188a802910489da96be9905f7318138c</t>
  </si>
  <si>
    <t>1d3d7b62dee7fcb6a546369be23244bcc678093197b20120977799730951f6bc</t>
  </si>
  <si>
    <t>cbc4f5eec0b9534cc3509d1626a6eccd268ac38807384e7c56389ec2d5231afb</t>
  </si>
  <si>
    <t>b2f42f0819fb9af02bacc234d97cc8c042dd65832662a4161698737aef48a007</t>
  </si>
  <si>
    <t>9d6aaa4dbf33a449c43eb3a3f3ec8cc202f06a6fd1363a9f2e4cd079c34b744a</t>
  </si>
  <si>
    <t>665b93d47c44806feaa11a95110cdc35b41f648d8d7d977f929d211871b19b27</t>
  </si>
  <si>
    <t>dcb07869593ba1a27d687afcba02bb6ae5a42ff72bf83f6885fa053541ae7e7e</t>
  </si>
  <si>
    <t>84dc4330119208757157a093aca339150eb97e4fe8a69b1374f13f0b6585abfc</t>
  </si>
  <si>
    <t>a612cf4306e1c6f5b9c33c808c9ae63fc84b9322b9a29803aff2849e7a7342e7</t>
  </si>
  <si>
    <t>7292eebf397c2a8e0415af911125de4a967a7a1fd0ee89450b0c22437d9f127e</t>
  </si>
  <si>
    <t>4af128f9a59be47e16ee1d742a2fc590aa2df8aab7942394cda8ef74036c8900</t>
  </si>
  <si>
    <t>9fc0f8c89b365dcf10fb72c1726695306039ceb99999da378cd3b4e170e991a7</t>
  </si>
  <si>
    <t>d5f42351f13c22576d5406e222736673d429e63c1084b2ac2313a5a347fe0e47</t>
  </si>
  <si>
    <t>489e19428f18839c99b2817bb8fa2a808fb56376143d4408b73c3a5961fa735f</t>
  </si>
  <si>
    <t>11c716bf4798f4b0c0d2193f548bb906c4420841fc0125d295c29b435108ce06</t>
  </si>
  <si>
    <t>fe8a529b554865ddd6a685f5ba3781dc7e8e1acd7fd9643ae3d52ea0f7823913</t>
  </si>
  <si>
    <t>6a66e7d8c52f4e51ede45c724d17a34d4b8445c3714fb10bf70a95f7a60b20eb</t>
  </si>
  <si>
    <t>1c3caeea5ad0f2b83e5f6dcda8a1425d99e03dfdde7f5d79f6f0b8575e7fbb1f</t>
  </si>
  <si>
    <t>e3d2c4c1f523c12ff05feee3bf16dcdbab08e350b804c9841432744d6c788533</t>
  </si>
  <si>
    <t>5a3ae21843d634ca4f8b90ba1e91b1c89283b65f4d135875e365bc371455f909</t>
  </si>
  <si>
    <t>ba82f5e8b5c9445756b1b2938a967220acebf58d043847bbc9636327b5d5be5e</t>
  </si>
  <si>
    <t>1d7b8b24d4754ba4d315a5db38ce5accf0d086c221eea291999c8b7d972826b9</t>
  </si>
  <si>
    <t>3eb538adc0a9b9b326321c231631fd9b80cbc639930f97c655417050a8e0115e</t>
  </si>
  <si>
    <t>652b02510b3aa9eaa0b56613d3cbc96365822dd7d3c7e69f89848af046ebc329</t>
  </si>
  <si>
    <t>ec50c6986a0b4d1e551ecc18721b916ff346c44fe4511bfc1bcc42f5c1ef86fb</t>
  </si>
  <si>
    <t>fed0a07c1bf6922dd52ea916d01c955ea74430e2c534991c3c7d68c0b73fe950</t>
  </si>
  <si>
    <t>e0a6ddf10101f06d48e6fa8726ebc4fa8fa5444b31effec39f9456e9a536b3cb</t>
  </si>
  <si>
    <t>d7975903ceab85cbce4321846abc3b23a61621e7e8c34b631aab2f740e55d548</t>
  </si>
  <si>
    <t>4c568ece42fb667f8ca143cbdbe652200179fe7bd5f3b9616f5c4c3a53fe0a93</t>
  </si>
  <si>
    <t>1f3828bf67d47e7e7f374c262efe3b6caa9da227067b63045db9b2e587bb1865</t>
  </si>
  <si>
    <t>4f4b67c43a2f47c61609b942aa517e944fe341151067ad04228abb9de78ac9e0</t>
  </si>
  <si>
    <t>f0458b9e3831115a5a3df9a8e7295caef7e62812f2ad9723b7594df883e43cca</t>
  </si>
  <si>
    <t>a928ac08bcec55ad55875570cd0c1475c0cf9f2582f74628a746ab89f66ca8db</t>
  </si>
  <si>
    <t>e3309da85059c485fae376cb2207fcd5aab8d690f541509c4569948e256e0764</t>
  </si>
  <si>
    <t>14ab0648d488e69a95c3cf83383246b2af53a626e6e75dc423dbe7422b7b80a1</t>
  </si>
  <si>
    <t>68ae57d833f45e1a5c2865042a09799216310fc857deab52708c2c82fd52fecc</t>
  </si>
  <si>
    <t>1a2cbd5182034508082a2e2d6a1c336b860b282371ada30577d8a452c87e59e2</t>
  </si>
  <si>
    <t>9ce40a5ec4d64996e4f171166cd1b14834fae08d7889f2d632d7a65e372a5ed9</t>
  </si>
  <si>
    <t>641aac8799d8dcfb4d26e03fba29dd6dcc992a932b10445a1fa87e052f8955d8</t>
  </si>
  <si>
    <t>2d5b43c0a46e98a56a20e999e658b16614ea1e5c5dd3a8b24a2faee28decd5b1</t>
  </si>
  <si>
    <t>b9b003c2007d1feb4c02bf75d3a4b9b770444bf4413e3af7fa0f2ce4134c2503</t>
  </si>
  <si>
    <t>9fbb58ae1252c24cc036816f2958fe8163cbe48930c4a108641b1463c48c3177</t>
  </si>
  <si>
    <t>78142d59b48746fb154d9cabaa2f881680b68c81e6c4e762503a92b75719c8f7</t>
  </si>
  <si>
    <t>9a98c2359780a936b3049d3ef421b2079dec8350fc652b022cf361417be3e611</t>
  </si>
  <si>
    <t>f4b4bf59e2b05774651ad820a5cc51efaaf353d84c36f2db7272c8ebf1cc2261</t>
  </si>
  <si>
    <t>2349e8dc8f9f9b37e5fc3d2819b333c4bf282925e9fdbf9b13547d1044b48b2a</t>
  </si>
  <si>
    <t>4621b8fcbd5dfd503b631cb3afba51e761290ed74cccafbfc708784878484317</t>
  </si>
  <si>
    <t>088b0a2d5ecd32bb3fcff7041b11825538b12c84973cd31a05e77e4a45f27b5b</t>
  </si>
  <si>
    <t>0e8c5b2fc76a3ff0dcac01e444365a669caeaf4c958be153a01f0286aed7fbea</t>
  </si>
  <si>
    <t>035bc638c8aaffd24602e522089eab033ef06529c30c6563706a0462711d8d5d</t>
  </si>
  <si>
    <t>5f85c7c997b297bcf586503ecd9dee902068d903aad0b1e1e0db78f33e4cf5b9</t>
  </si>
  <si>
    <t>50d1595c8eff20033f5a65e77eb5d49735fc59acc09bec955d595ea63be6e335</t>
  </si>
  <si>
    <t>edd74bb7cbd005200021a1930fee570354d022453b03b3171721fcd6d816da59</t>
  </si>
  <si>
    <t>6a178411fdfa446664599dba483a024f4acb7b409fcdc33a80ee6a32d8979343</t>
  </si>
  <si>
    <t>d54672991dcb2906cbbf62d369b36beddb40b5a3c4e9e8a5ae76658782c80c55</t>
  </si>
  <si>
    <t>be7b4c5474b4a6cdb91f1739a1334d0e9c43a103df1ea0ef34d7965fdf2efeda</t>
  </si>
  <si>
    <t>c730dbf04e2306a9638290a1280c28db214b34fadc1356a8441ffb4ccfc65295</t>
  </si>
  <si>
    <t>6bea196152cb409dd3ba98a7a3c71e0ee94401be18b6d841f8f8cbdadb831439</t>
  </si>
  <si>
    <t>3b37dd1a1cf299708d48dd2e19bb63231dd277a07db2db6ce372bfcce367c4df</t>
  </si>
  <si>
    <t>c1b2e3a6d14e70355d782d2b0c455c96490f62646fe4f84c064e16cadc087d70</t>
  </si>
  <si>
    <t>e8fcc43c88dac10fe47c201f05222d8d578a9110c3d081cd7d4ef44a2510ce13</t>
  </si>
  <si>
    <t>6314453aa726b3487ea3af63a52417eecd82bc3da5ab1bae0532c7ea5b3fbb27</t>
  </si>
  <si>
    <t>529331ca77324cb11b6822528d5f2df1cfb15cb8a01423f2c8f4ec4da9213f78</t>
  </si>
  <si>
    <t>d89941ae7cc9c9745c7878a8c11923f74b0e3ec1a0367f6b937b038b16ea30f6</t>
  </si>
  <si>
    <t>faba4a62ddd252b74289dc845984e58caf540761b78f8f891fa89ed566e921f1</t>
  </si>
  <si>
    <t>43ea10f9009b6eb68e35badb4b6bd420c17a6357eb2388d19e0c49b48daa7551</t>
  </si>
  <si>
    <t>d63a6bcbc7a4fdaa7dc944bafbcb683b69423c9b8dd01aa33695cc62ca118981</t>
  </si>
  <si>
    <t>ada8501fd851be10c41287bf3b29e90ed75d0a2c20ad5671898d394e8c81325f</t>
  </si>
  <si>
    <t>c434a0b5740a0781087604184b88d70c2dcfd17d37b301f8a043312c9a5062db</t>
  </si>
  <si>
    <t>9e81d9cc679d80c801dd9e205aa91f3e9167c515ecd6593285d4d527ca22b6f0</t>
  </si>
  <si>
    <t>e496833a1bb157095550a8b4092bbcbec28ba6946caa07225d0e7d2b87e50720</t>
  </si>
  <si>
    <t>7b6ecbcc2f4cbd25f7939ebcd6be4a8bb9f780819acdeee7bd37aecf49d19be3</t>
  </si>
  <si>
    <t>25a56bdd0bde0bbf5f13e3b1f9b6cfaca3fb17c5811f272424006de41ec42540</t>
  </si>
  <si>
    <t>158265e0c337f400d63fc7c4cb976ba6dec9f547a8e966707998343465161f8d</t>
  </si>
  <si>
    <t>c0443d7bc8d48c020db8fc994b7cbfe6931631f3436055f348d0df78e98c8c01</t>
  </si>
  <si>
    <t>c77c044bc034d64f942b50044df2a5c469969bda45e1c504566c8e399440cd0f</t>
  </si>
  <si>
    <t>a76a5f83ed768e9a83dfc80b156c14f939d2575e27188976c256d74dcfcf5681</t>
  </si>
  <si>
    <t>3e7f17fab1513804e1e7221deba48e71a95422e65e8b2254450c18ba7e72ba0a</t>
  </si>
  <si>
    <t>102393bef608cd558b2a1c8c187c6af4c315061729bfa74553870d77412343c3</t>
  </si>
  <si>
    <t>97730ff4ab8decc2ae85c8f26aaeaf28bbb416a50d68713753bd103205d18b35</t>
  </si>
  <si>
    <t>d2b7981c5f8df1efc5de316f976cf06e0c7e7b1459cabfe8cd86b14166fcb325</t>
  </si>
  <si>
    <t>fd9f1d84175e65e9abd01ef61b2ddaa87174566add95a5ac416db2455fd2fe85</t>
  </si>
  <si>
    <t>647c3d4749655baae3a3516932c958c0226730ad264cb47937f4d5c2529f1f6b</t>
  </si>
  <si>
    <t>ad4a33d8bbebd8d3ffbf21fad0ee28b26601b0a82e948681305210d5c4079fc4</t>
  </si>
  <si>
    <t>b8e7839e95dc1ee016d767f34b321f034b3335636888315e16f21a23eb96d762</t>
  </si>
  <si>
    <t>c7430026e44fecdabffa4dd347f0f2c5fde5f55a7bd36ef68a70ecf31b13e495</t>
  </si>
  <si>
    <t>45cf56b8a56e7f90075c6fdce5c8d5275adb266f8cf0f6e0a897da022b183cc2</t>
  </si>
  <si>
    <t>170a8102a219989b78f04c96e2758c5403cbf5932d4a984677de1926902cf2c8</t>
  </si>
  <si>
    <t>27140f972f96e68f4e7ef8fa2f2a6121fb2f340767f7a04c0baa8a8d07935c4b</t>
  </si>
  <si>
    <t>668f42afd0ec0c0b795a4753753387ba314e74d55a286da21f7d1fa143c068f8</t>
  </si>
  <si>
    <t>086af46d2f41c2e348014b1cb7e32fdf67fdaa734ef9d8a62f2b2fe1517ed7ca</t>
  </si>
  <si>
    <t>9e30e70433ab28722f989e74019be68d3caf02accd35da401dcb36a75e6e970f</t>
  </si>
  <si>
    <t>f564901c15d47372392f6d0b1a402edb9fdef21579286100c75fe92714cf1b82</t>
  </si>
  <si>
    <t>5b1d2d76dc1311940f4de2ed9de4320443d57ba9fa3c03e64cd2ffb073d99289</t>
  </si>
  <si>
    <t>7f5db2251cd57e1dfdb3541ee26d50a56dd4f2fc157d46882bdf923e8d6e7281</t>
  </si>
  <si>
    <t>0074a05b2ada58e83619741faef5fb7ebc2dd4a2be0018fc8bde26409720592c</t>
  </si>
  <si>
    <t>cc29dce6ecc6d5fa1b7403e8d37a6060412e01cc0ab4b301c01d2034d36738ab</t>
  </si>
  <si>
    <t>a3645b193f63956e32293d8cb8a70d2261e46a67ba8b8ed3226b32df0556b52d</t>
  </si>
  <si>
    <t>48b7ed3d15c6c64a82520d7b592319e31e6fcfa288b90e20eb7569df66f6158e</t>
  </si>
  <si>
    <t>14049273c9c30336cb784a6c445868a5090004c519d7efb6532451bdeab9691e</t>
  </si>
  <si>
    <t>4eaea3dcbd4f8f13ea9b2664b5a7c8813dedf69a8950654d782dca7361d050d9</t>
  </si>
  <si>
    <t>c259b7de486cd7bb91e6df1971df41817be6f3ef88d90b0c68e288e0589f353a</t>
  </si>
  <si>
    <t>d6f07f7d2149e7767240e62dab153ff404100994aae4dc8e60d32a8632a5c26e</t>
  </si>
  <si>
    <t>1762289ff39c667d58c265c35a3004ce186ca0636d871c55224dfbd2cfb35d3a</t>
  </si>
  <si>
    <t>ec7a2f4606d141e5067218d2b03695b4f87be78e918077abdc783b389fe79e77</t>
  </si>
  <si>
    <t>c6f3661841abdd8b81cbf7f53feaec6435f18ef91b4594750b4add8d82574ee2</t>
  </si>
  <si>
    <t>33bdc924c8f385b7174d625e4a465981e5c89e6f75ac6e7a0f31a11883ec6639</t>
  </si>
  <si>
    <t>cf4b4f7321b5edbe29d61ca0e968c762ca563e3358f8875d38a39d412509728d</t>
  </si>
  <si>
    <t>0bbdf6b7e46aaffb6f526e9b70580b03e5f5fffaa8005b9b57d8a1387cea4bd0</t>
  </si>
  <si>
    <t>bc6ff62075d8b3757f0cb8d26f94dcd63e06472ba6f4e0019a3765a5db7e05a5</t>
  </si>
  <si>
    <t>0091472c5a8f18cae985c7a91dc09f0db1be121e287e349d8ff374e8f4c5ea3a</t>
  </si>
  <si>
    <t>b80cd40a1308c4e8d6295dabadc227b5eb32495c3826f2f685e86230b22ad677</t>
  </si>
  <si>
    <t>ed5cefcfedcaef3bea3dc580d54c2093c1547a541f8e890340c2194904480f44</t>
  </si>
  <si>
    <t>2b3920f25e9ead7ed0dc722fc762fa82adabdc4b871d69dc9e371e337f3d6b21</t>
  </si>
  <si>
    <t>ffaa70d1ee8ef2ff3a4f93b331d2486f83c5787200e0207578474c9b72832147</t>
  </si>
  <si>
    <t>0ac04e1e39cec3245c70b74ce4222ccea26cadaf8302b2177f0c28a22e43b1f4</t>
  </si>
  <si>
    <t>f352a67f37724758f0a85a2a51faede02a4cfeab66286fbbb3bb64c5cb562248</t>
  </si>
  <si>
    <t>d07d6cafca4919e502cda4714c6d19adb37a242267fb47e0c90401130088e1c2</t>
  </si>
  <si>
    <t>558ac0dfd08378614cda50754fa961647352a9686c05d7cfdcb953edae98e6fd</t>
  </si>
  <si>
    <t>66bf0ac347f372f176f353224db3428a47b834e94c2154c670dc2548278504d7</t>
  </si>
  <si>
    <t>4b73e9c2c784640549528b94654ada26fd87d4af309124ccda8f646601c3d690</t>
  </si>
  <si>
    <t>8f214f39a58f6ce7f5f51d3fc7447a31854cb75794c0e08f1d8a107e71d30497</t>
  </si>
  <si>
    <t>9ffefb5459ad776627ba4637e9ecf4738307c7830fe33215c65147d354fa81df</t>
  </si>
  <si>
    <t>a6a69223fac04ef02467ea5f2b1f842e3210bffc92b30cc5a6fe4c1ec0907691</t>
  </si>
  <si>
    <t>54e6b55cc54351b0e5360289d3801c3aa962289be183342e5533fb2d1c79aa01</t>
  </si>
  <si>
    <t>af26d5a6b13501dd6ca9056cd30fb3829b4230d4665cf8fff92da257ba959119</t>
  </si>
  <si>
    <t>acda591fd35027732f89b30a19d022631f0694e22e1cfc6a7c26909ce1489a15</t>
  </si>
  <si>
    <t>04da261b2f3891734cc434ffa8bad8862683e83ad584c5d2578fb6a7bde9db28</t>
  </si>
  <si>
    <t>7d90a65a051a3e95c8378beeaaf8af71ddf3ff7cba4f426ee463eda7c3b66a88</t>
  </si>
  <si>
    <t>3c554590ccb8011ee329b1ba3b20da0a6b2f4f66b2b080ae99aed30e8109d6cf</t>
  </si>
  <si>
    <t>cdc9a7e7bb25f732cd13e43989b84e02da99c6e9493f26bb51ff39df276f75d7</t>
  </si>
  <si>
    <t>21138d558d706293e282a40a9f014c5970131af82a38e5d51753e7a457e752db</t>
  </si>
  <si>
    <t>a799c8229c1ae21cd2ca120ae5ec7491917762ac8665fb82564210cad9f78bf1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</si>
</sst>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3" x14ac:knownFonts="1">
    <font>
      <sz val="11"/>
      <color theme="1"/>
      <name val="Calibri"/>
      <family val="2"/>
      <charset val="238"/>
      <scheme val="minor"/>
    </font>
    <font>
      <sz val="11"/>
      <color theme="1"/>
      <name val="Calibri"/>
      <family val="2"/>
      <charset val="238"/>
      <scheme val="minor"/>
    </font>
    <font>
      <sz val="10"/>
      <name val="Arial"/>
      <family val="2"/>
      <charset val="1"/>
    </font>
    <font>
      <b/>
      <sz val="10"/>
      <name val="Arial"/>
      <family val="2"/>
      <charset val="1"/>
    </font>
    <font>
      <sz val="10"/>
      <name val="Arial"/>
      <family val="2"/>
      <charset val="238"/>
    </font>
    <font>
      <b/>
      <sz val="10"/>
      <name val="Arial"/>
      <family val="2"/>
      <charset val="238"/>
    </font>
    <font>
      <b/>
      <sz val="11"/>
      <color theme="1"/>
      <name val="Calibri"/>
      <family val="2"/>
      <charset val="238"/>
      <scheme val="minor"/>
    </font>
    <font>
      <i/>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
      <sz val="10"/>
      <name val="Arial"/>
    </font>
    <font>
      <b/>
      <sz val="10"/>
      <name val="Arial"/>
    </font>
    <font>
      <b/>
      <sz val="11"/>
      <color theme="0"/>
      <name val="Calibri"/>
      <family val="2"/>
      <charset val="238"/>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7" tint="0.79998168889431442"/>
        <bgColor indexed="64"/>
      </patternFill>
    </fill>
    <fill>
      <patternFill patternType="solid">
        <fgColor rgb="FFC6EFCE"/>
      </patternFill>
    </fill>
    <fill>
      <patternFill patternType="solid">
        <fgColor rgb="FFFFC7CE"/>
      </patternFill>
    </fill>
  </fills>
  <borders count="6">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5">
    <xf numFmtId="0" fontId="0" fillId="0" borderId="0"/>
    <xf numFmtId="9" fontId="1" fillId="0" borderId="0" applyFont="0" applyFill="0" applyBorder="0" applyAlignment="0" applyProtection="0"/>
    <xf numFmtId="0" fontId="2" fillId="0" borderId="0"/>
    <xf numFmtId="0" fontId="8" fillId="5" borderId="0" applyNumberFormat="0" applyBorder="0" applyAlignment="0" applyProtection="0"/>
    <xf numFmtId="0" fontId="9" fillId="6" borderId="0" applyNumberFormat="0" applyBorder="0" applyAlignment="0" applyProtection="0"/>
  </cellStyleXfs>
  <cellXfs count="69">
    <xf numFmtId="0" fontId="0" fillId="0" borderId="0" xfId="0"/>
    <xf numFmtId="0" fontId="2" fillId="0" borderId="0" xfId="2" applyFont="1"/>
    <xf numFmtId="49" fontId="0" fillId="0" borderId="0" xfId="0" applyNumberFormat="1"/>
    <xf numFmtId="0" fontId="2" fillId="0" borderId="0" xfId="2" applyFont="1"/>
    <xf numFmtId="0" fontId="3" fillId="3" borderId="1" xfId="2" applyNumberFormat="1" applyFont="1" applyFill="1" applyBorder="1" applyAlignment="1"/>
    <xf numFmtId="0" fontId="2" fillId="2" borderId="1" xfId="2" applyNumberFormat="1" applyFont="1" applyFill="1" applyBorder="1" applyAlignment="1"/>
    <xf numFmtId="0" fontId="2" fillId="0" borderId="1" xfId="2" applyNumberFormat="1" applyFont="1" applyBorder="1" applyAlignment="1"/>
    <xf numFmtId="9" fontId="2" fillId="2" borderId="1" xfId="1" applyFont="1" applyFill="1" applyBorder="1" applyAlignment="1"/>
    <xf numFmtId="0" fontId="3" fillId="3" borderId="0" xfId="2" applyNumberFormat="1" applyFont="1" applyFill="1" applyBorder="1" applyAlignment="1"/>
    <xf numFmtId="0" fontId="4" fillId="0" borderId="0" xfId="0" applyNumberFormat="1" applyFont="1" applyFill="1" applyBorder="1" applyAlignment="1" applyProtection="1"/>
    <xf numFmtId="9" fontId="0" fillId="0" borderId="0" xfId="0" applyNumberFormat="1"/>
    <xf numFmtId="0" fontId="0" fillId="4" borderId="0" xfId="0" applyFill="1"/>
    <xf numFmtId="0" fontId="2" fillId="4" borderId="0" xfId="2" applyFont="1" applyFill="1"/>
    <xf numFmtId="0" fontId="0" fillId="0" borderId="0" xfId="0" pivotButton="1"/>
    <xf numFmtId="0" fontId="0" fillId="0" borderId="0" xfId="0" applyAlignment="1">
      <alignment horizontal="left"/>
    </xf>
    <xf numFmtId="2" fontId="4" fillId="4" borderId="0" xfId="1" applyNumberFormat="1" applyFont="1" applyFill="1"/>
    <xf numFmtId="0" fontId="4" fillId="4" borderId="0" xfId="1" applyNumberFormat="1" applyFont="1" applyFill="1"/>
    <xf numFmtId="9" fontId="0" fillId="0" borderId="0" xfId="1" applyFont="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3" xfId="0" applyFont="1" applyFill="1" applyBorder="1" applyAlignment="1">
      <alignment horizontal="centerContinuous"/>
    </xf>
    <xf numFmtId="0" fontId="6" fillId="0" borderId="0" xfId="0" applyFont="1"/>
    <xf numFmtId="0" fontId="8" fillId="5" borderId="0" xfId="3"/>
    <xf numFmtId="0" fontId="4" fillId="0" borderId="0" xfId="2" applyFont="1" applyFill="1"/>
    <xf numFmtId="0" fontId="0" fillId="0" borderId="1" xfId="0" applyFont="1" applyBorder="1"/>
    <xf numFmtId="0" fontId="0" fillId="2" borderId="1" xfId="0" applyFont="1" applyFill="1" applyBorder="1"/>
    <xf numFmtId="9" fontId="4" fillId="4" borderId="0" xfId="1" applyNumberFormat="1" applyFont="1" applyFill="1"/>
    <xf numFmtId="1" fontId="4" fillId="4" borderId="0" xfId="1" applyNumberFormat="1" applyFont="1" applyFill="1"/>
    <xf numFmtId="9" fontId="5" fillId="4" borderId="0" xfId="1" applyNumberFormat="1" applyFont="1" applyFill="1"/>
    <xf numFmtId="0" fontId="4" fillId="0" borderId="0" xfId="2" applyNumberFormat="1" applyFont="1" applyFill="1"/>
    <xf numFmtId="0" fontId="0" fillId="0" borderId="0" xfId="0" applyFont="1"/>
    <xf numFmtId="0" fontId="8" fillId="5" borderId="0" xfId="3" quotePrefix="1"/>
    <xf numFmtId="0" fontId="8" fillId="5" borderId="0" xfId="3" applyBorder="1" applyAlignment="1"/>
    <xf numFmtId="0" fontId="9" fillId="6" borderId="0" xfId="4" applyBorder="1" applyAlignment="1"/>
    <xf numFmtId="0" fontId="9" fillId="6" borderId="0" xfId="4"/>
    <xf numFmtId="0" fontId="10" fillId="4" borderId="0" xfId="2" applyFont="1" applyFill="1"/>
    <xf numFmtId="0" fontId="0" fillId="4" borderId="0" xfId="0" applyNumberFormat="1" applyFill="1"/>
    <xf numFmtId="9" fontId="10" fillId="4" borderId="0" xfId="1" applyNumberFormat="1" applyFont="1" applyFill="1"/>
    <xf numFmtId="1" fontId="10" fillId="4" borderId="0" xfId="1" applyNumberFormat="1" applyFont="1" applyFill="1"/>
    <xf numFmtId="0" fontId="10" fillId="4" borderId="0" xfId="1" applyNumberFormat="1" applyFont="1" applyFill="1"/>
    <xf numFmtId="9" fontId="11" fillId="4" borderId="0" xfId="1" applyNumberFormat="1" applyFont="1" applyFill="1"/>
    <xf numFmtId="2" fontId="10" fillId="4" borderId="0" xfId="1" applyNumberFormat="1" applyFont="1" applyFill="1"/>
    <xf numFmtId="0" fontId="10" fillId="0" borderId="0" xfId="2" applyFont="1" applyFill="1"/>
    <xf numFmtId="0" fontId="10" fillId="0" borderId="0" xfId="2" applyNumberFormat="1" applyFont="1" applyFill="1"/>
    <xf numFmtId="0" fontId="0" fillId="2" borderId="4" xfId="0" applyFont="1" applyFill="1" applyBorder="1"/>
    <xf numFmtId="0" fontId="0" fillId="0" borderId="0" xfId="0" applyNumberFormat="1"/>
    <xf numFmtId="0" fontId="4" fillId="4" borderId="0" xfId="2" applyFont="1" applyFill="1"/>
    <xf numFmtId="0" fontId="4" fillId="0" borderId="0" xfId="0" applyFont="1" applyFill="1" applyBorder="1" applyAlignment="1" applyProtection="1"/>
    <xf numFmtId="0" fontId="4" fillId="0" borderId="0" xfId="0" applyNumberFormat="1" applyFont="1"/>
    <xf numFmtId="9" fontId="4" fillId="0" borderId="0" xfId="0" applyNumberFormat="1" applyFont="1"/>
    <xf numFmtId="0" fontId="0" fillId="0" borderId="0" xfId="0" applyBorder="1"/>
    <xf numFmtId="0" fontId="7" fillId="0" borderId="0" xfId="0" applyFont="1" applyFill="1" applyBorder="1" applyAlignment="1">
      <alignment horizontal="centerContinuous"/>
    </xf>
    <xf numFmtId="1" fontId="4" fillId="4" borderId="1" xfId="1" applyNumberFormat="1" applyFont="1" applyFill="1" applyBorder="1"/>
    <xf numFmtId="164" fontId="0" fillId="0" borderId="0" xfId="0" applyNumberFormat="1" applyFill="1" applyBorder="1" applyAlignment="1"/>
    <xf numFmtId="164" fontId="0" fillId="0" borderId="0" xfId="0" applyNumberFormat="1"/>
    <xf numFmtId="11" fontId="8" fillId="5" borderId="0" xfId="3" applyNumberFormat="1" applyBorder="1" applyAlignment="1"/>
    <xf numFmtId="1" fontId="0" fillId="0" borderId="0" xfId="0" applyNumberFormat="1"/>
    <xf numFmtId="164" fontId="4" fillId="4" borderId="0" xfId="0" applyNumberFormat="1" applyFont="1" applyFill="1" applyBorder="1"/>
    <xf numFmtId="164" fontId="4" fillId="4" borderId="1" xfId="1" applyNumberFormat="1" applyFont="1" applyFill="1" applyBorder="1"/>
    <xf numFmtId="0" fontId="12" fillId="3" borderId="5" xfId="0" applyFont="1" applyFill="1" applyBorder="1"/>
    <xf numFmtId="0" fontId="0" fillId="4" borderId="5" xfId="0" applyFont="1" applyFill="1" applyBorder="1"/>
    <xf numFmtId="0" fontId="10" fillId="0" borderId="0" xfId="0" applyFont="1" applyFill="1" applyBorder="1" applyAlignment="1" applyProtection="1"/>
    <xf numFmtId="0" fontId="10" fillId="0" borderId="0" xfId="0" applyNumberFormat="1" applyFont="1"/>
    <xf numFmtId="2" fontId="0" fillId="0" borderId="0" xfId="0" applyNumberFormat="1"/>
    <xf numFmtId="0" fontId="0" fillId="0" borderId="0" xfId="0" applyAlignment="1">
      <alignment horizontal="center"/>
    </xf>
    <xf numFmtId="11" fontId="0" fillId="0" borderId="0" xfId="0" applyNumberFormat="1" applyFont="1"/>
    <xf numFmtId="11" fontId="0" fillId="0" borderId="1" xfId="0" applyNumberFormat="1" applyFont="1" applyBorder="1"/>
    <xf numFmtId="11" fontId="2" fillId="2" borderId="1" xfId="2" applyNumberFormat="1" applyFont="1" applyFill="1" applyBorder="1" applyAlignment="1"/>
  </cellXfs>
  <cellStyles count="5">
    <cellStyle name="Bad" xfId="4" builtinId="27"/>
    <cellStyle name="Good" xfId="3" builtinId="26"/>
    <cellStyle name="Normal" xfId="0" builtinId="0"/>
    <cellStyle name="Normal 2" xfId="2"/>
    <cellStyle name="Percent" xfId="1" builtinId="5"/>
  </cellStyles>
  <dxfs count="222">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13" formatCode="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30" formatCode="@"/>
    </dxf>
    <dxf>
      <font>
        <b val="0"/>
        <i val="0"/>
        <strike val="0"/>
        <condense val="0"/>
        <extend val="0"/>
        <outline val="0"/>
        <shadow val="0"/>
        <u val="none"/>
        <vertAlign val="baseline"/>
        <sz val="10"/>
        <color auto="1"/>
        <name val="Arial"/>
        <scheme val="none"/>
      </font>
    </dxf>
    <dxf>
      <font>
        <color rgb="FF9C0006"/>
      </font>
      <fill>
        <patternFill>
          <bgColor rgb="FFFFC7CE"/>
        </patternFill>
      </fill>
    </dxf>
    <dxf>
      <font>
        <b val="0"/>
        <i val="0"/>
        <strike val="0"/>
        <condense val="0"/>
        <extend val="0"/>
        <outline val="0"/>
        <shadow val="0"/>
        <u val="none"/>
        <vertAlign val="baseline"/>
        <sz val="10"/>
        <color auto="1"/>
        <name val="Arial"/>
        <scheme val="none"/>
      </font>
      <numFmt numFmtId="164" formatCode="0.0000"/>
      <fill>
        <patternFill patternType="solid">
          <fgColor indexed="64"/>
          <bgColor theme="7"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scheme val="none"/>
      </font>
      <numFmt numFmtId="164" formatCode="0.0000"/>
      <fill>
        <patternFill patternType="solid">
          <fgColor indexed="64"/>
          <bgColor theme="7" tint="0.79998168889431442"/>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scheme val="none"/>
      </font>
      <numFmt numFmtId="164" formatCode="0.0000"/>
      <fill>
        <patternFill patternType="solid">
          <fgColor indexed="64"/>
          <bgColor theme="7" tint="0.79998168889431442"/>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numFmt numFmtId="164" formatCode="0.0000"/>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3" formatCode="0%"/>
    </dxf>
    <dxf>
      <numFmt numFmtId="13" formatCode="0%"/>
    </dxf>
    <dxf>
      <numFmt numFmtId="13" formatCode="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2" formatCode="0.00"/>
      <fill>
        <patternFill patternType="solid">
          <fgColor indexed="64"/>
          <bgColor theme="7" tint="0.79998168889431442"/>
        </patternFill>
      </fill>
    </dxf>
    <dxf>
      <font>
        <b/>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[comprehensibility_results - Copy.xlsx]Subj.compreh.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Subjective comprehensibility per visualizations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'Subj.compreh. pivot'!$B$3</c:f>
              <c:strCache>
                <c:ptCount val="1"/>
                <c:pt idx="0">
                  <c:v>Total</c:v>
                </c:pt>
              </c:strCache>
            </c:strRef>
          </c:tx>
          <c:spPr>
            <a:solidFill>
              <a:schemeClr val="accent1"/>
            </a:solidFill>
            <a:ln>
              <a:noFill/>
            </a:ln>
            <a:effectLst/>
          </c:spPr>
          <c:invertIfNegative val="0"/>
          <c:cat>
            <c:strRef>
              <c:f>'Subj.compreh. pivot'!$A$4:$A$7</c:f>
              <c:strCache>
                <c:ptCount val="3"/>
                <c:pt idx="0">
                  <c:v>Wordcloud</c:v>
                </c:pt>
                <c:pt idx="1">
                  <c:v>Z-score charts</c:v>
                </c:pt>
                <c:pt idx="2">
                  <c:v>Z-score wordcloud</c:v>
                </c:pt>
              </c:strCache>
            </c:strRef>
          </c:cat>
          <c:val>
            <c:numRef>
              <c:f>'Subj.compreh. pivot'!$B$4:$B$7</c:f>
              <c:numCache>
                <c:formatCode>General</c:formatCode>
                <c:ptCount val="3"/>
                <c:pt idx="0">
                  <c:v>2.828125</c:v>
                </c:pt>
                <c:pt idx="1">
                  <c:v>2.7246376811594204</c:v>
                </c:pt>
                <c:pt idx="2">
                  <c:v>2.4264705882352939</c:v>
                </c:pt>
              </c:numCache>
            </c:numRef>
          </c:val>
          <c:extLst>
            <c:ext xmlns:c16="http://schemas.microsoft.com/office/drawing/2014/chart" uri="{C3380CC4-5D6E-409C-BE32-E72D297353CC}">
              <c16:uniqueId val="{00000000-F3E3-4BE8-BCBE-CB52396B1DF3}"/>
            </c:ext>
          </c:extLst>
        </c:ser>
        <c:dLbls>
          <c:showLegendKey val="0"/>
          <c:showVal val="0"/>
          <c:showCatName val="0"/>
          <c:showSerName val="0"/>
          <c:showPercent val="0"/>
          <c:showBubbleSize val="0"/>
        </c:dLbls>
        <c:gapWidth val="219"/>
        <c:overlap val="-27"/>
        <c:axId val="520561024"/>
        <c:axId val="520561680"/>
      </c:barChart>
      <c:catAx>
        <c:axId val="52056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20561680"/>
        <c:crosses val="autoZero"/>
        <c:auto val="1"/>
        <c:lblAlgn val="ctr"/>
        <c:lblOffset val="100"/>
        <c:noMultiLvlLbl val="0"/>
      </c:catAx>
      <c:valAx>
        <c:axId val="52056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2056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[comprehensibility_results - Copy.xlsx]Pivot!PivotTable1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a:t>
            </a:r>
            <a:r>
              <a:rPr lang="en-US" baseline="0"/>
              <a:t> visualizations per tasks</a:t>
            </a:r>
            <a:endParaRPr lang="cs-C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pivotFmt>
      <c:pivotFmt>
        <c:idx val="29"/>
      </c:pivotFmt>
      <c:pivotFmt>
        <c:idx val="30"/>
      </c:pivotFmt>
      <c:pivotFmt>
        <c:idx val="31"/>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w="28575" cap="rnd">
            <a:solidFill>
              <a:schemeClr val="accent1"/>
            </a:solidFill>
            <a:round/>
          </a:ln>
          <a:effectLst/>
        </c:spPr>
      </c:pivotFmt>
      <c:pivotFmt>
        <c:idx val="49"/>
        <c:spPr>
          <a:solidFill>
            <a:schemeClr val="accent1"/>
          </a:solidFill>
          <a:ln w="28575" cap="rnd">
            <a:solidFill>
              <a:schemeClr val="accent1"/>
            </a:solidFill>
            <a:round/>
          </a:ln>
          <a:effectLst/>
        </c:spPr>
      </c:pivotFmt>
      <c:pivotFmt>
        <c:idx val="50"/>
        <c:spPr>
          <a:solidFill>
            <a:schemeClr val="accent1"/>
          </a:solidFill>
          <a:ln w="28575" cap="rnd">
            <a:solidFill>
              <a:schemeClr val="accent1"/>
            </a:solidFill>
            <a:round/>
          </a:ln>
          <a:effectLst/>
        </c:spPr>
      </c:pivotFmt>
      <c:pivotFmt>
        <c:idx val="51"/>
        <c:spPr>
          <a:solidFill>
            <a:schemeClr val="accent1"/>
          </a:solidFill>
          <a:ln w="28575" cap="rnd">
            <a:solidFill>
              <a:schemeClr val="accent1"/>
            </a:solidFill>
            <a:round/>
          </a:ln>
          <a:effectLst/>
        </c:spP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7"/>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5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5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s>
    <c:plotArea>
      <c:layout/>
      <c:barChart>
        <c:barDir val="col"/>
        <c:grouping val="clustered"/>
        <c:varyColors val="0"/>
        <c:ser>
          <c:idx val="0"/>
          <c:order val="0"/>
          <c:tx>
            <c:strRef>
              <c:f>Pivot!$B$3</c:f>
              <c:strCache>
                <c:ptCount val="1"/>
                <c:pt idx="0">
                  <c:v>Total correct answers</c:v>
                </c:pt>
              </c:strCache>
            </c:strRef>
          </c:tx>
          <c:spPr>
            <a:solidFill>
              <a:schemeClr val="accent1"/>
            </a:solidFill>
            <a:ln>
              <a:noFill/>
            </a:ln>
            <a:effectLst/>
          </c:spPr>
          <c:invertIfNegative val="0"/>
          <c:cat>
            <c:strRef>
              <c:f>Pivot!$A$4:$A$7</c:f>
              <c:strCache>
                <c:ptCount val="3"/>
                <c:pt idx="0">
                  <c:v>Wordcloud</c:v>
                </c:pt>
                <c:pt idx="1">
                  <c:v>Z-score charts</c:v>
                </c:pt>
                <c:pt idx="2">
                  <c:v>Z-score wordcloud</c:v>
                </c:pt>
              </c:strCache>
            </c:strRef>
          </c:cat>
          <c:val>
            <c:numRef>
              <c:f>Pivot!$B$4:$B$7</c:f>
              <c:numCache>
                <c:formatCode>0%</c:formatCode>
                <c:ptCount val="3"/>
                <c:pt idx="0">
                  <c:v>0.64357864357864369</c:v>
                </c:pt>
                <c:pt idx="1">
                  <c:v>0.70000000000000007</c:v>
                </c:pt>
                <c:pt idx="2">
                  <c:v>0.82727272727272749</c:v>
                </c:pt>
              </c:numCache>
            </c:numRef>
          </c:val>
          <c:extLst>
            <c:ext xmlns:c16="http://schemas.microsoft.com/office/drawing/2014/chart" uri="{C3380CC4-5D6E-409C-BE32-E72D297353CC}">
              <c16:uniqueId val="{00000000-4131-4A44-AA21-5A61B2599DC2}"/>
            </c:ext>
          </c:extLst>
        </c:ser>
        <c:ser>
          <c:idx val="1"/>
          <c:order val="1"/>
          <c:tx>
            <c:strRef>
              <c:f>Pivot!$C$3</c:f>
              <c:strCache>
                <c:ptCount val="1"/>
                <c:pt idx="0">
                  <c:v>Classify - correct answers</c:v>
                </c:pt>
              </c:strCache>
            </c:strRef>
          </c:tx>
          <c:spPr>
            <a:solidFill>
              <a:schemeClr val="accent2"/>
            </a:solidFill>
            <a:ln>
              <a:noFill/>
            </a:ln>
            <a:effectLst/>
          </c:spPr>
          <c:invertIfNegative val="0"/>
          <c:cat>
            <c:strRef>
              <c:f>Pivot!$A$4:$A$7</c:f>
              <c:strCache>
                <c:ptCount val="3"/>
                <c:pt idx="0">
                  <c:v>Wordcloud</c:v>
                </c:pt>
                <c:pt idx="1">
                  <c:v>Z-score charts</c:v>
                </c:pt>
                <c:pt idx="2">
                  <c:v>Z-score wordcloud</c:v>
                </c:pt>
              </c:strCache>
            </c:strRef>
          </c:cat>
          <c:val>
            <c:numRef>
              <c:f>Pivot!$C$4:$C$7</c:f>
              <c:numCache>
                <c:formatCode>0%</c:formatCode>
                <c:ptCount val="3"/>
                <c:pt idx="0">
                  <c:v>0.65608465608465594</c:v>
                </c:pt>
                <c:pt idx="1">
                  <c:v>0.6384615384615383</c:v>
                </c:pt>
                <c:pt idx="2">
                  <c:v>0.7944444444444444</c:v>
                </c:pt>
              </c:numCache>
            </c:numRef>
          </c:val>
          <c:extLst>
            <c:ext xmlns:c16="http://schemas.microsoft.com/office/drawing/2014/chart" uri="{C3380CC4-5D6E-409C-BE32-E72D297353CC}">
              <c16:uniqueId val="{00000001-4131-4A44-AA21-5A61B2599DC2}"/>
            </c:ext>
          </c:extLst>
        </c:ser>
        <c:ser>
          <c:idx val="2"/>
          <c:order val="2"/>
          <c:tx>
            <c:strRef>
              <c:f>Pivot!$D$3</c:f>
              <c:strCache>
                <c:ptCount val="1"/>
                <c:pt idx="0">
                  <c:v>Explain - correct answers</c:v>
                </c:pt>
              </c:strCache>
            </c:strRef>
          </c:tx>
          <c:spPr>
            <a:solidFill>
              <a:schemeClr val="accent3"/>
            </a:solidFill>
            <a:ln>
              <a:noFill/>
            </a:ln>
            <a:effectLst/>
          </c:spPr>
          <c:invertIfNegative val="0"/>
          <c:cat>
            <c:strRef>
              <c:f>Pivot!$A$4:$A$7</c:f>
              <c:strCache>
                <c:ptCount val="3"/>
                <c:pt idx="0">
                  <c:v>Wordcloud</c:v>
                </c:pt>
                <c:pt idx="1">
                  <c:v>Z-score charts</c:v>
                </c:pt>
                <c:pt idx="2">
                  <c:v>Z-score wordcloud</c:v>
                </c:pt>
              </c:strCache>
            </c:strRef>
          </c:cat>
          <c:val>
            <c:numRef>
              <c:f>Pivot!$D$4:$D$7</c:f>
              <c:numCache>
                <c:formatCode>0%</c:formatCode>
                <c:ptCount val="3"/>
                <c:pt idx="0">
                  <c:v>0.77182539682539686</c:v>
                </c:pt>
                <c:pt idx="1">
                  <c:v>0.76923076923076927</c:v>
                </c:pt>
                <c:pt idx="2">
                  <c:v>0.82499999999999996</c:v>
                </c:pt>
              </c:numCache>
            </c:numRef>
          </c:val>
          <c:extLst>
            <c:ext xmlns:c16="http://schemas.microsoft.com/office/drawing/2014/chart" uri="{C3380CC4-5D6E-409C-BE32-E72D297353CC}">
              <c16:uniqueId val="{00000002-4131-4A44-AA21-5A61B2599DC2}"/>
            </c:ext>
          </c:extLst>
        </c:ser>
        <c:ser>
          <c:idx val="3"/>
          <c:order val="3"/>
          <c:tx>
            <c:strRef>
              <c:f>Pivot!$E$3</c:f>
              <c:strCache>
                <c:ptCount val="1"/>
                <c:pt idx="0">
                  <c:v>Validate - correct answers</c:v>
                </c:pt>
              </c:strCache>
            </c:strRef>
          </c:tx>
          <c:spPr>
            <a:solidFill>
              <a:schemeClr val="accent4"/>
            </a:solidFill>
            <a:ln>
              <a:noFill/>
            </a:ln>
            <a:effectLst/>
          </c:spPr>
          <c:invertIfNegative val="0"/>
          <c:cat>
            <c:strRef>
              <c:f>Pivot!$A$4:$A$7</c:f>
              <c:strCache>
                <c:ptCount val="3"/>
                <c:pt idx="0">
                  <c:v>Wordcloud</c:v>
                </c:pt>
                <c:pt idx="1">
                  <c:v>Z-score charts</c:v>
                </c:pt>
                <c:pt idx="2">
                  <c:v>Z-score wordcloud</c:v>
                </c:pt>
              </c:strCache>
            </c:strRef>
          </c:cat>
          <c:val>
            <c:numRef>
              <c:f>Pivot!$E$4:$E$7</c:f>
              <c:numCache>
                <c:formatCode>0%</c:formatCode>
                <c:ptCount val="3"/>
                <c:pt idx="0">
                  <c:v>0.50595238095238093</c:v>
                </c:pt>
                <c:pt idx="1">
                  <c:v>0.67692307692307696</c:v>
                </c:pt>
                <c:pt idx="2">
                  <c:v>0.85416666666666663</c:v>
                </c:pt>
              </c:numCache>
            </c:numRef>
          </c:val>
          <c:extLst>
            <c:ext xmlns:c16="http://schemas.microsoft.com/office/drawing/2014/chart" uri="{C3380CC4-5D6E-409C-BE32-E72D297353CC}">
              <c16:uniqueId val="{00000003-4131-4A44-AA21-5A61B2599DC2}"/>
            </c:ext>
          </c:extLst>
        </c:ser>
        <c:dLbls>
          <c:showLegendKey val="0"/>
          <c:showVal val="0"/>
          <c:showCatName val="0"/>
          <c:showSerName val="0"/>
          <c:showPercent val="0"/>
          <c:showBubbleSize val="0"/>
        </c:dLbls>
        <c:gapWidth val="219"/>
        <c:axId val="665784440"/>
        <c:axId val="665775256"/>
      </c:barChart>
      <c:lineChart>
        <c:grouping val="standard"/>
        <c:varyColors val="0"/>
        <c:ser>
          <c:idx val="4"/>
          <c:order val="4"/>
          <c:tx>
            <c:strRef>
              <c:f>Pivot!$F$3</c:f>
              <c:strCache>
                <c:ptCount val="1"/>
                <c:pt idx="0">
                  <c:v>Classify - time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Pivot!$A$4:$A$7</c:f>
              <c:strCache>
                <c:ptCount val="3"/>
                <c:pt idx="0">
                  <c:v>Wordcloud</c:v>
                </c:pt>
                <c:pt idx="1">
                  <c:v>Z-score charts</c:v>
                </c:pt>
                <c:pt idx="2">
                  <c:v>Z-score wordcloud</c:v>
                </c:pt>
              </c:strCache>
            </c:strRef>
          </c:cat>
          <c:val>
            <c:numRef>
              <c:f>Pivot!$F$4:$F$7</c:f>
              <c:numCache>
                <c:formatCode>General</c:formatCode>
                <c:ptCount val="3"/>
                <c:pt idx="0">
                  <c:v>4.9720502645502638</c:v>
                </c:pt>
                <c:pt idx="1">
                  <c:v>6.8073512820512807</c:v>
                </c:pt>
                <c:pt idx="2">
                  <c:v>5.254163888888888</c:v>
                </c:pt>
              </c:numCache>
            </c:numRef>
          </c:val>
          <c:smooth val="0"/>
          <c:extLst>
            <c:ext xmlns:c16="http://schemas.microsoft.com/office/drawing/2014/chart" uri="{C3380CC4-5D6E-409C-BE32-E72D297353CC}">
              <c16:uniqueId val="{00000008-4131-4A44-AA21-5A61B2599DC2}"/>
            </c:ext>
          </c:extLst>
        </c:ser>
        <c:ser>
          <c:idx val="5"/>
          <c:order val="5"/>
          <c:tx>
            <c:strRef>
              <c:f>Pivot!$G$3</c:f>
              <c:strCache>
                <c:ptCount val="1"/>
                <c:pt idx="0">
                  <c:v>Explain -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Pivot!$A$4:$A$7</c:f>
              <c:strCache>
                <c:ptCount val="3"/>
                <c:pt idx="0">
                  <c:v>Wordcloud</c:v>
                </c:pt>
                <c:pt idx="1">
                  <c:v>Z-score charts</c:v>
                </c:pt>
                <c:pt idx="2">
                  <c:v>Z-score wordcloud</c:v>
                </c:pt>
              </c:strCache>
            </c:strRef>
          </c:cat>
          <c:val>
            <c:numRef>
              <c:f>Pivot!$G$4:$G$7</c:f>
              <c:numCache>
                <c:formatCode>General</c:formatCode>
                <c:ptCount val="3"/>
                <c:pt idx="0">
                  <c:v>3.3371005291005287</c:v>
                </c:pt>
                <c:pt idx="1">
                  <c:v>3.9303717948717942</c:v>
                </c:pt>
                <c:pt idx="2">
                  <c:v>3.3535027777777788</c:v>
                </c:pt>
              </c:numCache>
            </c:numRef>
          </c:val>
          <c:smooth val="0"/>
          <c:extLst>
            <c:ext xmlns:c16="http://schemas.microsoft.com/office/drawing/2014/chart" uri="{C3380CC4-5D6E-409C-BE32-E72D297353CC}">
              <c16:uniqueId val="{00000009-4131-4A44-AA21-5A61B2599DC2}"/>
            </c:ext>
          </c:extLst>
        </c:ser>
        <c:ser>
          <c:idx val="6"/>
          <c:order val="6"/>
          <c:tx>
            <c:strRef>
              <c:f>Pivot!$H$3</c:f>
              <c:strCache>
                <c:ptCount val="1"/>
                <c:pt idx="0">
                  <c:v>Validate - time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Pivot!$A$4:$A$7</c:f>
              <c:strCache>
                <c:ptCount val="3"/>
                <c:pt idx="0">
                  <c:v>Wordcloud</c:v>
                </c:pt>
                <c:pt idx="1">
                  <c:v>Z-score charts</c:v>
                </c:pt>
                <c:pt idx="2">
                  <c:v>Z-score wordcloud</c:v>
                </c:pt>
              </c:strCache>
            </c:strRef>
          </c:cat>
          <c:val>
            <c:numRef>
              <c:f>Pivot!$H$4:$H$7</c:f>
              <c:numCache>
                <c:formatCode>General</c:formatCode>
                <c:ptCount val="3"/>
                <c:pt idx="0">
                  <c:v>2.5011772486772483</c:v>
                </c:pt>
                <c:pt idx="1">
                  <c:v>2.4419615384615385</c:v>
                </c:pt>
                <c:pt idx="2">
                  <c:v>2.0373305555555556</c:v>
                </c:pt>
              </c:numCache>
            </c:numRef>
          </c:val>
          <c:smooth val="0"/>
          <c:extLst>
            <c:ext xmlns:c16="http://schemas.microsoft.com/office/drawing/2014/chart" uri="{C3380CC4-5D6E-409C-BE32-E72D297353CC}">
              <c16:uniqueId val="{0000000A-4131-4A44-AA21-5A61B2599DC2}"/>
            </c:ext>
          </c:extLst>
        </c:ser>
        <c:ser>
          <c:idx val="7"/>
          <c:order val="7"/>
          <c:tx>
            <c:strRef>
              <c:f>Pivot!$I$3</c:f>
              <c:strCache>
                <c:ptCount val="1"/>
                <c:pt idx="0">
                  <c:v>Total 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Pivot!$A$4:$A$7</c:f>
              <c:strCache>
                <c:ptCount val="3"/>
                <c:pt idx="0">
                  <c:v>Wordcloud</c:v>
                </c:pt>
                <c:pt idx="1">
                  <c:v>Z-score charts</c:v>
                </c:pt>
                <c:pt idx="2">
                  <c:v>Z-score wordcloud</c:v>
                </c:pt>
              </c:strCache>
            </c:strRef>
          </c:cat>
          <c:val>
            <c:numRef>
              <c:f>Pivot!$I$4:$I$7</c:f>
              <c:numCache>
                <c:formatCode>General</c:formatCode>
                <c:ptCount val="3"/>
                <c:pt idx="0">
                  <c:v>10.810328042328043</c:v>
                </c:pt>
                <c:pt idx="1">
                  <c:v>13.179684615384614</c:v>
                </c:pt>
                <c:pt idx="2">
                  <c:v>10.644997222222223</c:v>
                </c:pt>
              </c:numCache>
            </c:numRef>
          </c:val>
          <c:smooth val="0"/>
          <c:extLst>
            <c:ext xmlns:c16="http://schemas.microsoft.com/office/drawing/2014/chart" uri="{C3380CC4-5D6E-409C-BE32-E72D297353CC}">
              <c16:uniqueId val="{00000004-C37A-4384-AECB-2313DDBB4404}"/>
            </c:ext>
          </c:extLst>
        </c:ser>
        <c:dLbls>
          <c:showLegendKey val="0"/>
          <c:showVal val="0"/>
          <c:showCatName val="0"/>
          <c:showSerName val="0"/>
          <c:showPercent val="0"/>
          <c:showBubbleSize val="0"/>
        </c:dLbls>
        <c:marker val="1"/>
        <c:smooth val="0"/>
        <c:axId val="644091072"/>
        <c:axId val="644083856"/>
      </c:lineChart>
      <c:catAx>
        <c:axId val="66578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65775256"/>
        <c:crosses val="autoZero"/>
        <c:auto val="1"/>
        <c:lblAlgn val="ctr"/>
        <c:lblOffset val="100"/>
        <c:noMultiLvlLbl val="0"/>
      </c:catAx>
      <c:valAx>
        <c:axId val="665775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correct asnwers</a:t>
                </a:r>
                <a:endParaRPr lang="cs-CZ"/>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65784440"/>
        <c:crosses val="autoZero"/>
        <c:crossBetween val="between"/>
      </c:valAx>
      <c:valAx>
        <c:axId val="644083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 to</a:t>
                </a:r>
                <a:r>
                  <a:rPr lang="en-US" baseline="0"/>
                  <a:t> complete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44091072"/>
        <c:crosses val="max"/>
        <c:crossBetween val="between"/>
      </c:valAx>
      <c:catAx>
        <c:axId val="644091072"/>
        <c:scaling>
          <c:orientation val="minMax"/>
        </c:scaling>
        <c:delete val="1"/>
        <c:axPos val="b"/>
        <c:numFmt formatCode="General" sourceLinked="1"/>
        <c:majorTickMark val="out"/>
        <c:minorTickMark val="none"/>
        <c:tickLblPos val="nextTo"/>
        <c:crossAx val="64408385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Hypothesis</a:t>
            </a:r>
            <a:r>
              <a:rPr lang="en-US" baseline="0"/>
              <a:t> 3 (regression)</a:t>
            </a:r>
            <a:endParaRPr lang="cs-CZ"/>
          </a:p>
        </c:rich>
      </c:tx>
      <c:layout>
        <c:manualLayout>
          <c:xMode val="edge"/>
          <c:yMode val="edge"/>
          <c:x val="0.32795378912371753"/>
          <c:y val="4.731370117196889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392321345862227"/>
                  <c:y val="-0.187985347985347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'Prior know. vs. correct answers'!$L$3:$L$190</c:f>
              <c:numCache>
                <c:formatCode>0.00</c:formatCode>
                <c:ptCount val="188"/>
                <c:pt idx="0">
                  <c:v>4</c:v>
                </c:pt>
                <c:pt idx="1">
                  <c:v>1.5</c:v>
                </c:pt>
                <c:pt idx="2">
                  <c:v>4.5</c:v>
                </c:pt>
                <c:pt idx="3">
                  <c:v>1</c:v>
                </c:pt>
                <c:pt idx="4">
                  <c:v>4.5</c:v>
                </c:pt>
                <c:pt idx="5">
                  <c:v>1.5</c:v>
                </c:pt>
                <c:pt idx="6">
                  <c:v>1</c:v>
                </c:pt>
                <c:pt idx="7">
                  <c:v>3</c:v>
                </c:pt>
                <c:pt idx="8">
                  <c:v>2</c:v>
                </c:pt>
                <c:pt idx="9">
                  <c:v>1</c:v>
                </c:pt>
                <c:pt idx="10">
                  <c:v>2</c:v>
                </c:pt>
                <c:pt idx="11">
                  <c:v>3</c:v>
                </c:pt>
                <c:pt idx="12">
                  <c:v>5</c:v>
                </c:pt>
                <c:pt idx="13">
                  <c:v>1</c:v>
                </c:pt>
                <c:pt idx="14">
                  <c:v>1</c:v>
                </c:pt>
                <c:pt idx="15">
                  <c:v>2.5</c:v>
                </c:pt>
                <c:pt idx="16">
                  <c:v>1</c:v>
                </c:pt>
                <c:pt idx="17">
                  <c:v>2</c:v>
                </c:pt>
                <c:pt idx="18">
                  <c:v>2</c:v>
                </c:pt>
                <c:pt idx="19">
                  <c:v>3.5</c:v>
                </c:pt>
                <c:pt idx="20">
                  <c:v>2.5</c:v>
                </c:pt>
                <c:pt idx="21">
                  <c:v>1</c:v>
                </c:pt>
                <c:pt idx="22">
                  <c:v>2</c:v>
                </c:pt>
                <c:pt idx="23">
                  <c:v>1</c:v>
                </c:pt>
                <c:pt idx="24">
                  <c:v>1</c:v>
                </c:pt>
                <c:pt idx="25">
                  <c:v>6.5</c:v>
                </c:pt>
                <c:pt idx="26">
                  <c:v>5</c:v>
                </c:pt>
                <c:pt idx="27">
                  <c:v>3.5</c:v>
                </c:pt>
                <c:pt idx="28">
                  <c:v>1</c:v>
                </c:pt>
                <c:pt idx="29">
                  <c:v>1</c:v>
                </c:pt>
                <c:pt idx="30">
                  <c:v>2.5</c:v>
                </c:pt>
                <c:pt idx="31">
                  <c:v>1.5</c:v>
                </c:pt>
                <c:pt idx="32">
                  <c:v>1.5</c:v>
                </c:pt>
                <c:pt idx="33">
                  <c:v>4.5</c:v>
                </c:pt>
                <c:pt idx="34">
                  <c:v>5</c:v>
                </c:pt>
                <c:pt idx="35">
                  <c:v>1</c:v>
                </c:pt>
                <c:pt idx="36">
                  <c:v>2</c:v>
                </c:pt>
                <c:pt idx="37">
                  <c:v>1</c:v>
                </c:pt>
                <c:pt idx="38">
                  <c:v>1</c:v>
                </c:pt>
                <c:pt idx="39">
                  <c:v>1.5</c:v>
                </c:pt>
                <c:pt idx="40">
                  <c:v>4</c:v>
                </c:pt>
                <c:pt idx="41">
                  <c:v>2.5</c:v>
                </c:pt>
                <c:pt idx="42">
                  <c:v>2</c:v>
                </c:pt>
                <c:pt idx="43">
                  <c:v>10</c:v>
                </c:pt>
                <c:pt idx="44">
                  <c:v>3</c:v>
                </c:pt>
                <c:pt idx="45">
                  <c:v>2</c:v>
                </c:pt>
                <c:pt idx="46">
                  <c:v>1.5</c:v>
                </c:pt>
                <c:pt idx="47">
                  <c:v>1</c:v>
                </c:pt>
                <c:pt idx="48">
                  <c:v>1</c:v>
                </c:pt>
                <c:pt idx="49">
                  <c:v>2</c:v>
                </c:pt>
                <c:pt idx="50">
                  <c:v>1.5</c:v>
                </c:pt>
                <c:pt idx="51">
                  <c:v>6</c:v>
                </c:pt>
                <c:pt idx="52">
                  <c:v>1</c:v>
                </c:pt>
                <c:pt idx="53">
                  <c:v>3.5</c:v>
                </c:pt>
                <c:pt idx="54">
                  <c:v>1</c:v>
                </c:pt>
                <c:pt idx="55">
                  <c:v>1.5</c:v>
                </c:pt>
                <c:pt idx="56">
                  <c:v>2</c:v>
                </c:pt>
                <c:pt idx="57">
                  <c:v>4.5</c:v>
                </c:pt>
                <c:pt idx="58">
                  <c:v>1</c:v>
                </c:pt>
                <c:pt idx="59">
                  <c:v>7.5</c:v>
                </c:pt>
                <c:pt idx="60">
                  <c:v>1</c:v>
                </c:pt>
                <c:pt idx="61">
                  <c:v>1</c:v>
                </c:pt>
                <c:pt idx="62">
                  <c:v>4</c:v>
                </c:pt>
                <c:pt idx="63">
                  <c:v>1</c:v>
                </c:pt>
                <c:pt idx="64">
                  <c:v>2.3333333333333335</c:v>
                </c:pt>
                <c:pt idx="65">
                  <c:v>1</c:v>
                </c:pt>
                <c:pt idx="66">
                  <c:v>2.6666666666666665</c:v>
                </c:pt>
                <c:pt idx="67">
                  <c:v>5</c:v>
                </c:pt>
                <c:pt idx="68">
                  <c:v>1.3333333333333333</c:v>
                </c:pt>
                <c:pt idx="69">
                  <c:v>3.3333333333333335</c:v>
                </c:pt>
                <c:pt idx="70">
                  <c:v>6</c:v>
                </c:pt>
                <c:pt idx="71">
                  <c:v>1.3333333333333333</c:v>
                </c:pt>
                <c:pt idx="72">
                  <c:v>1</c:v>
                </c:pt>
                <c:pt idx="73">
                  <c:v>1</c:v>
                </c:pt>
                <c:pt idx="74">
                  <c:v>4</c:v>
                </c:pt>
                <c:pt idx="75">
                  <c:v>2.6666666666666665</c:v>
                </c:pt>
                <c:pt idx="76">
                  <c:v>1</c:v>
                </c:pt>
                <c:pt idx="77">
                  <c:v>1</c:v>
                </c:pt>
                <c:pt idx="78">
                  <c:v>1.3333333333333333</c:v>
                </c:pt>
                <c:pt idx="79">
                  <c:v>1</c:v>
                </c:pt>
                <c:pt idx="80">
                  <c:v>1</c:v>
                </c:pt>
                <c:pt idx="81">
                  <c:v>4.333333333333333</c:v>
                </c:pt>
                <c:pt idx="82">
                  <c:v>1</c:v>
                </c:pt>
                <c:pt idx="83">
                  <c:v>2</c:v>
                </c:pt>
                <c:pt idx="84">
                  <c:v>4</c:v>
                </c:pt>
                <c:pt idx="85">
                  <c:v>1</c:v>
                </c:pt>
                <c:pt idx="86">
                  <c:v>3.3333333333333335</c:v>
                </c:pt>
                <c:pt idx="87">
                  <c:v>2</c:v>
                </c:pt>
                <c:pt idx="88">
                  <c:v>2</c:v>
                </c:pt>
                <c:pt idx="89">
                  <c:v>1</c:v>
                </c:pt>
                <c:pt idx="90">
                  <c:v>1.6666666666666667</c:v>
                </c:pt>
                <c:pt idx="91">
                  <c:v>2</c:v>
                </c:pt>
                <c:pt idx="92">
                  <c:v>5.666666666666667</c:v>
                </c:pt>
                <c:pt idx="93">
                  <c:v>2</c:v>
                </c:pt>
                <c:pt idx="94">
                  <c:v>3.6666666666666665</c:v>
                </c:pt>
                <c:pt idx="95">
                  <c:v>1.3333333333333333</c:v>
                </c:pt>
                <c:pt idx="96">
                  <c:v>1</c:v>
                </c:pt>
                <c:pt idx="97">
                  <c:v>5</c:v>
                </c:pt>
                <c:pt idx="98">
                  <c:v>4</c:v>
                </c:pt>
                <c:pt idx="99">
                  <c:v>5.333333333333333</c:v>
                </c:pt>
                <c:pt idx="100">
                  <c:v>1</c:v>
                </c:pt>
                <c:pt idx="101">
                  <c:v>1</c:v>
                </c:pt>
                <c:pt idx="102">
                  <c:v>1</c:v>
                </c:pt>
                <c:pt idx="103">
                  <c:v>1</c:v>
                </c:pt>
                <c:pt idx="104">
                  <c:v>1.3333333333333333</c:v>
                </c:pt>
                <c:pt idx="105">
                  <c:v>1</c:v>
                </c:pt>
                <c:pt idx="106">
                  <c:v>1.3333333333333333</c:v>
                </c:pt>
                <c:pt idx="107">
                  <c:v>1.6666666666666667</c:v>
                </c:pt>
                <c:pt idx="108">
                  <c:v>1.6666666666666667</c:v>
                </c:pt>
                <c:pt idx="109">
                  <c:v>4</c:v>
                </c:pt>
                <c:pt idx="110">
                  <c:v>2</c:v>
                </c:pt>
                <c:pt idx="111">
                  <c:v>2</c:v>
                </c:pt>
                <c:pt idx="112">
                  <c:v>5.333333333333333</c:v>
                </c:pt>
                <c:pt idx="113">
                  <c:v>5</c:v>
                </c:pt>
                <c:pt idx="114">
                  <c:v>2.3333333333333335</c:v>
                </c:pt>
                <c:pt idx="115">
                  <c:v>1.3333333333333333</c:v>
                </c:pt>
                <c:pt idx="116">
                  <c:v>2.3333333333333335</c:v>
                </c:pt>
                <c:pt idx="117">
                  <c:v>1.6666666666666667</c:v>
                </c:pt>
                <c:pt idx="118">
                  <c:v>1.3333333333333333</c:v>
                </c:pt>
                <c:pt idx="119">
                  <c:v>5.333333333333333</c:v>
                </c:pt>
                <c:pt idx="120">
                  <c:v>1</c:v>
                </c:pt>
                <c:pt idx="121">
                  <c:v>5</c:v>
                </c:pt>
                <c:pt idx="122">
                  <c:v>5</c:v>
                </c:pt>
                <c:pt idx="123">
                  <c:v>4.333333333333333</c:v>
                </c:pt>
                <c:pt idx="124">
                  <c:v>1</c:v>
                </c:pt>
                <c:pt idx="125">
                  <c:v>1</c:v>
                </c:pt>
                <c:pt idx="126">
                  <c:v>5</c:v>
                </c:pt>
                <c:pt idx="127">
                  <c:v>1.3333333333333333</c:v>
                </c:pt>
                <c:pt idx="128">
                  <c:v>4</c:v>
                </c:pt>
                <c:pt idx="129">
                  <c:v>5.666666666666667</c:v>
                </c:pt>
                <c:pt idx="130">
                  <c:v>1</c:v>
                </c:pt>
                <c:pt idx="131">
                  <c:v>1</c:v>
                </c:pt>
                <c:pt idx="132">
                  <c:v>10</c:v>
                </c:pt>
                <c:pt idx="133">
                  <c:v>1.3333333333333333</c:v>
                </c:pt>
                <c:pt idx="134">
                  <c:v>1</c:v>
                </c:pt>
                <c:pt idx="135">
                  <c:v>2.3333333333333335</c:v>
                </c:pt>
                <c:pt idx="136">
                  <c:v>1.6666666666666667</c:v>
                </c:pt>
                <c:pt idx="137">
                  <c:v>2</c:v>
                </c:pt>
                <c:pt idx="138">
                  <c:v>1.6666666666666667</c:v>
                </c:pt>
                <c:pt idx="139">
                  <c:v>1</c:v>
                </c:pt>
                <c:pt idx="140">
                  <c:v>7.666666666666667</c:v>
                </c:pt>
                <c:pt idx="141">
                  <c:v>1</c:v>
                </c:pt>
                <c:pt idx="142">
                  <c:v>2.6666666666666665</c:v>
                </c:pt>
                <c:pt idx="143">
                  <c:v>5.666666666666667</c:v>
                </c:pt>
                <c:pt idx="144">
                  <c:v>1</c:v>
                </c:pt>
                <c:pt idx="145">
                  <c:v>7</c:v>
                </c:pt>
                <c:pt idx="146">
                  <c:v>1</c:v>
                </c:pt>
                <c:pt idx="147">
                  <c:v>1</c:v>
                </c:pt>
                <c:pt idx="148">
                  <c:v>1</c:v>
                </c:pt>
                <c:pt idx="149">
                  <c:v>1</c:v>
                </c:pt>
                <c:pt idx="150">
                  <c:v>7.333333333333333</c:v>
                </c:pt>
                <c:pt idx="151">
                  <c:v>1</c:v>
                </c:pt>
                <c:pt idx="152">
                  <c:v>2</c:v>
                </c:pt>
                <c:pt idx="153">
                  <c:v>2.3333333333333335</c:v>
                </c:pt>
                <c:pt idx="154">
                  <c:v>3</c:v>
                </c:pt>
                <c:pt idx="155">
                  <c:v>3.6666666666666665</c:v>
                </c:pt>
                <c:pt idx="156">
                  <c:v>1.3333333333333333</c:v>
                </c:pt>
                <c:pt idx="157">
                  <c:v>1</c:v>
                </c:pt>
                <c:pt idx="158">
                  <c:v>5</c:v>
                </c:pt>
                <c:pt idx="159">
                  <c:v>1</c:v>
                </c:pt>
                <c:pt idx="160">
                  <c:v>2.3333333333333335</c:v>
                </c:pt>
                <c:pt idx="161">
                  <c:v>2.3333333333333335</c:v>
                </c:pt>
                <c:pt idx="162">
                  <c:v>1</c:v>
                </c:pt>
                <c:pt idx="163">
                  <c:v>1</c:v>
                </c:pt>
                <c:pt idx="164">
                  <c:v>4.333333333333333</c:v>
                </c:pt>
                <c:pt idx="165">
                  <c:v>5</c:v>
                </c:pt>
                <c:pt idx="166">
                  <c:v>1</c:v>
                </c:pt>
                <c:pt idx="167">
                  <c:v>1</c:v>
                </c:pt>
                <c:pt idx="168">
                  <c:v>1.3333333333333333</c:v>
                </c:pt>
                <c:pt idx="169">
                  <c:v>3</c:v>
                </c:pt>
                <c:pt idx="170">
                  <c:v>1.6666666666666667</c:v>
                </c:pt>
                <c:pt idx="171">
                  <c:v>1.3333333333333333</c:v>
                </c:pt>
                <c:pt idx="172">
                  <c:v>1</c:v>
                </c:pt>
                <c:pt idx="173">
                  <c:v>5.666666666666667</c:v>
                </c:pt>
                <c:pt idx="174">
                  <c:v>3</c:v>
                </c:pt>
                <c:pt idx="175">
                  <c:v>2.3333333333333335</c:v>
                </c:pt>
                <c:pt idx="176">
                  <c:v>1</c:v>
                </c:pt>
                <c:pt idx="177">
                  <c:v>2.6666666666666665</c:v>
                </c:pt>
                <c:pt idx="178">
                  <c:v>4</c:v>
                </c:pt>
                <c:pt idx="179">
                  <c:v>4</c:v>
                </c:pt>
                <c:pt idx="180">
                  <c:v>4.333333333333333</c:v>
                </c:pt>
                <c:pt idx="181">
                  <c:v>2.6666666666666665</c:v>
                </c:pt>
                <c:pt idx="182">
                  <c:v>2</c:v>
                </c:pt>
                <c:pt idx="183">
                  <c:v>2.3333333333333335</c:v>
                </c:pt>
                <c:pt idx="184">
                  <c:v>3</c:v>
                </c:pt>
                <c:pt idx="185">
                  <c:v>4.333333333333333</c:v>
                </c:pt>
                <c:pt idx="186">
                  <c:v>3</c:v>
                </c:pt>
                <c:pt idx="187">
                  <c:v>1</c:v>
                </c:pt>
              </c:numCache>
            </c:numRef>
          </c:xVal>
          <c:yVal>
            <c:numRef>
              <c:f>'Prior know. vs. correct answers'!$M$3:$M$190</c:f>
              <c:numCache>
                <c:formatCode>General</c:formatCode>
                <c:ptCount val="188"/>
                <c:pt idx="0">
                  <c:v>13</c:v>
                </c:pt>
                <c:pt idx="1">
                  <c:v>16</c:v>
                </c:pt>
                <c:pt idx="2">
                  <c:v>15</c:v>
                </c:pt>
                <c:pt idx="3">
                  <c:v>13</c:v>
                </c:pt>
                <c:pt idx="4">
                  <c:v>11</c:v>
                </c:pt>
                <c:pt idx="5">
                  <c:v>17</c:v>
                </c:pt>
                <c:pt idx="6">
                  <c:v>16</c:v>
                </c:pt>
                <c:pt idx="7">
                  <c:v>12</c:v>
                </c:pt>
                <c:pt idx="8">
                  <c:v>15</c:v>
                </c:pt>
                <c:pt idx="9">
                  <c:v>15</c:v>
                </c:pt>
                <c:pt idx="10">
                  <c:v>15</c:v>
                </c:pt>
                <c:pt idx="11">
                  <c:v>16</c:v>
                </c:pt>
                <c:pt idx="12">
                  <c:v>19</c:v>
                </c:pt>
                <c:pt idx="13">
                  <c:v>16</c:v>
                </c:pt>
                <c:pt idx="14">
                  <c:v>15</c:v>
                </c:pt>
                <c:pt idx="15">
                  <c:v>18</c:v>
                </c:pt>
                <c:pt idx="16">
                  <c:v>13</c:v>
                </c:pt>
                <c:pt idx="17">
                  <c:v>13</c:v>
                </c:pt>
                <c:pt idx="18">
                  <c:v>14</c:v>
                </c:pt>
                <c:pt idx="19">
                  <c:v>17</c:v>
                </c:pt>
                <c:pt idx="20">
                  <c:v>10</c:v>
                </c:pt>
                <c:pt idx="21">
                  <c:v>14</c:v>
                </c:pt>
                <c:pt idx="22">
                  <c:v>13</c:v>
                </c:pt>
                <c:pt idx="23">
                  <c:v>13</c:v>
                </c:pt>
                <c:pt idx="24">
                  <c:v>15</c:v>
                </c:pt>
                <c:pt idx="25">
                  <c:v>14</c:v>
                </c:pt>
                <c:pt idx="26">
                  <c:v>12</c:v>
                </c:pt>
                <c:pt idx="27">
                  <c:v>16</c:v>
                </c:pt>
                <c:pt idx="28">
                  <c:v>16</c:v>
                </c:pt>
                <c:pt idx="29">
                  <c:v>14</c:v>
                </c:pt>
                <c:pt idx="30">
                  <c:v>6</c:v>
                </c:pt>
                <c:pt idx="31">
                  <c:v>15</c:v>
                </c:pt>
                <c:pt idx="32">
                  <c:v>18</c:v>
                </c:pt>
                <c:pt idx="33">
                  <c:v>16</c:v>
                </c:pt>
                <c:pt idx="34">
                  <c:v>13</c:v>
                </c:pt>
                <c:pt idx="35">
                  <c:v>18</c:v>
                </c:pt>
                <c:pt idx="36">
                  <c:v>14</c:v>
                </c:pt>
                <c:pt idx="37">
                  <c:v>16</c:v>
                </c:pt>
                <c:pt idx="38">
                  <c:v>11</c:v>
                </c:pt>
                <c:pt idx="39">
                  <c:v>12</c:v>
                </c:pt>
                <c:pt idx="40">
                  <c:v>9</c:v>
                </c:pt>
                <c:pt idx="41">
                  <c:v>17</c:v>
                </c:pt>
                <c:pt idx="42">
                  <c:v>17</c:v>
                </c:pt>
                <c:pt idx="43">
                  <c:v>8</c:v>
                </c:pt>
                <c:pt idx="44">
                  <c:v>11</c:v>
                </c:pt>
                <c:pt idx="45">
                  <c:v>9</c:v>
                </c:pt>
                <c:pt idx="46">
                  <c:v>14</c:v>
                </c:pt>
                <c:pt idx="47">
                  <c:v>11</c:v>
                </c:pt>
                <c:pt idx="48">
                  <c:v>18</c:v>
                </c:pt>
                <c:pt idx="49">
                  <c:v>10</c:v>
                </c:pt>
                <c:pt idx="50">
                  <c:v>15</c:v>
                </c:pt>
                <c:pt idx="51">
                  <c:v>17</c:v>
                </c:pt>
                <c:pt idx="52">
                  <c:v>18</c:v>
                </c:pt>
                <c:pt idx="53">
                  <c:v>13</c:v>
                </c:pt>
                <c:pt idx="54">
                  <c:v>12</c:v>
                </c:pt>
                <c:pt idx="55">
                  <c:v>15</c:v>
                </c:pt>
                <c:pt idx="56">
                  <c:v>11</c:v>
                </c:pt>
                <c:pt idx="57">
                  <c:v>13</c:v>
                </c:pt>
                <c:pt idx="58">
                  <c:v>16</c:v>
                </c:pt>
                <c:pt idx="59">
                  <c:v>17</c:v>
                </c:pt>
                <c:pt idx="60">
                  <c:v>15</c:v>
                </c:pt>
                <c:pt idx="61">
                  <c:v>16</c:v>
                </c:pt>
                <c:pt idx="62">
                  <c:v>15</c:v>
                </c:pt>
                <c:pt idx="63">
                  <c:v>17</c:v>
                </c:pt>
                <c:pt idx="64">
                  <c:v>14</c:v>
                </c:pt>
                <c:pt idx="65">
                  <c:v>14</c:v>
                </c:pt>
                <c:pt idx="66">
                  <c:v>18</c:v>
                </c:pt>
                <c:pt idx="67">
                  <c:v>14</c:v>
                </c:pt>
                <c:pt idx="68">
                  <c:v>16</c:v>
                </c:pt>
                <c:pt idx="69">
                  <c:v>17</c:v>
                </c:pt>
                <c:pt idx="70">
                  <c:v>12</c:v>
                </c:pt>
                <c:pt idx="71">
                  <c:v>13</c:v>
                </c:pt>
                <c:pt idx="72">
                  <c:v>16</c:v>
                </c:pt>
                <c:pt idx="73">
                  <c:v>17</c:v>
                </c:pt>
                <c:pt idx="74">
                  <c:v>17</c:v>
                </c:pt>
                <c:pt idx="75">
                  <c:v>16</c:v>
                </c:pt>
                <c:pt idx="76">
                  <c:v>17</c:v>
                </c:pt>
                <c:pt idx="77">
                  <c:v>13</c:v>
                </c:pt>
                <c:pt idx="78">
                  <c:v>17</c:v>
                </c:pt>
                <c:pt idx="79">
                  <c:v>14</c:v>
                </c:pt>
                <c:pt idx="80">
                  <c:v>18</c:v>
                </c:pt>
                <c:pt idx="81">
                  <c:v>17</c:v>
                </c:pt>
                <c:pt idx="82">
                  <c:v>5</c:v>
                </c:pt>
                <c:pt idx="83">
                  <c:v>16</c:v>
                </c:pt>
                <c:pt idx="84">
                  <c:v>10</c:v>
                </c:pt>
                <c:pt idx="85">
                  <c:v>17</c:v>
                </c:pt>
                <c:pt idx="86">
                  <c:v>11</c:v>
                </c:pt>
                <c:pt idx="87">
                  <c:v>15</c:v>
                </c:pt>
                <c:pt idx="88">
                  <c:v>14</c:v>
                </c:pt>
                <c:pt idx="89">
                  <c:v>14</c:v>
                </c:pt>
                <c:pt idx="90">
                  <c:v>16</c:v>
                </c:pt>
                <c:pt idx="91">
                  <c:v>15</c:v>
                </c:pt>
                <c:pt idx="92">
                  <c:v>18</c:v>
                </c:pt>
                <c:pt idx="93">
                  <c:v>17</c:v>
                </c:pt>
                <c:pt idx="94">
                  <c:v>17</c:v>
                </c:pt>
                <c:pt idx="95">
                  <c:v>17</c:v>
                </c:pt>
                <c:pt idx="96">
                  <c:v>17</c:v>
                </c:pt>
                <c:pt idx="97">
                  <c:v>18</c:v>
                </c:pt>
                <c:pt idx="98">
                  <c:v>12</c:v>
                </c:pt>
                <c:pt idx="99">
                  <c:v>12</c:v>
                </c:pt>
                <c:pt idx="100">
                  <c:v>13</c:v>
                </c:pt>
                <c:pt idx="101">
                  <c:v>14</c:v>
                </c:pt>
                <c:pt idx="102">
                  <c:v>14</c:v>
                </c:pt>
                <c:pt idx="103">
                  <c:v>16</c:v>
                </c:pt>
                <c:pt idx="104">
                  <c:v>15</c:v>
                </c:pt>
                <c:pt idx="105">
                  <c:v>16</c:v>
                </c:pt>
                <c:pt idx="106">
                  <c:v>19</c:v>
                </c:pt>
                <c:pt idx="107">
                  <c:v>17</c:v>
                </c:pt>
                <c:pt idx="108">
                  <c:v>19</c:v>
                </c:pt>
                <c:pt idx="109">
                  <c:v>16</c:v>
                </c:pt>
                <c:pt idx="110">
                  <c:v>13</c:v>
                </c:pt>
                <c:pt idx="111">
                  <c:v>19</c:v>
                </c:pt>
                <c:pt idx="112">
                  <c:v>13</c:v>
                </c:pt>
                <c:pt idx="113">
                  <c:v>14</c:v>
                </c:pt>
                <c:pt idx="114">
                  <c:v>15</c:v>
                </c:pt>
                <c:pt idx="115">
                  <c:v>15</c:v>
                </c:pt>
                <c:pt idx="116">
                  <c:v>16</c:v>
                </c:pt>
                <c:pt idx="117">
                  <c:v>21</c:v>
                </c:pt>
                <c:pt idx="118">
                  <c:v>16</c:v>
                </c:pt>
                <c:pt idx="119">
                  <c:v>9</c:v>
                </c:pt>
                <c:pt idx="120">
                  <c:v>15</c:v>
                </c:pt>
                <c:pt idx="121">
                  <c:v>17</c:v>
                </c:pt>
                <c:pt idx="122">
                  <c:v>14</c:v>
                </c:pt>
                <c:pt idx="123">
                  <c:v>17</c:v>
                </c:pt>
                <c:pt idx="124">
                  <c:v>19</c:v>
                </c:pt>
                <c:pt idx="125">
                  <c:v>18</c:v>
                </c:pt>
                <c:pt idx="126">
                  <c:v>19</c:v>
                </c:pt>
                <c:pt idx="127">
                  <c:v>14</c:v>
                </c:pt>
                <c:pt idx="128">
                  <c:v>21</c:v>
                </c:pt>
                <c:pt idx="129">
                  <c:v>20</c:v>
                </c:pt>
                <c:pt idx="130">
                  <c:v>14</c:v>
                </c:pt>
                <c:pt idx="131">
                  <c:v>13</c:v>
                </c:pt>
                <c:pt idx="132">
                  <c:v>11</c:v>
                </c:pt>
                <c:pt idx="133">
                  <c:v>20</c:v>
                </c:pt>
                <c:pt idx="134">
                  <c:v>21</c:v>
                </c:pt>
                <c:pt idx="135">
                  <c:v>16</c:v>
                </c:pt>
                <c:pt idx="136">
                  <c:v>20</c:v>
                </c:pt>
                <c:pt idx="137">
                  <c:v>14</c:v>
                </c:pt>
                <c:pt idx="138">
                  <c:v>20</c:v>
                </c:pt>
                <c:pt idx="139">
                  <c:v>10</c:v>
                </c:pt>
                <c:pt idx="140">
                  <c:v>20</c:v>
                </c:pt>
                <c:pt idx="141">
                  <c:v>20</c:v>
                </c:pt>
                <c:pt idx="142">
                  <c:v>21</c:v>
                </c:pt>
                <c:pt idx="143">
                  <c:v>13</c:v>
                </c:pt>
                <c:pt idx="144">
                  <c:v>20</c:v>
                </c:pt>
                <c:pt idx="145">
                  <c:v>19</c:v>
                </c:pt>
                <c:pt idx="146">
                  <c:v>19</c:v>
                </c:pt>
                <c:pt idx="147">
                  <c:v>20</c:v>
                </c:pt>
                <c:pt idx="148">
                  <c:v>18</c:v>
                </c:pt>
                <c:pt idx="149">
                  <c:v>21</c:v>
                </c:pt>
                <c:pt idx="150">
                  <c:v>14</c:v>
                </c:pt>
                <c:pt idx="151">
                  <c:v>13</c:v>
                </c:pt>
                <c:pt idx="152">
                  <c:v>21</c:v>
                </c:pt>
                <c:pt idx="153">
                  <c:v>17</c:v>
                </c:pt>
                <c:pt idx="154">
                  <c:v>21</c:v>
                </c:pt>
                <c:pt idx="155">
                  <c:v>19</c:v>
                </c:pt>
                <c:pt idx="156">
                  <c:v>20</c:v>
                </c:pt>
                <c:pt idx="157">
                  <c:v>21</c:v>
                </c:pt>
                <c:pt idx="158">
                  <c:v>18</c:v>
                </c:pt>
                <c:pt idx="159">
                  <c:v>19</c:v>
                </c:pt>
                <c:pt idx="160">
                  <c:v>15</c:v>
                </c:pt>
                <c:pt idx="161">
                  <c:v>19</c:v>
                </c:pt>
                <c:pt idx="162">
                  <c:v>20</c:v>
                </c:pt>
                <c:pt idx="163">
                  <c:v>18</c:v>
                </c:pt>
                <c:pt idx="164">
                  <c:v>18</c:v>
                </c:pt>
                <c:pt idx="165">
                  <c:v>21</c:v>
                </c:pt>
                <c:pt idx="166">
                  <c:v>18</c:v>
                </c:pt>
                <c:pt idx="167">
                  <c:v>15</c:v>
                </c:pt>
                <c:pt idx="168">
                  <c:v>19</c:v>
                </c:pt>
                <c:pt idx="169">
                  <c:v>15</c:v>
                </c:pt>
                <c:pt idx="170">
                  <c:v>21</c:v>
                </c:pt>
                <c:pt idx="171">
                  <c:v>18</c:v>
                </c:pt>
                <c:pt idx="172">
                  <c:v>22</c:v>
                </c:pt>
                <c:pt idx="173">
                  <c:v>19</c:v>
                </c:pt>
                <c:pt idx="174">
                  <c:v>13</c:v>
                </c:pt>
                <c:pt idx="175">
                  <c:v>21</c:v>
                </c:pt>
                <c:pt idx="176">
                  <c:v>21</c:v>
                </c:pt>
                <c:pt idx="177">
                  <c:v>20</c:v>
                </c:pt>
                <c:pt idx="178">
                  <c:v>21</c:v>
                </c:pt>
                <c:pt idx="179">
                  <c:v>16</c:v>
                </c:pt>
                <c:pt idx="180">
                  <c:v>19</c:v>
                </c:pt>
                <c:pt idx="181">
                  <c:v>17</c:v>
                </c:pt>
                <c:pt idx="182">
                  <c:v>20</c:v>
                </c:pt>
                <c:pt idx="183">
                  <c:v>21</c:v>
                </c:pt>
                <c:pt idx="184">
                  <c:v>15</c:v>
                </c:pt>
                <c:pt idx="185">
                  <c:v>18</c:v>
                </c:pt>
                <c:pt idx="186">
                  <c:v>19</c:v>
                </c:pt>
                <c:pt idx="187">
                  <c:v>19</c:v>
                </c:pt>
              </c:numCache>
            </c:numRef>
          </c:yVal>
          <c:smooth val="0"/>
          <c:extLst>
            <c:ext xmlns:c16="http://schemas.microsoft.com/office/drawing/2014/chart" uri="{C3380CC4-5D6E-409C-BE32-E72D297353CC}">
              <c16:uniqueId val="{00000000-41E2-438A-BF9F-FB454889F8C4}"/>
            </c:ext>
          </c:extLst>
        </c:ser>
        <c:dLbls>
          <c:showLegendKey val="0"/>
          <c:showVal val="0"/>
          <c:showCatName val="0"/>
          <c:showSerName val="0"/>
          <c:showPercent val="0"/>
          <c:showBubbleSize val="0"/>
        </c:dLbls>
        <c:axId val="742761424"/>
        <c:axId val="742762080"/>
      </c:scatterChart>
      <c:valAx>
        <c:axId val="742761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prior knowledge</a:t>
                </a:r>
                <a:endParaRPr lang="cs-C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62080"/>
        <c:crosses val="autoZero"/>
        <c:crossBetween val="midCat"/>
      </c:valAx>
      <c:valAx>
        <c:axId val="74276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correct answers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61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Hypothesis 4 (regression)</a:t>
            </a:r>
            <a:endParaRPr lang="cs-C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540236644246896"/>
                  <c:y val="-0.127005366518086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'Time vs. correct answers'!$L$3:$L$190</c:f>
              <c:numCache>
                <c:formatCode>General</c:formatCode>
                <c:ptCount val="188"/>
                <c:pt idx="0">
                  <c:v>4.9903333333333331</c:v>
                </c:pt>
                <c:pt idx="1">
                  <c:v>13.227499999999999</c:v>
                </c:pt>
                <c:pt idx="2">
                  <c:v>5.7291666666666661</c:v>
                </c:pt>
                <c:pt idx="3">
                  <c:v>6.5876666666666672</c:v>
                </c:pt>
                <c:pt idx="4">
                  <c:v>4.9673333333333334</c:v>
                </c:pt>
                <c:pt idx="5">
                  <c:v>15.1585</c:v>
                </c:pt>
                <c:pt idx="6">
                  <c:v>18.985333333333333</c:v>
                </c:pt>
                <c:pt idx="7">
                  <c:v>12.786666666666669</c:v>
                </c:pt>
                <c:pt idx="8">
                  <c:v>7.0658333333333339</c:v>
                </c:pt>
                <c:pt idx="9">
                  <c:v>10.739166666666668</c:v>
                </c:pt>
                <c:pt idx="10">
                  <c:v>14.014333333333333</c:v>
                </c:pt>
                <c:pt idx="11">
                  <c:v>24.321999999999999</c:v>
                </c:pt>
                <c:pt idx="12">
                  <c:v>10.013999999999999</c:v>
                </c:pt>
                <c:pt idx="13">
                  <c:v>10.568999999999999</c:v>
                </c:pt>
                <c:pt idx="14">
                  <c:v>10.939666666666668</c:v>
                </c:pt>
                <c:pt idx="15">
                  <c:v>14.572166666666668</c:v>
                </c:pt>
                <c:pt idx="16">
                  <c:v>7.4653333333333336</c:v>
                </c:pt>
                <c:pt idx="17">
                  <c:v>10.203833333333332</c:v>
                </c:pt>
                <c:pt idx="18">
                  <c:v>7.1503333333333332</c:v>
                </c:pt>
                <c:pt idx="19">
                  <c:v>11.327666666666667</c:v>
                </c:pt>
                <c:pt idx="20">
                  <c:v>7.2023333333333337</c:v>
                </c:pt>
                <c:pt idx="21">
                  <c:v>6.9771666666666654</c:v>
                </c:pt>
                <c:pt idx="22">
                  <c:v>18.623666666666665</c:v>
                </c:pt>
                <c:pt idx="23">
                  <c:v>5.2331666666666665</c:v>
                </c:pt>
                <c:pt idx="24">
                  <c:v>7.6073333333333331</c:v>
                </c:pt>
                <c:pt idx="25">
                  <c:v>8.9115000000000002</c:v>
                </c:pt>
                <c:pt idx="26">
                  <c:v>19.855</c:v>
                </c:pt>
                <c:pt idx="27">
                  <c:v>11.613499999999998</c:v>
                </c:pt>
                <c:pt idx="28">
                  <c:v>26.09</c:v>
                </c:pt>
                <c:pt idx="29">
                  <c:v>8.7328333333333337</c:v>
                </c:pt>
                <c:pt idx="30">
                  <c:v>9.8800000000000008</c:v>
                </c:pt>
                <c:pt idx="31">
                  <c:v>7.0748333333333342</c:v>
                </c:pt>
                <c:pt idx="32">
                  <c:v>10.463999999999999</c:v>
                </c:pt>
                <c:pt idx="33">
                  <c:v>8.161999999999999</c:v>
                </c:pt>
                <c:pt idx="34">
                  <c:v>6.3555000000000001</c:v>
                </c:pt>
                <c:pt idx="35">
                  <c:v>13.399333333333335</c:v>
                </c:pt>
                <c:pt idx="36">
                  <c:v>7.6113333333333335</c:v>
                </c:pt>
                <c:pt idx="37">
                  <c:v>8.634666666666666</c:v>
                </c:pt>
                <c:pt idx="38">
                  <c:v>20.736333333333331</c:v>
                </c:pt>
                <c:pt idx="39">
                  <c:v>5.5265000000000004</c:v>
                </c:pt>
                <c:pt idx="40">
                  <c:v>8.3993333333333347</c:v>
                </c:pt>
                <c:pt idx="41">
                  <c:v>12.382166666666667</c:v>
                </c:pt>
                <c:pt idx="42">
                  <c:v>9.9156666666666666</c:v>
                </c:pt>
                <c:pt idx="43">
                  <c:v>2.0001666666666669</c:v>
                </c:pt>
                <c:pt idx="44">
                  <c:v>8.6120000000000001</c:v>
                </c:pt>
                <c:pt idx="45">
                  <c:v>12.042666666666667</c:v>
                </c:pt>
                <c:pt idx="46">
                  <c:v>13.203833333333332</c:v>
                </c:pt>
                <c:pt idx="47">
                  <c:v>4.9995000000000003</c:v>
                </c:pt>
                <c:pt idx="48">
                  <c:v>10.041499999999999</c:v>
                </c:pt>
                <c:pt idx="49">
                  <c:v>10.979666666666667</c:v>
                </c:pt>
                <c:pt idx="50">
                  <c:v>11.364500000000001</c:v>
                </c:pt>
                <c:pt idx="51">
                  <c:v>10.5915</c:v>
                </c:pt>
                <c:pt idx="52">
                  <c:v>7.1318333333333337</c:v>
                </c:pt>
                <c:pt idx="53">
                  <c:v>16.051500000000001</c:v>
                </c:pt>
                <c:pt idx="54">
                  <c:v>5.9481666666666655</c:v>
                </c:pt>
                <c:pt idx="55">
                  <c:v>7.3931666666666676</c:v>
                </c:pt>
                <c:pt idx="56">
                  <c:v>9.9878333333333345</c:v>
                </c:pt>
                <c:pt idx="57">
                  <c:v>18.770000000000003</c:v>
                </c:pt>
                <c:pt idx="58">
                  <c:v>8.0373333333333346</c:v>
                </c:pt>
                <c:pt idx="59">
                  <c:v>16.510833333333334</c:v>
                </c:pt>
                <c:pt idx="60">
                  <c:v>9.0358333333333345</c:v>
                </c:pt>
                <c:pt idx="61">
                  <c:v>10.613333333333333</c:v>
                </c:pt>
                <c:pt idx="62">
                  <c:v>17.531500000000001</c:v>
                </c:pt>
                <c:pt idx="63">
                  <c:v>14.810333333333332</c:v>
                </c:pt>
                <c:pt idx="64">
                  <c:v>8.3481666666666658</c:v>
                </c:pt>
                <c:pt idx="65">
                  <c:v>10.411166666666668</c:v>
                </c:pt>
                <c:pt idx="66">
                  <c:v>12.104999999999999</c:v>
                </c:pt>
                <c:pt idx="67">
                  <c:v>13.229166666666668</c:v>
                </c:pt>
                <c:pt idx="68">
                  <c:v>8.684333333333333</c:v>
                </c:pt>
                <c:pt idx="69">
                  <c:v>18.388000000000002</c:v>
                </c:pt>
                <c:pt idx="70">
                  <c:v>14.614999999999998</c:v>
                </c:pt>
                <c:pt idx="71">
                  <c:v>12.975833333333334</c:v>
                </c:pt>
                <c:pt idx="72">
                  <c:v>26.131166666666669</c:v>
                </c:pt>
                <c:pt idx="73">
                  <c:v>9.096166666666667</c:v>
                </c:pt>
                <c:pt idx="74">
                  <c:v>15.997833333333334</c:v>
                </c:pt>
                <c:pt idx="75">
                  <c:v>9.0591666666666661</c:v>
                </c:pt>
                <c:pt idx="76">
                  <c:v>13.668833333333334</c:v>
                </c:pt>
                <c:pt idx="77">
                  <c:v>11.621500000000001</c:v>
                </c:pt>
                <c:pt idx="78">
                  <c:v>27.094666666666665</c:v>
                </c:pt>
                <c:pt idx="79">
                  <c:v>7.8901666666666666</c:v>
                </c:pt>
                <c:pt idx="80">
                  <c:v>6.5274999999999999</c:v>
                </c:pt>
                <c:pt idx="81">
                  <c:v>15.956833333333332</c:v>
                </c:pt>
                <c:pt idx="82">
                  <c:v>12.952333333333332</c:v>
                </c:pt>
                <c:pt idx="83">
                  <c:v>9.9936666666666678</c:v>
                </c:pt>
                <c:pt idx="84">
                  <c:v>11.496166666666669</c:v>
                </c:pt>
                <c:pt idx="85">
                  <c:v>7.4725000000000001</c:v>
                </c:pt>
                <c:pt idx="86">
                  <c:v>7.0421666666666667</c:v>
                </c:pt>
                <c:pt idx="87">
                  <c:v>10.976166666666666</c:v>
                </c:pt>
                <c:pt idx="88">
                  <c:v>12.003666666666666</c:v>
                </c:pt>
                <c:pt idx="89">
                  <c:v>11.683166666666667</c:v>
                </c:pt>
                <c:pt idx="90">
                  <c:v>7.7138333333333327</c:v>
                </c:pt>
                <c:pt idx="91">
                  <c:v>29.299833333333336</c:v>
                </c:pt>
                <c:pt idx="92">
                  <c:v>20.408166666666666</c:v>
                </c:pt>
                <c:pt idx="93">
                  <c:v>12.050333333333333</c:v>
                </c:pt>
                <c:pt idx="94">
                  <c:v>13.195833333333333</c:v>
                </c:pt>
                <c:pt idx="95">
                  <c:v>30.003999999999998</c:v>
                </c:pt>
                <c:pt idx="96">
                  <c:v>12.353333333333333</c:v>
                </c:pt>
                <c:pt idx="97">
                  <c:v>16.712833333333336</c:v>
                </c:pt>
                <c:pt idx="98">
                  <c:v>5.8731666666666662</c:v>
                </c:pt>
                <c:pt idx="99">
                  <c:v>4.6635</c:v>
                </c:pt>
                <c:pt idx="100">
                  <c:v>12.729833333333334</c:v>
                </c:pt>
                <c:pt idx="101">
                  <c:v>10.209</c:v>
                </c:pt>
                <c:pt idx="102">
                  <c:v>11.7395</c:v>
                </c:pt>
                <c:pt idx="103">
                  <c:v>15.0825</c:v>
                </c:pt>
                <c:pt idx="104">
                  <c:v>12.580166666666667</c:v>
                </c:pt>
                <c:pt idx="105">
                  <c:v>12.0595</c:v>
                </c:pt>
                <c:pt idx="106">
                  <c:v>15.958666666666666</c:v>
                </c:pt>
                <c:pt idx="107">
                  <c:v>10.031166666666666</c:v>
                </c:pt>
                <c:pt idx="108">
                  <c:v>12.9635</c:v>
                </c:pt>
                <c:pt idx="109">
                  <c:v>15.673333333333334</c:v>
                </c:pt>
                <c:pt idx="110">
                  <c:v>9.6290000000000013</c:v>
                </c:pt>
                <c:pt idx="111">
                  <c:v>11.088166666666666</c:v>
                </c:pt>
                <c:pt idx="112">
                  <c:v>21.446500000000004</c:v>
                </c:pt>
                <c:pt idx="113">
                  <c:v>9.9885000000000002</c:v>
                </c:pt>
                <c:pt idx="114">
                  <c:v>13.571499999999999</c:v>
                </c:pt>
                <c:pt idx="115">
                  <c:v>11.695499999999999</c:v>
                </c:pt>
                <c:pt idx="116">
                  <c:v>11.577500000000001</c:v>
                </c:pt>
                <c:pt idx="117">
                  <c:v>11.993166666666665</c:v>
                </c:pt>
                <c:pt idx="118">
                  <c:v>13.180666666666667</c:v>
                </c:pt>
                <c:pt idx="119">
                  <c:v>2.4485000000000001</c:v>
                </c:pt>
                <c:pt idx="120">
                  <c:v>8.9791666666666661</c:v>
                </c:pt>
                <c:pt idx="121">
                  <c:v>15.331166666666668</c:v>
                </c:pt>
                <c:pt idx="122">
                  <c:v>12.313333333333333</c:v>
                </c:pt>
                <c:pt idx="123">
                  <c:v>15.526333333333334</c:v>
                </c:pt>
                <c:pt idx="124">
                  <c:v>24.511833333333332</c:v>
                </c:pt>
                <c:pt idx="125">
                  <c:v>6.4301666666666666</c:v>
                </c:pt>
                <c:pt idx="126">
                  <c:v>17.606499999999997</c:v>
                </c:pt>
                <c:pt idx="127">
                  <c:v>17.829333333333338</c:v>
                </c:pt>
                <c:pt idx="128">
                  <c:v>12.423999999999999</c:v>
                </c:pt>
                <c:pt idx="129">
                  <c:v>8.7526666666666664</c:v>
                </c:pt>
                <c:pt idx="130">
                  <c:v>13.405833333333334</c:v>
                </c:pt>
                <c:pt idx="131">
                  <c:v>12.571833333333334</c:v>
                </c:pt>
                <c:pt idx="132">
                  <c:v>10.817166666666665</c:v>
                </c:pt>
                <c:pt idx="133">
                  <c:v>16.149333333333335</c:v>
                </c:pt>
                <c:pt idx="134">
                  <c:v>14.666166666666665</c:v>
                </c:pt>
                <c:pt idx="135">
                  <c:v>12.779333333333332</c:v>
                </c:pt>
                <c:pt idx="136">
                  <c:v>7.6991666666666667</c:v>
                </c:pt>
                <c:pt idx="137">
                  <c:v>11.767833333333334</c:v>
                </c:pt>
                <c:pt idx="138">
                  <c:v>9.0306666666666668</c:v>
                </c:pt>
                <c:pt idx="139">
                  <c:v>17.038666666666668</c:v>
                </c:pt>
                <c:pt idx="140">
                  <c:v>12.975999999999999</c:v>
                </c:pt>
                <c:pt idx="141">
                  <c:v>8.5824999999999996</c:v>
                </c:pt>
                <c:pt idx="142">
                  <c:v>7.5211666666666668</c:v>
                </c:pt>
                <c:pt idx="143">
                  <c:v>10.557499999999999</c:v>
                </c:pt>
                <c:pt idx="144">
                  <c:v>6.0308333333333337</c:v>
                </c:pt>
                <c:pt idx="145">
                  <c:v>27.297499999999999</c:v>
                </c:pt>
                <c:pt idx="146">
                  <c:v>8.0296666666666656</c:v>
                </c:pt>
                <c:pt idx="147">
                  <c:v>8.8773333333333326</c:v>
                </c:pt>
                <c:pt idx="148">
                  <c:v>8.285166666666667</c:v>
                </c:pt>
                <c:pt idx="149">
                  <c:v>6.226</c:v>
                </c:pt>
                <c:pt idx="150">
                  <c:v>5.738666666666667</c:v>
                </c:pt>
                <c:pt idx="151">
                  <c:v>4.4703333333333335</c:v>
                </c:pt>
                <c:pt idx="152">
                  <c:v>8.5690000000000008</c:v>
                </c:pt>
                <c:pt idx="153">
                  <c:v>10.356</c:v>
                </c:pt>
                <c:pt idx="154">
                  <c:v>6.8585000000000003</c:v>
                </c:pt>
                <c:pt idx="155">
                  <c:v>11.727833333333333</c:v>
                </c:pt>
                <c:pt idx="156">
                  <c:v>7.7676666666666669</c:v>
                </c:pt>
                <c:pt idx="157">
                  <c:v>8.3659999999999997</c:v>
                </c:pt>
                <c:pt idx="158">
                  <c:v>10.050833333333333</c:v>
                </c:pt>
                <c:pt idx="159">
                  <c:v>6.9833333333333334</c:v>
                </c:pt>
                <c:pt idx="160">
                  <c:v>10.141666666666666</c:v>
                </c:pt>
                <c:pt idx="161">
                  <c:v>9.221166666666667</c:v>
                </c:pt>
                <c:pt idx="162">
                  <c:v>5.871833333333333</c:v>
                </c:pt>
                <c:pt idx="163">
                  <c:v>10.259333333333334</c:v>
                </c:pt>
                <c:pt idx="164">
                  <c:v>8.7008333333333336</c:v>
                </c:pt>
                <c:pt idx="165">
                  <c:v>7.6611666666666665</c:v>
                </c:pt>
                <c:pt idx="166">
                  <c:v>12.477</c:v>
                </c:pt>
                <c:pt idx="167">
                  <c:v>6.8403333333333336</c:v>
                </c:pt>
                <c:pt idx="168">
                  <c:v>5.730500000000001</c:v>
                </c:pt>
                <c:pt idx="169">
                  <c:v>8.6174999999999997</c:v>
                </c:pt>
                <c:pt idx="170">
                  <c:v>11.373333333333333</c:v>
                </c:pt>
                <c:pt idx="171">
                  <c:v>8.105833333333333</c:v>
                </c:pt>
                <c:pt idx="172">
                  <c:v>12.0945</c:v>
                </c:pt>
                <c:pt idx="173">
                  <c:v>13.916</c:v>
                </c:pt>
                <c:pt idx="174">
                  <c:v>4.4628333333333332</c:v>
                </c:pt>
                <c:pt idx="175">
                  <c:v>7.53</c:v>
                </c:pt>
                <c:pt idx="176">
                  <c:v>22.336500000000001</c:v>
                </c:pt>
                <c:pt idx="177">
                  <c:v>4.1896666666666667</c:v>
                </c:pt>
                <c:pt idx="178">
                  <c:v>6.0866666666666669</c:v>
                </c:pt>
                <c:pt idx="179">
                  <c:v>14.153499999999999</c:v>
                </c:pt>
                <c:pt idx="180">
                  <c:v>8.2465000000000011</c:v>
                </c:pt>
                <c:pt idx="181">
                  <c:v>9.0060000000000002</c:v>
                </c:pt>
                <c:pt idx="182">
                  <c:v>26.222333333333331</c:v>
                </c:pt>
                <c:pt idx="183">
                  <c:v>6.3571666666666671</c:v>
                </c:pt>
                <c:pt idx="184">
                  <c:v>24.091833333333334</c:v>
                </c:pt>
                <c:pt idx="185">
                  <c:v>22.729833333333335</c:v>
                </c:pt>
                <c:pt idx="186">
                  <c:v>11.358500000000001</c:v>
                </c:pt>
                <c:pt idx="187">
                  <c:v>8.5429999999999993</c:v>
                </c:pt>
              </c:numCache>
            </c:numRef>
          </c:xVal>
          <c:yVal>
            <c:numRef>
              <c:f>'Time vs. correct answers'!$M$3:$M$190</c:f>
              <c:numCache>
                <c:formatCode>General</c:formatCode>
                <c:ptCount val="188"/>
                <c:pt idx="0">
                  <c:v>13</c:v>
                </c:pt>
                <c:pt idx="1">
                  <c:v>16</c:v>
                </c:pt>
                <c:pt idx="2">
                  <c:v>15</c:v>
                </c:pt>
                <c:pt idx="3">
                  <c:v>13</c:v>
                </c:pt>
                <c:pt idx="4">
                  <c:v>11</c:v>
                </c:pt>
                <c:pt idx="5">
                  <c:v>17</c:v>
                </c:pt>
                <c:pt idx="6">
                  <c:v>16</c:v>
                </c:pt>
                <c:pt idx="7">
                  <c:v>12</c:v>
                </c:pt>
                <c:pt idx="8">
                  <c:v>15</c:v>
                </c:pt>
                <c:pt idx="9">
                  <c:v>15</c:v>
                </c:pt>
                <c:pt idx="10">
                  <c:v>15</c:v>
                </c:pt>
                <c:pt idx="11">
                  <c:v>16</c:v>
                </c:pt>
                <c:pt idx="12">
                  <c:v>19</c:v>
                </c:pt>
                <c:pt idx="13">
                  <c:v>16</c:v>
                </c:pt>
                <c:pt idx="14">
                  <c:v>15</c:v>
                </c:pt>
                <c:pt idx="15">
                  <c:v>18</c:v>
                </c:pt>
                <c:pt idx="16">
                  <c:v>13</c:v>
                </c:pt>
                <c:pt idx="17">
                  <c:v>13</c:v>
                </c:pt>
                <c:pt idx="18">
                  <c:v>14</c:v>
                </c:pt>
                <c:pt idx="19">
                  <c:v>17</c:v>
                </c:pt>
                <c:pt idx="20">
                  <c:v>10</c:v>
                </c:pt>
                <c:pt idx="21">
                  <c:v>14</c:v>
                </c:pt>
                <c:pt idx="22">
                  <c:v>13</c:v>
                </c:pt>
                <c:pt idx="23">
                  <c:v>13</c:v>
                </c:pt>
                <c:pt idx="24">
                  <c:v>15</c:v>
                </c:pt>
                <c:pt idx="25">
                  <c:v>14</c:v>
                </c:pt>
                <c:pt idx="26">
                  <c:v>12</c:v>
                </c:pt>
                <c:pt idx="27">
                  <c:v>16</c:v>
                </c:pt>
                <c:pt idx="28">
                  <c:v>16</c:v>
                </c:pt>
                <c:pt idx="29">
                  <c:v>14</c:v>
                </c:pt>
                <c:pt idx="30">
                  <c:v>6</c:v>
                </c:pt>
                <c:pt idx="31">
                  <c:v>15</c:v>
                </c:pt>
                <c:pt idx="32">
                  <c:v>18</c:v>
                </c:pt>
                <c:pt idx="33">
                  <c:v>16</c:v>
                </c:pt>
                <c:pt idx="34">
                  <c:v>13</c:v>
                </c:pt>
                <c:pt idx="35">
                  <c:v>18</c:v>
                </c:pt>
                <c:pt idx="36">
                  <c:v>14</c:v>
                </c:pt>
                <c:pt idx="37">
                  <c:v>16</c:v>
                </c:pt>
                <c:pt idx="38">
                  <c:v>11</c:v>
                </c:pt>
                <c:pt idx="39">
                  <c:v>12</c:v>
                </c:pt>
                <c:pt idx="40">
                  <c:v>9</c:v>
                </c:pt>
                <c:pt idx="41">
                  <c:v>17</c:v>
                </c:pt>
                <c:pt idx="42">
                  <c:v>17</c:v>
                </c:pt>
                <c:pt idx="43">
                  <c:v>8</c:v>
                </c:pt>
                <c:pt idx="44">
                  <c:v>11</c:v>
                </c:pt>
                <c:pt idx="45">
                  <c:v>9</c:v>
                </c:pt>
                <c:pt idx="46">
                  <c:v>14</c:v>
                </c:pt>
                <c:pt idx="47">
                  <c:v>11</c:v>
                </c:pt>
                <c:pt idx="48">
                  <c:v>18</c:v>
                </c:pt>
                <c:pt idx="49">
                  <c:v>10</c:v>
                </c:pt>
                <c:pt idx="50">
                  <c:v>15</c:v>
                </c:pt>
                <c:pt idx="51">
                  <c:v>17</c:v>
                </c:pt>
                <c:pt idx="52">
                  <c:v>18</c:v>
                </c:pt>
                <c:pt idx="53">
                  <c:v>13</c:v>
                </c:pt>
                <c:pt idx="54">
                  <c:v>12</c:v>
                </c:pt>
                <c:pt idx="55">
                  <c:v>15</c:v>
                </c:pt>
                <c:pt idx="56">
                  <c:v>11</c:v>
                </c:pt>
                <c:pt idx="57">
                  <c:v>13</c:v>
                </c:pt>
                <c:pt idx="58">
                  <c:v>16</c:v>
                </c:pt>
                <c:pt idx="59">
                  <c:v>17</c:v>
                </c:pt>
                <c:pt idx="60">
                  <c:v>15</c:v>
                </c:pt>
                <c:pt idx="61">
                  <c:v>16</c:v>
                </c:pt>
                <c:pt idx="62">
                  <c:v>15</c:v>
                </c:pt>
                <c:pt idx="63">
                  <c:v>17</c:v>
                </c:pt>
                <c:pt idx="64">
                  <c:v>14</c:v>
                </c:pt>
                <c:pt idx="65">
                  <c:v>14</c:v>
                </c:pt>
                <c:pt idx="66">
                  <c:v>18</c:v>
                </c:pt>
                <c:pt idx="67">
                  <c:v>14</c:v>
                </c:pt>
                <c:pt idx="68">
                  <c:v>16</c:v>
                </c:pt>
                <c:pt idx="69">
                  <c:v>17</c:v>
                </c:pt>
                <c:pt idx="70">
                  <c:v>12</c:v>
                </c:pt>
                <c:pt idx="71">
                  <c:v>13</c:v>
                </c:pt>
                <c:pt idx="72">
                  <c:v>16</c:v>
                </c:pt>
                <c:pt idx="73">
                  <c:v>17</c:v>
                </c:pt>
                <c:pt idx="74">
                  <c:v>17</c:v>
                </c:pt>
                <c:pt idx="75">
                  <c:v>16</c:v>
                </c:pt>
                <c:pt idx="76">
                  <c:v>17</c:v>
                </c:pt>
                <c:pt idx="77">
                  <c:v>13</c:v>
                </c:pt>
                <c:pt idx="78">
                  <c:v>17</c:v>
                </c:pt>
                <c:pt idx="79">
                  <c:v>14</c:v>
                </c:pt>
                <c:pt idx="80">
                  <c:v>18</c:v>
                </c:pt>
                <c:pt idx="81">
                  <c:v>17</c:v>
                </c:pt>
                <c:pt idx="82">
                  <c:v>5</c:v>
                </c:pt>
                <c:pt idx="83">
                  <c:v>16</c:v>
                </c:pt>
                <c:pt idx="84">
                  <c:v>10</c:v>
                </c:pt>
                <c:pt idx="85">
                  <c:v>17</c:v>
                </c:pt>
                <c:pt idx="86">
                  <c:v>11</c:v>
                </c:pt>
                <c:pt idx="87">
                  <c:v>15</c:v>
                </c:pt>
                <c:pt idx="88">
                  <c:v>14</c:v>
                </c:pt>
                <c:pt idx="89">
                  <c:v>14</c:v>
                </c:pt>
                <c:pt idx="90">
                  <c:v>16</c:v>
                </c:pt>
                <c:pt idx="91">
                  <c:v>15</c:v>
                </c:pt>
                <c:pt idx="92">
                  <c:v>18</c:v>
                </c:pt>
                <c:pt idx="93">
                  <c:v>17</c:v>
                </c:pt>
                <c:pt idx="94">
                  <c:v>17</c:v>
                </c:pt>
                <c:pt idx="95">
                  <c:v>17</c:v>
                </c:pt>
                <c:pt idx="96">
                  <c:v>17</c:v>
                </c:pt>
                <c:pt idx="97">
                  <c:v>18</c:v>
                </c:pt>
                <c:pt idx="98">
                  <c:v>12</c:v>
                </c:pt>
                <c:pt idx="99">
                  <c:v>12</c:v>
                </c:pt>
                <c:pt idx="100">
                  <c:v>13</c:v>
                </c:pt>
                <c:pt idx="101">
                  <c:v>14</c:v>
                </c:pt>
                <c:pt idx="102">
                  <c:v>14</c:v>
                </c:pt>
                <c:pt idx="103">
                  <c:v>16</c:v>
                </c:pt>
                <c:pt idx="104">
                  <c:v>15</c:v>
                </c:pt>
                <c:pt idx="105">
                  <c:v>16</c:v>
                </c:pt>
                <c:pt idx="106">
                  <c:v>19</c:v>
                </c:pt>
                <c:pt idx="107">
                  <c:v>17</c:v>
                </c:pt>
                <c:pt idx="108">
                  <c:v>19</c:v>
                </c:pt>
                <c:pt idx="109">
                  <c:v>16</c:v>
                </c:pt>
                <c:pt idx="110">
                  <c:v>13</c:v>
                </c:pt>
                <c:pt idx="111">
                  <c:v>19</c:v>
                </c:pt>
                <c:pt idx="112">
                  <c:v>13</c:v>
                </c:pt>
                <c:pt idx="113">
                  <c:v>14</c:v>
                </c:pt>
                <c:pt idx="114">
                  <c:v>15</c:v>
                </c:pt>
                <c:pt idx="115">
                  <c:v>15</c:v>
                </c:pt>
                <c:pt idx="116">
                  <c:v>16</c:v>
                </c:pt>
                <c:pt idx="117">
                  <c:v>21</c:v>
                </c:pt>
                <c:pt idx="118">
                  <c:v>16</c:v>
                </c:pt>
                <c:pt idx="119">
                  <c:v>9</c:v>
                </c:pt>
                <c:pt idx="120">
                  <c:v>15</c:v>
                </c:pt>
                <c:pt idx="121">
                  <c:v>17</c:v>
                </c:pt>
                <c:pt idx="122">
                  <c:v>14</c:v>
                </c:pt>
                <c:pt idx="123">
                  <c:v>17</c:v>
                </c:pt>
                <c:pt idx="124">
                  <c:v>19</c:v>
                </c:pt>
                <c:pt idx="125">
                  <c:v>18</c:v>
                </c:pt>
                <c:pt idx="126">
                  <c:v>19</c:v>
                </c:pt>
                <c:pt idx="127">
                  <c:v>14</c:v>
                </c:pt>
                <c:pt idx="128">
                  <c:v>21</c:v>
                </c:pt>
                <c:pt idx="129">
                  <c:v>20</c:v>
                </c:pt>
                <c:pt idx="130">
                  <c:v>14</c:v>
                </c:pt>
                <c:pt idx="131">
                  <c:v>13</c:v>
                </c:pt>
                <c:pt idx="132">
                  <c:v>11</c:v>
                </c:pt>
                <c:pt idx="133">
                  <c:v>20</c:v>
                </c:pt>
                <c:pt idx="134">
                  <c:v>21</c:v>
                </c:pt>
                <c:pt idx="135">
                  <c:v>16</c:v>
                </c:pt>
                <c:pt idx="136">
                  <c:v>20</c:v>
                </c:pt>
                <c:pt idx="137">
                  <c:v>14</c:v>
                </c:pt>
                <c:pt idx="138">
                  <c:v>20</c:v>
                </c:pt>
                <c:pt idx="139">
                  <c:v>10</c:v>
                </c:pt>
                <c:pt idx="140">
                  <c:v>20</c:v>
                </c:pt>
                <c:pt idx="141">
                  <c:v>20</c:v>
                </c:pt>
                <c:pt idx="142">
                  <c:v>21</c:v>
                </c:pt>
                <c:pt idx="143">
                  <c:v>13</c:v>
                </c:pt>
                <c:pt idx="144">
                  <c:v>20</c:v>
                </c:pt>
                <c:pt idx="145">
                  <c:v>19</c:v>
                </c:pt>
                <c:pt idx="146">
                  <c:v>19</c:v>
                </c:pt>
                <c:pt idx="147">
                  <c:v>20</c:v>
                </c:pt>
                <c:pt idx="148">
                  <c:v>18</c:v>
                </c:pt>
                <c:pt idx="149">
                  <c:v>21</c:v>
                </c:pt>
                <c:pt idx="150">
                  <c:v>14</c:v>
                </c:pt>
                <c:pt idx="151">
                  <c:v>13</c:v>
                </c:pt>
                <c:pt idx="152">
                  <c:v>21</c:v>
                </c:pt>
                <c:pt idx="153">
                  <c:v>17</c:v>
                </c:pt>
                <c:pt idx="154">
                  <c:v>21</c:v>
                </c:pt>
                <c:pt idx="155">
                  <c:v>19</c:v>
                </c:pt>
                <c:pt idx="156">
                  <c:v>20</c:v>
                </c:pt>
                <c:pt idx="157">
                  <c:v>21</c:v>
                </c:pt>
                <c:pt idx="158">
                  <c:v>18</c:v>
                </c:pt>
                <c:pt idx="159">
                  <c:v>19</c:v>
                </c:pt>
                <c:pt idx="160">
                  <c:v>15</c:v>
                </c:pt>
                <c:pt idx="161">
                  <c:v>19</c:v>
                </c:pt>
                <c:pt idx="162">
                  <c:v>20</c:v>
                </c:pt>
                <c:pt idx="163">
                  <c:v>18</c:v>
                </c:pt>
                <c:pt idx="164">
                  <c:v>18</c:v>
                </c:pt>
                <c:pt idx="165">
                  <c:v>21</c:v>
                </c:pt>
                <c:pt idx="166">
                  <c:v>18</c:v>
                </c:pt>
                <c:pt idx="167">
                  <c:v>15</c:v>
                </c:pt>
                <c:pt idx="168">
                  <c:v>19</c:v>
                </c:pt>
                <c:pt idx="169">
                  <c:v>15</c:v>
                </c:pt>
                <c:pt idx="170">
                  <c:v>21</c:v>
                </c:pt>
                <c:pt idx="171">
                  <c:v>18</c:v>
                </c:pt>
                <c:pt idx="172">
                  <c:v>22</c:v>
                </c:pt>
                <c:pt idx="173">
                  <c:v>19</c:v>
                </c:pt>
                <c:pt idx="174">
                  <c:v>13</c:v>
                </c:pt>
                <c:pt idx="175">
                  <c:v>21</c:v>
                </c:pt>
                <c:pt idx="176">
                  <c:v>21</c:v>
                </c:pt>
                <c:pt idx="177">
                  <c:v>20</c:v>
                </c:pt>
                <c:pt idx="178">
                  <c:v>21</c:v>
                </c:pt>
                <c:pt idx="179">
                  <c:v>16</c:v>
                </c:pt>
                <c:pt idx="180">
                  <c:v>19</c:v>
                </c:pt>
                <c:pt idx="181">
                  <c:v>17</c:v>
                </c:pt>
                <c:pt idx="182">
                  <c:v>20</c:v>
                </c:pt>
                <c:pt idx="183">
                  <c:v>21</c:v>
                </c:pt>
                <c:pt idx="184">
                  <c:v>15</c:v>
                </c:pt>
                <c:pt idx="185">
                  <c:v>18</c:v>
                </c:pt>
                <c:pt idx="186">
                  <c:v>19</c:v>
                </c:pt>
                <c:pt idx="187">
                  <c:v>19</c:v>
                </c:pt>
              </c:numCache>
            </c:numRef>
          </c:yVal>
          <c:smooth val="0"/>
          <c:extLst>
            <c:ext xmlns:c16="http://schemas.microsoft.com/office/drawing/2014/chart" uri="{C3380CC4-5D6E-409C-BE32-E72D297353CC}">
              <c16:uniqueId val="{00000000-F656-4A07-B5F4-F5D5F30851AD}"/>
            </c:ext>
          </c:extLst>
        </c:ser>
        <c:dLbls>
          <c:showLegendKey val="0"/>
          <c:showVal val="0"/>
          <c:showCatName val="0"/>
          <c:showSerName val="0"/>
          <c:showPercent val="0"/>
          <c:showBubbleSize val="0"/>
        </c:dLbls>
        <c:axId val="742806360"/>
        <c:axId val="742801440"/>
      </c:scatterChart>
      <c:valAx>
        <c:axId val="742806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endParaRPr lang="cs-C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801440"/>
        <c:crosses val="autoZero"/>
        <c:crossBetween val="midCat"/>
      </c:valAx>
      <c:valAx>
        <c:axId val="74280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correct answers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806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Hypothesis</a:t>
            </a:r>
            <a:r>
              <a:rPr lang="en-US" baseline="0"/>
              <a:t> 1 (regression)</a:t>
            </a:r>
            <a:endParaRPr lang="cs-C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'Subj. compr. vs. correct answer'!$L$11:$L$198</c:f>
              <c:numCache>
                <c:formatCode>0</c:formatCode>
                <c:ptCount val="188"/>
                <c:pt idx="0">
                  <c:v>3</c:v>
                </c:pt>
                <c:pt idx="1">
                  <c:v>3</c:v>
                </c:pt>
                <c:pt idx="2">
                  <c:v>3</c:v>
                </c:pt>
                <c:pt idx="3">
                  <c:v>3</c:v>
                </c:pt>
                <c:pt idx="4">
                  <c:v>4</c:v>
                </c:pt>
                <c:pt idx="5">
                  <c:v>2</c:v>
                </c:pt>
                <c:pt idx="6">
                  <c:v>2</c:v>
                </c:pt>
                <c:pt idx="7">
                  <c:v>4</c:v>
                </c:pt>
                <c:pt idx="8">
                  <c:v>2</c:v>
                </c:pt>
                <c:pt idx="9">
                  <c:v>2</c:v>
                </c:pt>
                <c:pt idx="10">
                  <c:v>3</c:v>
                </c:pt>
                <c:pt idx="11">
                  <c:v>1</c:v>
                </c:pt>
                <c:pt idx="12">
                  <c:v>3</c:v>
                </c:pt>
                <c:pt idx="13">
                  <c:v>3</c:v>
                </c:pt>
                <c:pt idx="14">
                  <c:v>2</c:v>
                </c:pt>
                <c:pt idx="15">
                  <c:v>3</c:v>
                </c:pt>
                <c:pt idx="16">
                  <c:v>2</c:v>
                </c:pt>
                <c:pt idx="17">
                  <c:v>3</c:v>
                </c:pt>
                <c:pt idx="18">
                  <c:v>4</c:v>
                </c:pt>
                <c:pt idx="19">
                  <c:v>2</c:v>
                </c:pt>
                <c:pt idx="20">
                  <c:v>2</c:v>
                </c:pt>
                <c:pt idx="21">
                  <c:v>2</c:v>
                </c:pt>
                <c:pt idx="22">
                  <c:v>3</c:v>
                </c:pt>
                <c:pt idx="23">
                  <c:v>3</c:v>
                </c:pt>
                <c:pt idx="24">
                  <c:v>2</c:v>
                </c:pt>
                <c:pt idx="25">
                  <c:v>3</c:v>
                </c:pt>
                <c:pt idx="26">
                  <c:v>4</c:v>
                </c:pt>
                <c:pt idx="27">
                  <c:v>4</c:v>
                </c:pt>
                <c:pt idx="28">
                  <c:v>3</c:v>
                </c:pt>
                <c:pt idx="29">
                  <c:v>4</c:v>
                </c:pt>
                <c:pt idx="30">
                  <c:v>4</c:v>
                </c:pt>
                <c:pt idx="31">
                  <c:v>2</c:v>
                </c:pt>
                <c:pt idx="32">
                  <c:v>2</c:v>
                </c:pt>
                <c:pt idx="33">
                  <c:v>1</c:v>
                </c:pt>
                <c:pt idx="34">
                  <c:v>3</c:v>
                </c:pt>
                <c:pt idx="35">
                  <c:v>4</c:v>
                </c:pt>
                <c:pt idx="36">
                  <c:v>2</c:v>
                </c:pt>
                <c:pt idx="37">
                  <c:v>2</c:v>
                </c:pt>
                <c:pt idx="38">
                  <c:v>5</c:v>
                </c:pt>
                <c:pt idx="39">
                  <c:v>4</c:v>
                </c:pt>
                <c:pt idx="40">
                  <c:v>2</c:v>
                </c:pt>
                <c:pt idx="41">
                  <c:v>3</c:v>
                </c:pt>
                <c:pt idx="42">
                  <c:v>2</c:v>
                </c:pt>
                <c:pt idx="43">
                  <c:v>1</c:v>
                </c:pt>
                <c:pt idx="44">
                  <c:v>4</c:v>
                </c:pt>
                <c:pt idx="45">
                  <c:v>3</c:v>
                </c:pt>
                <c:pt idx="46">
                  <c:v>4</c:v>
                </c:pt>
                <c:pt idx="47">
                  <c:v>1</c:v>
                </c:pt>
                <c:pt idx="48">
                  <c:v>3</c:v>
                </c:pt>
                <c:pt idx="49">
                  <c:v>4</c:v>
                </c:pt>
                <c:pt idx="50">
                  <c:v>3</c:v>
                </c:pt>
                <c:pt idx="51">
                  <c:v>1</c:v>
                </c:pt>
                <c:pt idx="52">
                  <c:v>2</c:v>
                </c:pt>
                <c:pt idx="53">
                  <c:v>3</c:v>
                </c:pt>
                <c:pt idx="54">
                  <c:v>2</c:v>
                </c:pt>
                <c:pt idx="55">
                  <c:v>4</c:v>
                </c:pt>
                <c:pt idx="56">
                  <c:v>3</c:v>
                </c:pt>
                <c:pt idx="57">
                  <c:v>3</c:v>
                </c:pt>
                <c:pt idx="58">
                  <c:v>4</c:v>
                </c:pt>
                <c:pt idx="59">
                  <c:v>4</c:v>
                </c:pt>
                <c:pt idx="60">
                  <c:v>3</c:v>
                </c:pt>
                <c:pt idx="61">
                  <c:v>3</c:v>
                </c:pt>
                <c:pt idx="62">
                  <c:v>3</c:v>
                </c:pt>
                <c:pt idx="63">
                  <c:v>2</c:v>
                </c:pt>
                <c:pt idx="64">
                  <c:v>5</c:v>
                </c:pt>
                <c:pt idx="65">
                  <c:v>2</c:v>
                </c:pt>
                <c:pt idx="66">
                  <c:v>2</c:v>
                </c:pt>
                <c:pt idx="67">
                  <c:v>2</c:v>
                </c:pt>
                <c:pt idx="68">
                  <c:v>2</c:v>
                </c:pt>
                <c:pt idx="69">
                  <c:v>3</c:v>
                </c:pt>
                <c:pt idx="70">
                  <c:v>3</c:v>
                </c:pt>
                <c:pt idx="71">
                  <c:v>1</c:v>
                </c:pt>
                <c:pt idx="72">
                  <c:v>3</c:v>
                </c:pt>
                <c:pt idx="73">
                  <c:v>2</c:v>
                </c:pt>
                <c:pt idx="74">
                  <c:v>2</c:v>
                </c:pt>
                <c:pt idx="75">
                  <c:v>2</c:v>
                </c:pt>
                <c:pt idx="76">
                  <c:v>3</c:v>
                </c:pt>
                <c:pt idx="77">
                  <c:v>4</c:v>
                </c:pt>
                <c:pt idx="78">
                  <c:v>3</c:v>
                </c:pt>
                <c:pt idx="79">
                  <c:v>2</c:v>
                </c:pt>
                <c:pt idx="80">
                  <c:v>2</c:v>
                </c:pt>
                <c:pt idx="81">
                  <c:v>3</c:v>
                </c:pt>
                <c:pt idx="82">
                  <c:v>4</c:v>
                </c:pt>
                <c:pt idx="83">
                  <c:v>2</c:v>
                </c:pt>
                <c:pt idx="84">
                  <c:v>3</c:v>
                </c:pt>
                <c:pt idx="85">
                  <c:v>2</c:v>
                </c:pt>
                <c:pt idx="86">
                  <c:v>3</c:v>
                </c:pt>
                <c:pt idx="87">
                  <c:v>2</c:v>
                </c:pt>
                <c:pt idx="88">
                  <c:v>5</c:v>
                </c:pt>
                <c:pt idx="89">
                  <c:v>3</c:v>
                </c:pt>
                <c:pt idx="90">
                  <c:v>4</c:v>
                </c:pt>
                <c:pt idx="91">
                  <c:v>4</c:v>
                </c:pt>
                <c:pt idx="92">
                  <c:v>3</c:v>
                </c:pt>
                <c:pt idx="93">
                  <c:v>3</c:v>
                </c:pt>
                <c:pt idx="94">
                  <c:v>2</c:v>
                </c:pt>
                <c:pt idx="95">
                  <c:v>3</c:v>
                </c:pt>
                <c:pt idx="96">
                  <c:v>3</c:v>
                </c:pt>
                <c:pt idx="97">
                  <c:v>3</c:v>
                </c:pt>
                <c:pt idx="98">
                  <c:v>1</c:v>
                </c:pt>
                <c:pt idx="99">
                  <c:v>1</c:v>
                </c:pt>
                <c:pt idx="100">
                  <c:v>3</c:v>
                </c:pt>
                <c:pt idx="101">
                  <c:v>3</c:v>
                </c:pt>
                <c:pt idx="102">
                  <c:v>3</c:v>
                </c:pt>
                <c:pt idx="103">
                  <c:v>3</c:v>
                </c:pt>
                <c:pt idx="104">
                  <c:v>3</c:v>
                </c:pt>
                <c:pt idx="105">
                  <c:v>1</c:v>
                </c:pt>
                <c:pt idx="106">
                  <c:v>3</c:v>
                </c:pt>
                <c:pt idx="107">
                  <c:v>4</c:v>
                </c:pt>
                <c:pt idx="108">
                  <c:v>2</c:v>
                </c:pt>
                <c:pt idx="109">
                  <c:v>3</c:v>
                </c:pt>
                <c:pt idx="110">
                  <c:v>2</c:v>
                </c:pt>
                <c:pt idx="111">
                  <c:v>3</c:v>
                </c:pt>
                <c:pt idx="112">
                  <c:v>3</c:v>
                </c:pt>
                <c:pt idx="113">
                  <c:v>3</c:v>
                </c:pt>
                <c:pt idx="114">
                  <c:v>4</c:v>
                </c:pt>
                <c:pt idx="115">
                  <c:v>3</c:v>
                </c:pt>
                <c:pt idx="116">
                  <c:v>3</c:v>
                </c:pt>
                <c:pt idx="117">
                  <c:v>3</c:v>
                </c:pt>
                <c:pt idx="118">
                  <c:v>2</c:v>
                </c:pt>
                <c:pt idx="119">
                  <c:v>1</c:v>
                </c:pt>
                <c:pt idx="120">
                  <c:v>3</c:v>
                </c:pt>
                <c:pt idx="121">
                  <c:v>3</c:v>
                </c:pt>
                <c:pt idx="122">
                  <c:v>3</c:v>
                </c:pt>
                <c:pt idx="123">
                  <c:v>3</c:v>
                </c:pt>
                <c:pt idx="124">
                  <c:v>1</c:v>
                </c:pt>
                <c:pt idx="125">
                  <c:v>3</c:v>
                </c:pt>
                <c:pt idx="126">
                  <c:v>4</c:v>
                </c:pt>
                <c:pt idx="127">
                  <c:v>4</c:v>
                </c:pt>
                <c:pt idx="128">
                  <c:v>3</c:v>
                </c:pt>
                <c:pt idx="129">
                  <c:v>3</c:v>
                </c:pt>
                <c:pt idx="130">
                  <c:v>4</c:v>
                </c:pt>
                <c:pt idx="131">
                  <c:v>2</c:v>
                </c:pt>
                <c:pt idx="132">
                  <c:v>2</c:v>
                </c:pt>
                <c:pt idx="133">
                  <c:v>2</c:v>
                </c:pt>
                <c:pt idx="134">
                  <c:v>2</c:v>
                </c:pt>
                <c:pt idx="135">
                  <c:v>2</c:v>
                </c:pt>
                <c:pt idx="136">
                  <c:v>3</c:v>
                </c:pt>
                <c:pt idx="137">
                  <c:v>3</c:v>
                </c:pt>
                <c:pt idx="138">
                  <c:v>2</c:v>
                </c:pt>
                <c:pt idx="139">
                  <c:v>5</c:v>
                </c:pt>
                <c:pt idx="140">
                  <c:v>3</c:v>
                </c:pt>
                <c:pt idx="141">
                  <c:v>3</c:v>
                </c:pt>
                <c:pt idx="142">
                  <c:v>2</c:v>
                </c:pt>
                <c:pt idx="143">
                  <c:v>1</c:v>
                </c:pt>
                <c:pt idx="144">
                  <c:v>1</c:v>
                </c:pt>
                <c:pt idx="145">
                  <c:v>3</c:v>
                </c:pt>
                <c:pt idx="146">
                  <c:v>3</c:v>
                </c:pt>
                <c:pt idx="147">
                  <c:v>2</c:v>
                </c:pt>
                <c:pt idx="148">
                  <c:v>3</c:v>
                </c:pt>
                <c:pt idx="149">
                  <c:v>2</c:v>
                </c:pt>
                <c:pt idx="150">
                  <c:v>2</c:v>
                </c:pt>
                <c:pt idx="151">
                  <c:v>1</c:v>
                </c:pt>
                <c:pt idx="152">
                  <c:v>2</c:v>
                </c:pt>
                <c:pt idx="153">
                  <c:v>1</c:v>
                </c:pt>
                <c:pt idx="154">
                  <c:v>2</c:v>
                </c:pt>
                <c:pt idx="155">
                  <c:v>3</c:v>
                </c:pt>
                <c:pt idx="156">
                  <c:v>2</c:v>
                </c:pt>
                <c:pt idx="157">
                  <c:v>1</c:v>
                </c:pt>
                <c:pt idx="158">
                  <c:v>2</c:v>
                </c:pt>
                <c:pt idx="159">
                  <c:v>2</c:v>
                </c:pt>
                <c:pt idx="160">
                  <c:v>3</c:v>
                </c:pt>
                <c:pt idx="161">
                  <c:v>2</c:v>
                </c:pt>
                <c:pt idx="162">
                  <c:v>2</c:v>
                </c:pt>
                <c:pt idx="163">
                  <c:v>2</c:v>
                </c:pt>
                <c:pt idx="164">
                  <c:v>2</c:v>
                </c:pt>
                <c:pt idx="165">
                  <c:v>2</c:v>
                </c:pt>
                <c:pt idx="166">
                  <c:v>4</c:v>
                </c:pt>
                <c:pt idx="167">
                  <c:v>1</c:v>
                </c:pt>
                <c:pt idx="168">
                  <c:v>2</c:v>
                </c:pt>
                <c:pt idx="169">
                  <c:v>4</c:v>
                </c:pt>
                <c:pt idx="170">
                  <c:v>1</c:v>
                </c:pt>
                <c:pt idx="171">
                  <c:v>3</c:v>
                </c:pt>
                <c:pt idx="172">
                  <c:v>2</c:v>
                </c:pt>
                <c:pt idx="173">
                  <c:v>2</c:v>
                </c:pt>
                <c:pt idx="174">
                  <c:v>4</c:v>
                </c:pt>
                <c:pt idx="175">
                  <c:v>3</c:v>
                </c:pt>
                <c:pt idx="176">
                  <c:v>2</c:v>
                </c:pt>
                <c:pt idx="177">
                  <c:v>3</c:v>
                </c:pt>
                <c:pt idx="178">
                  <c:v>2</c:v>
                </c:pt>
                <c:pt idx="179">
                  <c:v>3</c:v>
                </c:pt>
                <c:pt idx="180">
                  <c:v>3</c:v>
                </c:pt>
                <c:pt idx="181">
                  <c:v>3</c:v>
                </c:pt>
                <c:pt idx="182">
                  <c:v>2</c:v>
                </c:pt>
                <c:pt idx="183">
                  <c:v>1</c:v>
                </c:pt>
                <c:pt idx="184">
                  <c:v>3</c:v>
                </c:pt>
                <c:pt idx="185">
                  <c:v>2</c:v>
                </c:pt>
                <c:pt idx="186">
                  <c:v>4</c:v>
                </c:pt>
                <c:pt idx="187">
                  <c:v>3</c:v>
                </c:pt>
              </c:numCache>
            </c:numRef>
          </c:xVal>
          <c:yVal>
            <c:numRef>
              <c:f>'Subj. compr. vs. correct answer'!$M$11:$M$198</c:f>
              <c:numCache>
                <c:formatCode>General</c:formatCode>
                <c:ptCount val="188"/>
                <c:pt idx="0">
                  <c:v>13</c:v>
                </c:pt>
                <c:pt idx="1">
                  <c:v>16</c:v>
                </c:pt>
                <c:pt idx="2">
                  <c:v>15</c:v>
                </c:pt>
                <c:pt idx="3">
                  <c:v>13</c:v>
                </c:pt>
                <c:pt idx="4">
                  <c:v>11</c:v>
                </c:pt>
                <c:pt idx="5">
                  <c:v>17</c:v>
                </c:pt>
                <c:pt idx="6">
                  <c:v>16</c:v>
                </c:pt>
                <c:pt idx="7">
                  <c:v>12</c:v>
                </c:pt>
                <c:pt idx="8">
                  <c:v>15</c:v>
                </c:pt>
                <c:pt idx="9">
                  <c:v>15</c:v>
                </c:pt>
                <c:pt idx="10">
                  <c:v>15</c:v>
                </c:pt>
                <c:pt idx="11">
                  <c:v>16</c:v>
                </c:pt>
                <c:pt idx="12">
                  <c:v>19</c:v>
                </c:pt>
                <c:pt idx="13">
                  <c:v>16</c:v>
                </c:pt>
                <c:pt idx="14">
                  <c:v>15</c:v>
                </c:pt>
                <c:pt idx="15">
                  <c:v>18</c:v>
                </c:pt>
                <c:pt idx="16">
                  <c:v>13</c:v>
                </c:pt>
                <c:pt idx="17">
                  <c:v>13</c:v>
                </c:pt>
                <c:pt idx="18">
                  <c:v>14</c:v>
                </c:pt>
                <c:pt idx="19">
                  <c:v>17</c:v>
                </c:pt>
                <c:pt idx="20">
                  <c:v>10</c:v>
                </c:pt>
                <c:pt idx="21">
                  <c:v>14</c:v>
                </c:pt>
                <c:pt idx="22">
                  <c:v>13</c:v>
                </c:pt>
                <c:pt idx="23">
                  <c:v>13</c:v>
                </c:pt>
                <c:pt idx="24">
                  <c:v>15</c:v>
                </c:pt>
                <c:pt idx="25">
                  <c:v>14</c:v>
                </c:pt>
                <c:pt idx="26">
                  <c:v>12</c:v>
                </c:pt>
                <c:pt idx="27">
                  <c:v>16</c:v>
                </c:pt>
                <c:pt idx="28">
                  <c:v>16</c:v>
                </c:pt>
                <c:pt idx="29">
                  <c:v>14</c:v>
                </c:pt>
                <c:pt idx="30">
                  <c:v>6</c:v>
                </c:pt>
                <c:pt idx="31">
                  <c:v>15</c:v>
                </c:pt>
                <c:pt idx="32">
                  <c:v>18</c:v>
                </c:pt>
                <c:pt idx="33">
                  <c:v>16</c:v>
                </c:pt>
                <c:pt idx="34">
                  <c:v>13</c:v>
                </c:pt>
                <c:pt idx="35">
                  <c:v>18</c:v>
                </c:pt>
                <c:pt idx="36">
                  <c:v>14</c:v>
                </c:pt>
                <c:pt idx="37">
                  <c:v>16</c:v>
                </c:pt>
                <c:pt idx="38">
                  <c:v>11</c:v>
                </c:pt>
                <c:pt idx="39">
                  <c:v>12</c:v>
                </c:pt>
                <c:pt idx="40">
                  <c:v>9</c:v>
                </c:pt>
                <c:pt idx="41">
                  <c:v>17</c:v>
                </c:pt>
                <c:pt idx="42">
                  <c:v>17</c:v>
                </c:pt>
                <c:pt idx="43">
                  <c:v>8</c:v>
                </c:pt>
                <c:pt idx="44">
                  <c:v>11</c:v>
                </c:pt>
                <c:pt idx="45">
                  <c:v>9</c:v>
                </c:pt>
                <c:pt idx="46">
                  <c:v>14</c:v>
                </c:pt>
                <c:pt idx="47">
                  <c:v>11</c:v>
                </c:pt>
                <c:pt idx="48">
                  <c:v>18</c:v>
                </c:pt>
                <c:pt idx="49">
                  <c:v>10</c:v>
                </c:pt>
                <c:pt idx="50">
                  <c:v>15</c:v>
                </c:pt>
                <c:pt idx="51">
                  <c:v>17</c:v>
                </c:pt>
                <c:pt idx="52">
                  <c:v>18</c:v>
                </c:pt>
                <c:pt idx="53">
                  <c:v>13</c:v>
                </c:pt>
                <c:pt idx="54">
                  <c:v>12</c:v>
                </c:pt>
                <c:pt idx="55">
                  <c:v>15</c:v>
                </c:pt>
                <c:pt idx="56">
                  <c:v>11</c:v>
                </c:pt>
                <c:pt idx="57">
                  <c:v>13</c:v>
                </c:pt>
                <c:pt idx="58">
                  <c:v>16</c:v>
                </c:pt>
                <c:pt idx="59">
                  <c:v>17</c:v>
                </c:pt>
                <c:pt idx="60">
                  <c:v>15</c:v>
                </c:pt>
                <c:pt idx="61">
                  <c:v>16</c:v>
                </c:pt>
                <c:pt idx="62">
                  <c:v>15</c:v>
                </c:pt>
                <c:pt idx="63">
                  <c:v>17</c:v>
                </c:pt>
                <c:pt idx="64">
                  <c:v>14</c:v>
                </c:pt>
                <c:pt idx="65">
                  <c:v>14</c:v>
                </c:pt>
                <c:pt idx="66">
                  <c:v>18</c:v>
                </c:pt>
                <c:pt idx="67">
                  <c:v>14</c:v>
                </c:pt>
                <c:pt idx="68">
                  <c:v>16</c:v>
                </c:pt>
                <c:pt idx="69">
                  <c:v>17</c:v>
                </c:pt>
                <c:pt idx="70">
                  <c:v>12</c:v>
                </c:pt>
                <c:pt idx="71">
                  <c:v>13</c:v>
                </c:pt>
                <c:pt idx="72">
                  <c:v>16</c:v>
                </c:pt>
                <c:pt idx="73">
                  <c:v>17</c:v>
                </c:pt>
                <c:pt idx="74">
                  <c:v>17</c:v>
                </c:pt>
                <c:pt idx="75">
                  <c:v>16</c:v>
                </c:pt>
                <c:pt idx="76">
                  <c:v>17</c:v>
                </c:pt>
                <c:pt idx="77">
                  <c:v>13</c:v>
                </c:pt>
                <c:pt idx="78">
                  <c:v>17</c:v>
                </c:pt>
                <c:pt idx="79">
                  <c:v>14</c:v>
                </c:pt>
                <c:pt idx="80">
                  <c:v>18</c:v>
                </c:pt>
                <c:pt idx="81">
                  <c:v>17</c:v>
                </c:pt>
                <c:pt idx="82">
                  <c:v>5</c:v>
                </c:pt>
                <c:pt idx="83">
                  <c:v>16</c:v>
                </c:pt>
                <c:pt idx="84">
                  <c:v>10</c:v>
                </c:pt>
                <c:pt idx="85">
                  <c:v>17</c:v>
                </c:pt>
                <c:pt idx="86">
                  <c:v>11</c:v>
                </c:pt>
                <c:pt idx="87">
                  <c:v>15</c:v>
                </c:pt>
                <c:pt idx="88">
                  <c:v>14</c:v>
                </c:pt>
                <c:pt idx="89">
                  <c:v>14</c:v>
                </c:pt>
                <c:pt idx="90">
                  <c:v>16</c:v>
                </c:pt>
                <c:pt idx="91">
                  <c:v>15</c:v>
                </c:pt>
                <c:pt idx="92">
                  <c:v>18</c:v>
                </c:pt>
                <c:pt idx="93">
                  <c:v>17</c:v>
                </c:pt>
                <c:pt idx="94">
                  <c:v>17</c:v>
                </c:pt>
                <c:pt idx="95">
                  <c:v>17</c:v>
                </c:pt>
                <c:pt idx="96">
                  <c:v>17</c:v>
                </c:pt>
                <c:pt idx="97">
                  <c:v>18</c:v>
                </c:pt>
                <c:pt idx="98">
                  <c:v>12</c:v>
                </c:pt>
                <c:pt idx="99">
                  <c:v>12</c:v>
                </c:pt>
                <c:pt idx="100">
                  <c:v>13</c:v>
                </c:pt>
                <c:pt idx="101">
                  <c:v>14</c:v>
                </c:pt>
                <c:pt idx="102">
                  <c:v>14</c:v>
                </c:pt>
                <c:pt idx="103">
                  <c:v>16</c:v>
                </c:pt>
                <c:pt idx="104">
                  <c:v>15</c:v>
                </c:pt>
                <c:pt idx="105">
                  <c:v>16</c:v>
                </c:pt>
                <c:pt idx="106">
                  <c:v>19</c:v>
                </c:pt>
                <c:pt idx="107">
                  <c:v>17</c:v>
                </c:pt>
                <c:pt idx="108">
                  <c:v>19</c:v>
                </c:pt>
                <c:pt idx="109">
                  <c:v>16</c:v>
                </c:pt>
                <c:pt idx="110">
                  <c:v>13</c:v>
                </c:pt>
                <c:pt idx="111">
                  <c:v>19</c:v>
                </c:pt>
                <c:pt idx="112">
                  <c:v>13</c:v>
                </c:pt>
                <c:pt idx="113">
                  <c:v>14</c:v>
                </c:pt>
                <c:pt idx="114">
                  <c:v>15</c:v>
                </c:pt>
                <c:pt idx="115">
                  <c:v>15</c:v>
                </c:pt>
                <c:pt idx="116">
                  <c:v>16</c:v>
                </c:pt>
                <c:pt idx="117">
                  <c:v>21</c:v>
                </c:pt>
                <c:pt idx="118">
                  <c:v>16</c:v>
                </c:pt>
                <c:pt idx="119">
                  <c:v>9</c:v>
                </c:pt>
                <c:pt idx="120">
                  <c:v>15</c:v>
                </c:pt>
                <c:pt idx="121">
                  <c:v>17</c:v>
                </c:pt>
                <c:pt idx="122">
                  <c:v>14</c:v>
                </c:pt>
                <c:pt idx="123">
                  <c:v>17</c:v>
                </c:pt>
                <c:pt idx="124">
                  <c:v>19</c:v>
                </c:pt>
                <c:pt idx="125">
                  <c:v>18</c:v>
                </c:pt>
                <c:pt idx="126">
                  <c:v>19</c:v>
                </c:pt>
                <c:pt idx="127">
                  <c:v>14</c:v>
                </c:pt>
                <c:pt idx="128">
                  <c:v>21</c:v>
                </c:pt>
                <c:pt idx="129">
                  <c:v>20</c:v>
                </c:pt>
                <c:pt idx="130">
                  <c:v>14</c:v>
                </c:pt>
                <c:pt idx="131">
                  <c:v>13</c:v>
                </c:pt>
                <c:pt idx="132">
                  <c:v>11</c:v>
                </c:pt>
                <c:pt idx="133">
                  <c:v>20</c:v>
                </c:pt>
                <c:pt idx="134">
                  <c:v>21</c:v>
                </c:pt>
                <c:pt idx="135">
                  <c:v>16</c:v>
                </c:pt>
                <c:pt idx="136">
                  <c:v>20</c:v>
                </c:pt>
                <c:pt idx="137">
                  <c:v>14</c:v>
                </c:pt>
                <c:pt idx="138">
                  <c:v>20</c:v>
                </c:pt>
                <c:pt idx="139">
                  <c:v>10</c:v>
                </c:pt>
                <c:pt idx="140">
                  <c:v>20</c:v>
                </c:pt>
                <c:pt idx="141">
                  <c:v>20</c:v>
                </c:pt>
                <c:pt idx="142">
                  <c:v>21</c:v>
                </c:pt>
                <c:pt idx="143">
                  <c:v>13</c:v>
                </c:pt>
                <c:pt idx="144">
                  <c:v>20</c:v>
                </c:pt>
                <c:pt idx="145">
                  <c:v>19</c:v>
                </c:pt>
                <c:pt idx="146">
                  <c:v>19</c:v>
                </c:pt>
                <c:pt idx="147">
                  <c:v>20</c:v>
                </c:pt>
                <c:pt idx="148">
                  <c:v>18</c:v>
                </c:pt>
                <c:pt idx="149">
                  <c:v>21</c:v>
                </c:pt>
                <c:pt idx="150">
                  <c:v>14</c:v>
                </c:pt>
                <c:pt idx="151">
                  <c:v>13</c:v>
                </c:pt>
                <c:pt idx="152">
                  <c:v>21</c:v>
                </c:pt>
                <c:pt idx="153">
                  <c:v>17</c:v>
                </c:pt>
                <c:pt idx="154">
                  <c:v>21</c:v>
                </c:pt>
                <c:pt idx="155">
                  <c:v>19</c:v>
                </c:pt>
                <c:pt idx="156">
                  <c:v>20</c:v>
                </c:pt>
                <c:pt idx="157">
                  <c:v>21</c:v>
                </c:pt>
                <c:pt idx="158">
                  <c:v>18</c:v>
                </c:pt>
                <c:pt idx="159">
                  <c:v>19</c:v>
                </c:pt>
                <c:pt idx="160">
                  <c:v>15</c:v>
                </c:pt>
                <c:pt idx="161">
                  <c:v>19</c:v>
                </c:pt>
                <c:pt idx="162">
                  <c:v>20</c:v>
                </c:pt>
                <c:pt idx="163">
                  <c:v>18</c:v>
                </c:pt>
                <c:pt idx="164">
                  <c:v>18</c:v>
                </c:pt>
                <c:pt idx="165">
                  <c:v>21</c:v>
                </c:pt>
                <c:pt idx="166">
                  <c:v>18</c:v>
                </c:pt>
                <c:pt idx="167">
                  <c:v>15</c:v>
                </c:pt>
                <c:pt idx="168">
                  <c:v>19</c:v>
                </c:pt>
                <c:pt idx="169">
                  <c:v>15</c:v>
                </c:pt>
                <c:pt idx="170">
                  <c:v>21</c:v>
                </c:pt>
                <c:pt idx="171">
                  <c:v>18</c:v>
                </c:pt>
                <c:pt idx="172">
                  <c:v>22</c:v>
                </c:pt>
                <c:pt idx="173">
                  <c:v>19</c:v>
                </c:pt>
                <c:pt idx="174">
                  <c:v>13</c:v>
                </c:pt>
                <c:pt idx="175">
                  <c:v>21</c:v>
                </c:pt>
                <c:pt idx="176">
                  <c:v>21</c:v>
                </c:pt>
                <c:pt idx="177">
                  <c:v>20</c:v>
                </c:pt>
                <c:pt idx="178">
                  <c:v>21</c:v>
                </c:pt>
                <c:pt idx="179">
                  <c:v>16</c:v>
                </c:pt>
                <c:pt idx="180">
                  <c:v>19</c:v>
                </c:pt>
                <c:pt idx="181">
                  <c:v>17</c:v>
                </c:pt>
                <c:pt idx="182">
                  <c:v>20</c:v>
                </c:pt>
                <c:pt idx="183">
                  <c:v>21</c:v>
                </c:pt>
                <c:pt idx="184">
                  <c:v>15</c:v>
                </c:pt>
                <c:pt idx="185">
                  <c:v>18</c:v>
                </c:pt>
                <c:pt idx="186">
                  <c:v>19</c:v>
                </c:pt>
                <c:pt idx="187">
                  <c:v>19</c:v>
                </c:pt>
              </c:numCache>
            </c:numRef>
          </c:yVal>
          <c:smooth val="0"/>
          <c:extLst>
            <c:ext xmlns:c16="http://schemas.microsoft.com/office/drawing/2014/chart" uri="{C3380CC4-5D6E-409C-BE32-E72D297353CC}">
              <c16:uniqueId val="{00000000-B434-4ED2-8E38-AA1DB6B97F5D}"/>
            </c:ext>
          </c:extLst>
        </c:ser>
        <c:dLbls>
          <c:showLegendKey val="0"/>
          <c:showVal val="0"/>
          <c:showCatName val="0"/>
          <c:showSerName val="0"/>
          <c:showPercent val="0"/>
          <c:showBubbleSize val="0"/>
        </c:dLbls>
        <c:axId val="742746992"/>
        <c:axId val="742753224"/>
      </c:scatterChart>
      <c:valAx>
        <c:axId val="74274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Subjective comprehensibility</a:t>
                </a:r>
                <a:endParaRPr lang="cs-CZ"/>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53224"/>
        <c:crosses val="autoZero"/>
        <c:crossBetween val="midCat"/>
      </c:valAx>
      <c:valAx>
        <c:axId val="74275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correct answers</a:t>
                </a:r>
                <a:endParaRPr lang="cs-CZ"/>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46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Hypothesis 2 (regression)</a:t>
            </a:r>
            <a:endParaRPr lang="cs-C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206299212598425"/>
                  <c:y val="-0.27863918051910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'Subj. compr. vs time'!$L$3:$L$190</c:f>
              <c:numCache>
                <c:formatCode>0</c:formatCode>
                <c:ptCount val="188"/>
                <c:pt idx="0">
                  <c:v>3</c:v>
                </c:pt>
                <c:pt idx="1">
                  <c:v>3</c:v>
                </c:pt>
                <c:pt idx="2">
                  <c:v>3</c:v>
                </c:pt>
                <c:pt idx="3">
                  <c:v>3</c:v>
                </c:pt>
                <c:pt idx="4">
                  <c:v>4</c:v>
                </c:pt>
                <c:pt idx="5">
                  <c:v>2</c:v>
                </c:pt>
                <c:pt idx="6">
                  <c:v>2</c:v>
                </c:pt>
                <c:pt idx="7">
                  <c:v>4</c:v>
                </c:pt>
                <c:pt idx="8">
                  <c:v>2</c:v>
                </c:pt>
                <c:pt idx="9">
                  <c:v>2</c:v>
                </c:pt>
                <c:pt idx="10">
                  <c:v>3</c:v>
                </c:pt>
                <c:pt idx="11">
                  <c:v>1</c:v>
                </c:pt>
                <c:pt idx="12">
                  <c:v>3</c:v>
                </c:pt>
                <c:pt idx="13">
                  <c:v>3</c:v>
                </c:pt>
                <c:pt idx="14">
                  <c:v>2</c:v>
                </c:pt>
                <c:pt idx="15">
                  <c:v>3</c:v>
                </c:pt>
                <c:pt idx="16">
                  <c:v>2</c:v>
                </c:pt>
                <c:pt idx="17">
                  <c:v>3</c:v>
                </c:pt>
                <c:pt idx="18">
                  <c:v>4</c:v>
                </c:pt>
                <c:pt idx="19">
                  <c:v>2</c:v>
                </c:pt>
                <c:pt idx="20">
                  <c:v>2</c:v>
                </c:pt>
                <c:pt idx="21">
                  <c:v>2</c:v>
                </c:pt>
                <c:pt idx="22">
                  <c:v>3</c:v>
                </c:pt>
                <c:pt idx="23">
                  <c:v>3</c:v>
                </c:pt>
                <c:pt idx="24">
                  <c:v>2</c:v>
                </c:pt>
                <c:pt idx="25">
                  <c:v>3</c:v>
                </c:pt>
                <c:pt idx="26">
                  <c:v>4</c:v>
                </c:pt>
                <c:pt idx="27">
                  <c:v>4</c:v>
                </c:pt>
                <c:pt idx="28">
                  <c:v>3</c:v>
                </c:pt>
                <c:pt idx="29">
                  <c:v>4</c:v>
                </c:pt>
                <c:pt idx="30">
                  <c:v>4</c:v>
                </c:pt>
                <c:pt idx="31">
                  <c:v>2</c:v>
                </c:pt>
                <c:pt idx="32">
                  <c:v>2</c:v>
                </c:pt>
                <c:pt idx="33">
                  <c:v>1</c:v>
                </c:pt>
                <c:pt idx="34">
                  <c:v>3</c:v>
                </c:pt>
                <c:pt idx="35">
                  <c:v>4</c:v>
                </c:pt>
                <c:pt idx="36">
                  <c:v>2</c:v>
                </c:pt>
                <c:pt idx="37">
                  <c:v>2</c:v>
                </c:pt>
                <c:pt idx="38">
                  <c:v>5</c:v>
                </c:pt>
                <c:pt idx="39">
                  <c:v>4</c:v>
                </c:pt>
                <c:pt idx="40">
                  <c:v>2</c:v>
                </c:pt>
                <c:pt idx="41">
                  <c:v>3</c:v>
                </c:pt>
                <c:pt idx="42">
                  <c:v>2</c:v>
                </c:pt>
                <c:pt idx="43">
                  <c:v>1</c:v>
                </c:pt>
                <c:pt idx="44">
                  <c:v>4</c:v>
                </c:pt>
                <c:pt idx="45">
                  <c:v>3</c:v>
                </c:pt>
                <c:pt idx="46">
                  <c:v>4</c:v>
                </c:pt>
                <c:pt idx="47">
                  <c:v>1</c:v>
                </c:pt>
                <c:pt idx="48">
                  <c:v>3</c:v>
                </c:pt>
                <c:pt idx="49">
                  <c:v>4</c:v>
                </c:pt>
                <c:pt idx="50">
                  <c:v>3</c:v>
                </c:pt>
                <c:pt idx="51">
                  <c:v>1</c:v>
                </c:pt>
                <c:pt idx="52">
                  <c:v>2</c:v>
                </c:pt>
                <c:pt idx="53">
                  <c:v>3</c:v>
                </c:pt>
                <c:pt idx="54">
                  <c:v>2</c:v>
                </c:pt>
                <c:pt idx="55">
                  <c:v>4</c:v>
                </c:pt>
                <c:pt idx="56">
                  <c:v>3</c:v>
                </c:pt>
                <c:pt idx="57">
                  <c:v>3</c:v>
                </c:pt>
                <c:pt idx="58">
                  <c:v>4</c:v>
                </c:pt>
                <c:pt idx="59">
                  <c:v>4</c:v>
                </c:pt>
                <c:pt idx="60">
                  <c:v>3</c:v>
                </c:pt>
                <c:pt idx="61">
                  <c:v>3</c:v>
                </c:pt>
                <c:pt idx="62">
                  <c:v>3</c:v>
                </c:pt>
                <c:pt idx="63">
                  <c:v>2</c:v>
                </c:pt>
                <c:pt idx="64">
                  <c:v>5</c:v>
                </c:pt>
                <c:pt idx="65">
                  <c:v>2</c:v>
                </c:pt>
                <c:pt idx="66">
                  <c:v>2</c:v>
                </c:pt>
                <c:pt idx="67">
                  <c:v>2</c:v>
                </c:pt>
                <c:pt idx="68">
                  <c:v>2</c:v>
                </c:pt>
                <c:pt idx="69">
                  <c:v>3</c:v>
                </c:pt>
                <c:pt idx="70">
                  <c:v>3</c:v>
                </c:pt>
                <c:pt idx="71">
                  <c:v>1</c:v>
                </c:pt>
                <c:pt idx="72">
                  <c:v>3</c:v>
                </c:pt>
                <c:pt idx="73">
                  <c:v>2</c:v>
                </c:pt>
                <c:pt idx="74">
                  <c:v>2</c:v>
                </c:pt>
                <c:pt idx="75">
                  <c:v>2</c:v>
                </c:pt>
                <c:pt idx="76">
                  <c:v>3</c:v>
                </c:pt>
                <c:pt idx="77">
                  <c:v>4</c:v>
                </c:pt>
                <c:pt idx="78">
                  <c:v>3</c:v>
                </c:pt>
                <c:pt idx="79">
                  <c:v>2</c:v>
                </c:pt>
                <c:pt idx="80">
                  <c:v>2</c:v>
                </c:pt>
                <c:pt idx="81">
                  <c:v>3</c:v>
                </c:pt>
                <c:pt idx="82">
                  <c:v>4</c:v>
                </c:pt>
                <c:pt idx="83">
                  <c:v>2</c:v>
                </c:pt>
                <c:pt idx="84">
                  <c:v>3</c:v>
                </c:pt>
                <c:pt idx="85">
                  <c:v>2</c:v>
                </c:pt>
                <c:pt idx="86">
                  <c:v>3</c:v>
                </c:pt>
                <c:pt idx="87">
                  <c:v>2</c:v>
                </c:pt>
                <c:pt idx="88">
                  <c:v>5</c:v>
                </c:pt>
                <c:pt idx="89">
                  <c:v>3</c:v>
                </c:pt>
                <c:pt idx="90">
                  <c:v>4</c:v>
                </c:pt>
                <c:pt idx="91">
                  <c:v>4</c:v>
                </c:pt>
                <c:pt idx="92">
                  <c:v>3</c:v>
                </c:pt>
                <c:pt idx="93">
                  <c:v>3</c:v>
                </c:pt>
                <c:pt idx="94">
                  <c:v>2</c:v>
                </c:pt>
                <c:pt idx="95">
                  <c:v>3</c:v>
                </c:pt>
                <c:pt idx="96">
                  <c:v>3</c:v>
                </c:pt>
                <c:pt idx="97">
                  <c:v>3</c:v>
                </c:pt>
                <c:pt idx="98">
                  <c:v>1</c:v>
                </c:pt>
                <c:pt idx="99">
                  <c:v>1</c:v>
                </c:pt>
                <c:pt idx="100">
                  <c:v>3</c:v>
                </c:pt>
                <c:pt idx="101">
                  <c:v>3</c:v>
                </c:pt>
                <c:pt idx="102">
                  <c:v>3</c:v>
                </c:pt>
                <c:pt idx="103">
                  <c:v>3</c:v>
                </c:pt>
                <c:pt idx="104">
                  <c:v>3</c:v>
                </c:pt>
                <c:pt idx="105">
                  <c:v>1</c:v>
                </c:pt>
                <c:pt idx="106">
                  <c:v>3</c:v>
                </c:pt>
                <c:pt idx="107">
                  <c:v>4</c:v>
                </c:pt>
                <c:pt idx="108">
                  <c:v>2</c:v>
                </c:pt>
                <c:pt idx="109">
                  <c:v>3</c:v>
                </c:pt>
                <c:pt idx="110">
                  <c:v>2</c:v>
                </c:pt>
                <c:pt idx="111">
                  <c:v>3</c:v>
                </c:pt>
                <c:pt idx="112">
                  <c:v>3</c:v>
                </c:pt>
                <c:pt idx="113">
                  <c:v>3</c:v>
                </c:pt>
                <c:pt idx="114">
                  <c:v>4</c:v>
                </c:pt>
                <c:pt idx="115">
                  <c:v>3</c:v>
                </c:pt>
                <c:pt idx="116">
                  <c:v>3</c:v>
                </c:pt>
                <c:pt idx="117">
                  <c:v>3</c:v>
                </c:pt>
                <c:pt idx="118">
                  <c:v>2</c:v>
                </c:pt>
                <c:pt idx="119">
                  <c:v>1</c:v>
                </c:pt>
                <c:pt idx="120">
                  <c:v>3</c:v>
                </c:pt>
                <c:pt idx="121">
                  <c:v>3</c:v>
                </c:pt>
                <c:pt idx="122">
                  <c:v>3</c:v>
                </c:pt>
                <c:pt idx="123">
                  <c:v>3</c:v>
                </c:pt>
                <c:pt idx="124">
                  <c:v>1</c:v>
                </c:pt>
                <c:pt idx="125">
                  <c:v>3</c:v>
                </c:pt>
                <c:pt idx="126">
                  <c:v>4</c:v>
                </c:pt>
                <c:pt idx="127">
                  <c:v>4</c:v>
                </c:pt>
                <c:pt idx="128">
                  <c:v>3</c:v>
                </c:pt>
                <c:pt idx="129">
                  <c:v>3</c:v>
                </c:pt>
                <c:pt idx="130">
                  <c:v>4</c:v>
                </c:pt>
                <c:pt idx="131">
                  <c:v>2</c:v>
                </c:pt>
                <c:pt idx="132">
                  <c:v>2</c:v>
                </c:pt>
                <c:pt idx="133">
                  <c:v>2</c:v>
                </c:pt>
                <c:pt idx="134">
                  <c:v>2</c:v>
                </c:pt>
                <c:pt idx="135">
                  <c:v>2</c:v>
                </c:pt>
                <c:pt idx="136">
                  <c:v>3</c:v>
                </c:pt>
                <c:pt idx="137">
                  <c:v>3</c:v>
                </c:pt>
                <c:pt idx="138">
                  <c:v>2</c:v>
                </c:pt>
                <c:pt idx="139">
                  <c:v>5</c:v>
                </c:pt>
                <c:pt idx="140">
                  <c:v>3</c:v>
                </c:pt>
                <c:pt idx="141">
                  <c:v>3</c:v>
                </c:pt>
                <c:pt idx="142">
                  <c:v>2</c:v>
                </c:pt>
                <c:pt idx="143">
                  <c:v>1</c:v>
                </c:pt>
                <c:pt idx="144">
                  <c:v>1</c:v>
                </c:pt>
                <c:pt idx="145">
                  <c:v>3</c:v>
                </c:pt>
                <c:pt idx="146">
                  <c:v>3</c:v>
                </c:pt>
                <c:pt idx="147">
                  <c:v>2</c:v>
                </c:pt>
                <c:pt idx="148">
                  <c:v>3</c:v>
                </c:pt>
                <c:pt idx="149">
                  <c:v>2</c:v>
                </c:pt>
                <c:pt idx="150">
                  <c:v>2</c:v>
                </c:pt>
                <c:pt idx="151">
                  <c:v>1</c:v>
                </c:pt>
                <c:pt idx="152">
                  <c:v>2</c:v>
                </c:pt>
                <c:pt idx="153">
                  <c:v>1</c:v>
                </c:pt>
                <c:pt idx="154">
                  <c:v>2</c:v>
                </c:pt>
                <c:pt idx="155">
                  <c:v>3</c:v>
                </c:pt>
                <c:pt idx="156">
                  <c:v>2</c:v>
                </c:pt>
                <c:pt idx="157">
                  <c:v>1</c:v>
                </c:pt>
                <c:pt idx="158">
                  <c:v>2</c:v>
                </c:pt>
                <c:pt idx="159">
                  <c:v>2</c:v>
                </c:pt>
                <c:pt idx="160">
                  <c:v>3</c:v>
                </c:pt>
                <c:pt idx="161">
                  <c:v>2</c:v>
                </c:pt>
                <c:pt idx="162">
                  <c:v>2</c:v>
                </c:pt>
                <c:pt idx="163">
                  <c:v>2</c:v>
                </c:pt>
                <c:pt idx="164">
                  <c:v>2</c:v>
                </c:pt>
                <c:pt idx="165">
                  <c:v>2</c:v>
                </c:pt>
                <c:pt idx="166">
                  <c:v>4</c:v>
                </c:pt>
                <c:pt idx="167">
                  <c:v>1</c:v>
                </c:pt>
                <c:pt idx="168">
                  <c:v>2</c:v>
                </c:pt>
                <c:pt idx="169">
                  <c:v>4</c:v>
                </c:pt>
                <c:pt idx="170">
                  <c:v>1</c:v>
                </c:pt>
                <c:pt idx="171">
                  <c:v>3</c:v>
                </c:pt>
                <c:pt idx="172">
                  <c:v>2</c:v>
                </c:pt>
                <c:pt idx="173">
                  <c:v>2</c:v>
                </c:pt>
                <c:pt idx="174">
                  <c:v>4</c:v>
                </c:pt>
                <c:pt idx="175">
                  <c:v>3</c:v>
                </c:pt>
                <c:pt idx="176">
                  <c:v>2</c:v>
                </c:pt>
                <c:pt idx="177">
                  <c:v>3</c:v>
                </c:pt>
                <c:pt idx="178">
                  <c:v>2</c:v>
                </c:pt>
                <c:pt idx="179">
                  <c:v>3</c:v>
                </c:pt>
                <c:pt idx="180">
                  <c:v>3</c:v>
                </c:pt>
                <c:pt idx="181">
                  <c:v>3</c:v>
                </c:pt>
                <c:pt idx="182">
                  <c:v>2</c:v>
                </c:pt>
                <c:pt idx="183">
                  <c:v>1</c:v>
                </c:pt>
                <c:pt idx="184">
                  <c:v>3</c:v>
                </c:pt>
                <c:pt idx="185">
                  <c:v>2</c:v>
                </c:pt>
                <c:pt idx="186">
                  <c:v>4</c:v>
                </c:pt>
                <c:pt idx="187">
                  <c:v>3</c:v>
                </c:pt>
              </c:numCache>
            </c:numRef>
          </c:xVal>
          <c:yVal>
            <c:numRef>
              <c:f>'Subj. compr. vs time'!$M$3:$M$190</c:f>
              <c:numCache>
                <c:formatCode>General</c:formatCode>
                <c:ptCount val="188"/>
                <c:pt idx="0">
                  <c:v>4.9903333333333331</c:v>
                </c:pt>
                <c:pt idx="1">
                  <c:v>13.227499999999999</c:v>
                </c:pt>
                <c:pt idx="2">
                  <c:v>5.7291666666666661</c:v>
                </c:pt>
                <c:pt idx="3">
                  <c:v>6.5876666666666672</c:v>
                </c:pt>
                <c:pt idx="4">
                  <c:v>4.9673333333333334</c:v>
                </c:pt>
                <c:pt idx="5">
                  <c:v>15.1585</c:v>
                </c:pt>
                <c:pt idx="6">
                  <c:v>18.985333333333333</c:v>
                </c:pt>
                <c:pt idx="7">
                  <c:v>12.786666666666669</c:v>
                </c:pt>
                <c:pt idx="8">
                  <c:v>7.0658333333333339</c:v>
                </c:pt>
                <c:pt idx="9">
                  <c:v>10.739166666666668</c:v>
                </c:pt>
                <c:pt idx="10">
                  <c:v>14.014333333333333</c:v>
                </c:pt>
                <c:pt idx="11">
                  <c:v>24.321999999999999</c:v>
                </c:pt>
                <c:pt idx="12">
                  <c:v>10.013999999999999</c:v>
                </c:pt>
                <c:pt idx="13">
                  <c:v>10.568999999999999</c:v>
                </c:pt>
                <c:pt idx="14">
                  <c:v>10.939666666666668</c:v>
                </c:pt>
                <c:pt idx="15">
                  <c:v>14.572166666666668</c:v>
                </c:pt>
                <c:pt idx="16">
                  <c:v>7.4653333333333336</c:v>
                </c:pt>
                <c:pt idx="17">
                  <c:v>10.203833333333332</c:v>
                </c:pt>
                <c:pt idx="18">
                  <c:v>7.1503333333333332</c:v>
                </c:pt>
                <c:pt idx="19">
                  <c:v>11.327666666666667</c:v>
                </c:pt>
                <c:pt idx="20">
                  <c:v>7.2023333333333337</c:v>
                </c:pt>
                <c:pt idx="21">
                  <c:v>6.9771666666666654</c:v>
                </c:pt>
                <c:pt idx="22">
                  <c:v>18.623666666666665</c:v>
                </c:pt>
                <c:pt idx="23">
                  <c:v>5.2331666666666665</c:v>
                </c:pt>
                <c:pt idx="24">
                  <c:v>7.6073333333333331</c:v>
                </c:pt>
                <c:pt idx="25">
                  <c:v>8.9115000000000002</c:v>
                </c:pt>
                <c:pt idx="26">
                  <c:v>19.855</c:v>
                </c:pt>
                <c:pt idx="27">
                  <c:v>11.613499999999998</c:v>
                </c:pt>
                <c:pt idx="28">
                  <c:v>26.09</c:v>
                </c:pt>
                <c:pt idx="29">
                  <c:v>8.7328333333333337</c:v>
                </c:pt>
                <c:pt idx="30">
                  <c:v>9.8800000000000008</c:v>
                </c:pt>
                <c:pt idx="31">
                  <c:v>7.0748333333333342</c:v>
                </c:pt>
                <c:pt idx="32">
                  <c:v>10.463999999999999</c:v>
                </c:pt>
                <c:pt idx="33">
                  <c:v>8.161999999999999</c:v>
                </c:pt>
                <c:pt idx="34">
                  <c:v>6.3555000000000001</c:v>
                </c:pt>
                <c:pt idx="35">
                  <c:v>13.399333333333335</c:v>
                </c:pt>
                <c:pt idx="36">
                  <c:v>7.6113333333333335</c:v>
                </c:pt>
                <c:pt idx="37">
                  <c:v>8.634666666666666</c:v>
                </c:pt>
                <c:pt idx="38">
                  <c:v>20.736333333333331</c:v>
                </c:pt>
                <c:pt idx="39">
                  <c:v>5.5265000000000004</c:v>
                </c:pt>
                <c:pt idx="40">
                  <c:v>8.3993333333333347</c:v>
                </c:pt>
                <c:pt idx="41">
                  <c:v>12.382166666666667</c:v>
                </c:pt>
                <c:pt idx="42">
                  <c:v>9.9156666666666666</c:v>
                </c:pt>
                <c:pt idx="43">
                  <c:v>2.0001666666666669</c:v>
                </c:pt>
                <c:pt idx="44">
                  <c:v>8.6120000000000001</c:v>
                </c:pt>
                <c:pt idx="45">
                  <c:v>12.042666666666667</c:v>
                </c:pt>
                <c:pt idx="46">
                  <c:v>13.203833333333332</c:v>
                </c:pt>
                <c:pt idx="47">
                  <c:v>4.9995000000000003</c:v>
                </c:pt>
                <c:pt idx="48">
                  <c:v>10.041499999999999</c:v>
                </c:pt>
                <c:pt idx="49">
                  <c:v>10.979666666666667</c:v>
                </c:pt>
                <c:pt idx="50">
                  <c:v>11.364500000000001</c:v>
                </c:pt>
                <c:pt idx="51">
                  <c:v>10.5915</c:v>
                </c:pt>
                <c:pt idx="52">
                  <c:v>7.1318333333333337</c:v>
                </c:pt>
                <c:pt idx="53">
                  <c:v>16.051500000000001</c:v>
                </c:pt>
                <c:pt idx="54">
                  <c:v>5.9481666666666655</c:v>
                </c:pt>
                <c:pt idx="55">
                  <c:v>7.3931666666666676</c:v>
                </c:pt>
                <c:pt idx="56">
                  <c:v>9.9878333333333345</c:v>
                </c:pt>
                <c:pt idx="57">
                  <c:v>18.770000000000003</c:v>
                </c:pt>
                <c:pt idx="58">
                  <c:v>8.0373333333333346</c:v>
                </c:pt>
                <c:pt idx="59">
                  <c:v>16.510833333333334</c:v>
                </c:pt>
                <c:pt idx="60">
                  <c:v>9.0358333333333345</c:v>
                </c:pt>
                <c:pt idx="61">
                  <c:v>10.613333333333333</c:v>
                </c:pt>
                <c:pt idx="62">
                  <c:v>17.531500000000001</c:v>
                </c:pt>
                <c:pt idx="63">
                  <c:v>14.810333333333332</c:v>
                </c:pt>
                <c:pt idx="64">
                  <c:v>8.3481666666666658</c:v>
                </c:pt>
                <c:pt idx="65">
                  <c:v>10.411166666666668</c:v>
                </c:pt>
                <c:pt idx="66">
                  <c:v>12.104999999999999</c:v>
                </c:pt>
                <c:pt idx="67">
                  <c:v>13.229166666666668</c:v>
                </c:pt>
                <c:pt idx="68">
                  <c:v>8.684333333333333</c:v>
                </c:pt>
                <c:pt idx="69">
                  <c:v>18.388000000000002</c:v>
                </c:pt>
                <c:pt idx="70">
                  <c:v>14.614999999999998</c:v>
                </c:pt>
                <c:pt idx="71">
                  <c:v>12.975833333333334</c:v>
                </c:pt>
                <c:pt idx="72">
                  <c:v>26.131166666666669</c:v>
                </c:pt>
                <c:pt idx="73">
                  <c:v>9.096166666666667</c:v>
                </c:pt>
                <c:pt idx="74">
                  <c:v>15.997833333333334</c:v>
                </c:pt>
                <c:pt idx="75">
                  <c:v>9.0591666666666661</c:v>
                </c:pt>
                <c:pt idx="76">
                  <c:v>13.668833333333334</c:v>
                </c:pt>
                <c:pt idx="77">
                  <c:v>11.621500000000001</c:v>
                </c:pt>
                <c:pt idx="78">
                  <c:v>27.094666666666665</c:v>
                </c:pt>
                <c:pt idx="79">
                  <c:v>7.8901666666666666</c:v>
                </c:pt>
                <c:pt idx="80">
                  <c:v>6.5274999999999999</c:v>
                </c:pt>
                <c:pt idx="81">
                  <c:v>15.956833333333332</c:v>
                </c:pt>
                <c:pt idx="82">
                  <c:v>12.952333333333332</c:v>
                </c:pt>
                <c:pt idx="83">
                  <c:v>9.9936666666666678</c:v>
                </c:pt>
                <c:pt idx="84">
                  <c:v>11.496166666666669</c:v>
                </c:pt>
                <c:pt idx="85">
                  <c:v>7.4725000000000001</c:v>
                </c:pt>
                <c:pt idx="86">
                  <c:v>7.0421666666666667</c:v>
                </c:pt>
                <c:pt idx="87">
                  <c:v>10.976166666666666</c:v>
                </c:pt>
                <c:pt idx="88">
                  <c:v>12.003666666666666</c:v>
                </c:pt>
                <c:pt idx="89">
                  <c:v>11.683166666666667</c:v>
                </c:pt>
                <c:pt idx="90">
                  <c:v>7.7138333333333327</c:v>
                </c:pt>
                <c:pt idx="91">
                  <c:v>29.299833333333336</c:v>
                </c:pt>
                <c:pt idx="92">
                  <c:v>20.408166666666666</c:v>
                </c:pt>
                <c:pt idx="93">
                  <c:v>12.050333333333333</c:v>
                </c:pt>
                <c:pt idx="94">
                  <c:v>13.195833333333333</c:v>
                </c:pt>
                <c:pt idx="95">
                  <c:v>30.003999999999998</c:v>
                </c:pt>
                <c:pt idx="96">
                  <c:v>12.353333333333333</c:v>
                </c:pt>
                <c:pt idx="97">
                  <c:v>16.712833333333336</c:v>
                </c:pt>
                <c:pt idx="98">
                  <c:v>5.8731666666666662</c:v>
                </c:pt>
                <c:pt idx="99">
                  <c:v>4.6635</c:v>
                </c:pt>
                <c:pt idx="100">
                  <c:v>12.729833333333334</c:v>
                </c:pt>
                <c:pt idx="101">
                  <c:v>10.209</c:v>
                </c:pt>
                <c:pt idx="102">
                  <c:v>11.7395</c:v>
                </c:pt>
                <c:pt idx="103">
                  <c:v>15.0825</c:v>
                </c:pt>
                <c:pt idx="104">
                  <c:v>12.580166666666667</c:v>
                </c:pt>
                <c:pt idx="105">
                  <c:v>12.0595</c:v>
                </c:pt>
                <c:pt idx="106">
                  <c:v>15.958666666666666</c:v>
                </c:pt>
                <c:pt idx="107">
                  <c:v>10.031166666666666</c:v>
                </c:pt>
                <c:pt idx="108">
                  <c:v>12.9635</c:v>
                </c:pt>
                <c:pt idx="109">
                  <c:v>15.673333333333334</c:v>
                </c:pt>
                <c:pt idx="110">
                  <c:v>9.6290000000000013</c:v>
                </c:pt>
                <c:pt idx="111">
                  <c:v>11.088166666666666</c:v>
                </c:pt>
                <c:pt idx="112">
                  <c:v>21.446500000000004</c:v>
                </c:pt>
                <c:pt idx="113">
                  <c:v>9.9885000000000002</c:v>
                </c:pt>
                <c:pt idx="114">
                  <c:v>13.571499999999999</c:v>
                </c:pt>
                <c:pt idx="115">
                  <c:v>11.695499999999999</c:v>
                </c:pt>
                <c:pt idx="116">
                  <c:v>11.577500000000001</c:v>
                </c:pt>
                <c:pt idx="117">
                  <c:v>11.993166666666665</c:v>
                </c:pt>
                <c:pt idx="118">
                  <c:v>13.180666666666667</c:v>
                </c:pt>
                <c:pt idx="119">
                  <c:v>2.4485000000000001</c:v>
                </c:pt>
                <c:pt idx="120">
                  <c:v>8.9791666666666661</c:v>
                </c:pt>
                <c:pt idx="121">
                  <c:v>15.331166666666668</c:v>
                </c:pt>
                <c:pt idx="122">
                  <c:v>12.313333333333333</c:v>
                </c:pt>
                <c:pt idx="123">
                  <c:v>15.526333333333334</c:v>
                </c:pt>
                <c:pt idx="124">
                  <c:v>24.511833333333332</c:v>
                </c:pt>
                <c:pt idx="125">
                  <c:v>6.4301666666666666</c:v>
                </c:pt>
                <c:pt idx="126">
                  <c:v>17.606499999999997</c:v>
                </c:pt>
                <c:pt idx="127">
                  <c:v>17.829333333333338</c:v>
                </c:pt>
                <c:pt idx="128">
                  <c:v>12.423999999999999</c:v>
                </c:pt>
                <c:pt idx="129">
                  <c:v>8.7526666666666664</c:v>
                </c:pt>
                <c:pt idx="130">
                  <c:v>13.405833333333334</c:v>
                </c:pt>
                <c:pt idx="131">
                  <c:v>12.571833333333334</c:v>
                </c:pt>
                <c:pt idx="132">
                  <c:v>10.817166666666665</c:v>
                </c:pt>
                <c:pt idx="133">
                  <c:v>16.149333333333335</c:v>
                </c:pt>
                <c:pt idx="134">
                  <c:v>14.666166666666665</c:v>
                </c:pt>
                <c:pt idx="135">
                  <c:v>12.779333333333332</c:v>
                </c:pt>
                <c:pt idx="136">
                  <c:v>7.6991666666666667</c:v>
                </c:pt>
                <c:pt idx="137">
                  <c:v>11.767833333333334</c:v>
                </c:pt>
                <c:pt idx="138">
                  <c:v>9.0306666666666668</c:v>
                </c:pt>
                <c:pt idx="139">
                  <c:v>17.038666666666668</c:v>
                </c:pt>
                <c:pt idx="140">
                  <c:v>12.975999999999999</c:v>
                </c:pt>
                <c:pt idx="141">
                  <c:v>8.5824999999999996</c:v>
                </c:pt>
                <c:pt idx="142">
                  <c:v>7.5211666666666668</c:v>
                </c:pt>
                <c:pt idx="143">
                  <c:v>10.557499999999999</c:v>
                </c:pt>
                <c:pt idx="144">
                  <c:v>6.0308333333333337</c:v>
                </c:pt>
                <c:pt idx="145">
                  <c:v>27.297499999999999</c:v>
                </c:pt>
                <c:pt idx="146">
                  <c:v>8.0296666666666656</c:v>
                </c:pt>
                <c:pt idx="147">
                  <c:v>8.8773333333333326</c:v>
                </c:pt>
                <c:pt idx="148">
                  <c:v>8.285166666666667</c:v>
                </c:pt>
                <c:pt idx="149">
                  <c:v>6.226</c:v>
                </c:pt>
                <c:pt idx="150">
                  <c:v>5.738666666666667</c:v>
                </c:pt>
                <c:pt idx="151">
                  <c:v>4.4703333333333335</c:v>
                </c:pt>
                <c:pt idx="152">
                  <c:v>8.5690000000000008</c:v>
                </c:pt>
                <c:pt idx="153">
                  <c:v>10.356</c:v>
                </c:pt>
                <c:pt idx="154">
                  <c:v>6.8585000000000003</c:v>
                </c:pt>
                <c:pt idx="155">
                  <c:v>11.727833333333333</c:v>
                </c:pt>
                <c:pt idx="156">
                  <c:v>7.7676666666666669</c:v>
                </c:pt>
                <c:pt idx="157">
                  <c:v>8.3659999999999997</c:v>
                </c:pt>
                <c:pt idx="158">
                  <c:v>10.050833333333333</c:v>
                </c:pt>
                <c:pt idx="159">
                  <c:v>6.9833333333333334</c:v>
                </c:pt>
                <c:pt idx="160">
                  <c:v>10.141666666666666</c:v>
                </c:pt>
                <c:pt idx="161">
                  <c:v>9.221166666666667</c:v>
                </c:pt>
                <c:pt idx="162">
                  <c:v>5.871833333333333</c:v>
                </c:pt>
                <c:pt idx="163">
                  <c:v>10.259333333333334</c:v>
                </c:pt>
                <c:pt idx="164">
                  <c:v>8.7008333333333336</c:v>
                </c:pt>
                <c:pt idx="165">
                  <c:v>7.6611666666666665</c:v>
                </c:pt>
                <c:pt idx="166">
                  <c:v>12.477</c:v>
                </c:pt>
                <c:pt idx="167">
                  <c:v>6.8403333333333336</c:v>
                </c:pt>
                <c:pt idx="168">
                  <c:v>5.730500000000001</c:v>
                </c:pt>
                <c:pt idx="169">
                  <c:v>8.6174999999999997</c:v>
                </c:pt>
                <c:pt idx="170">
                  <c:v>11.373333333333333</c:v>
                </c:pt>
                <c:pt idx="171">
                  <c:v>8.105833333333333</c:v>
                </c:pt>
                <c:pt idx="172">
                  <c:v>12.0945</c:v>
                </c:pt>
                <c:pt idx="173">
                  <c:v>13.916</c:v>
                </c:pt>
                <c:pt idx="174">
                  <c:v>4.4628333333333332</c:v>
                </c:pt>
                <c:pt idx="175">
                  <c:v>7.53</c:v>
                </c:pt>
                <c:pt idx="176">
                  <c:v>22.336500000000001</c:v>
                </c:pt>
                <c:pt idx="177">
                  <c:v>4.1896666666666667</c:v>
                </c:pt>
                <c:pt idx="178">
                  <c:v>6.0866666666666669</c:v>
                </c:pt>
                <c:pt idx="179">
                  <c:v>14.153499999999999</c:v>
                </c:pt>
                <c:pt idx="180">
                  <c:v>8.2465000000000011</c:v>
                </c:pt>
                <c:pt idx="181">
                  <c:v>9.0060000000000002</c:v>
                </c:pt>
                <c:pt idx="182">
                  <c:v>26.222333333333331</c:v>
                </c:pt>
                <c:pt idx="183">
                  <c:v>6.3571666666666671</c:v>
                </c:pt>
                <c:pt idx="184">
                  <c:v>24.091833333333334</c:v>
                </c:pt>
                <c:pt idx="185">
                  <c:v>22.729833333333335</c:v>
                </c:pt>
                <c:pt idx="186">
                  <c:v>11.358500000000001</c:v>
                </c:pt>
                <c:pt idx="187">
                  <c:v>8.5429999999999993</c:v>
                </c:pt>
              </c:numCache>
            </c:numRef>
          </c:yVal>
          <c:smooth val="0"/>
          <c:extLst>
            <c:ext xmlns:c16="http://schemas.microsoft.com/office/drawing/2014/chart" uri="{C3380CC4-5D6E-409C-BE32-E72D297353CC}">
              <c16:uniqueId val="{00000000-43E9-499A-9ECC-4E9F5AF8EEE2}"/>
            </c:ext>
          </c:extLst>
        </c:ser>
        <c:dLbls>
          <c:showLegendKey val="0"/>
          <c:showVal val="0"/>
          <c:showCatName val="0"/>
          <c:showSerName val="0"/>
          <c:showPercent val="0"/>
          <c:showBubbleSize val="0"/>
        </c:dLbls>
        <c:axId val="742769624"/>
        <c:axId val="742772248"/>
      </c:scatterChart>
      <c:valAx>
        <c:axId val="742769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Subjective comprehensibility</a:t>
                </a:r>
                <a:endParaRPr lang="cs-C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72248"/>
        <c:crosses val="autoZero"/>
        <c:crossBetween val="midCat"/>
      </c:valAx>
      <c:valAx>
        <c:axId val="742772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taken to complete</a:t>
                </a:r>
                <a:r>
                  <a:rPr lang="en-US" baseline="0"/>
                  <a:t> (minutes)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69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261937</xdr:colOff>
      <xdr:row>6</xdr:row>
      <xdr:rowOff>19050</xdr:rowOff>
    </xdr:from>
    <xdr:to>
      <xdr:col>14</xdr:col>
      <xdr:colOff>566737</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757236</xdr:colOff>
      <xdr:row>11</xdr:row>
      <xdr:rowOff>19050</xdr:rowOff>
    </xdr:from>
    <xdr:to>
      <xdr:col>5</xdr:col>
      <xdr:colOff>495300</xdr:colOff>
      <xdr:row>32</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338137</xdr:colOff>
      <xdr:row>1</xdr:row>
      <xdr:rowOff>161924</xdr:rowOff>
    </xdr:from>
    <xdr:to>
      <xdr:col>8</xdr:col>
      <xdr:colOff>647700</xdr:colOff>
      <xdr:row>15</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557211</xdr:colOff>
      <xdr:row>2</xdr:row>
      <xdr:rowOff>171450</xdr:rowOff>
    </xdr:from>
    <xdr:to>
      <xdr:col>8</xdr:col>
      <xdr:colOff>657225</xdr:colOff>
      <xdr:row>16</xdr:row>
      <xdr:rowOff>47626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0</xdr:row>
      <xdr:rowOff>1</xdr:rowOff>
    </xdr:from>
    <xdr:to>
      <xdr:col>8</xdr:col>
      <xdr:colOff>109537</xdr:colOff>
      <xdr:row>16</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223837</xdr:colOff>
      <xdr:row>1</xdr:row>
      <xdr:rowOff>152400</xdr:rowOff>
    </xdr:from>
    <xdr:to>
      <xdr:col>8</xdr:col>
      <xdr:colOff>700087</xdr:colOff>
      <xdr:row>16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ri Zarsky" refreshedDate="43786.733150810185" createdVersion="6" refreshedVersion="6" minRefreshableVersion="3" recordCount="201">
  <cacheSource type="worksheet">
    <worksheetSource name="Table2"/>
  </cacheSource>
  <cacheFields count="97">
    <cacheField name="run" numFmtId="0">
      <sharedItems count="4">
        <s v="full"/>
        <s v="full3"/>
        <s v="full2"/>
        <s v="test" u="1"/>
      </sharedItems>
    </cacheField>
    <cacheField name="visualization" numFmtId="0">
      <sharedItems count="3">
        <s v="Wordcloud"/>
        <s v="Z-score charts"/>
        <s v="Z-score wordcloud"/>
      </sharedItems>
    </cacheField>
    <cacheField name="id" numFmtId="0">
      <sharedItems containsSemiMixedTypes="0" containsString="0" containsNumber="1" containsInteger="1" minValue="10" maxValue="96"/>
    </cacheField>
    <cacheField name="submitdate" numFmtId="0">
      <sharedItems/>
    </cacheField>
    <cacheField name="lastpage" numFmtId="0">
      <sharedItems containsSemiMixedTypes="0" containsString="0" containsNumber="1" containsInteger="1" minValue="6" maxValue="6"/>
    </cacheField>
    <cacheField name="startlanguage" numFmtId="0">
      <sharedItems/>
    </cacheField>
    <cacheField name="seed" numFmtId="0">
      <sharedItems containsSemiMixedTypes="0" containsString="0" containsNumber="1" containsInteger="1" minValue="5236748" maxValue="2146845613"/>
    </cacheField>
    <cacheField name="startdate" numFmtId="0">
      <sharedItems/>
    </cacheField>
    <cacheField name="datestamp" numFmtId="0">
      <sharedItems/>
    </cacheField>
    <cacheField name="refurl" numFmtId="0">
      <sharedItems containsBlank="1"/>
    </cacheField>
    <cacheField name="exclude" numFmtId="0">
      <sharedItems count="2">
        <s v="no"/>
        <s v="yes"/>
      </sharedItems>
    </cacheField>
    <cacheField name="priorSuccessRatio" numFmtId="9">
      <sharedItems containsSemiMixedTypes="0" containsString="0" containsNumber="1" minValue="0" maxValue="1"/>
    </cacheField>
    <cacheField name="classifySuccessRatio" numFmtId="9">
      <sharedItems containsSemiMixedTypes="0" containsString="0" containsNumber="1" minValue="0" maxValue="1"/>
    </cacheField>
    <cacheField name="explainSuccessRatio" numFmtId="9">
      <sharedItems containsSemiMixedTypes="0" containsString="0" containsNumber="1" minValue="0.125" maxValue="1"/>
    </cacheField>
    <cacheField name="validateSuccessRatio" numFmtId="9">
      <sharedItems containsSemiMixedTypes="0" containsString="0" containsNumber="1" minValue="0.125" maxValue="1"/>
    </cacheField>
    <cacheField name="subjectiveComprehensibility" numFmtId="1">
      <sharedItems containsSemiMixedTypes="0" containsString="0" containsNumber="1" containsInteger="1" minValue="1" maxValue="5"/>
    </cacheField>
    <cacheField name="totalCorrectAnswers" numFmtId="0">
      <sharedItems containsSemiMixedTypes="0" containsString="0" containsNumber="1" containsInteger="1" minValue="5" maxValue="22"/>
    </cacheField>
    <cacheField name="timeToComplete" numFmtId="0">
      <sharedItems containsSemiMixedTypes="0" containsString="0" containsNumber="1" minValue="2.9483333333333333" maxValue="33.597833333333334"/>
    </cacheField>
    <cacheField name="tasksTimeToComplete" numFmtId="0">
      <sharedItems containsSemiMixedTypes="0" containsString="0" containsNumber="1" minValue="1.7384999999999997" maxValue="30.003999999999998"/>
    </cacheField>
    <cacheField name="totalSuccessRatio" numFmtId="9">
      <sharedItems containsSemiMixedTypes="0" containsString="0" containsNumber="1" minValue="0.22727272727272727" maxValue="1"/>
    </cacheField>
    <cacheField name="priorKnowledgeTechAvg" numFmtId="2">
      <sharedItems containsSemiMixedTypes="0" containsString="0" containsNumber="1" minValue="1" maxValue="10"/>
    </cacheField>
    <cacheField name="priorKnowledgeTechQuestionCount" numFmtId="0">
      <sharedItems containsSemiMixedTypes="0" containsString="0" containsNumber="1" containsInteger="1" minValue="2" maxValue="3"/>
    </cacheField>
    <cacheField name="prolific" numFmtId="0">
      <sharedItems/>
    </cacheField>
    <cacheField name="priorKnowledge[CLUSTERING]" numFmtId="0">
      <sharedItems containsSemiMixedTypes="0" containsString="0" containsNumber="1" containsInteger="1" minValue="1" maxValue="10"/>
    </cacheField>
    <cacheField name="priorKnowledge[NLP]" numFmtId="0">
      <sharedItems containsSemiMixedTypes="0" containsString="0" containsNumber="1" containsInteger="1" minValue="1" maxValue="10"/>
    </cacheField>
    <cacheField name="priorKnowledge[ZSCORES]" numFmtId="0">
      <sharedItems containsSemiMixedTypes="0" containsString="0" containsNumber="1" containsInteger="1" minValue="0" maxValue="10"/>
    </cacheField>
    <cacheField name="priorKnowledge[RUSSIA]" numFmtId="0">
      <sharedItems containsSemiMixedTypes="0" containsString="0" containsNumber="1" containsInteger="1" minValue="1" maxValue="10"/>
    </cacheField>
    <cacheField name="priorClinton" numFmtId="0">
      <sharedItems/>
    </cacheField>
    <cacheField name="priorTrump" numFmtId="0">
      <sharedItems/>
    </cacheField>
    <cacheField name="priorWinner" numFmtId="0">
      <sharedItems/>
    </cacheField>
    <cacheField name="cluster3" numFmtId="0">
      <sharedItems/>
    </cacheField>
    <cacheField name="cluster5" numFmtId="0">
      <sharedItems/>
    </cacheField>
    <cacheField name="cluster1" numFmtId="0">
      <sharedItems/>
    </cacheField>
    <cacheField name="cluster0" numFmtId="0">
      <sharedItems/>
    </cacheField>
    <cacheField name="cliuster2" numFmtId="0">
      <sharedItems/>
    </cacheField>
    <cacheField name="cluster4" numFmtId="0">
      <sharedItems/>
    </cacheField>
    <cacheField name="explain1" numFmtId="0">
      <sharedItems/>
    </cacheField>
    <cacheField name="explain2" numFmtId="0">
      <sharedItems/>
    </cacheField>
    <cacheField name="explain3" numFmtId="0">
      <sharedItems/>
    </cacheField>
    <cacheField name="explain4" numFmtId="0">
      <sharedItems/>
    </cacheField>
    <cacheField name="explain5" numFmtId="0">
      <sharedItems/>
    </cacheField>
    <cacheField name="explain6" numFmtId="0">
      <sharedItems/>
    </cacheField>
    <cacheField name="explain7" numFmtId="0">
      <sharedItems/>
    </cacheField>
    <cacheField name="explain8" numFmtId="0">
      <sharedItems/>
    </cacheField>
    <cacheField name="validate1" numFmtId="0">
      <sharedItems/>
    </cacheField>
    <cacheField name="validate2" numFmtId="0">
      <sharedItems/>
    </cacheField>
    <cacheField name="validate3" numFmtId="0">
      <sharedItems/>
    </cacheField>
    <cacheField name="validate4" numFmtId="0">
      <sharedItems/>
    </cacheField>
    <cacheField name="validate5" numFmtId="0">
      <sharedItems/>
    </cacheField>
    <cacheField name="validate6" numFmtId="0">
      <sharedItems/>
    </cacheField>
    <cacheField name="validate7" numFmtId="0">
      <sharedItems/>
    </cacheField>
    <cacheField name="validate8" numFmtId="0">
      <sharedItems/>
    </cacheField>
    <cacheField name="comprescore" numFmtId="0">
      <sharedItems count="5">
        <s v="comprehensible"/>
        <s v="difficult to comprehend"/>
        <s v="easy to comprehend"/>
        <s v="very easy to comprehend"/>
        <s v="very difficult to comprehend"/>
      </sharedItems>
    </cacheField>
    <cacheField name="comprecomment" numFmtId="0">
      <sharedItems containsBlank="1" longText="1"/>
    </cacheField>
    <cacheField name="feedback" numFmtId="0">
      <sharedItems containsNonDate="0" containsString="0" containsBlank="1"/>
    </cacheField>
    <cacheField name="interviewminutes" numFmtId="0">
      <sharedItems containsSemiMixedTypes="0" containsString="0" containsNumber="1" minValue="2.9483333333333333" maxValue="33.597833333333334"/>
    </cacheField>
    <cacheField name="interviewtime" numFmtId="0">
      <sharedItems containsSemiMixedTypes="0" containsString="0" containsNumber="1" minValue="176.9" maxValue="2015.87"/>
    </cacheField>
    <cacheField name="groupTime26" numFmtId="0">
      <sharedItems containsSemiMixedTypes="0" containsString="0" containsNumber="1" minValue="3.37" maxValue="243.02"/>
    </cacheField>
    <cacheField name="prolificTime" numFmtId="0">
      <sharedItems containsNonDate="0" containsString="0" containsBlank="1"/>
    </cacheField>
    <cacheField name="groupTime21" numFmtId="0">
      <sharedItems containsSemiMixedTypes="0" containsString="0" containsNumber="1" minValue="15.51" maxValue="367.62"/>
    </cacheField>
    <cacheField name="priorKnowledgeTime" numFmtId="0">
      <sharedItems containsNonDate="0" containsString="0" containsBlank="1"/>
    </cacheField>
    <cacheField name="priorClintonTime" numFmtId="0">
      <sharedItems containsNonDate="0" containsString="0" containsBlank="1"/>
    </cacheField>
    <cacheField name="priorTrumpTime" numFmtId="0">
      <sharedItems containsNonDate="0" containsString="0" containsBlank="1"/>
    </cacheField>
    <cacheField name="priorWinnerTime" numFmtId="0">
      <sharedItems containsNonDate="0" containsString="0" containsBlank="1"/>
    </cacheField>
    <cacheField name="groupTime22" numFmtId="0">
      <sharedItems containsSemiMixedTypes="0" containsString="0" containsNumber="1" minValue="36.86" maxValue="1240.78"/>
    </cacheField>
    <cacheField name="cluster3Time" numFmtId="0">
      <sharedItems containsNonDate="0" containsString="0" containsBlank="1"/>
    </cacheField>
    <cacheField name="cluster5Time" numFmtId="0">
      <sharedItems containsNonDate="0" containsString="0" containsBlank="1"/>
    </cacheField>
    <cacheField name="cluster1Time" numFmtId="0">
      <sharedItems containsNonDate="0" containsString="0" containsBlank="1"/>
    </cacheField>
    <cacheField name="cluster0Time" numFmtId="0">
      <sharedItems containsNonDate="0" containsString="0" containsBlank="1"/>
    </cacheField>
    <cacheField name="cliuster2Time" numFmtId="0">
      <sharedItems containsNonDate="0" containsString="0" containsBlank="1"/>
    </cacheField>
    <cacheField name="cluster4Time" numFmtId="0">
      <sharedItems containsNonDate="0" containsString="0" containsBlank="1"/>
    </cacheField>
    <cacheField name="groupTime23" numFmtId="0">
      <sharedItems containsSemiMixedTypes="0" containsString="0" containsNumber="1" minValue="44.27" maxValue="1329.3"/>
    </cacheField>
    <cacheField name="explain1Time" numFmtId="0">
      <sharedItems containsNonDate="0" containsString="0" containsBlank="1"/>
    </cacheField>
    <cacheField name="explain2Time" numFmtId="0">
      <sharedItems containsNonDate="0" containsString="0" containsBlank="1"/>
    </cacheField>
    <cacheField name="explain3Time" numFmtId="0">
      <sharedItems containsNonDate="0" containsString="0" containsBlank="1"/>
    </cacheField>
    <cacheField name="explain4Time" numFmtId="0">
      <sharedItems containsNonDate="0" containsString="0" containsBlank="1"/>
    </cacheField>
    <cacheField name="explain5Time" numFmtId="0">
      <sharedItems containsNonDate="0" containsString="0" containsBlank="1"/>
    </cacheField>
    <cacheField name="explain6Time" numFmtId="0">
      <sharedItems containsNonDate="0" containsString="0" containsBlank="1"/>
    </cacheField>
    <cacheField name="explain7Time" numFmtId="0">
      <sharedItems containsNonDate="0" containsString="0" containsBlank="1"/>
    </cacheField>
    <cacheField name="explain8Time" numFmtId="0">
      <sharedItems containsNonDate="0" containsString="0" containsBlank="1"/>
    </cacheField>
    <cacheField name="groupTime24" numFmtId="0">
      <sharedItems containsSemiMixedTypes="0" containsString="0" containsNumber="1" minValue="14.69" maxValue="857.7"/>
    </cacheField>
    <cacheField name="validate1Time" numFmtId="0">
      <sharedItems containsNonDate="0" containsString="0" containsBlank="1"/>
    </cacheField>
    <cacheField name="validate2Time" numFmtId="0">
      <sharedItems containsNonDate="0" containsString="0" containsBlank="1"/>
    </cacheField>
    <cacheField name="validate3Time" numFmtId="0">
      <sharedItems containsNonDate="0" containsString="0" containsBlank="1"/>
    </cacheField>
    <cacheField name="validate4Time" numFmtId="0">
      <sharedItems containsNonDate="0" containsString="0" containsBlank="1"/>
    </cacheField>
    <cacheField name="validate5Time" numFmtId="0">
      <sharedItems containsNonDate="0" containsString="0" containsBlank="1"/>
    </cacheField>
    <cacheField name="validate6Time" numFmtId="0">
      <sharedItems containsNonDate="0" containsString="0" containsBlank="1"/>
    </cacheField>
    <cacheField name="validate7Time" numFmtId="0">
      <sharedItems containsNonDate="0" containsString="0" containsBlank="1"/>
    </cacheField>
    <cacheField name="validate8Time" numFmtId="0">
      <sharedItems containsNonDate="0" containsString="0" containsBlank="1"/>
    </cacheField>
    <cacheField name="groupTime25" numFmtId="0">
      <sharedItems containsSemiMixedTypes="0" containsString="0" containsNumber="1" minValue="5.93" maxValue="356.78"/>
    </cacheField>
    <cacheField name="comprescoreTime" numFmtId="0">
      <sharedItems containsNonDate="0" containsString="0" containsBlank="1"/>
    </cacheField>
    <cacheField name="comprecommentTime" numFmtId="0">
      <sharedItems containsNonDate="0" containsString="0" containsBlank="1"/>
    </cacheField>
    <cacheField name="groupTime31" numFmtId="0">
      <sharedItems containsNonDate="0" containsString="0" containsBlank="1"/>
    </cacheField>
    <cacheField name="feedbackTime" numFmtId="0">
      <sharedItems containsNonDate="0" containsString="0" containsBlank="1"/>
    </cacheField>
    <cacheField name="classifyTime" numFmtId="0">
      <sharedItems containsSemiMixedTypes="0" containsString="0" containsNumber="1" minValue="0.61433333333333329" maxValue="20.679666666666666"/>
    </cacheField>
    <cacheField name="explainTime" numFmtId="0">
      <sharedItems containsSemiMixedTypes="0" containsString="0" containsNumber="1" minValue="0.73783333333333334" maxValue="22.154999999999998"/>
    </cacheField>
    <cacheField name="validateTime" numFmtId="0">
      <sharedItems containsSemiMixedTypes="0" containsString="0" containsNumber="1" minValue="0.24483333333333332" maxValue="14.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x v="0"/>
    <n v="10"/>
    <s v="2019-09-06 10:36:54"/>
    <n v="6"/>
    <s v="en"/>
    <n v="1092705096"/>
    <s v="2019-09-06 10:30:33"/>
    <s v="2019-09-06 10:36:54"/>
    <s v="https://n-7gn6f3ymqlyeypjitxev2qsjqakgimt2ontr6eq-0lu-script.googleusercontent.com/userCodeAppPanel"/>
    <x v="0"/>
    <n v="1"/>
    <n v="0.66666666666666663"/>
    <n v="0.75"/>
    <n v="0.375"/>
    <n v="3"/>
    <n v="13"/>
    <n v="6.3936666666666664"/>
    <n v="4.9903333333333331"/>
    <n v="0.59090909090909094"/>
    <n v="4"/>
    <n v="2"/>
    <s v="5c6693d3a3636800013e2a5b"/>
    <n v="4"/>
    <n v="4"/>
    <n v="0"/>
    <n v="4"/>
    <s v="Democrats"/>
    <s v="Republicans"/>
    <s v="Donald Trump"/>
    <s v="Cluster 3"/>
    <s v="Cluster 2"/>
    <s v="Cluster 1"/>
    <s v="Cluster 0"/>
    <s v="Cluster 3"/>
    <s v="Cluster 4"/>
    <s v="love, heart, thing"/>
    <s v="black, police, white"/>
    <s v="police"/>
    <s v="trump"/>
    <s v="Cluster 3"/>
    <s v="Cluster 5"/>
    <s v="accounts that tweet American presidents"/>
    <s v="accounts that tweet about American presidents"/>
    <s v="False"/>
    <s v="False"/>
    <s v="True"/>
    <s v="False"/>
    <s v="False"/>
    <s v="True"/>
    <s v="False"/>
    <s v="True"/>
    <x v="0"/>
    <s v="I found it quite difficult at times to interpret what I could see but as the survey continued I was able to understand it better."/>
    <m/>
    <n v="6.3936666666666664"/>
    <n v="383.62"/>
    <n v="5.32"/>
    <m/>
    <n v="30.93"/>
    <m/>
    <m/>
    <m/>
    <m/>
    <n v="115.12"/>
    <m/>
    <m/>
    <m/>
    <m/>
    <m/>
    <m/>
    <n v="100.05"/>
    <m/>
    <m/>
    <m/>
    <m/>
    <m/>
    <m/>
    <m/>
    <m/>
    <n v="84.25"/>
    <m/>
    <m/>
    <m/>
    <m/>
    <m/>
    <m/>
    <m/>
    <m/>
    <n v="47.95"/>
    <m/>
    <m/>
    <m/>
    <m/>
    <n v="1.9186666666666667"/>
    <n v="1.6675"/>
    <n v="1.4041666666666666"/>
  </r>
  <r>
    <x v="0"/>
    <x v="0"/>
    <n v="11"/>
    <s v="2019-09-06 10:48:18"/>
    <n v="6"/>
    <s v="en"/>
    <n v="1699053247"/>
    <s v="2019-09-06 10:33:04"/>
    <s v="2019-09-06 10:48:18"/>
    <s v="https://n-7gn6f3ymqlyeypjitxev2qsjqakgimt2ontr6eq-0lu-script.googleusercontent.com/userCodeAppPanel"/>
    <x v="0"/>
    <n v="1"/>
    <n v="0.66666666666666663"/>
    <n v="1"/>
    <n v="0.5"/>
    <n v="3"/>
    <n v="16"/>
    <n v="15.286833333333334"/>
    <n v="13.227499999999999"/>
    <n v="0.72727272727272729"/>
    <n v="1.5"/>
    <n v="2"/>
    <s v="5b9b7d4608c0fc0001472a30"/>
    <n v="2"/>
    <n v="1"/>
    <n v="0"/>
    <n v="4"/>
    <s v="Democrats"/>
    <s v="Republicans"/>
    <s v="Donald Trump"/>
    <s v="Cluster 3"/>
    <s v="Cluster 2"/>
    <s v="Cluster 1"/>
    <s v="Cluster 0"/>
    <s v="Cluster 5"/>
    <s v="Cluster 4"/>
    <s v="love, heart, thing"/>
    <s v="black, police, white"/>
    <s v="news"/>
    <s v="trump"/>
    <s v="Cluster 3"/>
    <s v="Cluster 5"/>
    <s v="accounts that tweet about crime"/>
    <s v="accounts that tweet about American presidents"/>
    <s v="True"/>
    <s v="False"/>
    <s v="False"/>
    <s v="False"/>
    <s v="False"/>
    <s v="False"/>
    <s v="False"/>
    <s v="True"/>
    <x v="0"/>
    <s v="The risk is that you focus on the largest words and don't take in the smaller words. And it is sometimes hard to judge the relative significance/frequency of the different sized words in the cloud."/>
    <m/>
    <n v="15.286833333333334"/>
    <n v="917.21"/>
    <n v="6.09"/>
    <m/>
    <n v="48.91"/>
    <m/>
    <m/>
    <m/>
    <m/>
    <n v="288.77"/>
    <m/>
    <m/>
    <m/>
    <m/>
    <m/>
    <m/>
    <n v="252.66"/>
    <m/>
    <m/>
    <m/>
    <m/>
    <m/>
    <m/>
    <m/>
    <m/>
    <n v="252.22"/>
    <m/>
    <m/>
    <m/>
    <m/>
    <m/>
    <m/>
    <m/>
    <m/>
    <n v="68.56"/>
    <m/>
    <m/>
    <m/>
    <m/>
    <n v="4.8128333333333329"/>
    <n v="4.2110000000000003"/>
    <n v="4.2036666666666669"/>
  </r>
  <r>
    <x v="0"/>
    <x v="0"/>
    <n v="12"/>
    <s v="2019-09-06 10:48:54"/>
    <n v="6"/>
    <s v="en"/>
    <n v="1667809361"/>
    <s v="2019-09-06 10:40:34"/>
    <s v="2019-09-06 10:48:54"/>
    <s v="https://n-7gn6f3ymqlyeypjitxev2qsjqakgimt2ontr6eq-0lu-script.googleusercontent.com/userCodeAppPanel"/>
    <x v="0"/>
    <n v="1"/>
    <n v="0.5"/>
    <n v="0.75"/>
    <n v="0.75"/>
    <n v="3"/>
    <n v="15"/>
    <n v="8.3681666666666654"/>
    <n v="5.7291666666666661"/>
    <n v="0.68181818181818177"/>
    <n v="4.5"/>
    <n v="2"/>
    <s v="5b884440f325000001e561fa"/>
    <n v="2"/>
    <n v="7"/>
    <n v="0"/>
    <n v="5"/>
    <s v="Democrats"/>
    <s v="Republicans"/>
    <s v="Donald Trump"/>
    <s v="Cluster 3"/>
    <s v="Cluster 2"/>
    <s v="Cluster 4"/>
    <s v="Cluster 0"/>
    <s v="Cluster 2"/>
    <s v="Cluster 1"/>
    <s v="love, heart, thing"/>
    <s v="black, police, white"/>
    <s v="news"/>
    <s v="trump"/>
    <s v="Cluster 3"/>
    <s v="Cluster 2"/>
    <s v="accounts that tweet about news stories"/>
    <s v="accounts that tweet about American presidents"/>
    <s v="True"/>
    <s v="False"/>
    <s v="True"/>
    <s v="False"/>
    <s v="True"/>
    <s v="True"/>
    <s v="False"/>
    <s v="False"/>
    <x v="0"/>
    <s v="Quality of the understanding of the language"/>
    <m/>
    <n v="8.3681666666666654"/>
    <n v="502.09"/>
    <n v="6.05"/>
    <m/>
    <n v="92.94"/>
    <m/>
    <m/>
    <m/>
    <m/>
    <n v="158.38"/>
    <m/>
    <m/>
    <m/>
    <m/>
    <m/>
    <m/>
    <n v="90.36"/>
    <m/>
    <m/>
    <m/>
    <m/>
    <m/>
    <m/>
    <m/>
    <m/>
    <n v="95.01"/>
    <m/>
    <m/>
    <m/>
    <m/>
    <m/>
    <m/>
    <m/>
    <m/>
    <n v="59.35"/>
    <m/>
    <m/>
    <m/>
    <m/>
    <n v="2.6396666666666664"/>
    <n v="1.506"/>
    <n v="1.5835000000000001"/>
  </r>
  <r>
    <x v="0"/>
    <x v="0"/>
    <n v="13"/>
    <s v="2019-09-06 10:54:33"/>
    <n v="6"/>
    <s v="en"/>
    <n v="2015102773"/>
    <s v="2019-09-06 10:45:26"/>
    <s v="2019-09-06 10:54:32"/>
    <s v="https://n-7gn6f3ymqlyeypjitxev2qsjqakgimt2ontr6eq-0lu-script.googleusercontent.com/userCodeAppPanel"/>
    <x v="0"/>
    <n v="1"/>
    <n v="0.5"/>
    <n v="0.875"/>
    <n v="0.375"/>
    <n v="3"/>
    <n v="13"/>
    <n v="9.1513333333333335"/>
    <n v="6.5876666666666672"/>
    <n v="0.59090909090909094"/>
    <n v="1"/>
    <n v="2"/>
    <s v="5b77ee2d87d85f0001b9b3ff"/>
    <n v="1"/>
    <n v="1"/>
    <n v="0"/>
    <n v="1"/>
    <s v="Democrats"/>
    <s v="Republicans"/>
    <s v="Donald Trump"/>
    <s v="Cluster 3"/>
    <s v="Cluster 1"/>
    <s v="Cluster 5"/>
    <s v="Cluster 0"/>
    <s v="Cluster 2"/>
    <s v="Cluster 5"/>
    <s v="love, heart, thing"/>
    <s v="black, police, white"/>
    <s v="police"/>
    <s v="trump"/>
    <s v="Cluster 3"/>
    <s v="Cluster 5"/>
    <s v="accounts that tweet about crime"/>
    <s v="accounts that tweet about American presidents"/>
    <s v="True"/>
    <s v="False"/>
    <s v="False"/>
    <s v="False"/>
    <s v="False"/>
    <s v="True"/>
    <s v="False"/>
    <s v="True"/>
    <x v="0"/>
    <s v="comprehensible"/>
    <m/>
    <n v="9.1513333333333335"/>
    <n v="549.08000000000004"/>
    <n v="9.6300000000000008"/>
    <m/>
    <n v="101.16"/>
    <m/>
    <m/>
    <m/>
    <m/>
    <n v="141.32"/>
    <m/>
    <m/>
    <m/>
    <m/>
    <m/>
    <m/>
    <n v="100.6"/>
    <m/>
    <m/>
    <m/>
    <m/>
    <m/>
    <m/>
    <m/>
    <m/>
    <n v="153.34"/>
    <m/>
    <m/>
    <m/>
    <m/>
    <m/>
    <m/>
    <m/>
    <m/>
    <n v="43.03"/>
    <m/>
    <m/>
    <m/>
    <m/>
    <n v="2.3553333333333333"/>
    <n v="1.6766666666666665"/>
    <n v="2.5556666666666668"/>
  </r>
  <r>
    <x v="0"/>
    <x v="0"/>
    <n v="14"/>
    <s v="2019-09-06 10:53:55"/>
    <n v="6"/>
    <s v="en"/>
    <n v="1178430986"/>
    <s v="2019-09-06 10:46:48"/>
    <s v="2019-09-06 10:53:55"/>
    <s v="https://n-7gn6f3ymqlyeypjitxev2qsjqakgimt2ontr6eq-0lu-script.googleusercontent.com/userCodeAppPanel"/>
    <x v="0"/>
    <n v="1"/>
    <n v="0.5"/>
    <n v="0.5"/>
    <n v="0.5"/>
    <n v="4"/>
    <n v="11"/>
    <n v="7.1543333333333328"/>
    <n v="4.9673333333333334"/>
    <n v="0.5"/>
    <n v="4.5"/>
    <n v="2"/>
    <s v="5c9c7cc072bf7f0017b6b798"/>
    <n v="4"/>
    <n v="5"/>
    <n v="0"/>
    <n v="5"/>
    <s v="Democrats"/>
    <s v="Republicans"/>
    <s v="Donald Trump"/>
    <s v="Cluster 3"/>
    <s v="Cluster 2"/>
    <s v="Cluster 4"/>
    <s v="Cluster 5"/>
    <s v="Cluster 2"/>
    <s v="Cluster 4"/>
    <s v="love, heart, thing"/>
    <s v="black, police, white"/>
    <s v="black"/>
    <s v="new"/>
    <s v="Cluster 3"/>
    <s v="Cluster 5"/>
    <s v="accounts that tweet American presidents"/>
    <s v="accounts that tweet about news stories"/>
    <s v="True"/>
    <s v="False"/>
    <s v="True"/>
    <s v="False"/>
    <s v="False"/>
    <s v="True"/>
    <s v="False"/>
    <s v="True"/>
    <x v="1"/>
    <s v="Confusing and not in context"/>
    <m/>
    <n v="7.1543333333333328"/>
    <n v="429.26"/>
    <n v="6.97"/>
    <m/>
    <n v="54.83"/>
    <m/>
    <m/>
    <m/>
    <m/>
    <n v="144.5"/>
    <m/>
    <m/>
    <m/>
    <m/>
    <m/>
    <m/>
    <n v="99.51"/>
    <m/>
    <m/>
    <m/>
    <m/>
    <m/>
    <m/>
    <m/>
    <m/>
    <n v="54.03"/>
    <m/>
    <m/>
    <m/>
    <m/>
    <m/>
    <m/>
    <m/>
    <m/>
    <n v="69.42"/>
    <m/>
    <m/>
    <m/>
    <m/>
    <n v="2.4083333333333332"/>
    <n v="1.6585000000000001"/>
    <n v="0.90049999999999997"/>
  </r>
  <r>
    <x v="0"/>
    <x v="0"/>
    <n v="15"/>
    <s v="2019-09-06 11:07:17"/>
    <n v="6"/>
    <s v="en"/>
    <n v="1226816159"/>
    <s v="2019-09-06 10:49:16"/>
    <s v="2019-09-06 11:07:17"/>
    <s v="https://n-7gn6f3ymqlyeypjitxev2qsjqakgimt2ontr6eq-0lu-script.googleusercontent.com/userCodeAppPanel"/>
    <x v="0"/>
    <n v="1"/>
    <n v="1"/>
    <n v="0.875"/>
    <n v="0.5"/>
    <n v="2"/>
    <n v="17"/>
    <n v="18.078500000000002"/>
    <n v="15.1585"/>
    <n v="0.77272727272727271"/>
    <n v="1.5"/>
    <n v="2"/>
    <s v="5cc0e3310eb97100172de934"/>
    <n v="1"/>
    <n v="2"/>
    <n v="0"/>
    <n v="4"/>
    <s v="Democrats"/>
    <s v="Republicans"/>
    <s v="Donald Trump"/>
    <s v="Cluster 3"/>
    <s v="Cluster 5"/>
    <s v="Cluster 1"/>
    <s v="Cluster 0"/>
    <s v="Cluster 2"/>
    <s v="Cluster 4"/>
    <s v="love, heart, thing"/>
    <s v="black, police, white"/>
    <s v="news"/>
    <s v="look"/>
    <s v="Cluster 3"/>
    <s v="Cluster 5"/>
    <s v="accounts that tweet about crime"/>
    <s v="accounts that tweet about American presidents"/>
    <s v="True"/>
    <s v="False"/>
    <s v="True"/>
    <s v="False"/>
    <s v="False"/>
    <s v="True"/>
    <s v="False"/>
    <s v="True"/>
    <x v="2"/>
    <s v="The principle and the words are very easy to comprehend. However, the visualisation falls down by using colours that are difficult to see, eg. yellow or light green on white."/>
    <m/>
    <n v="18.078500000000002"/>
    <n v="1084.71"/>
    <n v="15.64"/>
    <m/>
    <n v="58.65"/>
    <m/>
    <m/>
    <m/>
    <m/>
    <n v="464.82"/>
    <m/>
    <m/>
    <m/>
    <m/>
    <m/>
    <m/>
    <n v="232.11"/>
    <m/>
    <m/>
    <m/>
    <m/>
    <m/>
    <m/>
    <m/>
    <m/>
    <n v="212.58"/>
    <m/>
    <m/>
    <m/>
    <m/>
    <m/>
    <m/>
    <m/>
    <m/>
    <n v="100.91"/>
    <m/>
    <m/>
    <m/>
    <m/>
    <n v="7.7469999999999999"/>
    <n v="3.8685"/>
    <n v="3.5430000000000001"/>
  </r>
  <r>
    <x v="0"/>
    <x v="0"/>
    <n v="16"/>
    <s v="2019-09-06 11:11:56"/>
    <n v="6"/>
    <s v="en"/>
    <n v="1764711888"/>
    <s v="2019-09-06 10:51:07"/>
    <s v="2019-09-06 11:11:56"/>
    <s v="https://n-7gn6f3ymqlyeypjitxev2qsjqakgimt2ontr6eq-0lu-script.googleusercontent.com/userCodeAppPanel"/>
    <x v="0"/>
    <n v="1"/>
    <n v="1"/>
    <n v="0.625"/>
    <n v="0.625"/>
    <n v="2"/>
    <n v="16"/>
    <n v="20.867999999999999"/>
    <n v="18.985333333333333"/>
    <n v="0.72727272727272729"/>
    <n v="1"/>
    <n v="2"/>
    <s v="5d1bb1ba36b2500019b307fa"/>
    <n v="1"/>
    <n v="1"/>
    <n v="0"/>
    <n v="9"/>
    <s v="Democrats"/>
    <s v="Republicans"/>
    <s v="Donald Trump"/>
    <s v="Cluster 3"/>
    <s v="Cluster 5"/>
    <s v="Cluster 1"/>
    <s v="Cluster 0"/>
    <s v="Cluster 2"/>
    <s v="Cluster 4"/>
    <s v="love, heart, thing"/>
    <s v="black, police, white"/>
    <s v="police"/>
    <s v="obama"/>
    <s v="Cluster 3"/>
    <s v="Cluster 5"/>
    <s v="accounts that tweet about news stories"/>
    <s v="accounts that tweet about American presidents"/>
    <s v="True"/>
    <s v="False"/>
    <s v="False"/>
    <s v="False"/>
    <s v="True"/>
    <s v="True"/>
    <s v="True"/>
    <s v="True"/>
    <x v="2"/>
    <s v="It does help to visualise/categorise the twits better"/>
    <m/>
    <n v="20.867999999999999"/>
    <n v="1252.08"/>
    <n v="25.89"/>
    <m/>
    <n v="46.48"/>
    <m/>
    <m/>
    <m/>
    <m/>
    <n v="532.29999999999995"/>
    <m/>
    <m/>
    <m/>
    <m/>
    <m/>
    <m/>
    <n v="296.02"/>
    <m/>
    <m/>
    <m/>
    <m/>
    <m/>
    <m/>
    <m/>
    <m/>
    <n v="310.8"/>
    <m/>
    <m/>
    <m/>
    <m/>
    <m/>
    <m/>
    <m/>
    <m/>
    <n v="40.590000000000003"/>
    <m/>
    <m/>
    <m/>
    <m/>
    <n v="8.8716666666666661"/>
    <n v="4.9336666666666664"/>
    <n v="5.1800000000000006"/>
  </r>
  <r>
    <x v="0"/>
    <x v="0"/>
    <n v="17"/>
    <s v="2019-09-06 11:08:30"/>
    <n v="6"/>
    <s v="en"/>
    <n v="2143369027"/>
    <s v="2019-09-06 10:53:38"/>
    <s v="2019-09-06 11:08:30"/>
    <s v="https://n-7gn6f3ymqlyeypjitxev2qsjqakgimt2ontr6eq-0lu-script.googleusercontent.com/userCodeAppPanel"/>
    <x v="0"/>
    <n v="1"/>
    <n v="0.5"/>
    <n v="0.375"/>
    <n v="0.75"/>
    <n v="4"/>
    <n v="12"/>
    <n v="14.911333333333333"/>
    <n v="12.786666666666669"/>
    <n v="0.54545454545454541"/>
    <n v="3"/>
    <n v="2"/>
    <s v="5ce193181b186d0018af0392"/>
    <n v="3"/>
    <n v="3"/>
    <n v="0"/>
    <n v="5"/>
    <s v="Democrats"/>
    <s v="Republicans"/>
    <s v="Donald Trump"/>
    <s v="Cluster 3"/>
    <s v="Cluster 2"/>
    <s v="Cluster 1"/>
    <s v="Cluster 0"/>
    <s v="Cluster 5"/>
    <s v="Cluster 1"/>
    <s v="love, heart, thing"/>
    <s v="black, police, white"/>
    <s v="death"/>
    <s v="look"/>
    <s v="Cluster 0"/>
    <s v="Cluster 5"/>
    <s v="accounts that tweet American presidents"/>
    <s v="accounts that tweet about news stories"/>
    <s v="True"/>
    <s v="False"/>
    <s v="True"/>
    <s v="False"/>
    <s v="True"/>
    <s v="True"/>
    <s v="True"/>
    <s v="True"/>
    <x v="1"/>
    <s v="It could be difficult for some people and people could see it differently"/>
    <m/>
    <n v="14.911333333333333"/>
    <n v="894.68"/>
    <n v="3.83"/>
    <m/>
    <n v="19.21"/>
    <m/>
    <m/>
    <m/>
    <m/>
    <n v="341.26"/>
    <m/>
    <m/>
    <m/>
    <m/>
    <m/>
    <m/>
    <n v="287.42"/>
    <m/>
    <m/>
    <m/>
    <m/>
    <m/>
    <m/>
    <m/>
    <m/>
    <n v="138.52000000000001"/>
    <m/>
    <m/>
    <m/>
    <m/>
    <m/>
    <m/>
    <m/>
    <m/>
    <n v="104.44"/>
    <m/>
    <m/>
    <m/>
    <m/>
    <n v="5.6876666666666669"/>
    <n v="4.7903333333333338"/>
    <n v="2.3086666666666669"/>
  </r>
  <r>
    <x v="0"/>
    <x v="0"/>
    <n v="18"/>
    <s v="2019-09-06 11:04:46"/>
    <n v="6"/>
    <s v="en"/>
    <n v="838791738"/>
    <s v="2019-09-06 10:56:53"/>
    <s v="2019-09-06 11:04:46"/>
    <s v="https://n-7gn6f3ymqlyeypjitxev2qsjqakgimt2ontr6eq-0lu-script.googleusercontent.com/"/>
    <x v="0"/>
    <n v="1"/>
    <n v="0.83333333333333337"/>
    <n v="0.75"/>
    <n v="0.5"/>
    <n v="2"/>
    <n v="15"/>
    <n v="7.9389999999999992"/>
    <n v="7.0658333333333339"/>
    <n v="0.68181818181818177"/>
    <n v="2"/>
    <n v="2"/>
    <s v="597076ad965d930001322d01"/>
    <n v="2"/>
    <n v="2"/>
    <n v="0"/>
    <n v="2"/>
    <s v="Democrats"/>
    <s v="Republicans"/>
    <s v="Donald Trump"/>
    <s v="Cluster 3"/>
    <s v="Cluster 5"/>
    <s v="Cluster 1"/>
    <s v="Cluster 0"/>
    <s v="Cluster 3"/>
    <s v="Cluster 4"/>
    <s v="love, heart, thing"/>
    <s v="police, Trump, Obama"/>
    <s v="news"/>
    <s v="trump"/>
    <s v="Cluster 3"/>
    <s v="Cluster 5"/>
    <s v="accounts that tweet American presidents"/>
    <s v="accounts that tweet about American presidents"/>
    <s v="True"/>
    <s v="True"/>
    <s v="True"/>
    <s v="False"/>
    <s v="False"/>
    <s v="True"/>
    <s v="False"/>
    <s v="False"/>
    <x v="2"/>
    <s v="It is hard to remember so many"/>
    <m/>
    <n v="7.9389999999999992"/>
    <n v="476.34"/>
    <n v="5.67"/>
    <m/>
    <n v="25.3"/>
    <m/>
    <m/>
    <m/>
    <m/>
    <n v="112.23"/>
    <m/>
    <m/>
    <m/>
    <m/>
    <m/>
    <m/>
    <n v="122.77"/>
    <m/>
    <m/>
    <m/>
    <m/>
    <m/>
    <m/>
    <m/>
    <m/>
    <n v="188.95"/>
    <m/>
    <m/>
    <m/>
    <m/>
    <m/>
    <m/>
    <m/>
    <m/>
    <n v="21.42"/>
    <m/>
    <m/>
    <m/>
    <m/>
    <n v="1.8705000000000001"/>
    <n v="2.0461666666666667"/>
    <n v="3.1491666666666664"/>
  </r>
  <r>
    <x v="0"/>
    <x v="0"/>
    <n v="19"/>
    <s v="2019-09-06 11:09:40"/>
    <n v="6"/>
    <s v="en"/>
    <n v="990103375"/>
    <s v="2019-09-06 10:57:09"/>
    <s v="2019-09-06 11:09:40"/>
    <s v="https://n-7gn6f3ymqlyeypjitxev2qsjqakgimt2ontr6eq-0lu-script.googleusercontent.com/userCodeAppPanel"/>
    <x v="0"/>
    <n v="1"/>
    <n v="0.33333333333333331"/>
    <n v="0.875"/>
    <n v="0.75"/>
    <n v="2"/>
    <n v="15"/>
    <n v="12.5885"/>
    <n v="10.739166666666668"/>
    <n v="0.68181818181818177"/>
    <n v="1"/>
    <n v="2"/>
    <s v="5ccb259c78e7d000013b2cae"/>
    <n v="1"/>
    <n v="1"/>
    <n v="0"/>
    <n v="7"/>
    <s v="Democrats"/>
    <s v="Republicans"/>
    <s v="Donald Trump"/>
    <s v="Cluster 3"/>
    <s v="Cluster 3"/>
    <s v="Cluster 4"/>
    <s v="Cluster 0"/>
    <s v="Cluster 0"/>
    <s v="Cluster 1"/>
    <s v="love, heart, thing"/>
    <s v="black, police, white"/>
    <s v="news"/>
    <s v="trump"/>
    <s v="Cluster 3"/>
    <s v="Cluster 5"/>
    <s v="accounts that tweet about news stories"/>
    <s v="accounts that tweet about American presidents"/>
    <s v="True"/>
    <s v="False"/>
    <s v="True"/>
    <s v="False"/>
    <s v="False"/>
    <s v="True"/>
    <s v="True"/>
    <s v="False"/>
    <x v="2"/>
    <s v="I find Word cloud easy to comprehend because it's like a summary."/>
    <m/>
    <n v="12.5885"/>
    <n v="755.31"/>
    <n v="6.62"/>
    <m/>
    <n v="51.52"/>
    <m/>
    <m/>
    <m/>
    <m/>
    <n v="224.41"/>
    <m/>
    <m/>
    <m/>
    <m/>
    <m/>
    <m/>
    <n v="249.94"/>
    <m/>
    <m/>
    <m/>
    <m/>
    <m/>
    <m/>
    <m/>
    <m/>
    <n v="170"/>
    <m/>
    <m/>
    <m/>
    <m/>
    <m/>
    <m/>
    <m/>
    <m/>
    <n v="52.82"/>
    <m/>
    <m/>
    <m/>
    <m/>
    <n v="3.7401666666666666"/>
    <n v="4.1656666666666666"/>
    <n v="2.8333333333333335"/>
  </r>
  <r>
    <x v="0"/>
    <x v="0"/>
    <n v="20"/>
    <s v="2019-09-06 11:13:33"/>
    <n v="6"/>
    <s v="en"/>
    <n v="1539168797"/>
    <s v="2019-09-06 10:58:39"/>
    <s v="2019-09-06 11:13:33"/>
    <s v="https://n-7gn6f3ymqlyeypjitxev2qsjqakgimt2ontr6eq-0lu-script.googleusercontent.com/userCodeAppPanel"/>
    <x v="0"/>
    <n v="1"/>
    <n v="0.66666666666666663"/>
    <n v="0.625"/>
    <n v="0.75"/>
    <n v="3"/>
    <n v="15"/>
    <n v="14.942666666666666"/>
    <n v="14.014333333333333"/>
    <n v="0.68181818181818177"/>
    <n v="2"/>
    <n v="2"/>
    <s v="5c63151b6414c8000172b062"/>
    <n v="2"/>
    <n v="2"/>
    <n v="0"/>
    <n v="7"/>
    <s v="Democrats"/>
    <s v="Republicans"/>
    <s v="Donald Trump"/>
    <s v="Cluster 3"/>
    <s v="Cluster 5"/>
    <s v="Cluster 4"/>
    <s v="Cluster 0"/>
    <s v="Cluster 2"/>
    <s v="Cluster 1"/>
    <s v="love, heart, thing"/>
    <s v="black, police, white"/>
    <s v="police"/>
    <s v="trump"/>
    <s v="Cluster 3"/>
    <s v="Cluster 5"/>
    <s v="accounts that tweet American presidents"/>
    <s v="accounts that tweet about news stories"/>
    <s v="True"/>
    <s v="False"/>
    <s v="False"/>
    <s v="False"/>
    <s v="True"/>
    <s v="True"/>
    <s v="True"/>
    <s v="False"/>
    <x v="0"/>
    <m/>
    <m/>
    <n v="14.942666666666666"/>
    <n v="896.56"/>
    <n v="5.34"/>
    <m/>
    <n v="34.450000000000003"/>
    <m/>
    <m/>
    <m/>
    <m/>
    <n v="320.36"/>
    <m/>
    <m/>
    <m/>
    <m/>
    <m/>
    <m/>
    <n v="371.04"/>
    <m/>
    <m/>
    <m/>
    <m/>
    <m/>
    <m/>
    <m/>
    <m/>
    <n v="149.46"/>
    <m/>
    <m/>
    <m/>
    <m/>
    <m/>
    <m/>
    <m/>
    <m/>
    <n v="15.91"/>
    <m/>
    <m/>
    <m/>
    <m/>
    <n v="5.3393333333333333"/>
    <n v="6.1840000000000002"/>
    <n v="2.4910000000000001"/>
  </r>
  <r>
    <x v="0"/>
    <x v="0"/>
    <n v="21"/>
    <s v="2019-09-06 11:25:09"/>
    <n v="6"/>
    <s v="en"/>
    <n v="2077133577"/>
    <s v="2019-09-06 10:58:49"/>
    <s v="2019-09-06 11:25:09"/>
    <s v="https://n-7gn6f3ymqlyeypjitxev2qsjqakgimt2ontr6eq-0lu-script.googleusercontent.com/blank"/>
    <x v="0"/>
    <n v="1"/>
    <n v="0.66666666666666663"/>
    <n v="0.875"/>
    <n v="0.625"/>
    <n v="1"/>
    <n v="16"/>
    <n v="26.366499999999998"/>
    <n v="24.321999999999999"/>
    <n v="0.72727272727272729"/>
    <n v="3"/>
    <n v="2"/>
    <s v="5cfbd834bd7c730001d1730d"/>
    <n v="3"/>
    <n v="3"/>
    <n v="0"/>
    <n v="6"/>
    <s v="Democrats"/>
    <s v="Republicans"/>
    <s v="Donald Trump"/>
    <s v="Cluster 3"/>
    <s v="Cluster 5"/>
    <s v="Cluster 1"/>
    <s v="Cluster 0"/>
    <s v="Cluster 3"/>
    <s v="Cluster 2"/>
    <s v="love, heart, thing"/>
    <s v="black, police, white"/>
    <s v="news"/>
    <s v="trump"/>
    <s v="Cluster 3"/>
    <s v="Cluster 3"/>
    <s v="accounts that tweet about crime"/>
    <s v="accounts that tweet about American presidents"/>
    <s v="True"/>
    <s v="False"/>
    <s v="True"/>
    <s v="False"/>
    <s v="False"/>
    <s v="True"/>
    <s v="False"/>
    <s v="False"/>
    <x v="3"/>
    <m/>
    <m/>
    <n v="26.366499999999998"/>
    <n v="1581.99"/>
    <n v="9.42"/>
    <m/>
    <n v="99.01"/>
    <m/>
    <m/>
    <m/>
    <m/>
    <n v="1091.1600000000001"/>
    <m/>
    <m/>
    <m/>
    <m/>
    <m/>
    <m/>
    <n v="206.64"/>
    <m/>
    <m/>
    <m/>
    <m/>
    <m/>
    <m/>
    <m/>
    <m/>
    <n v="161.52000000000001"/>
    <m/>
    <m/>
    <m/>
    <m/>
    <m/>
    <m/>
    <m/>
    <m/>
    <n v="14.24"/>
    <m/>
    <m/>
    <m/>
    <m/>
    <n v="18.186"/>
    <n v="3.444"/>
    <n v="2.6920000000000002"/>
  </r>
  <r>
    <x v="0"/>
    <x v="0"/>
    <n v="22"/>
    <s v="2019-09-06 11:12:44"/>
    <n v="6"/>
    <s v="en"/>
    <n v="1886327910"/>
    <s v="2019-09-06 11:01:17"/>
    <s v="2019-09-06 11:12:44"/>
    <s v="https://n-7gn6f3ymqlyeypjitxev2qsjqakgimt2ontr6eq-0lu-script.googleusercontent.com/userCodeAppPanel"/>
    <x v="0"/>
    <n v="1"/>
    <n v="1"/>
    <n v="1"/>
    <n v="0.625"/>
    <n v="3"/>
    <n v="19"/>
    <n v="11.502666666666666"/>
    <n v="10.013999999999999"/>
    <n v="0.86363636363636365"/>
    <n v="5"/>
    <n v="2"/>
    <s v="5ca7050c6fa13f00199cc2d4"/>
    <n v="5"/>
    <n v="5"/>
    <n v="0"/>
    <n v="8"/>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False"/>
    <s v="True"/>
    <x v="0"/>
    <s v="It lacks context but gives an overview of themes"/>
    <m/>
    <n v="11.502666666666666"/>
    <n v="690.16"/>
    <n v="14.83"/>
    <m/>
    <n v="31.1"/>
    <m/>
    <m/>
    <m/>
    <m/>
    <n v="280.58"/>
    <m/>
    <m/>
    <m/>
    <m/>
    <m/>
    <m/>
    <n v="218.54"/>
    <m/>
    <m/>
    <m/>
    <m/>
    <m/>
    <m/>
    <m/>
    <m/>
    <n v="101.72"/>
    <m/>
    <m/>
    <m/>
    <m/>
    <m/>
    <m/>
    <m/>
    <m/>
    <n v="43.39"/>
    <m/>
    <m/>
    <m/>
    <m/>
    <n v="4.676333333333333"/>
    <n v="3.6423333333333332"/>
    <n v="1.6953333333333334"/>
  </r>
  <r>
    <x v="0"/>
    <x v="0"/>
    <n v="23"/>
    <s v="2019-09-06 11:15:22"/>
    <n v="6"/>
    <s v="en"/>
    <n v="281208419"/>
    <s v="2019-09-06 11:03:04"/>
    <s v="2019-09-06 11:15:22"/>
    <s v="https://n-7gn6f3ymqlyeypjitxev2qsjqakgimt2ontr6eq-0lu-script.googleusercontent.com/blank"/>
    <x v="0"/>
    <n v="1"/>
    <n v="1"/>
    <n v="0.75"/>
    <n v="0.5"/>
    <n v="3"/>
    <n v="16"/>
    <n v="12.343500000000001"/>
    <n v="10.568999999999999"/>
    <n v="0.72727272727272729"/>
    <n v="1"/>
    <n v="2"/>
    <s v="5d093ff714de190001842a6b"/>
    <n v="1"/>
    <n v="1"/>
    <n v="0"/>
    <n v="2"/>
    <s v="Democrats"/>
    <s v="Republicans"/>
    <s v="Donald Trump"/>
    <s v="Cluster 3"/>
    <s v="Cluster 5"/>
    <s v="Cluster 1"/>
    <s v="Cluster 0"/>
    <s v="Cluster 2"/>
    <s v="Cluster 4"/>
    <s v="love, heart, thing"/>
    <s v="black, police, white"/>
    <s v="news"/>
    <s v="look"/>
    <s v="Cluster 3"/>
    <s v="Cluster 5"/>
    <s v="accounts that tweet about news stories"/>
    <s v="accounts that tweet about American presidents"/>
    <s v="True"/>
    <s v="False"/>
    <s v="False"/>
    <s v="False"/>
    <s v="False"/>
    <s v="True"/>
    <s v="False"/>
    <s v="False"/>
    <x v="0"/>
    <s v="I tend to focus mainly on the 3-4 largest words. It feels like there are too many smaller words to take them all in, so I was at risk of generalising just based on the top 3-4 words."/>
    <m/>
    <n v="12.343500000000001"/>
    <n v="740.61"/>
    <n v="11.88"/>
    <m/>
    <n v="24.19"/>
    <m/>
    <m/>
    <m/>
    <m/>
    <n v="337.06"/>
    <m/>
    <m/>
    <m/>
    <m/>
    <m/>
    <m/>
    <n v="198.29"/>
    <m/>
    <m/>
    <m/>
    <m/>
    <m/>
    <m/>
    <m/>
    <m/>
    <n v="98.79"/>
    <m/>
    <m/>
    <m/>
    <m/>
    <m/>
    <m/>
    <m/>
    <m/>
    <n v="70.400000000000006"/>
    <m/>
    <m/>
    <m/>
    <m/>
    <n v="5.6176666666666666"/>
    <n v="3.3048333333333333"/>
    <n v="1.6465000000000001"/>
  </r>
  <r>
    <x v="0"/>
    <x v="0"/>
    <n v="24"/>
    <s v="2019-09-06 11:18:08"/>
    <n v="6"/>
    <s v="en"/>
    <n v="1595823853"/>
    <s v="2019-09-06 11:05:45"/>
    <s v="2019-09-06 11:18:08"/>
    <s v="https://n-7gn6f3ymqlyeypjitxev2qsjqakgimt2ontr6eq-0lu-script.googleusercontent.com/userCodeAppPanel"/>
    <x v="0"/>
    <n v="1"/>
    <n v="0.66666666666666663"/>
    <n v="0.875"/>
    <n v="0.5"/>
    <n v="2"/>
    <n v="15"/>
    <n v="12.457500000000001"/>
    <n v="10.939666666666668"/>
    <n v="0.68181818181818177"/>
    <n v="1"/>
    <n v="2"/>
    <s v="5c45bcf43d08e80001368aed"/>
    <n v="1"/>
    <n v="1"/>
    <n v="0"/>
    <n v="2"/>
    <s v="Democrats"/>
    <s v="Republicans"/>
    <s v="Donald Trump"/>
    <s v="Cluster 3"/>
    <s v="Cluster 5"/>
    <s v="Cluster 1"/>
    <s v="Cluster 0"/>
    <s v="Cluster 5"/>
    <s v="Cluster 2"/>
    <s v="love, heart, thing"/>
    <s v="black, police, white"/>
    <s v="news"/>
    <s v="trump"/>
    <s v="Cluster 3"/>
    <s v="Cluster 5"/>
    <s v="accounts that tweet about news stories"/>
    <s v="accounts that tweet about American presidents"/>
    <s v="True"/>
    <s v="False"/>
    <s v="False"/>
    <s v="False"/>
    <s v="False"/>
    <s v="False"/>
    <s v="False"/>
    <s v="True"/>
    <x v="2"/>
    <m/>
    <m/>
    <n v="12.457500000000001"/>
    <n v="747.45"/>
    <n v="10.35"/>
    <m/>
    <n v="55.18"/>
    <m/>
    <m/>
    <m/>
    <m/>
    <n v="374.6"/>
    <m/>
    <m/>
    <m/>
    <m/>
    <m/>
    <m/>
    <n v="158.80000000000001"/>
    <m/>
    <m/>
    <m/>
    <m/>
    <m/>
    <m/>
    <m/>
    <m/>
    <n v="122.98"/>
    <m/>
    <m/>
    <m/>
    <m/>
    <m/>
    <m/>
    <m/>
    <m/>
    <n v="25.54"/>
    <m/>
    <m/>
    <m/>
    <m/>
    <n v="6.2433333333333341"/>
    <n v="2.6466666666666669"/>
    <n v="2.0496666666666665"/>
  </r>
  <r>
    <x v="0"/>
    <x v="0"/>
    <n v="25"/>
    <s v="2019-09-06 11:28:13"/>
    <n v="6"/>
    <s v="en"/>
    <n v="36023937"/>
    <s v="2019-09-06 11:06:58"/>
    <s v="2019-09-06 11:28:13"/>
    <s v="https://n-7gn6f3ymqlyeypjitxev2qsjqakgimt2ontr6eq-0lu-script.googleusercontent.com/userCodeAppPanel"/>
    <x v="0"/>
    <n v="1"/>
    <n v="0.66666666666666663"/>
    <n v="1"/>
    <n v="0.75"/>
    <n v="3"/>
    <n v="18"/>
    <n v="21.304666666666666"/>
    <n v="14.572166666666668"/>
    <n v="0.81818181818181823"/>
    <n v="2.5"/>
    <n v="2"/>
    <s v="59f99e8305d1d60001f1484b"/>
    <n v="2"/>
    <n v="3"/>
    <n v="0"/>
    <n v="9"/>
    <s v="Democrats"/>
    <s v="Republicans"/>
    <s v="Donald Trump"/>
    <s v="Cluster 3"/>
    <s v="Cluster 2"/>
    <s v="Cluster 1"/>
    <s v="Cluster 0"/>
    <s v="Cluster 2"/>
    <s v="Cluster 1"/>
    <s v="love, heart, thing"/>
    <s v="black, police, white"/>
    <s v="news"/>
    <s v="trump"/>
    <s v="Cluster 3"/>
    <s v="Cluster 5"/>
    <s v="accounts that tweet about crime"/>
    <s v="accounts that tweet about American presidents"/>
    <s v="True"/>
    <s v="False"/>
    <s v="True"/>
    <s v="False"/>
    <s v="False"/>
    <s v="True"/>
    <s v="True"/>
    <s v="False"/>
    <x v="0"/>
    <s v="I found that it was reasonably easy to comprehend the general message that each panel of the tweet cloud visualizations was trying to get across. The larger sized text was key in getting the message across and the larger more colourful text was very eye-catching and influenced my reading of the messages."/>
    <m/>
    <n v="21.304666666666666"/>
    <n v="1278.28"/>
    <n v="7.01"/>
    <m/>
    <n v="40.159999999999997"/>
    <m/>
    <m/>
    <m/>
    <m/>
    <n v="403.85"/>
    <m/>
    <m/>
    <m/>
    <m/>
    <m/>
    <m/>
    <n v="277.8"/>
    <m/>
    <m/>
    <m/>
    <m/>
    <m/>
    <m/>
    <m/>
    <m/>
    <n v="192.68"/>
    <m/>
    <m/>
    <m/>
    <m/>
    <m/>
    <m/>
    <m/>
    <m/>
    <n v="356.78"/>
    <m/>
    <m/>
    <m/>
    <m/>
    <n v="6.7308333333333339"/>
    <n v="4.63"/>
    <n v="3.2113333333333336"/>
  </r>
  <r>
    <x v="0"/>
    <x v="0"/>
    <n v="26"/>
    <s v="2019-09-06 11:17:12"/>
    <n v="6"/>
    <s v="en"/>
    <n v="1442454672"/>
    <s v="2019-09-06 11:08:31"/>
    <s v="2019-09-06 11:17:12"/>
    <s v="https://n-7gn6f3ymqlyeypjitxev2qsjqakgimt2ontr6eq-0lu-script.googleusercontent.com/blank"/>
    <x v="0"/>
    <n v="1"/>
    <n v="0.33333333333333331"/>
    <n v="0.875"/>
    <n v="0.5"/>
    <n v="2"/>
    <n v="13"/>
    <n v="8.7110000000000003"/>
    <n v="7.4653333333333336"/>
    <n v="0.59090909090909094"/>
    <n v="1"/>
    <n v="2"/>
    <s v="5d53a5e5a8b69800169db103"/>
    <n v="1"/>
    <n v="1"/>
    <n v="0"/>
    <n v="3"/>
    <s v="Democrats"/>
    <s v="Republicans"/>
    <s v="Donald Trump"/>
    <s v="Cluster 3"/>
    <s v="Cluster 4"/>
    <s v="Cluster 2"/>
    <s v="Cluster 0"/>
    <s v="Cluster 5"/>
    <s v="Cluster 3"/>
    <s v="love, heart, thing"/>
    <s v="black, police, white"/>
    <s v="police"/>
    <s v="trump"/>
    <s v="Cluster 3"/>
    <s v="Cluster 5"/>
    <s v="accounts that tweet about crime"/>
    <s v="accounts that tweet about American presidents"/>
    <s v="True"/>
    <s v="False"/>
    <s v="False"/>
    <s v="False"/>
    <s v="False"/>
    <s v="False"/>
    <s v="False"/>
    <s v="True"/>
    <x v="2"/>
    <s v="An insightful, overarching view on someone’s digital timeline."/>
    <m/>
    <n v="8.7110000000000003"/>
    <n v="522.66"/>
    <n v="4.37"/>
    <m/>
    <n v="21.17"/>
    <m/>
    <m/>
    <m/>
    <m/>
    <n v="315.26"/>
    <m/>
    <m/>
    <m/>
    <m/>
    <m/>
    <m/>
    <n v="83.21"/>
    <m/>
    <m/>
    <m/>
    <m/>
    <m/>
    <m/>
    <m/>
    <m/>
    <n v="49.45"/>
    <m/>
    <m/>
    <m/>
    <m/>
    <m/>
    <m/>
    <m/>
    <m/>
    <n v="49.2"/>
    <m/>
    <m/>
    <m/>
    <m/>
    <n v="5.2543333333333333"/>
    <n v="1.3868333333333331"/>
    <n v="0.82416666666666671"/>
  </r>
  <r>
    <x v="0"/>
    <x v="0"/>
    <n v="27"/>
    <s v="2019-09-06 11:21:29"/>
    <n v="6"/>
    <s v="en"/>
    <n v="1989907371"/>
    <s v="2019-09-06 11:10:09"/>
    <s v="2019-09-06 11:21:29"/>
    <s v="https://n-7gn6f3ymqlyeypjitxev2qsjqakgimt2ontr6eq-0lu-script.googleusercontent.com/userCodeAppPanel"/>
    <x v="0"/>
    <n v="1"/>
    <n v="0.83333333333333337"/>
    <n v="0.625"/>
    <n v="0.375"/>
    <n v="3"/>
    <n v="13"/>
    <n v="11.394333333333332"/>
    <n v="10.203833333333332"/>
    <n v="0.59090909090909094"/>
    <n v="2"/>
    <n v="2"/>
    <s v="5c533f8fb78e9500010dbab7"/>
    <n v="2"/>
    <n v="2"/>
    <n v="0"/>
    <n v="4"/>
    <s v="Democrats"/>
    <s v="Republicans"/>
    <s v="Donald Trump"/>
    <s v="Cluster 3"/>
    <s v="Cluster 5"/>
    <s v="Cluster 1"/>
    <s v="Cluster 0"/>
    <s v="Cluster 2"/>
    <s v="Cluster 0"/>
    <s v="love, heart, thing"/>
    <s v="police, Trump, Obama"/>
    <s v="death"/>
    <s v="new"/>
    <s v="Cluster 3"/>
    <s v="Cluster 5"/>
    <s v="accounts that tweet about crime"/>
    <s v="accounts that tweet about American presidents"/>
    <s v="True"/>
    <s v="False"/>
    <s v="False"/>
    <s v="False"/>
    <s v="False"/>
    <s v="True"/>
    <s v="False"/>
    <s v="True"/>
    <x v="0"/>
    <m/>
    <m/>
    <n v="11.394333333333332"/>
    <n v="683.66"/>
    <n v="3.82"/>
    <m/>
    <n v="35.49"/>
    <m/>
    <m/>
    <m/>
    <m/>
    <n v="213.49"/>
    <m/>
    <m/>
    <m/>
    <m/>
    <m/>
    <m/>
    <n v="193.89"/>
    <m/>
    <m/>
    <m/>
    <m/>
    <m/>
    <m/>
    <m/>
    <m/>
    <n v="204.85"/>
    <m/>
    <m/>
    <m/>
    <m/>
    <m/>
    <m/>
    <m/>
    <m/>
    <n v="32.119999999999997"/>
    <m/>
    <m/>
    <m/>
    <m/>
    <n v="3.5581666666666667"/>
    <n v="3.2314999999999996"/>
    <n v="3.4141666666666666"/>
  </r>
  <r>
    <x v="0"/>
    <x v="0"/>
    <n v="28"/>
    <s v="2019-09-06 11:18:53"/>
    <n v="6"/>
    <s v="en"/>
    <n v="782854374"/>
    <s v="2019-09-06 11:10:11"/>
    <s v="2019-09-06 11:18:53"/>
    <s v="https://n-7gn6f3ymqlyeypjitxev2qsjqakgimt2ontr6eq-0lu-script.googleusercontent.com/userCodeAppPanel"/>
    <x v="0"/>
    <n v="1"/>
    <n v="0.66666666666666663"/>
    <n v="0.75"/>
    <n v="0.5"/>
    <n v="4"/>
    <n v="14"/>
    <n v="8.7573333333333334"/>
    <n v="7.1503333333333332"/>
    <n v="0.63636363636363635"/>
    <n v="2"/>
    <n v="2"/>
    <s v="5afbfb5f02b1b5000103e455"/>
    <n v="3"/>
    <n v="1"/>
    <n v="0"/>
    <n v="7"/>
    <s v="Democrats"/>
    <s v="Republicans"/>
    <s v="Donald Trump"/>
    <s v="Cluster 3"/>
    <s v="Cluster 4"/>
    <s v="Cluster 1"/>
    <s v="Cluster 0"/>
    <s v="Cluster 3"/>
    <s v="Cluster 4"/>
    <s v="love, heart, thing"/>
    <s v="black, police, white"/>
    <s v="black"/>
    <s v="trump"/>
    <s v="Cluster 3"/>
    <s v="Cluster 5"/>
    <s v="accounts that tweet about news stories"/>
    <s v="accounts that tweet about American presidents"/>
    <s v="True"/>
    <s v="False"/>
    <s v="True"/>
    <s v="False"/>
    <s v="False"/>
    <s v="True"/>
    <s v="False"/>
    <s v="True"/>
    <x v="1"/>
    <s v="The fact that all the words are clustered, with different sizes, orientation, colors, make it hard to read it beyond the largest words. It is very useful to gain an understanding of context, but very hard to gain specific ideas from it."/>
    <m/>
    <n v="8.7573333333333334"/>
    <n v="525.44000000000005"/>
    <n v="11.55"/>
    <m/>
    <n v="28.78"/>
    <m/>
    <m/>
    <m/>
    <m/>
    <n v="161.51"/>
    <m/>
    <m/>
    <m/>
    <m/>
    <m/>
    <m/>
    <n v="174.81"/>
    <m/>
    <m/>
    <m/>
    <m/>
    <m/>
    <m/>
    <m/>
    <m/>
    <n v="92.7"/>
    <m/>
    <m/>
    <m/>
    <m/>
    <m/>
    <m/>
    <m/>
    <m/>
    <n v="56.09"/>
    <m/>
    <m/>
    <m/>
    <m/>
    <n v="2.6918333333333333"/>
    <n v="2.9135"/>
    <n v="1.5450000000000002"/>
  </r>
  <r>
    <x v="0"/>
    <x v="0"/>
    <n v="29"/>
    <s v="2019-09-06 11:27:53"/>
    <n v="6"/>
    <s v="en"/>
    <n v="2144952950"/>
    <s v="2019-09-06 11:14:40"/>
    <s v="2019-09-06 11:27:53"/>
    <s v="https://n-7gn6f3ymqlyeypjitxev2qsjqakgimt2ontr6eq-0lu-script.googleusercontent.com/userCodeAppPanel"/>
    <x v="0"/>
    <n v="1"/>
    <n v="0.83333333333333337"/>
    <n v="1"/>
    <n v="0.5"/>
    <n v="2"/>
    <n v="17"/>
    <n v="13.251833333333334"/>
    <n v="11.327666666666667"/>
    <n v="0.77272727272727271"/>
    <n v="3.5"/>
    <n v="2"/>
    <s v="5bdcf08f05ed110001ab2bbf"/>
    <n v="1"/>
    <n v="6"/>
    <n v="0"/>
    <n v="3"/>
    <s v="Democrats"/>
    <s v="Republicans"/>
    <s v="Donald Trump"/>
    <s v="Cluster 3"/>
    <s v="Cluster 5"/>
    <s v="Cluster 4"/>
    <s v="Cluster 0"/>
    <s v="Cluster 2"/>
    <s v="Cluster 4"/>
    <s v="love, heart, thing"/>
    <s v="black, police, white"/>
    <s v="news"/>
    <s v="trump"/>
    <s v="Cluster 3"/>
    <s v="Cluster 5"/>
    <s v="accounts that tweet about crime"/>
    <s v="accounts that tweet about American presidents"/>
    <s v="True"/>
    <s v="False"/>
    <s v="True"/>
    <s v="False"/>
    <s v="False"/>
    <s v="True"/>
    <s v="False"/>
    <s v="True"/>
    <x v="2"/>
    <m/>
    <m/>
    <n v="13.251833333333334"/>
    <n v="795.11"/>
    <n v="9.9"/>
    <m/>
    <n v="98.4"/>
    <m/>
    <m/>
    <m/>
    <m/>
    <n v="264.24"/>
    <m/>
    <m/>
    <m/>
    <m/>
    <m/>
    <m/>
    <n v="187.99"/>
    <m/>
    <m/>
    <m/>
    <m/>
    <m/>
    <m/>
    <m/>
    <m/>
    <n v="227.43"/>
    <m/>
    <m/>
    <m/>
    <m/>
    <m/>
    <m/>
    <m/>
    <m/>
    <n v="7.15"/>
    <m/>
    <m/>
    <m/>
    <m/>
    <n v="4.4039999999999999"/>
    <n v="3.1331666666666669"/>
    <n v="3.7905000000000002"/>
  </r>
  <r>
    <x v="0"/>
    <x v="0"/>
    <n v="30"/>
    <s v="2019-09-06 11:24:28"/>
    <n v="6"/>
    <s v="en"/>
    <n v="2091202839"/>
    <s v="2019-09-06 11:16:06"/>
    <s v="2019-09-06 11:24:28"/>
    <s v="https://n-7gn6f3ymqlyeypjitxev2qsjqakgimt2ontr6eq-0lu-script.googleusercontent.com/blank"/>
    <x v="0"/>
    <n v="1"/>
    <n v="0.33333333333333331"/>
    <n v="0.375"/>
    <n v="0.625"/>
    <n v="2"/>
    <n v="10"/>
    <n v="8.4149999999999991"/>
    <n v="7.2023333333333337"/>
    <n v="0.45454545454545453"/>
    <n v="2.5"/>
    <n v="2"/>
    <s v="5c7b4c4654ebb10001ecfc8f"/>
    <n v="3"/>
    <n v="2"/>
    <n v="0"/>
    <n v="5"/>
    <s v="Democrats"/>
    <s v="Republicans"/>
    <s v="Donald Trump"/>
    <s v="Cluster 3"/>
    <s v="Cluster 4"/>
    <s v="Cluster 4"/>
    <s v="Cluster 0"/>
    <s v="Cluster 3"/>
    <s v="Cluster 2"/>
    <s v="love, heart, thing"/>
    <s v="black, police, white"/>
    <s v="police"/>
    <s v="new"/>
    <s v="Cluster 3"/>
    <s v="Cluster 4"/>
    <s v="accounts that tweet about news stories"/>
    <s v="accounts that tweet about crime"/>
    <s v="True"/>
    <s v="False"/>
    <s v="True"/>
    <s v="False"/>
    <s v="False"/>
    <s v="False"/>
    <s v="False"/>
    <s v="True"/>
    <x v="2"/>
    <s v="Once you understand how it works it’s quite simple"/>
    <m/>
    <n v="8.4149999999999991"/>
    <n v="504.9"/>
    <n v="7.96"/>
    <m/>
    <n v="28.92"/>
    <m/>
    <m/>
    <m/>
    <m/>
    <n v="186.97"/>
    <m/>
    <m/>
    <m/>
    <m/>
    <m/>
    <m/>
    <n v="92.52"/>
    <m/>
    <m/>
    <m/>
    <m/>
    <m/>
    <m/>
    <m/>
    <m/>
    <n v="152.65"/>
    <m/>
    <m/>
    <m/>
    <m/>
    <m/>
    <m/>
    <m/>
    <m/>
    <n v="35.880000000000003"/>
    <m/>
    <m/>
    <m/>
    <m/>
    <n v="3.1161666666666665"/>
    <n v="1.542"/>
    <n v="2.5441666666666669"/>
  </r>
  <r>
    <x v="0"/>
    <x v="0"/>
    <n v="31"/>
    <s v="2019-09-06 11:24:22"/>
    <n v="6"/>
    <s v="en"/>
    <n v="5236748"/>
    <s v="2019-09-06 11:16:06"/>
    <s v="2019-09-06 11:24:22"/>
    <s v="https://n-7gn6f3ymqlyeypjitxev2qsjqakgimt2ontr6eq-0lu-script.googleusercontent.com/userCodeAppPanel"/>
    <x v="0"/>
    <n v="1"/>
    <n v="0.5"/>
    <n v="1"/>
    <n v="0.375"/>
    <n v="2"/>
    <n v="14"/>
    <n v="8.3159999999999989"/>
    <n v="6.9771666666666654"/>
    <n v="0.63636363636363635"/>
    <n v="1"/>
    <n v="2"/>
    <s v="59df7ab8ac0af70001b3648e"/>
    <n v="1"/>
    <n v="1"/>
    <n v="0"/>
    <n v="4"/>
    <s v="Democrats"/>
    <s v="Republicans"/>
    <s v="Donald Trump"/>
    <s v="Cluster 3"/>
    <s v="Cluster 5"/>
    <s v="Cluster 4"/>
    <s v="Cluster 0"/>
    <s v="Cluster 5"/>
    <s v="Cluster 1"/>
    <s v="love, heart, thing"/>
    <s v="black, police, white"/>
    <s v="news"/>
    <s v="trump"/>
    <s v="Cluster 3"/>
    <s v="Cluster 5"/>
    <s v="accounts that tweet about crime"/>
    <s v="accounts that tweet about American presidents"/>
    <s v="True"/>
    <s v="False"/>
    <s v="True"/>
    <s v="True"/>
    <s v="False"/>
    <s v="True"/>
    <s v="False"/>
    <s v="True"/>
    <x v="2"/>
    <s v="Sometimes font colour makes a different but otherwise was easy enough to read"/>
    <m/>
    <n v="8.3159999999999989"/>
    <n v="498.96"/>
    <n v="8.0500000000000007"/>
    <m/>
    <n v="40.159999999999997"/>
    <m/>
    <m/>
    <m/>
    <m/>
    <n v="158.41999999999999"/>
    <m/>
    <m/>
    <m/>
    <m/>
    <m/>
    <m/>
    <n v="151.13"/>
    <m/>
    <m/>
    <m/>
    <m/>
    <m/>
    <m/>
    <m/>
    <m/>
    <n v="109.08"/>
    <m/>
    <m/>
    <m/>
    <m/>
    <m/>
    <m/>
    <m/>
    <m/>
    <n v="32.119999999999997"/>
    <m/>
    <m/>
    <m/>
    <m/>
    <n v="2.640333333333333"/>
    <n v="2.5188333333333333"/>
    <n v="1.8180000000000001"/>
  </r>
  <r>
    <x v="0"/>
    <x v="0"/>
    <n v="32"/>
    <s v="2019-09-06 11:40:58"/>
    <n v="6"/>
    <s v="en"/>
    <n v="85851402"/>
    <s v="2019-09-06 11:16:50"/>
    <s v="2019-09-06 11:40:58"/>
    <s v="https://n-7gn6f3ymqlyeypjitxev2qsjqakgimt2ontr6eq-0lu-script.googleusercontent.com/userCodeAppPanel"/>
    <x v="0"/>
    <n v="1"/>
    <n v="0.5"/>
    <n v="0.875"/>
    <n v="0.375"/>
    <n v="3"/>
    <n v="13"/>
    <n v="24.180999999999997"/>
    <n v="18.623666666666665"/>
    <n v="0.59090909090909094"/>
    <n v="2"/>
    <n v="2"/>
    <s v="5ced28579d75d000011572be"/>
    <n v="2"/>
    <n v="2"/>
    <n v="0"/>
    <n v="5"/>
    <s v="Democrats"/>
    <s v="Republicans"/>
    <s v="Donald Trump"/>
    <s v="Cluster 3"/>
    <s v="Cluster 5"/>
    <s v="Cluster 4"/>
    <s v="Cluster 0"/>
    <s v="Cluster 5"/>
    <s v="Cluster 1"/>
    <s v="love, heart, thing"/>
    <s v="black, police, white"/>
    <s v="news"/>
    <s v="trump"/>
    <s v="Cluster 3"/>
    <s v="Cluster 5"/>
    <s v="accounts that tweet about news stories"/>
    <s v="accounts that tweet about American presidents"/>
    <s v="True"/>
    <s v="True"/>
    <s v="True"/>
    <s v="False"/>
    <s v="False"/>
    <s v="True"/>
    <s v="False"/>
    <s v="True"/>
    <x v="0"/>
    <s v="It's easy to understand 3 or 4 of the most common keywords. But after that, the rest just becomes smaller and less understandable."/>
    <m/>
    <n v="24.180999999999997"/>
    <n v="1450.86"/>
    <n v="4.6500000000000004"/>
    <m/>
    <n v="114.37"/>
    <m/>
    <m/>
    <m/>
    <m/>
    <n v="701.19"/>
    <m/>
    <m/>
    <m/>
    <m/>
    <m/>
    <m/>
    <n v="253.76"/>
    <m/>
    <m/>
    <m/>
    <m/>
    <m/>
    <m/>
    <m/>
    <m/>
    <n v="162.47"/>
    <m/>
    <m/>
    <m/>
    <m/>
    <m/>
    <m/>
    <m/>
    <m/>
    <n v="214.42"/>
    <m/>
    <m/>
    <m/>
    <m/>
    <n v="11.686500000000001"/>
    <n v="4.2293333333333329"/>
    <n v="2.7078333333333333"/>
  </r>
  <r>
    <x v="0"/>
    <x v="0"/>
    <n v="33"/>
    <s v="2019-09-06 11:23:41"/>
    <n v="6"/>
    <s v="en"/>
    <n v="1693426025"/>
    <s v="2019-09-06 11:17:00"/>
    <s v="2019-09-06 11:23:41"/>
    <s v="https://n-7gn6f3ymqlyeypjitxev2qsjqakgimt2ontr6eq-0lu-script.googleusercontent.com/userCodeAppPanel"/>
    <x v="0"/>
    <n v="1"/>
    <n v="0.66666666666666663"/>
    <n v="0.75"/>
    <n v="0.375"/>
    <n v="3"/>
    <n v="13"/>
    <n v="6.7519999999999998"/>
    <n v="5.2331666666666665"/>
    <n v="0.59090909090909094"/>
    <n v="1"/>
    <n v="2"/>
    <s v="5b8d2a0db1b22d00017e1eeb"/>
    <n v="1"/>
    <n v="1"/>
    <n v="0"/>
    <n v="7"/>
    <s v="Democrats"/>
    <s v="Republicans"/>
    <s v="Donald Trump"/>
    <s v="Cluster 3"/>
    <s v="Cluster 2"/>
    <s v="Cluster 1"/>
    <s v="Cluster 0"/>
    <s v="Cluster 5"/>
    <s v="Cluster 4"/>
    <s v="love, heart, thing"/>
    <s v="black, police, white"/>
    <s v="police"/>
    <s v="trump"/>
    <s v="Cluster 3"/>
    <s v="Cluster 5"/>
    <s v="accounts that tweet about news stories"/>
    <s v="accounts that tweet about American presidents"/>
    <s v="True"/>
    <s v="False"/>
    <s v="False"/>
    <s v="False"/>
    <s v="False"/>
    <s v="True"/>
    <s v="False"/>
    <s v="True"/>
    <x v="0"/>
    <s v="It gave me a good idea about what the tweets were about (it was a bit confusing that the numbering started with 0 not 1 though)"/>
    <m/>
    <n v="6.7519999999999998"/>
    <n v="405.12"/>
    <n v="3.37"/>
    <m/>
    <n v="43.87"/>
    <m/>
    <m/>
    <m/>
    <m/>
    <n v="126.69"/>
    <m/>
    <m/>
    <m/>
    <m/>
    <m/>
    <m/>
    <n v="100.58"/>
    <m/>
    <m/>
    <m/>
    <m/>
    <m/>
    <m/>
    <m/>
    <m/>
    <n v="86.72"/>
    <m/>
    <m/>
    <m/>
    <m/>
    <m/>
    <m/>
    <m/>
    <m/>
    <n v="43.89"/>
    <m/>
    <m/>
    <m/>
    <m/>
    <n v="2.1114999999999999"/>
    <n v="1.6763333333333332"/>
    <n v="1.4453333333333334"/>
  </r>
  <r>
    <x v="0"/>
    <x v="0"/>
    <n v="34"/>
    <s v="2019-09-06 11:26:55"/>
    <n v="6"/>
    <s v="en"/>
    <n v="663186323"/>
    <s v="2019-09-06 11:17:38"/>
    <s v="2019-09-06 11:26:55"/>
    <s v="https://n-7gn6f3ymqlyeypjitxev2qsjqakgimt2ontr6eq-0lu-script.googleusercontent.com/userCodeAppPanel"/>
    <x v="0"/>
    <n v="1"/>
    <n v="1"/>
    <n v="0.625"/>
    <n v="0.5"/>
    <n v="2"/>
    <n v="15"/>
    <n v="9.3523333333333323"/>
    <n v="7.6073333333333331"/>
    <n v="0.68181818181818177"/>
    <n v="1"/>
    <n v="2"/>
    <s v="5cf03597beaebd001f0d73ab"/>
    <n v="1"/>
    <n v="1"/>
    <n v="0"/>
    <n v="2"/>
    <s v="Democrats"/>
    <s v="Republicans"/>
    <s v="Donald Trump"/>
    <s v="Cluster 3"/>
    <s v="Cluster 5"/>
    <s v="Cluster 1"/>
    <s v="Cluster 0"/>
    <s v="Cluster 2"/>
    <s v="Cluster 4"/>
    <s v="love, heart, thing"/>
    <s v="black, police, white"/>
    <s v="death"/>
    <s v="trump"/>
    <s v="Cluster 3"/>
    <s v="Cluster 5"/>
    <s v="accounts that tweet about news stories"/>
    <s v="accounts that tweet about Donald Trump"/>
    <s v="True"/>
    <s v="False"/>
    <s v="True"/>
    <s v="False"/>
    <s v="False"/>
    <s v="True"/>
    <s v="False"/>
    <s v="True"/>
    <x v="2"/>
    <s v="It's easy to pick out the most used words - words that are used to strike emotion and make you want to find out more and read more about it."/>
    <m/>
    <n v="9.3523333333333323"/>
    <n v="561.14"/>
    <n v="16.43"/>
    <m/>
    <n v="47.86"/>
    <m/>
    <m/>
    <m/>
    <m/>
    <n v="155.86000000000001"/>
    <m/>
    <m/>
    <m/>
    <m/>
    <m/>
    <m/>
    <n v="176.98"/>
    <m/>
    <m/>
    <m/>
    <m/>
    <m/>
    <m/>
    <m/>
    <m/>
    <n v="123.6"/>
    <m/>
    <m/>
    <m/>
    <m/>
    <m/>
    <m/>
    <m/>
    <m/>
    <n v="40.409999999999997"/>
    <m/>
    <m/>
    <m/>
    <m/>
    <n v="2.597666666666667"/>
    <n v="2.9496666666666664"/>
    <n v="2.06"/>
  </r>
  <r>
    <x v="0"/>
    <x v="0"/>
    <n v="35"/>
    <s v="2019-09-06 11:28:19"/>
    <n v="6"/>
    <s v="en"/>
    <n v="1319827244"/>
    <s v="2019-09-06 11:17:53"/>
    <s v="2019-09-06 11:28:19"/>
    <s v="https://n-7gn6f3ymqlyeypjitxev2qsjqakgimt2ontr6eq-0lu-script.googleusercontent.com/userCodeAppPanel"/>
    <x v="0"/>
    <n v="1"/>
    <n v="0.66666666666666663"/>
    <n v="0.75"/>
    <n v="0.5"/>
    <n v="3"/>
    <n v="14"/>
    <n v="10.495666666666667"/>
    <n v="8.9115000000000002"/>
    <n v="0.63636363636363635"/>
    <n v="6.5"/>
    <n v="2"/>
    <s v="5c250b4e2c45d4000148a914"/>
    <n v="6"/>
    <n v="7"/>
    <n v="0"/>
    <n v="6"/>
    <s v="Democrats"/>
    <s v="Republicans"/>
    <s v="Donald Trump"/>
    <s v="Cluster 3"/>
    <s v="Cluster 4"/>
    <s v="Cluster 1"/>
    <s v="Cluster 0"/>
    <s v="Cluster 2"/>
    <s v="Cluster 5"/>
    <s v="love, heart, thing"/>
    <s v="police, Trump, Obama"/>
    <s v="news"/>
    <s v="trump"/>
    <s v="Cluster 3"/>
    <s v="Cluster 5"/>
    <s v="accounts that tweet about news stories"/>
    <s v="accounts that tweet about American presidents"/>
    <s v="True"/>
    <s v="False"/>
    <s v="True"/>
    <s v="False"/>
    <s v="False"/>
    <s v="True"/>
    <s v="False"/>
    <s v="True"/>
    <x v="0"/>
    <s v="It is quite easy to depict common words used in tweets and group them together on this basis.  It makes logical sense to group them in the way they have been."/>
    <m/>
    <n v="10.495666666666667"/>
    <n v="629.74"/>
    <n v="3.74"/>
    <m/>
    <n v="43.45"/>
    <m/>
    <m/>
    <m/>
    <m/>
    <n v="227.01"/>
    <m/>
    <m/>
    <m/>
    <m/>
    <m/>
    <m/>
    <n v="163.78"/>
    <m/>
    <m/>
    <m/>
    <m/>
    <m/>
    <m/>
    <m/>
    <m/>
    <n v="143.9"/>
    <m/>
    <m/>
    <m/>
    <m/>
    <m/>
    <m/>
    <m/>
    <m/>
    <n v="47.86"/>
    <m/>
    <m/>
    <m/>
    <m/>
    <n v="3.7834999999999996"/>
    <n v="2.7296666666666667"/>
    <n v="2.3983333333333334"/>
  </r>
  <r>
    <x v="0"/>
    <x v="0"/>
    <n v="36"/>
    <s v="2019-09-06 11:39:45"/>
    <n v="6"/>
    <s v="en"/>
    <n v="2118140487"/>
    <s v="2019-09-06 11:18:11"/>
    <s v="2019-09-06 11:39:45"/>
    <s v="https://n-7gn6f3ymqlyeypjitxev2qsjqakgimt2ontr6eq-0lu-script.googleusercontent.com/userCodeAppPanel"/>
    <x v="0"/>
    <n v="1"/>
    <n v="0.66666666666666663"/>
    <n v="0.625"/>
    <n v="0.375"/>
    <n v="4"/>
    <n v="12"/>
    <n v="21.601499999999998"/>
    <n v="19.855"/>
    <n v="0.54545454545454541"/>
    <n v="5"/>
    <n v="2"/>
    <s v="5c8c28368f5b6400018e19b3"/>
    <n v="5"/>
    <n v="5"/>
    <n v="0"/>
    <n v="6"/>
    <s v="Democrats"/>
    <s v="Republicans"/>
    <s v="Donald Trump"/>
    <s v="Cluster 3"/>
    <s v="Cluster 5"/>
    <s v="Cluster 4"/>
    <s v="Cluster 0"/>
    <s v="Cluster 2"/>
    <s v="Cluster 5"/>
    <s v="love, heart, thing"/>
    <s v="black, police, white"/>
    <s v="police"/>
    <s v="look"/>
    <s v="Cluster 3"/>
    <s v="Cluster 4"/>
    <s v="accounts that tweet about crime"/>
    <s v="accounts that tweet about American presidents"/>
    <s v="True"/>
    <s v="False"/>
    <s v="False"/>
    <s v="False"/>
    <s v="False"/>
    <s v="True"/>
    <s v="False"/>
    <s v="True"/>
    <x v="1"/>
    <s v="To me it looked like some phrases belonged in multiple clusters."/>
    <m/>
    <n v="21.601499999999998"/>
    <n v="1296.0899999999999"/>
    <n v="8.31"/>
    <m/>
    <n v="38.33"/>
    <m/>
    <m/>
    <m/>
    <m/>
    <n v="730.43"/>
    <m/>
    <m/>
    <m/>
    <m/>
    <m/>
    <m/>
    <n v="306.01"/>
    <m/>
    <m/>
    <m/>
    <m/>
    <m/>
    <m/>
    <m/>
    <m/>
    <n v="154.86000000000001"/>
    <m/>
    <m/>
    <m/>
    <m/>
    <m/>
    <m/>
    <m/>
    <m/>
    <n v="58.15"/>
    <m/>
    <m/>
    <m/>
    <m/>
    <n v="12.173833333333333"/>
    <n v="5.1001666666666665"/>
    <n v="2.5810000000000004"/>
  </r>
  <r>
    <x v="0"/>
    <x v="0"/>
    <n v="37"/>
    <s v="2019-09-06 11:34:58"/>
    <n v="6"/>
    <s v="en"/>
    <n v="890248851"/>
    <s v="2019-09-06 11:19:06"/>
    <s v="2019-09-06 11:34:58"/>
    <s v="https://n-7gn6f3ymqlyeypjitxev2qsjqakgimt2ontr6eq-0lu-script.googleusercontent.com/userCodeAppPanel"/>
    <x v="0"/>
    <n v="1"/>
    <n v="0.66666666666666663"/>
    <n v="1"/>
    <n v="0.5"/>
    <n v="4"/>
    <n v="16"/>
    <n v="15.907"/>
    <n v="11.613499999999998"/>
    <n v="0.72727272727272729"/>
    <n v="3.5"/>
    <n v="2"/>
    <s v="5d42ee25beeecd0015d00973"/>
    <n v="2"/>
    <n v="5"/>
    <n v="0"/>
    <n v="4"/>
    <s v="Democrats"/>
    <s v="Republicans"/>
    <s v="Donald Trump"/>
    <s v="Cluster 3"/>
    <s v="Cluster 5"/>
    <s v="Cluster 4"/>
    <s v="Cluster 0"/>
    <s v="Cluster 5"/>
    <s v="Cluster 4"/>
    <s v="love, heart, thing"/>
    <s v="black, police, white"/>
    <s v="news"/>
    <s v="trump"/>
    <s v="Cluster 3"/>
    <s v="Cluster 5"/>
    <s v="accounts that tweet about crime"/>
    <s v="accounts that tweet about American presidents"/>
    <s v="True"/>
    <s v="False"/>
    <s v="True"/>
    <s v="False"/>
    <s v="False"/>
    <s v="True"/>
    <s v="False"/>
    <s v="True"/>
    <x v="1"/>
    <s v="difficult to comprehend at first and gets easier after a few minutes"/>
    <m/>
    <n v="15.907"/>
    <n v="954.42"/>
    <n v="8.94"/>
    <m/>
    <n v="174.06"/>
    <m/>
    <m/>
    <m/>
    <m/>
    <n v="361.57"/>
    <m/>
    <m/>
    <m/>
    <m/>
    <m/>
    <m/>
    <n v="181.17"/>
    <m/>
    <m/>
    <m/>
    <m/>
    <m/>
    <m/>
    <m/>
    <m/>
    <n v="154.07"/>
    <m/>
    <m/>
    <m/>
    <m/>
    <m/>
    <m/>
    <m/>
    <m/>
    <n v="74.61"/>
    <m/>
    <m/>
    <m/>
    <m/>
    <n v="6.0261666666666667"/>
    <n v="3.0194999999999999"/>
    <n v="2.5678333333333332"/>
  </r>
  <r>
    <x v="0"/>
    <x v="0"/>
    <n v="38"/>
    <s v="2019-09-06 11:50:24"/>
    <n v="6"/>
    <s v="en"/>
    <n v="1813325921"/>
    <s v="2019-09-06 11:19:39"/>
    <s v="2019-09-06 11:50:24"/>
    <s v="https://n-7gn6f3ymqlyeypjitxev2qsjqakgimt2ontr6eq-0lu-script.googleusercontent.com/blank"/>
    <x v="0"/>
    <n v="1"/>
    <n v="1"/>
    <n v="0.625"/>
    <n v="0.625"/>
    <n v="3"/>
    <n v="16"/>
    <n v="30.806500000000003"/>
    <n v="26.09"/>
    <n v="0.72727272727272729"/>
    <n v="1"/>
    <n v="2"/>
    <s v="5d2754939bf87a001a94f8bb"/>
    <n v="1"/>
    <n v="1"/>
    <n v="0"/>
    <n v="5"/>
    <s v="Democrats"/>
    <s v="Republicans"/>
    <s v="Donald Trump"/>
    <s v="Cluster 3"/>
    <s v="Cluster 5"/>
    <s v="Cluster 1"/>
    <s v="Cluster 0"/>
    <s v="Cluster 2"/>
    <s v="Cluster 4"/>
    <s v="love, heart, thing"/>
    <s v="black, police, white"/>
    <s v="police"/>
    <s v="look"/>
    <s v="Cluster 3"/>
    <s v="Cluster 5"/>
    <s v="accounts that tweet about crime"/>
    <s v="accounts that tweet about Donald Trump"/>
    <s v="True"/>
    <s v="False"/>
    <s v="True"/>
    <s v="False"/>
    <s v="False"/>
    <s v="True"/>
    <s v="True"/>
    <s v="True"/>
    <x v="0"/>
    <s v="The visualisations seem cluttered and require studying closely."/>
    <m/>
    <n v="30.806500000000003"/>
    <n v="1848.39"/>
    <n v="13.07"/>
    <m/>
    <n v="103.28"/>
    <m/>
    <m/>
    <m/>
    <m/>
    <n v="356.85"/>
    <m/>
    <m/>
    <m/>
    <m/>
    <m/>
    <m/>
    <n v="858.92"/>
    <m/>
    <m/>
    <m/>
    <m/>
    <m/>
    <m/>
    <m/>
    <m/>
    <n v="349.63"/>
    <m/>
    <m/>
    <m/>
    <m/>
    <m/>
    <m/>
    <m/>
    <m/>
    <n v="166.64"/>
    <m/>
    <m/>
    <m/>
    <m/>
    <n v="5.9475000000000007"/>
    <n v="14.315333333333333"/>
    <n v="5.8271666666666668"/>
  </r>
  <r>
    <x v="0"/>
    <x v="0"/>
    <n v="39"/>
    <s v="2019-09-06 11:31:38"/>
    <n v="6"/>
    <s v="en"/>
    <n v="1908137297"/>
    <s v="2019-09-06 11:19:54"/>
    <s v="2019-09-06 11:31:38"/>
    <s v="https://n-7gn6f3ymqlyeypjitxev2qsjqakgimt2ontr6eq-0lu-script.googleusercontent.com/userCodeAppPanel"/>
    <x v="0"/>
    <n v="1"/>
    <n v="0.5"/>
    <n v="0.875"/>
    <n v="0.5"/>
    <n v="4"/>
    <n v="14"/>
    <n v="11.569333333333333"/>
    <n v="8.7328333333333337"/>
    <n v="0.63636363636363635"/>
    <n v="1"/>
    <n v="2"/>
    <s v="5d404c6a584cc80017e81001"/>
    <n v="1"/>
    <n v="1"/>
    <n v="0"/>
    <n v="5"/>
    <s v="Democrats"/>
    <s v="Republicans"/>
    <s v="Donald Trump"/>
    <s v="Cluster 3"/>
    <s v="Cluster 5"/>
    <s v="Cluster 4"/>
    <s v="Cluster 0"/>
    <s v="Cluster 5"/>
    <s v="Cluster 1"/>
    <s v="love, heart, thing"/>
    <s v="black, police, white"/>
    <s v="news"/>
    <s v="look"/>
    <s v="Cluster 3"/>
    <s v="Cluster 5"/>
    <s v="accounts that tweet about crime"/>
    <s v="accounts that tweet about American presidents"/>
    <s v="True"/>
    <s v="False"/>
    <s v="False"/>
    <s v="False"/>
    <s v="False"/>
    <s v="False"/>
    <s v="False"/>
    <s v="True"/>
    <x v="1"/>
    <s v="You are drawn to the large words and it's hard to totally see the small ones."/>
    <m/>
    <n v="11.569333333333333"/>
    <n v="694.16"/>
    <n v="57.45"/>
    <m/>
    <n v="48.4"/>
    <m/>
    <m/>
    <m/>
    <m/>
    <n v="213.9"/>
    <m/>
    <m/>
    <m/>
    <m/>
    <m/>
    <m/>
    <n v="169.03"/>
    <m/>
    <m/>
    <m/>
    <m/>
    <m/>
    <m/>
    <m/>
    <m/>
    <n v="141.04"/>
    <m/>
    <m/>
    <m/>
    <m/>
    <m/>
    <m/>
    <m/>
    <m/>
    <n v="64.34"/>
    <m/>
    <m/>
    <m/>
    <m/>
    <n v="3.5649999999999999"/>
    <n v="2.8171666666666666"/>
    <n v="2.3506666666666667"/>
  </r>
  <r>
    <x v="0"/>
    <x v="0"/>
    <n v="40"/>
    <s v="2019-09-06 11:30:25"/>
    <n v="6"/>
    <s v="en"/>
    <n v="325592629"/>
    <s v="2019-09-06 11:19:54"/>
    <s v="2019-09-06 11:30:25"/>
    <s v="https://n-7gn6f3ymqlyeypjitxev2qsjqakgimt2ontr6eq-0lu-script.googleusercontent.com/userCodeAppPanel"/>
    <x v="0"/>
    <n v="1"/>
    <n v="0"/>
    <n v="0.625"/>
    <n v="0.125"/>
    <n v="4"/>
    <n v="6"/>
    <n v="10.564833333333333"/>
    <n v="9.8800000000000008"/>
    <n v="0.27272727272727271"/>
    <n v="2.5"/>
    <n v="2"/>
    <s v="5d15ca372c9f77001808efd2"/>
    <n v="2"/>
    <n v="3"/>
    <n v="0"/>
    <n v="4"/>
    <s v="Democrats"/>
    <s v="Republicans"/>
    <s v="Donald Trump"/>
    <s v="Cluster 4"/>
    <s v="Cluster 2"/>
    <s v="Cluster 2"/>
    <s v="Cluster 2"/>
    <s v="Cluster 3"/>
    <s v="Cluster 3"/>
    <s v="love, heart, thing"/>
    <s v="black, police, white"/>
    <s v="news"/>
    <s v="trump"/>
    <s v="Cluster 3"/>
    <s v="Cluster 1"/>
    <s v="accounts that tweet about Donald Trump"/>
    <s v="accounts that tweet about crime"/>
    <s v="True"/>
    <s v="True"/>
    <s v="False"/>
    <s v="True"/>
    <s v="False"/>
    <s v="True"/>
    <s v="False"/>
    <s v="True"/>
    <x v="1"/>
    <m/>
    <m/>
    <n v="10.564833333333333"/>
    <n v="633.89"/>
    <n v="11.36"/>
    <m/>
    <n v="23.8"/>
    <m/>
    <m/>
    <m/>
    <m/>
    <n v="384.14"/>
    <m/>
    <m/>
    <m/>
    <m/>
    <m/>
    <m/>
    <n v="107.29"/>
    <m/>
    <m/>
    <m/>
    <m/>
    <m/>
    <m/>
    <m/>
    <m/>
    <n v="101.37"/>
    <m/>
    <m/>
    <m/>
    <m/>
    <m/>
    <m/>
    <m/>
    <m/>
    <n v="5.93"/>
    <m/>
    <m/>
    <m/>
    <m/>
    <n v="6.402333333333333"/>
    <n v="1.7881666666666667"/>
    <n v="1.6895"/>
  </r>
  <r>
    <x v="0"/>
    <x v="0"/>
    <n v="41"/>
    <s v="2019-09-06 11:33:24"/>
    <n v="6"/>
    <s v="en"/>
    <n v="675307916"/>
    <s v="2019-09-06 11:20:07"/>
    <s v="2019-09-06 11:33:24"/>
    <s v="https://n-7gn6f3ymqlyeypjitxev2qsjqakgimt2ontr6eq-0lu-script.googleusercontent.com/userCodeAppPanel"/>
    <x v="1"/>
    <n v="0.66666666666666663"/>
    <n v="0.66666666666666663"/>
    <n v="1"/>
    <n v="0.5"/>
    <n v="3"/>
    <n v="16"/>
    <n v="13.326500000000001"/>
    <n v="10.817333333333332"/>
    <n v="0.72727272727272729"/>
    <n v="6.5"/>
    <n v="2"/>
    <s v="5c97c9077109140001771b1d"/>
    <n v="6"/>
    <n v="7"/>
    <n v="0"/>
    <n v="5"/>
    <s v="Other"/>
    <s v="Republicans"/>
    <s v="Donald Trump"/>
    <s v="Cluster 3"/>
    <s v="Cluster 5"/>
    <s v="Cluster 4"/>
    <s v="Cluster 0"/>
    <s v="Cluster 2"/>
    <s v="Cluster 1"/>
    <s v="love, heart, thing"/>
    <s v="black, police, white"/>
    <s v="news"/>
    <s v="trump"/>
    <s v="Cluster 3"/>
    <s v="Cluster 5"/>
    <s v="accounts that tweet about crime"/>
    <s v="accounts that tweet about American presidents"/>
    <s v="True"/>
    <s v="True"/>
    <s v="True"/>
    <s v="False"/>
    <s v="False"/>
    <s v="True"/>
    <s v="True"/>
    <s v="True"/>
    <x v="0"/>
    <s v="It is easy to identify the main words and then the next three sets of them, but after that it is a little small to read, but that is only the listing we have here. Otherwise it shows ok ."/>
    <m/>
    <n v="13.326500000000001"/>
    <n v="799.59"/>
    <n v="4.71"/>
    <m/>
    <n v="46.2"/>
    <m/>
    <m/>
    <m/>
    <m/>
    <n v="381.3"/>
    <m/>
    <m/>
    <m/>
    <m/>
    <m/>
    <m/>
    <n v="148.38"/>
    <m/>
    <m/>
    <m/>
    <m/>
    <m/>
    <m/>
    <m/>
    <m/>
    <n v="119.36"/>
    <m/>
    <m/>
    <m/>
    <m/>
    <m/>
    <m/>
    <m/>
    <m/>
    <n v="99.64"/>
    <m/>
    <m/>
    <m/>
    <m/>
    <n v="6.3550000000000004"/>
    <n v="2.4729999999999999"/>
    <n v="1.9893333333333334"/>
  </r>
  <r>
    <x v="0"/>
    <x v="0"/>
    <n v="42"/>
    <s v="2019-09-06 11:28:29"/>
    <n v="6"/>
    <s v="en"/>
    <n v="486518529"/>
    <s v="2019-09-06 11:20:18"/>
    <s v="2019-09-06 11:28:29"/>
    <s v="https://n-7gn6f3ymqlyeypjitxev2qsjqakgimt2ontr6eq-0lu-script.googleusercontent.com/userCodeAppPanel"/>
    <x v="0"/>
    <n v="1"/>
    <n v="0.66666666666666663"/>
    <n v="0.875"/>
    <n v="0.5"/>
    <n v="2"/>
    <n v="15"/>
    <n v="8.214833333333333"/>
    <n v="7.0748333333333342"/>
    <n v="0.68181818181818177"/>
    <n v="1.5"/>
    <n v="2"/>
    <s v="5a549f948e6259000175983a"/>
    <n v="1"/>
    <n v="2"/>
    <n v="0"/>
    <n v="5"/>
    <s v="Democrats"/>
    <s v="Republicans"/>
    <s v="Donald Trump"/>
    <s v="Cluster 3"/>
    <s v="Cluster 2"/>
    <s v="Cluster 1"/>
    <s v="Cluster 0"/>
    <s v="Cluster 2"/>
    <s v="Cluster 5"/>
    <s v="love, heart, thing"/>
    <s v="black, police, white"/>
    <s v="police"/>
    <s v="trump"/>
    <s v="Cluster 3"/>
    <s v="Cluster 5"/>
    <s v="accounts that tweet about crime"/>
    <s v="accounts that tweet about American presidents"/>
    <s v="True"/>
    <s v="False"/>
    <s v="True"/>
    <s v="False"/>
    <s v="False"/>
    <s v="True"/>
    <s v="False"/>
    <s v="True"/>
    <x v="2"/>
    <s v="interesting concept"/>
    <m/>
    <n v="8.214833333333333"/>
    <n v="492.89"/>
    <n v="5.34"/>
    <m/>
    <n v="37.39"/>
    <m/>
    <m/>
    <m/>
    <m/>
    <n v="203.27"/>
    <m/>
    <m/>
    <m/>
    <m/>
    <m/>
    <m/>
    <n v="134.99"/>
    <m/>
    <m/>
    <m/>
    <m/>
    <m/>
    <m/>
    <m/>
    <m/>
    <n v="86.23"/>
    <m/>
    <m/>
    <m/>
    <m/>
    <m/>
    <m/>
    <m/>
    <m/>
    <n v="25.67"/>
    <m/>
    <m/>
    <m/>
    <m/>
    <n v="3.3878333333333335"/>
    <n v="2.2498333333333336"/>
    <n v="1.4371666666666667"/>
  </r>
  <r>
    <x v="0"/>
    <x v="0"/>
    <n v="43"/>
    <s v="2019-09-06 11:32:13"/>
    <n v="6"/>
    <s v="en"/>
    <n v="1691932778"/>
    <s v="2019-09-06 11:20:31"/>
    <s v="2019-09-06 11:32:13"/>
    <s v="https://n-7gn6f3ymqlyeypjitxev2qsjqakgimt2ontr6eq-0lu-script.googleusercontent.com/userCodeAppPanel"/>
    <x v="0"/>
    <n v="1"/>
    <n v="0.83333333333333337"/>
    <n v="1"/>
    <n v="0.625"/>
    <n v="2"/>
    <n v="18"/>
    <n v="11.759166666666665"/>
    <n v="10.463999999999999"/>
    <n v="0.81818181818181823"/>
    <n v="1.5"/>
    <n v="2"/>
    <s v="5d5677fd7e82b2000122eb6d"/>
    <n v="2"/>
    <n v="1"/>
    <n v="0"/>
    <n v="4"/>
    <s v="Democrats"/>
    <s v="Republicans"/>
    <s v="Donald Trump"/>
    <s v="Cluster 3"/>
    <s v="Cluster 5"/>
    <s v="Cluster 4"/>
    <s v="Cluster 0"/>
    <s v="Cluster 2"/>
    <s v="Cluster 4"/>
    <s v="love, heart, thing"/>
    <s v="black, police, white"/>
    <s v="news"/>
    <s v="trump"/>
    <s v="Cluster 3"/>
    <s v="Cluster 5"/>
    <s v="accounts that tweet about crime"/>
    <s v="accounts that tweet about American presidents"/>
    <s v="True"/>
    <s v="False"/>
    <s v="True"/>
    <s v="False"/>
    <s v="False"/>
    <s v="True"/>
    <s v="False"/>
    <s v="False"/>
    <x v="2"/>
    <s v="word association"/>
    <m/>
    <n v="11.759166666666665"/>
    <n v="705.55"/>
    <n v="6.51"/>
    <m/>
    <n v="45.89"/>
    <m/>
    <m/>
    <m/>
    <m/>
    <n v="336.09"/>
    <m/>
    <m/>
    <m/>
    <m/>
    <m/>
    <m/>
    <n v="172.93"/>
    <m/>
    <m/>
    <m/>
    <m/>
    <m/>
    <m/>
    <m/>
    <m/>
    <n v="118.82"/>
    <m/>
    <m/>
    <m/>
    <m/>
    <m/>
    <m/>
    <m/>
    <m/>
    <n v="25.31"/>
    <m/>
    <m/>
    <m/>
    <m/>
    <n v="5.6014999999999997"/>
    <n v="2.882166666666667"/>
    <n v="1.9803333333333333"/>
  </r>
  <r>
    <x v="0"/>
    <x v="0"/>
    <n v="44"/>
    <s v="2019-09-06 11:31:46"/>
    <n v="6"/>
    <s v="en"/>
    <n v="1019680419"/>
    <s v="2019-09-06 11:22:17"/>
    <s v="2019-09-06 11:31:46"/>
    <s v="https://n-7gn6f3ymqlyeypjitxev2qsjqakgimt2ontr6eq-0lu-script.googleusercontent.com/userCodeAppPanel"/>
    <x v="0"/>
    <n v="1"/>
    <n v="1"/>
    <n v="0.875"/>
    <n v="0.375"/>
    <n v="1"/>
    <n v="16"/>
    <n v="9.5368333333333339"/>
    <n v="8.161999999999999"/>
    <n v="0.72727272727272729"/>
    <n v="4.5"/>
    <n v="2"/>
    <s v="5716a297c5aca200128d2c52"/>
    <n v="6"/>
    <n v="3"/>
    <n v="0"/>
    <n v="8"/>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False"/>
    <s v="False"/>
    <s v="False"/>
    <s v="True"/>
    <s v="False"/>
    <s v="True"/>
    <x v="3"/>
    <s v="It is very easy to understand these word clouds but also easy to ignore some of the smaller words in favour of the larger ones"/>
    <m/>
    <n v="9.5368333333333339"/>
    <n v="572.21"/>
    <n v="5.62"/>
    <m/>
    <n v="25.4"/>
    <m/>
    <m/>
    <m/>
    <m/>
    <n v="209.64"/>
    <m/>
    <m/>
    <m/>
    <m/>
    <m/>
    <m/>
    <n v="118.61"/>
    <m/>
    <m/>
    <m/>
    <m/>
    <m/>
    <m/>
    <m/>
    <m/>
    <n v="161.47"/>
    <m/>
    <m/>
    <m/>
    <m/>
    <m/>
    <m/>
    <m/>
    <m/>
    <n v="51.47"/>
    <m/>
    <m/>
    <m/>
    <m/>
    <n v="3.4939999999999998"/>
    <n v="1.9768333333333332"/>
    <n v="2.6911666666666667"/>
  </r>
  <r>
    <x v="0"/>
    <x v="0"/>
    <n v="45"/>
    <s v="2019-09-06 11:30:24"/>
    <n v="6"/>
    <s v="en"/>
    <n v="952985029"/>
    <s v="2019-09-06 11:22:31"/>
    <s v="2019-09-06 11:30:24"/>
    <s v="https://n-7gn6f3ymqlyeypjitxev2qsjqakgimt2ontr6eq-0lu-script.googleusercontent.com/userCodeAppPanel"/>
    <x v="0"/>
    <n v="1"/>
    <n v="0.66666666666666663"/>
    <n v="0.75"/>
    <n v="0.375"/>
    <n v="3"/>
    <n v="13"/>
    <n v="7.8926666666666669"/>
    <n v="6.3555000000000001"/>
    <n v="0.59090909090909094"/>
    <n v="5"/>
    <n v="2"/>
    <s v="5c194f0ff9b08300010be258"/>
    <n v="5"/>
    <n v="5"/>
    <n v="0"/>
    <n v="5"/>
    <s v="Democrats"/>
    <s v="Republicans"/>
    <s v="Donald Trump"/>
    <s v="Cluster 3"/>
    <s v="Cluster 5"/>
    <s v="Cluster 4"/>
    <s v="Cluster 0"/>
    <s v="Cluster 2"/>
    <s v="Cluster 1"/>
    <s v="love, heart, thing"/>
    <s v="black, police, white"/>
    <s v="death"/>
    <s v="trump"/>
    <s v="Cluster 3"/>
    <s v="Cluster 5"/>
    <s v="accounts that tweet about news stories"/>
    <s v="accounts that tweet about American presidents"/>
    <s v="True"/>
    <s v="False"/>
    <s v="False"/>
    <s v="False"/>
    <s v="False"/>
    <s v="True"/>
    <s v="False"/>
    <s v="True"/>
    <x v="0"/>
    <s v="I found the bigger words were more significant for me to understand the main topics, however difficult to gage whether these were in a positive or negative light. The smaller words were more difficult to make out, and my brain shut them off after a while."/>
    <m/>
    <n v="7.8926666666666669"/>
    <n v="473.56"/>
    <n v="13.59"/>
    <m/>
    <n v="28.82"/>
    <m/>
    <m/>
    <m/>
    <m/>
    <n v="164.71"/>
    <m/>
    <m/>
    <m/>
    <m/>
    <m/>
    <m/>
    <n v="142.22999999999999"/>
    <m/>
    <m/>
    <m/>
    <m/>
    <m/>
    <m/>
    <m/>
    <m/>
    <n v="74.39"/>
    <m/>
    <m/>
    <m/>
    <m/>
    <m/>
    <m/>
    <m/>
    <m/>
    <n v="49.82"/>
    <m/>
    <m/>
    <m/>
    <m/>
    <n v="2.745166666666667"/>
    <n v="2.3704999999999998"/>
    <n v="1.2398333333333333"/>
  </r>
  <r>
    <x v="0"/>
    <x v="0"/>
    <n v="46"/>
    <s v="2019-09-06 11:38:50"/>
    <n v="6"/>
    <s v="en"/>
    <n v="107546343"/>
    <s v="2019-09-06 11:23:23"/>
    <s v="2019-09-06 11:38:50"/>
    <s v="https://n-7gn6f3ymqlyeypjitxev2qsjqakgimt2ontr6eq-0lu-script.googleusercontent.com/userCodeAppPanel"/>
    <x v="0"/>
    <n v="1"/>
    <n v="1"/>
    <n v="1"/>
    <n v="0.5"/>
    <n v="4"/>
    <n v="18"/>
    <n v="15.481666666666666"/>
    <n v="13.399333333333335"/>
    <n v="0.81818181818181823"/>
    <n v="1"/>
    <n v="2"/>
    <s v="5994b3dcf9db7d0001895842"/>
    <n v="1"/>
    <n v="1"/>
    <n v="0"/>
    <n v="3"/>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True"/>
    <s v="False"/>
    <s v="True"/>
    <x v="1"/>
    <s v="I wonder how much I am picking up on colours and sizes of the words and which is drawing my attention. I may be missing things when looking at this visualisation."/>
    <m/>
    <n v="15.481666666666666"/>
    <n v="928.9"/>
    <n v="5.0999999999999996"/>
    <m/>
    <n v="35.6"/>
    <m/>
    <m/>
    <m/>
    <m/>
    <n v="424.3"/>
    <m/>
    <m/>
    <m/>
    <m/>
    <m/>
    <m/>
    <n v="224.06"/>
    <m/>
    <m/>
    <m/>
    <m/>
    <m/>
    <m/>
    <m/>
    <m/>
    <n v="155.6"/>
    <m/>
    <m/>
    <m/>
    <m/>
    <m/>
    <m/>
    <m/>
    <m/>
    <n v="84.24"/>
    <m/>
    <m/>
    <m/>
    <m/>
    <n v="7.0716666666666672"/>
    <n v="3.7343333333333333"/>
    <n v="2.5933333333333333"/>
  </r>
  <r>
    <x v="0"/>
    <x v="0"/>
    <n v="47"/>
    <s v="2019-09-06 11:32:47"/>
    <n v="6"/>
    <s v="en"/>
    <n v="1038956816"/>
    <s v="2019-09-06 11:23:30"/>
    <s v="2019-09-06 11:32:47"/>
    <s v="https://n-7gn6f3ymqlyeypjitxev2qsjqakgimt2ontr6eq-0lu-script.googleusercontent.com/userCodeAppPanel"/>
    <x v="0"/>
    <n v="1"/>
    <n v="0.5"/>
    <n v="0.875"/>
    <n v="0.5"/>
    <n v="2"/>
    <n v="14"/>
    <n v="9.3294999999999995"/>
    <n v="7.6113333333333335"/>
    <n v="0.63636363636363635"/>
    <n v="2"/>
    <n v="2"/>
    <s v="5c6e992b9d7a31000146fd95"/>
    <n v="2"/>
    <n v="2"/>
    <n v="0"/>
    <n v="2"/>
    <s v="Democrats"/>
    <s v="Republicans"/>
    <s v="Donald Trump"/>
    <s v="Cluster 3"/>
    <s v="Cluster 2"/>
    <s v="Cluster 4"/>
    <s v="Cluster 0"/>
    <s v="Cluster 2"/>
    <s v="Cluster 1"/>
    <s v="love, heart, thing"/>
    <s v="black, police, white"/>
    <s v="black"/>
    <s v="trump"/>
    <s v="Cluster 3"/>
    <s v="Cluster 5"/>
    <s v="accounts that tweet about crime"/>
    <s v="accounts that tweet about American presidents"/>
    <s v="True"/>
    <s v="False"/>
    <s v="True"/>
    <s v="False"/>
    <s v="False"/>
    <s v="True"/>
    <s v="False"/>
    <s v="True"/>
    <x v="2"/>
    <m/>
    <m/>
    <n v="9.3294999999999995"/>
    <n v="559.77"/>
    <n v="9.5399999999999991"/>
    <m/>
    <n v="78.55"/>
    <m/>
    <m/>
    <m/>
    <m/>
    <n v="209.22"/>
    <m/>
    <m/>
    <m/>
    <m/>
    <m/>
    <m/>
    <n v="156.15"/>
    <m/>
    <m/>
    <m/>
    <m/>
    <m/>
    <m/>
    <m/>
    <m/>
    <n v="91.31"/>
    <m/>
    <m/>
    <m/>
    <m/>
    <m/>
    <m/>
    <m/>
    <m/>
    <n v="15"/>
    <m/>
    <m/>
    <m/>
    <m/>
    <n v="3.4870000000000001"/>
    <n v="2.6025"/>
    <n v="1.5218333333333334"/>
  </r>
  <r>
    <x v="0"/>
    <x v="0"/>
    <n v="48"/>
    <s v="2019-09-06 11:34:29"/>
    <n v="6"/>
    <s v="en"/>
    <n v="1883866992"/>
    <s v="2019-09-06 11:23:52"/>
    <s v="2019-09-06 11:34:29"/>
    <s v="https://n-7gn6f3ymqlyeypjitxev2qsjqakgimt2ontr6eq-0lu-script.googleusercontent.com/blank"/>
    <x v="0"/>
    <n v="1"/>
    <n v="0.83333333333333337"/>
    <n v="0.875"/>
    <n v="0.5"/>
    <n v="2"/>
    <n v="16"/>
    <n v="10.6835"/>
    <n v="8.634666666666666"/>
    <n v="0.72727272727272729"/>
    <n v="1"/>
    <n v="2"/>
    <s v="59fc2094087f2e0001ead5fa"/>
    <n v="1"/>
    <n v="1"/>
    <n v="0"/>
    <n v="1"/>
    <s v="Democrats"/>
    <s v="Republicans"/>
    <s v="Donald Trump"/>
    <s v="Cluster 3"/>
    <s v="Cluster 5"/>
    <s v="Cluster 1"/>
    <s v="Cluster 0"/>
    <s v="Cluster 2"/>
    <s v="Cluster 1"/>
    <s v="love, heart, thing"/>
    <s v="black, police, white"/>
    <s v="news"/>
    <s v="trump"/>
    <s v="Cluster 3"/>
    <s v="Cluster 5"/>
    <s v="accounts that tweet about news stories"/>
    <s v="accounts that tweet about American presidents"/>
    <s v="True"/>
    <s v="False"/>
    <s v="False"/>
    <s v="False"/>
    <s v="False"/>
    <s v="False"/>
    <s v="False"/>
    <s v="True"/>
    <x v="2"/>
    <s v="Fairly easy to understand as it is very visual"/>
    <m/>
    <n v="10.6835"/>
    <n v="641.01"/>
    <n v="6.91"/>
    <m/>
    <n v="64.790000000000006"/>
    <m/>
    <m/>
    <m/>
    <m/>
    <n v="251.73"/>
    <m/>
    <m/>
    <m/>
    <m/>
    <m/>
    <m/>
    <n v="137.93"/>
    <m/>
    <m/>
    <m/>
    <m/>
    <m/>
    <m/>
    <m/>
    <m/>
    <n v="128.41999999999999"/>
    <m/>
    <m/>
    <m/>
    <m/>
    <m/>
    <m/>
    <m/>
    <m/>
    <n v="51.23"/>
    <m/>
    <m/>
    <m/>
    <m/>
    <n v="4.1955"/>
    <n v="2.2988333333333335"/>
    <n v="2.140333333333333"/>
  </r>
  <r>
    <x v="0"/>
    <x v="0"/>
    <n v="49"/>
    <s v="2019-09-06 11:49:08"/>
    <n v="6"/>
    <s v="en"/>
    <n v="950292166"/>
    <s v="2019-09-06 11:24:26"/>
    <s v="2019-09-06 11:49:08"/>
    <s v="https://n-7gn6f3ymqlyeypjitxev2qsjqakgimt2ontr6eq-0lu-script.googleusercontent.com/userCodeAppPanel"/>
    <x v="0"/>
    <n v="1"/>
    <n v="0.33333333333333331"/>
    <n v="0.625"/>
    <n v="0.5"/>
    <n v="5"/>
    <n v="11"/>
    <n v="24.747333333333334"/>
    <n v="20.736333333333331"/>
    <n v="0.5"/>
    <n v="1"/>
    <n v="2"/>
    <s v="5970a273965d930001323b08"/>
    <n v="1"/>
    <n v="1"/>
    <n v="0"/>
    <n v="2"/>
    <s v="Democrats"/>
    <s v="Republicans"/>
    <s v="Donald Trump"/>
    <s v="Cluster 5"/>
    <s v="Cluster 3"/>
    <s v="Cluster 4"/>
    <s v="Cluster 0"/>
    <s v="Cluster 2"/>
    <s v="Cluster 1"/>
    <s v="love, heart, thing"/>
    <s v="black, police, white"/>
    <s v="death"/>
    <s v="new"/>
    <s v="Cluster 3"/>
    <s v="Cluster 2"/>
    <s v="accounts that tweet about crime"/>
    <s v="accounts that tweet about American presidents"/>
    <s v="True"/>
    <s v="False"/>
    <s v="True"/>
    <s v="False"/>
    <s v="False"/>
    <s v="True"/>
    <s v="False"/>
    <s v="True"/>
    <x v="4"/>
    <s v="Misleading by only emphasising certain words.  The truth gets list in the buzz words"/>
    <m/>
    <n v="24.747333333333334"/>
    <n v="1484.84"/>
    <n v="15.35"/>
    <m/>
    <n v="96.56"/>
    <m/>
    <m/>
    <m/>
    <m/>
    <n v="809.01"/>
    <m/>
    <m/>
    <m/>
    <m/>
    <m/>
    <m/>
    <n v="247.91"/>
    <m/>
    <m/>
    <m/>
    <m/>
    <m/>
    <m/>
    <m/>
    <m/>
    <n v="187.26"/>
    <m/>
    <m/>
    <m/>
    <m/>
    <m/>
    <m/>
    <m/>
    <m/>
    <n v="128.75"/>
    <m/>
    <m/>
    <m/>
    <m/>
    <n v="13.483499999999999"/>
    <n v="4.1318333333333337"/>
    <n v="3.121"/>
  </r>
  <r>
    <x v="0"/>
    <x v="0"/>
    <n v="50"/>
    <s v="2019-09-06 11:33:30"/>
    <n v="6"/>
    <s v="en"/>
    <n v="1318853239"/>
    <s v="2019-09-06 11:25:11"/>
    <s v="2019-09-06 11:33:30"/>
    <s v="https://n-7gn6f3ymqlyeypjitxev2qsjqakgimt2ontr6eq-0lu-script.googleusercontent.com/userCodeAppPanel"/>
    <x v="0"/>
    <n v="1"/>
    <n v="0.5"/>
    <n v="0.75"/>
    <n v="0.375"/>
    <n v="4"/>
    <n v="12"/>
    <n v="8.3495000000000008"/>
    <n v="5.5265000000000004"/>
    <n v="0.54545454545454541"/>
    <n v="1.5"/>
    <n v="2"/>
    <s v="5c3a4daa6c4e3d0001b89af8"/>
    <n v="2"/>
    <n v="1"/>
    <n v="0"/>
    <n v="1"/>
    <s v="Democrats"/>
    <s v="Republicans"/>
    <s v="Donald Trump"/>
    <s v="Cluster 3"/>
    <s v="Cluster 5"/>
    <s v="Cluster 2"/>
    <s v="Cluster 0"/>
    <s v="Cluster 5"/>
    <s v="Cluster 2"/>
    <s v="love, heart, thing"/>
    <s v="black, police, white"/>
    <s v="news"/>
    <s v="trump"/>
    <s v="Cluster 3"/>
    <s v="Cluster 5"/>
    <s v="accounts that tweet about news stories"/>
    <s v="accounts that tweet about crime"/>
    <s v="True"/>
    <s v="True"/>
    <s v="True"/>
    <s v="False"/>
    <s v="False"/>
    <s v="True"/>
    <s v="False"/>
    <s v="True"/>
    <x v="1"/>
    <s v="I am not familiar with this type of visualisation, therefore it took me a bit of time and effort to answer the questions. I think with a bit of training the process of reading these clouds might get easier. I tried to answer the questions at best of my abilities."/>
    <m/>
    <n v="8.3495000000000008"/>
    <n v="500.97"/>
    <n v="4.05"/>
    <m/>
    <n v="101.06"/>
    <m/>
    <m/>
    <m/>
    <m/>
    <n v="97.59"/>
    <m/>
    <m/>
    <m/>
    <m/>
    <m/>
    <m/>
    <n v="123.13"/>
    <m/>
    <m/>
    <m/>
    <m/>
    <m/>
    <m/>
    <m/>
    <m/>
    <n v="110.87"/>
    <m/>
    <m/>
    <m/>
    <m/>
    <m/>
    <m/>
    <m/>
    <m/>
    <n v="64.27"/>
    <m/>
    <m/>
    <m/>
    <m/>
    <n v="1.6265000000000001"/>
    <n v="2.0521666666666665"/>
    <n v="1.8478333333333334"/>
  </r>
  <r>
    <x v="0"/>
    <x v="0"/>
    <n v="51"/>
    <s v="2019-09-06 11:41:22"/>
    <n v="6"/>
    <s v="en"/>
    <n v="423943923"/>
    <s v="2019-09-06 11:31:09"/>
    <s v="2019-09-06 11:41:22"/>
    <s v="https://n-7gn6f3ymqlyeypjitxev2qsjqakgimt2ontr6eq-0lu-script.googleusercontent.com/userCodeAppPanel"/>
    <x v="0"/>
    <n v="1"/>
    <n v="0.5"/>
    <n v="0.375"/>
    <n v="0.375"/>
    <n v="2"/>
    <n v="9"/>
    <n v="10.238166666666666"/>
    <n v="8.3993333333333347"/>
    <n v="0.40909090909090912"/>
    <n v="4"/>
    <n v="2"/>
    <s v="5c88cfc680858000011363df"/>
    <n v="2"/>
    <n v="6"/>
    <n v="0"/>
    <n v="4"/>
    <s v="Democrats"/>
    <s v="Republicans"/>
    <s v="Donald Trump"/>
    <s v="Cluster 3"/>
    <s v="Cluster 2"/>
    <s v="Cluster 4"/>
    <s v="Cluster 0"/>
    <s v="Cluster 2"/>
    <s v="Cluster 3"/>
    <s v="love, heart, thing"/>
    <s v="black, police, white"/>
    <s v="death"/>
    <s v="new"/>
    <s v="Cluster 3"/>
    <s v="Cluster 2"/>
    <s v="accounts that tweet about news stories"/>
    <s v="accounts that tweet about news stories"/>
    <s v="False"/>
    <s v="False"/>
    <s v="True"/>
    <s v="False"/>
    <s v="False"/>
    <s v="True"/>
    <s v="False"/>
    <s v="True"/>
    <x v="2"/>
    <s v="obviously the big words were easy to read but finding all the smaller words took time but they did make sense eventually"/>
    <m/>
    <n v="10.238166666666666"/>
    <n v="614.29"/>
    <n v="18.190000000000001"/>
    <m/>
    <n v="29.02"/>
    <m/>
    <m/>
    <m/>
    <m/>
    <n v="205.33"/>
    <m/>
    <m/>
    <m/>
    <m/>
    <m/>
    <m/>
    <n v="162.61000000000001"/>
    <m/>
    <m/>
    <m/>
    <m/>
    <m/>
    <m/>
    <m/>
    <m/>
    <n v="136.02000000000001"/>
    <m/>
    <m/>
    <m/>
    <m/>
    <m/>
    <m/>
    <m/>
    <m/>
    <n v="63.12"/>
    <m/>
    <m/>
    <m/>
    <m/>
    <n v="3.422166666666667"/>
    <n v="2.7101666666666668"/>
    <n v="2.2670000000000003"/>
  </r>
  <r>
    <x v="0"/>
    <x v="0"/>
    <n v="52"/>
    <s v="2019-09-06 11:45:48"/>
    <n v="6"/>
    <s v="en"/>
    <n v="1254182669"/>
    <s v="2019-09-06 11:31:17"/>
    <s v="2019-09-06 11:45:48"/>
    <s v="https://n-7gn6f3ymqlyeypjitxev2qsjqakgimt2ontr6eq-0lu-script.googleusercontent.com/userCodeAppPanel"/>
    <x v="0"/>
    <n v="1"/>
    <n v="1"/>
    <n v="1"/>
    <n v="0.375"/>
    <n v="3"/>
    <n v="17"/>
    <n v="14.545666666666667"/>
    <n v="12.382166666666667"/>
    <n v="0.77272727272727271"/>
    <n v="2.5"/>
    <n v="2"/>
    <s v="5ca4b6a74c30330001f14c70"/>
    <n v="2"/>
    <n v="3"/>
    <n v="0"/>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False"/>
    <s v="False"/>
    <s v="False"/>
    <s v="True"/>
    <s v="False"/>
    <s v="True"/>
    <x v="0"/>
    <s v="It's good for showing you the strongest themes being tweeted about"/>
    <m/>
    <n v="14.545666666666667"/>
    <n v="872.74"/>
    <n v="17.989999999999998"/>
    <m/>
    <n v="38.36"/>
    <m/>
    <m/>
    <m/>
    <m/>
    <n v="378.37"/>
    <m/>
    <m/>
    <m/>
    <m/>
    <m/>
    <m/>
    <n v="238.47"/>
    <m/>
    <m/>
    <m/>
    <m/>
    <m/>
    <m/>
    <m/>
    <m/>
    <n v="126.09"/>
    <m/>
    <m/>
    <m/>
    <m/>
    <m/>
    <m/>
    <m/>
    <m/>
    <n v="73.459999999999994"/>
    <m/>
    <m/>
    <m/>
    <m/>
    <n v="6.3061666666666669"/>
    <n v="3.9744999999999999"/>
    <n v="2.1015000000000001"/>
  </r>
  <r>
    <x v="0"/>
    <x v="0"/>
    <n v="53"/>
    <s v="2019-09-06 12:14:47"/>
    <n v="6"/>
    <s v="en"/>
    <n v="974368670"/>
    <s v="2019-09-06 12:03:19"/>
    <s v="2019-09-06 12:14:47"/>
    <s v="https://n-7gn6f3ymqlyeypjitxev2qsjqakgimt2ontr6eq-0lu-script.googleusercontent.com/userCodeAppPanel"/>
    <x v="0"/>
    <n v="1"/>
    <n v="0.83333333333333337"/>
    <n v="1"/>
    <n v="0.5"/>
    <n v="2"/>
    <n v="17"/>
    <n v="11.526333333333334"/>
    <n v="9.9156666666666666"/>
    <n v="0.77272727272727271"/>
    <n v="2"/>
    <n v="2"/>
    <s v="5ced7e9f3cad8c00179175af"/>
    <n v="2"/>
    <n v="2"/>
    <n v="0"/>
    <n v="3"/>
    <s v="Democrats"/>
    <s v="Republican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False"/>
    <s v="True"/>
    <s v="False"/>
    <s v="True"/>
    <x v="2"/>
    <s v="The obvious large words are easy to understand. Some of the smaller words are hard to see._x000a_It is unclear what the impact of smaller words and lesser terms is on the larger more used terms."/>
    <m/>
    <n v="11.526333333333334"/>
    <n v="691.58"/>
    <n v="4.37"/>
    <m/>
    <n v="27.7"/>
    <m/>
    <m/>
    <m/>
    <m/>
    <n v="279.89"/>
    <m/>
    <m/>
    <m/>
    <m/>
    <m/>
    <m/>
    <n v="145.78"/>
    <m/>
    <m/>
    <m/>
    <m/>
    <m/>
    <m/>
    <m/>
    <m/>
    <n v="169.27"/>
    <m/>
    <m/>
    <m/>
    <m/>
    <m/>
    <m/>
    <m/>
    <m/>
    <n v="64.569999999999993"/>
    <m/>
    <m/>
    <m/>
    <m/>
    <n v="4.6648333333333332"/>
    <n v="2.4296666666666669"/>
    <n v="2.821166666666667"/>
  </r>
  <r>
    <x v="1"/>
    <x v="0"/>
    <n v="55"/>
    <s v="2019-09-11 08:28:49"/>
    <n v="6"/>
    <s v="en"/>
    <n v="504035862"/>
    <s v="2019-09-11 08:25:46"/>
    <s v="2019-09-11 08:28:49"/>
    <s v="https://n-7ndajzbjmzh6ng24opzqo36guykgimt2ontr6eq-0lu-script.googleusercontent.com/userCodeAppPanel"/>
    <x v="0"/>
    <n v="1"/>
    <n v="0.16666666666666666"/>
    <n v="0.375"/>
    <n v="0.5"/>
    <n v="1"/>
    <n v="8"/>
    <n v="3.0598333333333332"/>
    <n v="2.0001666666666669"/>
    <n v="0.36363636363636365"/>
    <n v="10"/>
    <n v="2"/>
    <s v="5c6dd46d81dbdb00011e8b8e"/>
    <n v="10"/>
    <n v="10"/>
    <n v="0"/>
    <n v="10"/>
    <s v="Democrats"/>
    <s v="Republicans"/>
    <s v="Donald Trump"/>
    <s v="Cluster 4"/>
    <s v="Cluster 4"/>
    <s v="Cluster 4"/>
    <s v="Cluster 3"/>
    <s v="Cluster 2"/>
    <s v="Cluster 3"/>
    <s v="police, Trump, Obama"/>
    <s v="love, heart, thing"/>
    <s v="news"/>
    <s v="trump"/>
    <s v="Cluster 4"/>
    <s v="Cluster 5"/>
    <s v="accounts that tweet about Donald Trump"/>
    <s v="accounts that tweet about Donald Trump"/>
    <s v="True"/>
    <s v="True"/>
    <s v="True"/>
    <s v="True"/>
    <s v="True"/>
    <s v="True"/>
    <s v="True"/>
    <s v="True"/>
    <x v="3"/>
    <s v="I liked always this idea"/>
    <m/>
    <n v="3.0598333333333332"/>
    <n v="183.59"/>
    <n v="30"/>
    <m/>
    <n v="19.149999999999999"/>
    <m/>
    <m/>
    <m/>
    <m/>
    <n v="50.08"/>
    <m/>
    <m/>
    <m/>
    <m/>
    <m/>
    <m/>
    <n v="44.27"/>
    <m/>
    <m/>
    <m/>
    <m/>
    <m/>
    <m/>
    <m/>
    <m/>
    <n v="25.66"/>
    <m/>
    <m/>
    <m/>
    <m/>
    <m/>
    <m/>
    <m/>
    <m/>
    <n v="14.43"/>
    <m/>
    <m/>
    <m/>
    <m/>
    <n v="0.83466666666666667"/>
    <n v="0.73783333333333334"/>
    <n v="0.42766666666666669"/>
  </r>
  <r>
    <x v="1"/>
    <x v="0"/>
    <n v="56"/>
    <s v="2019-09-11 08:38:41"/>
    <n v="6"/>
    <s v="en"/>
    <n v="2119971450"/>
    <s v="2019-09-11 08:25:55"/>
    <s v="2019-09-11 08:38:41"/>
    <s v="https://n-7ndajzbjmzh6ng24opzqo36guykgimt2ontr6eq-0lu-script.googleusercontent.com/blank"/>
    <x v="0"/>
    <n v="1"/>
    <n v="0.5"/>
    <n v="0.375"/>
    <n v="0.625"/>
    <n v="4"/>
    <n v="11"/>
    <n v="12.8285"/>
    <n v="8.6120000000000001"/>
    <n v="0.5"/>
    <n v="3"/>
    <n v="2"/>
    <s v="lisafletcher09@hotmail.co.uk"/>
    <n v="3"/>
    <n v="3"/>
    <n v="0"/>
    <n v="4"/>
    <s v="Democrats"/>
    <s v="Republicans"/>
    <s v="Donald Trump"/>
    <s v="Cluster 3"/>
    <s v="Cluster 2"/>
    <s v="Cluster 1"/>
    <s v="Cluster 0"/>
    <s v="Cluster 5"/>
    <s v="Cluster 3"/>
    <s v="love, heart, thing"/>
    <s v="black, police, white"/>
    <s v="police"/>
    <s v="look"/>
    <s v="Cluster 3"/>
    <s v="Cluster 2"/>
    <s v="accounts that tweet about news stories"/>
    <s v="accounts that tweet about news stories"/>
    <s v="True"/>
    <s v="False"/>
    <s v="True"/>
    <s v="False"/>
    <s v="False"/>
    <s v="False"/>
    <s v="False"/>
    <s v="True"/>
    <x v="1"/>
    <s v="To many words jammed into small spaces, only ever creating emphasis on the words the advertisers wants you to see."/>
    <m/>
    <n v="12.8285"/>
    <n v="769.71"/>
    <n v="56.01"/>
    <m/>
    <n v="92.64"/>
    <m/>
    <m/>
    <m/>
    <m/>
    <n v="270.51"/>
    <m/>
    <m/>
    <m/>
    <m/>
    <m/>
    <m/>
    <n v="124.03"/>
    <m/>
    <m/>
    <m/>
    <m/>
    <m/>
    <m/>
    <m/>
    <m/>
    <n v="122.18"/>
    <m/>
    <m/>
    <m/>
    <m/>
    <m/>
    <m/>
    <m/>
    <m/>
    <n v="104.34"/>
    <m/>
    <m/>
    <m/>
    <m/>
    <n v="4.5084999999999997"/>
    <n v="2.0671666666666666"/>
    <n v="2.0363333333333333"/>
  </r>
  <r>
    <x v="1"/>
    <x v="0"/>
    <n v="57"/>
    <s v="2019-09-11 08:39:56"/>
    <n v="6"/>
    <s v="en"/>
    <n v="1483015796"/>
    <s v="2019-09-11 08:25:59"/>
    <s v="2019-09-11 08:39:56"/>
    <s v="https://n-7ndajzbjmzh6ng24opzqo36guykgimt2ontr6eq-0lu-script.googleusercontent.com/userCodeAppPanel"/>
    <x v="0"/>
    <n v="1"/>
    <n v="0.33333333333333331"/>
    <n v="0.375"/>
    <n v="0.5"/>
    <n v="3"/>
    <n v="9"/>
    <n v="14.004999999999999"/>
    <n v="12.042666666666667"/>
    <n v="0.40909090909090912"/>
    <n v="2"/>
    <n v="2"/>
    <s v="5cf4dfa4a602eb001be2e8c5"/>
    <n v="2"/>
    <n v="2"/>
    <n v="0"/>
    <n v="7"/>
    <s v="Democrats"/>
    <s v="Republicans"/>
    <s v="Donald Trump"/>
    <s v="Cluster 3"/>
    <s v="Cluster 1"/>
    <s v="Cluster 4"/>
    <s v="Cluster 0"/>
    <s v="Cluster 5"/>
    <s v="Cluster 2"/>
    <s v="black, police, white"/>
    <s v="black, police, white"/>
    <s v="police"/>
    <s v="trump"/>
    <s v="Cluster 3"/>
    <s v="Cluster 1"/>
    <s v="accounts that tweet about Donald Trump"/>
    <s v="accounts that tweet about news stories"/>
    <s v="True"/>
    <s v="False"/>
    <s v="True"/>
    <s v="False"/>
    <s v="False"/>
    <s v="True"/>
    <s v="False"/>
    <s v="True"/>
    <x v="0"/>
    <s v="Many seem very similar and seem to be making the same point.  The only one that appears quite different is Cluster 0"/>
    <m/>
    <n v="14.004999999999999"/>
    <n v="840.3"/>
    <n v="5.89"/>
    <m/>
    <n v="37.4"/>
    <m/>
    <m/>
    <m/>
    <m/>
    <n v="339.86"/>
    <m/>
    <m/>
    <m/>
    <m/>
    <m/>
    <m/>
    <n v="239.13"/>
    <m/>
    <m/>
    <m/>
    <m/>
    <m/>
    <m/>
    <m/>
    <m/>
    <n v="143.57"/>
    <m/>
    <m/>
    <m/>
    <m/>
    <m/>
    <m/>
    <m/>
    <m/>
    <n v="74.45"/>
    <m/>
    <m/>
    <m/>
    <m/>
    <n v="5.6643333333333334"/>
    <n v="3.9855"/>
    <n v="2.3928333333333334"/>
  </r>
  <r>
    <x v="1"/>
    <x v="0"/>
    <n v="58"/>
    <s v="2019-09-11 08:41:21"/>
    <n v="6"/>
    <s v="en"/>
    <n v="794199642"/>
    <s v="2019-09-11 08:26:26"/>
    <s v="2019-09-11 08:41:21"/>
    <s v="https://n-7ndajzbjmzh6ng24opzqo36guykgimt2ontr6eq-0lu-script.googleusercontent.com/blank"/>
    <x v="0"/>
    <n v="1"/>
    <n v="0.83333333333333337"/>
    <n v="0.75"/>
    <n v="0.375"/>
    <n v="4"/>
    <n v="14"/>
    <n v="14.970333333333334"/>
    <n v="13.203833333333332"/>
    <n v="0.63636363636363635"/>
    <n v="1.5"/>
    <n v="2"/>
    <s v="56ca3e3237d66c000c59a891"/>
    <n v="1"/>
    <n v="2"/>
    <n v="0"/>
    <n v="6"/>
    <s v="Democrats"/>
    <s v="Republicans"/>
    <s v="Donald Trump"/>
    <s v="Cluster 3"/>
    <s v="Cluster 5"/>
    <s v="Cluster 1"/>
    <s v="Cluster 0"/>
    <s v="Cluster 2"/>
    <s v="Cluster 1"/>
    <s v="love, heart, thing"/>
    <s v="black, police, white"/>
    <s v="news"/>
    <s v="look"/>
    <s v="Cluster 3"/>
    <s v="Cluster 5"/>
    <s v="accounts that tweet about crime"/>
    <s v="accounts that tweet about Donald Trump"/>
    <s v="True"/>
    <s v="False"/>
    <s v="False"/>
    <s v="False"/>
    <s v="False"/>
    <s v="True"/>
    <s v="False"/>
    <s v="True"/>
    <x v="1"/>
    <s v="Different way of thinking"/>
    <m/>
    <n v="14.970333333333334"/>
    <n v="898.22"/>
    <n v="9.4600000000000009"/>
    <m/>
    <n v="35.82"/>
    <m/>
    <m/>
    <m/>
    <m/>
    <n v="368.1"/>
    <m/>
    <m/>
    <m/>
    <m/>
    <m/>
    <m/>
    <n v="229.17"/>
    <m/>
    <m/>
    <m/>
    <m/>
    <m/>
    <m/>
    <m/>
    <m/>
    <n v="194.96"/>
    <m/>
    <m/>
    <m/>
    <m/>
    <m/>
    <m/>
    <m/>
    <m/>
    <n v="60.71"/>
    <m/>
    <m/>
    <m/>
    <m/>
    <n v="6.1350000000000007"/>
    <n v="3.8194999999999997"/>
    <n v="3.2493333333333334"/>
  </r>
  <r>
    <x v="1"/>
    <x v="0"/>
    <n v="59"/>
    <s v="2019-09-11 08:32:40"/>
    <n v="6"/>
    <s v="en"/>
    <n v="1216756236"/>
    <s v="2019-09-11 08:26:36"/>
    <s v="2019-09-11 08:32:40"/>
    <s v="https://n-7ndajzbjmzh6ng24opzqo36guykgimt2ontr6eq-0lu-script.googleusercontent.com/userCodeAppPanel"/>
    <x v="0"/>
    <n v="1"/>
    <n v="0.66666666666666663"/>
    <n v="0.5"/>
    <n v="0.375"/>
    <n v="1"/>
    <n v="11"/>
    <n v="6.117166666666666"/>
    <n v="4.9995000000000003"/>
    <n v="0.5"/>
    <n v="1"/>
    <n v="2"/>
    <s v="5d58a7bc257b370018265ffe"/>
    <n v="1"/>
    <n v="1"/>
    <n v="0"/>
    <n v="1"/>
    <s v="Democrats"/>
    <s v="Republicans"/>
    <s v="Donald Trump"/>
    <s v="Cluster 3"/>
    <s v="Cluster 5"/>
    <s v="Cluster 1"/>
    <s v="Cluster 0"/>
    <s v="Cluster 3"/>
    <s v="Cluster 5"/>
    <s v="love, heart, thing"/>
    <s v="black, police, white"/>
    <s v="black"/>
    <s v="new"/>
    <s v="Cluster 3"/>
    <s v="Cluster 5"/>
    <s v="accounts that tweet about news stories"/>
    <s v="accounts that tweet about crime"/>
    <s v="True"/>
    <s v="False"/>
    <s v="False"/>
    <s v="False"/>
    <s v="False"/>
    <s v="True"/>
    <s v="False"/>
    <s v="True"/>
    <x v="3"/>
    <s v="respresentation of the big picture"/>
    <m/>
    <n v="6.117166666666666"/>
    <n v="367.03"/>
    <n v="5.44"/>
    <m/>
    <n v="18.940000000000001"/>
    <m/>
    <m/>
    <m/>
    <m/>
    <n v="92.07"/>
    <m/>
    <m/>
    <m/>
    <m/>
    <m/>
    <m/>
    <n v="113.92"/>
    <m/>
    <m/>
    <m/>
    <m/>
    <m/>
    <m/>
    <m/>
    <m/>
    <n v="93.98"/>
    <m/>
    <m/>
    <m/>
    <m/>
    <m/>
    <m/>
    <m/>
    <m/>
    <n v="42.68"/>
    <m/>
    <m/>
    <m/>
    <m/>
    <n v="1.5345"/>
    <n v="1.8986666666666667"/>
    <n v="1.5663333333333334"/>
  </r>
  <r>
    <x v="1"/>
    <x v="0"/>
    <n v="60"/>
    <s v="2019-09-11 08:40:58"/>
    <n v="6"/>
    <s v="en"/>
    <n v="372122104"/>
    <s v="2019-09-11 08:26:47"/>
    <s v="2019-09-11 08:40:58"/>
    <s v="https://n-7ndajzbjmzh6ng24opzqo36guykgimt2ontr6eq-0lu-script.googleusercontent.com/userCodeAppPanel"/>
    <x v="0"/>
    <n v="1"/>
    <n v="1"/>
    <n v="1"/>
    <n v="0.5"/>
    <n v="3"/>
    <n v="18"/>
    <n v="14.252833333333333"/>
    <n v="10.041499999999999"/>
    <n v="0.81818181818181823"/>
    <n v="1"/>
    <n v="2"/>
    <s v="5d6ef023cfe0a400198f911e"/>
    <n v="1"/>
    <n v="1"/>
    <n v="0"/>
    <n v="8"/>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True"/>
    <s v="False"/>
    <s v="True"/>
    <x v="0"/>
    <s v="Holistically, I can see the most prominent trends in these clusters. When looking for nuance, however, I tend to get lost. This most often occurred with the Trump/Obama and News clusters. That being said, I do find these useful when reading into macro-level trends."/>
    <m/>
    <n v="14.252833333333333"/>
    <n v="855.17"/>
    <n v="26.61"/>
    <m/>
    <n v="42.39"/>
    <m/>
    <m/>
    <m/>
    <m/>
    <n v="275.83999999999997"/>
    <m/>
    <m/>
    <m/>
    <m/>
    <m/>
    <m/>
    <n v="145.82"/>
    <m/>
    <m/>
    <m/>
    <m/>
    <m/>
    <m/>
    <m/>
    <m/>
    <n v="180.83"/>
    <m/>
    <m/>
    <m/>
    <m/>
    <m/>
    <m/>
    <m/>
    <m/>
    <n v="183.68"/>
    <m/>
    <m/>
    <m/>
    <m/>
    <n v="4.5973333333333333"/>
    <n v="2.430333333333333"/>
    <n v="3.0138333333333334"/>
  </r>
  <r>
    <x v="1"/>
    <x v="0"/>
    <n v="61"/>
    <s v="2019-09-11 08:43:21"/>
    <n v="6"/>
    <s v="en"/>
    <n v="34404930"/>
    <s v="2019-09-11 08:26:59"/>
    <s v="2019-09-11 08:43:21"/>
    <s v="https://n-7ndajzbjmzh6ng24opzqo36guykgimt2ontr6eq-0lu-script.googleusercontent.com/blank"/>
    <x v="0"/>
    <n v="1"/>
    <n v="0.33333333333333331"/>
    <n v="0.5"/>
    <n v="0.5"/>
    <n v="4"/>
    <n v="10"/>
    <n v="16.420500000000001"/>
    <n v="10.979666666666667"/>
    <n v="0.45454545454545453"/>
    <n v="2"/>
    <n v="2"/>
    <s v="5cd2e5dc3c43570018b98f0a"/>
    <n v="2"/>
    <n v="2"/>
    <n v="0"/>
    <n v="3"/>
    <s v="Democrats"/>
    <s v="Republicans"/>
    <s v="Donald Trump"/>
    <s v="Cluster 3"/>
    <s v="Cluster 4"/>
    <s v="Cluster 4"/>
    <s v="Cluster 0"/>
    <s v="Cluster 5"/>
    <s v="Cluster 2"/>
    <s v="love, heart, thing"/>
    <s v="black, police, white"/>
    <s v="police"/>
    <s v="obama"/>
    <s v="Cluster 3"/>
    <s v="Cluster 5"/>
    <s v="accounts that tweet about news stories"/>
    <s v="accounts that tweet about Donald Trump"/>
    <s v="True"/>
    <s v="False"/>
    <s v="False"/>
    <s v="False"/>
    <s v="False"/>
    <s v="True"/>
    <s v="False"/>
    <s v="False"/>
    <x v="1"/>
    <s v="I feel as though I have to extrapolate a lot here, and don’t find it easy"/>
    <m/>
    <n v="16.420500000000001"/>
    <n v="985.23"/>
    <n v="10.31"/>
    <m/>
    <n v="275.51"/>
    <m/>
    <m/>
    <m/>
    <m/>
    <n v="300.82"/>
    <m/>
    <m/>
    <m/>
    <m/>
    <m/>
    <m/>
    <n v="202.58"/>
    <m/>
    <m/>
    <m/>
    <m/>
    <m/>
    <m/>
    <m/>
    <m/>
    <n v="155.38"/>
    <m/>
    <m/>
    <m/>
    <m/>
    <m/>
    <m/>
    <m/>
    <m/>
    <n v="40.630000000000003"/>
    <m/>
    <m/>
    <m/>
    <m/>
    <n v="5.0136666666666665"/>
    <n v="3.3763333333333336"/>
    <n v="2.5896666666666666"/>
  </r>
  <r>
    <x v="1"/>
    <x v="0"/>
    <n v="62"/>
    <s v="2019-09-11 08:40:03"/>
    <n v="6"/>
    <s v="en"/>
    <n v="1296035991"/>
    <s v="2019-09-11 08:27:34"/>
    <s v="2019-09-11 08:40:03"/>
    <s v="https://n-7ndajzbjmzh6ng24opzqo36guykgimt2ontr6eq-0lu-script.googleusercontent.com/blank"/>
    <x v="0"/>
    <n v="1"/>
    <n v="0.66666666666666663"/>
    <n v="0.875"/>
    <n v="0.5"/>
    <n v="3"/>
    <n v="15"/>
    <n v="12.514000000000001"/>
    <n v="11.364500000000001"/>
    <n v="0.68181818181818177"/>
    <n v="1.5"/>
    <n v="2"/>
    <s v="5b89c530f12d55000126ec48"/>
    <n v="2"/>
    <n v="1"/>
    <n v="0"/>
    <n v="1"/>
    <s v="Democrats"/>
    <s v="Republicans"/>
    <s v="Donald Trump"/>
    <s v="Cluster 3"/>
    <s v="Cluster 5"/>
    <s v="Cluster 1"/>
    <s v="Cluster 0"/>
    <s v="Cluster 5"/>
    <s v="Cluster 5"/>
    <s v="love, heart, thing"/>
    <s v="black, police, white"/>
    <s v="death"/>
    <s v="trump"/>
    <s v="Cluster 3"/>
    <s v="Cluster 5"/>
    <s v="accounts that tweet about crime"/>
    <s v="accounts that tweet about American presidents"/>
    <s v="True"/>
    <s v="False"/>
    <s v="True"/>
    <s v="False"/>
    <s v="False"/>
    <s v="True"/>
    <s v="False"/>
    <s v="True"/>
    <x v="0"/>
    <s v="Some words stand out more than others"/>
    <m/>
    <n v="12.514000000000001"/>
    <n v="750.84"/>
    <n v="10.050000000000001"/>
    <m/>
    <n v="32.49"/>
    <m/>
    <m/>
    <m/>
    <m/>
    <n v="341.04"/>
    <m/>
    <m/>
    <m/>
    <m/>
    <m/>
    <m/>
    <n v="187.75"/>
    <m/>
    <m/>
    <m/>
    <m/>
    <m/>
    <m/>
    <m/>
    <m/>
    <n v="153.08000000000001"/>
    <m/>
    <m/>
    <m/>
    <m/>
    <m/>
    <m/>
    <m/>
    <m/>
    <n v="26.43"/>
    <m/>
    <m/>
    <m/>
    <m/>
    <n v="5.6840000000000002"/>
    <n v="3.1291666666666669"/>
    <n v="2.5513333333333335"/>
  </r>
  <r>
    <x v="1"/>
    <x v="0"/>
    <n v="64"/>
    <s v="2019-09-11 08:41:56"/>
    <n v="6"/>
    <s v="en"/>
    <n v="637231453"/>
    <s v="2019-09-11 08:27:58"/>
    <s v="2019-09-11 08:41:56"/>
    <s v="https://n-7ndajzbjmzh6ng24opzqo36guykgimt2ontr6eq-0lu-script.googleusercontent.com/userCodeAppPanel"/>
    <x v="0"/>
    <n v="1"/>
    <n v="0.66666666666666663"/>
    <n v="1"/>
    <n v="0.625"/>
    <n v="1"/>
    <n v="17"/>
    <n v="14.009500000000001"/>
    <n v="10.5915"/>
    <n v="0.77272727272727271"/>
    <n v="6"/>
    <n v="2"/>
    <s v="5d533625b45aff0001980b1a"/>
    <n v="7"/>
    <n v="5"/>
    <n v="0"/>
    <n v="3"/>
    <s v="Democrats"/>
    <s v="Republicans"/>
    <s v="Donald Trump"/>
    <s v="Cluster 3"/>
    <s v="Cluster 5"/>
    <s v="Cluster 4"/>
    <s v="Cluster 0"/>
    <s v="Cluster 2"/>
    <s v="Cluster 1"/>
    <s v="love, heart, thing"/>
    <s v="black, police, white"/>
    <s v="news"/>
    <s v="trump"/>
    <s v="Cluster 3"/>
    <s v="Cluster 5"/>
    <s v="accounts that tweet about crime"/>
    <s v="accounts that tweet about American presidents"/>
    <s v="True"/>
    <s v="False"/>
    <s v="False"/>
    <s v="False"/>
    <s v="False"/>
    <s v="False"/>
    <s v="True"/>
    <s v="True"/>
    <x v="3"/>
    <s v="I think they are easier to &quot;see&quot; common words"/>
    <m/>
    <n v="14.009500000000001"/>
    <n v="840.57"/>
    <n v="6.25"/>
    <m/>
    <n v="64.47"/>
    <m/>
    <m/>
    <m/>
    <m/>
    <n v="298.27"/>
    <m/>
    <m/>
    <m/>
    <m/>
    <m/>
    <m/>
    <n v="239.47"/>
    <m/>
    <m/>
    <m/>
    <m/>
    <m/>
    <m/>
    <m/>
    <m/>
    <n v="97.75"/>
    <m/>
    <m/>
    <m/>
    <m/>
    <m/>
    <m/>
    <m/>
    <m/>
    <n v="134.36000000000001"/>
    <m/>
    <m/>
    <m/>
    <m/>
    <n v="4.9711666666666661"/>
    <n v="3.9911666666666665"/>
    <n v="1.6291666666666667"/>
  </r>
  <r>
    <x v="1"/>
    <x v="0"/>
    <n v="65"/>
    <s v="2019-09-11 08:36:22"/>
    <n v="6"/>
    <s v="en"/>
    <n v="921603395"/>
    <s v="2019-09-11 08:28:12"/>
    <s v="2019-09-11 08:36:22"/>
    <s v="https://n-7ndajzbjmzh6ng24opzqo36guykgimt2ontr6eq-0lu-script.googleusercontent.com/userCodeAppPanel"/>
    <x v="0"/>
    <n v="1"/>
    <n v="1"/>
    <n v="0.875"/>
    <n v="0.625"/>
    <n v="2"/>
    <n v="18"/>
    <n v="8.23"/>
    <n v="7.1318333333333337"/>
    <n v="0.81818181818181823"/>
    <n v="1"/>
    <n v="2"/>
    <s v="5b7ecfe47a63030001019c35"/>
    <n v="1"/>
    <n v="1"/>
    <n v="0"/>
    <n v="5"/>
    <s v="Democrats"/>
    <s v="Republicans"/>
    <s v="Donald Trump"/>
    <s v="Cluster 3"/>
    <s v="Cluster 5"/>
    <s v="Cluster 1"/>
    <s v="Cluster 0"/>
    <s v="Cluster 2"/>
    <s v="Cluster 4"/>
    <s v="love, heart, thing"/>
    <s v="black, police, white"/>
    <s v="news"/>
    <s v="trump"/>
    <s v="Cluster 3"/>
    <s v="Cluster 5"/>
    <s v="accounts that tweet American presidents"/>
    <s v="accounts that tweet about American presidents"/>
    <s v="True"/>
    <s v="False"/>
    <s v="True"/>
    <s v="False"/>
    <s v="False"/>
    <s v="True"/>
    <s v="True"/>
    <s v="True"/>
    <x v="2"/>
    <s v="i found it easier as time went on to decipher wording"/>
    <m/>
    <n v="8.23"/>
    <n v="493.8"/>
    <n v="4.42"/>
    <m/>
    <n v="32.49"/>
    <m/>
    <m/>
    <m/>
    <m/>
    <n v="168.24"/>
    <m/>
    <m/>
    <m/>
    <m/>
    <m/>
    <m/>
    <n v="152.71"/>
    <m/>
    <m/>
    <m/>
    <m/>
    <m/>
    <m/>
    <m/>
    <m/>
    <n v="106.96"/>
    <m/>
    <m/>
    <m/>
    <m/>
    <m/>
    <m/>
    <m/>
    <m/>
    <n v="28.98"/>
    <m/>
    <m/>
    <m/>
    <m/>
    <n v="2.8040000000000003"/>
    <n v="2.5451666666666668"/>
    <n v="1.7826666666666666"/>
  </r>
  <r>
    <x v="1"/>
    <x v="0"/>
    <n v="66"/>
    <s v="2019-09-11 08:45:41"/>
    <n v="6"/>
    <s v="en"/>
    <n v="902149787"/>
    <s v="2019-09-11 08:28:13"/>
    <s v="2019-09-11 08:45:41"/>
    <s v="https://n-7ndajzbjmzh6ng24opzqo36guykgimt2ontr6eq-0lu-script.googleusercontent.com/userCodeAppPanel"/>
    <x v="0"/>
    <n v="1"/>
    <n v="0.66666666666666663"/>
    <n v="0.75"/>
    <n v="0.375"/>
    <n v="3"/>
    <n v="13"/>
    <n v="17.519000000000002"/>
    <n v="16.051500000000001"/>
    <n v="0.59090909090909094"/>
    <n v="3.5"/>
    <n v="2"/>
    <s v="5cbc071f2edc3b00018ab097"/>
    <n v="4"/>
    <n v="3"/>
    <n v="0"/>
    <n v="7"/>
    <s v="Democrats"/>
    <s v="Republicans"/>
    <s v="Donald Trump"/>
    <s v="Cluster 3"/>
    <s v="Cluster 3"/>
    <s v="Cluster 4"/>
    <s v="Cluster 0"/>
    <s v="Cluster 2"/>
    <s v="Cluster 4"/>
    <s v="love, heart, thing"/>
    <s v="black, police, white"/>
    <s v="death"/>
    <s v="obama"/>
    <s v="Cluster 3"/>
    <s v="Cluster 5"/>
    <s v="accounts that tweet about crime"/>
    <s v="accounts that tweet about American presidents"/>
    <s v="True"/>
    <s v="False"/>
    <s v="False"/>
    <s v="False"/>
    <s v="False"/>
    <s v="True"/>
    <s v="False"/>
    <s v="True"/>
    <x v="0"/>
    <s v="The clusters do seem to be somewhat similar."/>
    <m/>
    <n v="17.519000000000002"/>
    <n v="1051.1400000000001"/>
    <n v="12.35"/>
    <m/>
    <n v="29.49"/>
    <m/>
    <m/>
    <m/>
    <m/>
    <n v="308.11"/>
    <m/>
    <m/>
    <m/>
    <m/>
    <m/>
    <m/>
    <n v="458.04"/>
    <m/>
    <m/>
    <m/>
    <m/>
    <m/>
    <m/>
    <m/>
    <m/>
    <n v="196.94"/>
    <m/>
    <m/>
    <m/>
    <m/>
    <m/>
    <m/>
    <m/>
    <m/>
    <n v="46.21"/>
    <m/>
    <m/>
    <m/>
    <m/>
    <n v="5.1351666666666667"/>
    <n v="7.6340000000000003"/>
    <n v="3.2823333333333333"/>
  </r>
  <r>
    <x v="1"/>
    <x v="0"/>
    <n v="67"/>
    <s v="2019-09-11 08:34:48"/>
    <n v="6"/>
    <s v="en"/>
    <n v="1247914858"/>
    <s v="2019-09-11 08:28:17"/>
    <s v="2019-09-11 08:34:48"/>
    <s v="https://n-7ndajzbjmzh6ng24opzqo36guykgimt2ontr6eq-0lu-script.googleusercontent.com/userCodeAppPanel"/>
    <x v="0"/>
    <n v="1"/>
    <n v="0.66666666666666663"/>
    <n v="0.625"/>
    <n v="0.375"/>
    <n v="2"/>
    <n v="12"/>
    <n v="6.5739999999999998"/>
    <n v="5.9481666666666655"/>
    <n v="0.54545454545454541"/>
    <n v="1"/>
    <n v="2"/>
    <s v="5aedec6e76b763000132f75e"/>
    <n v="1"/>
    <n v="1"/>
    <n v="0"/>
    <n v="2"/>
    <s v="Democrats"/>
    <s v="Republicans"/>
    <s v="Donald Trump"/>
    <s v="Cluster 3"/>
    <s v="Cluster 2"/>
    <s v="Cluster 1"/>
    <s v="Cluster 0"/>
    <s v="Cluster 5"/>
    <s v="Cluster 4"/>
    <s v="love, heart, thing"/>
    <s v="black, police, white"/>
    <s v="news"/>
    <s v="obama"/>
    <s v="Cluster 3"/>
    <s v="Cluster 5"/>
    <s v="accounts that tweet about news stories"/>
    <s v="accounts that tweet about news stories"/>
    <s v="True"/>
    <s v="False"/>
    <s v="False"/>
    <s v="False"/>
    <s v="False"/>
    <s v="True"/>
    <s v="False"/>
    <s v="True"/>
    <x v="2"/>
    <m/>
    <m/>
    <n v="6.5739999999999998"/>
    <n v="394.44"/>
    <n v="7.38"/>
    <m/>
    <n v="20.72"/>
    <m/>
    <m/>
    <m/>
    <m/>
    <n v="154.71"/>
    <m/>
    <m/>
    <m/>
    <m/>
    <m/>
    <m/>
    <n v="124.85"/>
    <m/>
    <m/>
    <m/>
    <m/>
    <m/>
    <m/>
    <m/>
    <m/>
    <n v="77.33"/>
    <m/>
    <m/>
    <m/>
    <m/>
    <m/>
    <m/>
    <m/>
    <m/>
    <n v="9.4499999999999993"/>
    <m/>
    <m/>
    <m/>
    <m/>
    <n v="2.5785"/>
    <n v="2.0808333333333331"/>
    <n v="1.2888333333333333"/>
  </r>
  <r>
    <x v="1"/>
    <x v="0"/>
    <n v="68"/>
    <s v="2019-09-11 08:37:16"/>
    <n v="6"/>
    <s v="en"/>
    <n v="1645189931"/>
    <s v="2019-09-11 08:28:27"/>
    <s v="2019-09-11 08:37:16"/>
    <s v="https://n-7ndajzbjmzh6ng24opzqo36guykgimt2ontr6eq-0lu-script.googleusercontent.com/userCodeAppPanel"/>
    <x v="0"/>
    <n v="1"/>
    <n v="0.5"/>
    <n v="0.875"/>
    <n v="0.625"/>
    <n v="4"/>
    <n v="15"/>
    <n v="8.8763333333333332"/>
    <n v="7.3931666666666676"/>
    <n v="0.68181818181818177"/>
    <n v="1.5"/>
    <n v="2"/>
    <s v="592bb32c943e670001cde123"/>
    <n v="1"/>
    <n v="2"/>
    <n v="0"/>
    <n v="6"/>
    <s v="Democrats"/>
    <s v="Republicans"/>
    <s v="Donald Trump"/>
    <s v="Cluster 3"/>
    <s v="Cluster 5"/>
    <s v="Cluster 4"/>
    <s v="Cluster 0"/>
    <s v="Cluster 5"/>
    <s v="Cluster 1"/>
    <s v="love, heart, thing"/>
    <s v="black, police, white"/>
    <s v="news"/>
    <s v="trump"/>
    <s v="Cluster 3"/>
    <s v="Cluster 5"/>
    <s v="accounts that tweet about crime"/>
    <s v="accounts that tweet about Donald Trump"/>
    <s v="True"/>
    <s v="True"/>
    <s v="True"/>
    <s v="False"/>
    <s v="True"/>
    <s v="True"/>
    <s v="False"/>
    <s v="False"/>
    <x v="1"/>
    <s v="Some of the word words in the word cloud were easy to read with a quick look. Others words required  a lot of concentration and consideration about their connection to each other, etc."/>
    <m/>
    <n v="8.8763333333333332"/>
    <n v="532.58000000000004"/>
    <n v="9.6199999999999992"/>
    <m/>
    <n v="22.57"/>
    <m/>
    <m/>
    <m/>
    <m/>
    <n v="158.62"/>
    <m/>
    <m/>
    <m/>
    <m/>
    <m/>
    <m/>
    <n v="132.6"/>
    <m/>
    <m/>
    <m/>
    <m/>
    <m/>
    <m/>
    <m/>
    <m/>
    <n v="152.37"/>
    <m/>
    <m/>
    <m/>
    <m/>
    <m/>
    <m/>
    <m/>
    <m/>
    <n v="56.8"/>
    <m/>
    <m/>
    <m/>
    <m/>
    <n v="2.6436666666666668"/>
    <n v="2.21"/>
    <n v="2.5394999999999999"/>
  </r>
  <r>
    <x v="1"/>
    <x v="0"/>
    <n v="69"/>
    <s v="2019-09-11 08:39:52"/>
    <n v="6"/>
    <s v="en"/>
    <n v="899245014"/>
    <s v="2019-09-11 08:28:39"/>
    <s v="2019-09-11 08:39:51"/>
    <s v="https://n-7ndajzbjmzh6ng24opzqo36guykgimt2ontr6eq-0lu-script.googleusercontent.com/userCodeAppPanel"/>
    <x v="0"/>
    <n v="1"/>
    <n v="0.5"/>
    <n v="0.625"/>
    <n v="0.375"/>
    <n v="3"/>
    <n v="11"/>
    <n v="11.282333333333334"/>
    <n v="9.9878333333333345"/>
    <n v="0.5"/>
    <n v="2"/>
    <n v="2"/>
    <s v="5bf077098500d800010a99e0"/>
    <n v="1"/>
    <n v="3"/>
    <n v="0"/>
    <n v="3"/>
    <s v="Democrats"/>
    <s v="Republicans"/>
    <s v="Donald Trump"/>
    <s v="Cluster 3"/>
    <s v="Cluster 4"/>
    <s v="Cluster 1"/>
    <s v="Cluster 0"/>
    <s v="Cluster 5"/>
    <s v="Cluster 1"/>
    <s v="love, heart, thing"/>
    <s v="black, police, white"/>
    <s v="black"/>
    <s v="new"/>
    <s v="Cluster 3"/>
    <s v="Cluster 5"/>
    <s v="accounts that tweet American presidents"/>
    <s v="accounts that tweet about American presidents"/>
    <s v="True"/>
    <s v="False"/>
    <s v="False"/>
    <s v="False"/>
    <s v="False"/>
    <s v="True"/>
    <s v="False"/>
    <s v="True"/>
    <x v="0"/>
    <s v="fits well as grouped"/>
    <m/>
    <n v="11.282333333333334"/>
    <n v="676.94"/>
    <n v="23.9"/>
    <m/>
    <n v="25.74"/>
    <m/>
    <m/>
    <m/>
    <m/>
    <n v="273.94"/>
    <m/>
    <m/>
    <m/>
    <m/>
    <m/>
    <m/>
    <n v="198.1"/>
    <m/>
    <m/>
    <m/>
    <m/>
    <m/>
    <m/>
    <m/>
    <m/>
    <n v="127.23"/>
    <m/>
    <m/>
    <m/>
    <m/>
    <m/>
    <m/>
    <m/>
    <m/>
    <n v="28.03"/>
    <m/>
    <m/>
    <m/>
    <m/>
    <n v="4.565666666666667"/>
    <n v="3.3016666666666667"/>
    <n v="2.1205000000000003"/>
  </r>
  <r>
    <x v="1"/>
    <x v="0"/>
    <n v="70"/>
    <s v="2019-09-11 08:49:47"/>
    <n v="6"/>
    <s v="en"/>
    <n v="1695526247"/>
    <s v="2019-09-11 08:29:04"/>
    <s v="2019-09-11 08:49:47"/>
    <s v="https://n-7ndajzbjmzh6ng24opzqo36guykgimt2ontr6eq-0lu-script.googleusercontent.com/userCodeAppPanel"/>
    <x v="0"/>
    <n v="1"/>
    <n v="0.5"/>
    <n v="0.75"/>
    <n v="0.5"/>
    <n v="3"/>
    <n v="13"/>
    <n v="20.759833333333333"/>
    <n v="18.770000000000003"/>
    <n v="0.59090909090909094"/>
    <n v="4.5"/>
    <n v="2"/>
    <s v="5d61b08dc1cfe8001740f405"/>
    <n v="4"/>
    <n v="5"/>
    <n v="0"/>
    <n v="6"/>
    <s v="Democrats"/>
    <s v="Republicans"/>
    <s v="Donald Trump"/>
    <s v="Cluster 3"/>
    <s v="Cluster 5"/>
    <s v="Cluster 4"/>
    <s v="Cluster 0"/>
    <s v="Cluster 5"/>
    <s v="Cluster 1"/>
    <s v="love, heart, thing"/>
    <s v="black, police, white"/>
    <s v="news"/>
    <s v="trump"/>
    <s v="Cluster 3"/>
    <s v="Cluster 5"/>
    <s v="accounts that tweet about news stories"/>
    <s v="accounts that tweet about news stories"/>
    <s v="True"/>
    <s v="False"/>
    <s v="True"/>
    <s v="False"/>
    <s v="False"/>
    <s v="True"/>
    <s v="False"/>
    <s v="True"/>
    <x v="0"/>
    <s v="It seems to make sense if you start with the biggest words and move to the smaller ones and they all seem to interconnect"/>
    <m/>
    <n v="20.759833333333333"/>
    <n v="1245.5899999999999"/>
    <n v="10.16"/>
    <m/>
    <n v="30.49"/>
    <m/>
    <m/>
    <m/>
    <m/>
    <n v="476.98"/>
    <m/>
    <m/>
    <m/>
    <m/>
    <m/>
    <m/>
    <n v="373.85"/>
    <m/>
    <m/>
    <m/>
    <m/>
    <m/>
    <m/>
    <m/>
    <m/>
    <n v="275.37"/>
    <m/>
    <m/>
    <m/>
    <m/>
    <m/>
    <m/>
    <m/>
    <m/>
    <n v="78.739999999999995"/>
    <m/>
    <m/>
    <m/>
    <m/>
    <n v="7.9496666666666673"/>
    <n v="6.2308333333333339"/>
    <n v="4.5895000000000001"/>
  </r>
  <r>
    <x v="1"/>
    <x v="0"/>
    <n v="71"/>
    <s v="2019-09-11 08:37:59"/>
    <n v="6"/>
    <s v="en"/>
    <n v="1189176715"/>
    <s v="2019-09-11 08:29:06"/>
    <s v="2019-09-11 08:37:59"/>
    <s v="https://n-7ndajzbjmzh6ng24opzqo36guykgimt2ontr6eq-0lu-script.googleusercontent.com/userCodeAppPanel"/>
    <x v="0"/>
    <n v="1"/>
    <n v="0.5"/>
    <n v="0.75"/>
    <n v="0.875"/>
    <n v="4"/>
    <n v="16"/>
    <n v="8.940666666666667"/>
    <n v="8.0373333333333346"/>
    <n v="0.72727272727272729"/>
    <n v="1"/>
    <n v="2"/>
    <s v="5cf8529eb13a580001bdc7d9"/>
    <n v="1"/>
    <n v="1"/>
    <n v="0"/>
    <n v="5"/>
    <s v="Democrats"/>
    <s v="Republicans"/>
    <s v="Donald Trump"/>
    <s v="Cluster 2"/>
    <s v="Cluster 5"/>
    <s v="Cluster 4"/>
    <s v="Cluster 0"/>
    <s v="Cluster 5"/>
    <s v="Cluster 4"/>
    <s v="love, heart, thing"/>
    <s v="black, police, white"/>
    <s v="police"/>
    <s v="trump"/>
    <s v="Cluster 3"/>
    <s v="Cluster 5"/>
    <s v="accounts that tweet about news stories"/>
    <s v="accounts that tweet about American presidents"/>
    <s v="True"/>
    <s v="False"/>
    <s v="True"/>
    <s v="False"/>
    <s v="False"/>
    <s v="False"/>
    <s v="True"/>
    <s v="False"/>
    <x v="1"/>
    <m/>
    <m/>
    <n v="8.940666666666667"/>
    <n v="536.44000000000005"/>
    <n v="13.91"/>
    <m/>
    <n v="31.42"/>
    <m/>
    <m/>
    <m/>
    <m/>
    <n v="173.3"/>
    <m/>
    <m/>
    <m/>
    <m/>
    <m/>
    <m/>
    <n v="180.89"/>
    <m/>
    <m/>
    <m/>
    <m/>
    <m/>
    <m/>
    <m/>
    <m/>
    <n v="128.05000000000001"/>
    <m/>
    <m/>
    <m/>
    <m/>
    <m/>
    <m/>
    <m/>
    <m/>
    <n v="8.8699999999999992"/>
    <m/>
    <m/>
    <m/>
    <m/>
    <n v="2.8883333333333336"/>
    <n v="3.0148333333333333"/>
    <n v="2.1341666666666668"/>
  </r>
  <r>
    <x v="1"/>
    <x v="0"/>
    <n v="72"/>
    <s v="2019-09-11 08:53:23"/>
    <n v="6"/>
    <s v="en"/>
    <n v="1109942390"/>
    <s v="2019-09-11 08:29:24"/>
    <s v="2019-09-11 08:53:23"/>
    <s v="https://n-7ndajzbjmzh6ng24opzqo36guykgimt2ontr6eq-0lu-script.googleusercontent.com/userCodeAppPanel"/>
    <x v="0"/>
    <n v="1"/>
    <n v="1"/>
    <n v="0.875"/>
    <n v="0.5"/>
    <n v="4"/>
    <n v="17"/>
    <n v="22.811166666666669"/>
    <n v="16.510833333333334"/>
    <n v="0.77272727272727271"/>
    <n v="7.5"/>
    <n v="2"/>
    <s v="5d4927e399f83a00152bad4c"/>
    <n v="8"/>
    <n v="7"/>
    <n v="0"/>
    <n v="7"/>
    <s v="Democrats"/>
    <s v="Republicans"/>
    <s v="Donald Trump"/>
    <s v="Cluster 3"/>
    <s v="Cluster 5"/>
    <s v="Cluster 1"/>
    <s v="Cluster 0"/>
    <s v="Cluster 2"/>
    <s v="Cluster 4"/>
    <s v="love, heart, thing"/>
    <s v="black, police, white"/>
    <s v="news"/>
    <s v="trump"/>
    <s v="Cluster 3"/>
    <s v="Cluster 5"/>
    <s v="accounts that tweet about crime"/>
    <s v="accounts that tweet about Donald Trump"/>
    <s v="True"/>
    <s v="False"/>
    <s v="True"/>
    <s v="False"/>
    <s v="False"/>
    <s v="True"/>
    <s v="False"/>
    <s v="True"/>
    <x v="1"/>
    <s v="Words clouds tend to make a visually appealing graphic, but are often hard to understand for a range of reasons; words at odd/right angles are hard to read, do different colours mean anything?, sometimes different font weights are used, what does that mean? Is the placement/location of a word important? etc..._x000a__x000a_Generally the best (most comprehensible) ones I've seen have used a single font colour, are irregularly shaped like clouds where font size &amp; placement is significant e.g. the largest most popular word is in the center, with smallest, least popular around the edges, and all words are displayed upright with the same orientation for readbility."/>
    <m/>
    <n v="22.811166666666669"/>
    <n v="1368.67"/>
    <n v="15.28"/>
    <m/>
    <n v="42.42"/>
    <m/>
    <m/>
    <m/>
    <m/>
    <n v="349.99"/>
    <m/>
    <m/>
    <m/>
    <m/>
    <m/>
    <m/>
    <n v="378.95"/>
    <m/>
    <m/>
    <m/>
    <m/>
    <m/>
    <m/>
    <m/>
    <m/>
    <n v="261.70999999999998"/>
    <m/>
    <m/>
    <m/>
    <m/>
    <m/>
    <m/>
    <m/>
    <m/>
    <n v="320.32"/>
    <m/>
    <m/>
    <m/>
    <m/>
    <n v="5.8331666666666671"/>
    <n v="6.315833333333333"/>
    <n v="4.3618333333333332"/>
  </r>
  <r>
    <x v="1"/>
    <x v="0"/>
    <n v="73"/>
    <s v="2019-09-11 08:40:03"/>
    <n v="6"/>
    <s v="en"/>
    <n v="1592908899"/>
    <s v="2019-09-11 08:29:31"/>
    <s v="2019-09-11 08:40:03"/>
    <s v="https://n-7ndajzbjmzh6ng24opzqo36guykgimt2ontr6eq-0lu-script.googleusercontent.com/userCodeAppPanel"/>
    <x v="0"/>
    <n v="1"/>
    <n v="0.5"/>
    <n v="1"/>
    <n v="0.5"/>
    <n v="3"/>
    <n v="15"/>
    <n v="10.567833333333335"/>
    <n v="9.0358333333333345"/>
    <n v="0.68181818181818177"/>
    <n v="1"/>
    <n v="2"/>
    <s v="5d2b08784588590018cf70bb"/>
    <n v="1"/>
    <n v="1"/>
    <n v="0"/>
    <n v="5"/>
    <s v="Democrats"/>
    <s v="Republicans"/>
    <s v="Donald Trump"/>
    <s v="Cluster 3"/>
    <s v="Cluster 2"/>
    <s v="Cluster 1"/>
    <s v="Cluster 5"/>
    <s v="Cluster 2"/>
    <s v="Cluster 1"/>
    <s v="love, heart, thing"/>
    <s v="black, police, white"/>
    <s v="news"/>
    <s v="trump"/>
    <s v="Cluster 3"/>
    <s v="Cluster 5"/>
    <s v="accounts that tweet about crime"/>
    <s v="accounts that tweet about American presidents"/>
    <s v="True"/>
    <s v="True"/>
    <s v="True"/>
    <s v="False"/>
    <s v="False"/>
    <s v="False"/>
    <s v="False"/>
    <s v="True"/>
    <x v="0"/>
    <s v="Confusing to see so many together"/>
    <m/>
    <n v="10.567833333333335"/>
    <n v="634.07000000000005"/>
    <n v="11.96"/>
    <m/>
    <n v="46.11"/>
    <m/>
    <m/>
    <m/>
    <m/>
    <n v="280.23"/>
    <m/>
    <m/>
    <m/>
    <m/>
    <m/>
    <m/>
    <n v="130.99"/>
    <m/>
    <m/>
    <m/>
    <m/>
    <m/>
    <m/>
    <m/>
    <m/>
    <n v="130.93"/>
    <m/>
    <m/>
    <m/>
    <m/>
    <m/>
    <m/>
    <m/>
    <m/>
    <n v="33.85"/>
    <m/>
    <m/>
    <m/>
    <m/>
    <n v="4.6705000000000005"/>
    <n v="2.1831666666666667"/>
    <n v="2.1821666666666668"/>
  </r>
  <r>
    <x v="1"/>
    <x v="0"/>
    <n v="75"/>
    <s v="2019-09-11 08:44:00"/>
    <n v="6"/>
    <s v="en"/>
    <n v="373167127"/>
    <s v="2019-09-11 08:30:15"/>
    <s v="2019-09-11 08:44:00"/>
    <s v="https://n-7ndajzbjmzh6ng24opzqo36guykgimt2ontr6eq-0lu-script.googleusercontent.com/userCodeAppPanel"/>
    <x v="0"/>
    <n v="1"/>
    <n v="0.66666666666666663"/>
    <n v="0.875"/>
    <n v="0.625"/>
    <n v="3"/>
    <n v="16"/>
    <n v="13.795166666666667"/>
    <n v="10.613333333333333"/>
    <n v="0.72727272727272729"/>
    <n v="1"/>
    <n v="2"/>
    <s v="5c2b80f371d2760001eff037"/>
    <n v="1"/>
    <n v="1"/>
    <n v="0"/>
    <n v="3"/>
    <s v="Democrats"/>
    <s v="Republicans"/>
    <s v="Donald Trump"/>
    <s v="Cluster 3"/>
    <s v="Cluster 2"/>
    <s v="Cluster 1"/>
    <s v="Cluster 0"/>
    <s v="Cluster 5"/>
    <s v="Cluster 4"/>
    <s v="love, heart, thing"/>
    <s v="black, police, white"/>
    <s v="police"/>
    <s v="trump"/>
    <s v="Cluster 3"/>
    <s v="Cluster 5"/>
    <s v="accounts that tweet about crime"/>
    <s v="accounts that tweet about American presidents"/>
    <s v="True"/>
    <s v="False"/>
    <s v="True"/>
    <s v="False"/>
    <s v="False"/>
    <s v="True"/>
    <s v="False"/>
    <s v="False"/>
    <x v="0"/>
    <s v="focused and can be biased"/>
    <m/>
    <n v="13.795166666666667"/>
    <n v="827.71"/>
    <n v="9.4499999999999993"/>
    <m/>
    <n v="140.63"/>
    <m/>
    <m/>
    <m/>
    <m/>
    <n v="271.39"/>
    <m/>
    <m/>
    <m/>
    <m/>
    <m/>
    <m/>
    <n v="192.98"/>
    <m/>
    <m/>
    <m/>
    <m/>
    <m/>
    <m/>
    <m/>
    <m/>
    <n v="172.43"/>
    <m/>
    <m/>
    <m/>
    <m/>
    <m/>
    <m/>
    <m/>
    <m/>
    <n v="40.83"/>
    <m/>
    <m/>
    <m/>
    <m/>
    <n v="4.5231666666666666"/>
    <n v="3.216333333333333"/>
    <n v="2.8738333333333332"/>
  </r>
  <r>
    <x v="1"/>
    <x v="0"/>
    <n v="76"/>
    <s v="2019-09-11 08:52:21"/>
    <n v="6"/>
    <s v="en"/>
    <n v="1927085691"/>
    <s v="2019-09-11 08:30:27"/>
    <s v="2019-09-11 08:52:21"/>
    <s v="https://n-7ndajzbjmzh6ng24opzqo36guykgimt2ontr6eq-0lu-script.googleusercontent.com/userCodeAppPanel"/>
    <x v="0"/>
    <n v="1"/>
    <n v="0.66666666666666663"/>
    <n v="1"/>
    <n v="0.375"/>
    <n v="3"/>
    <n v="15"/>
    <n v="21.946000000000002"/>
    <n v="17.531500000000001"/>
    <n v="0.68181818181818177"/>
    <n v="4"/>
    <n v="2"/>
    <s v="5cab944b41de360017e2c3db"/>
    <n v="4"/>
    <n v="4"/>
    <n v="0"/>
    <n v="8"/>
    <s v="Democrats"/>
    <s v="Republicans"/>
    <s v="Donald Trump"/>
    <s v="Cluster 2"/>
    <s v="Cluster 5"/>
    <s v="Cluster 1"/>
    <s v="Cluster 0"/>
    <s v="Cluster 3"/>
    <s v="Cluster 4"/>
    <s v="love, heart, thing"/>
    <s v="black, police, white"/>
    <s v="news"/>
    <s v="trump"/>
    <s v="Cluster 3"/>
    <s v="Cluster 5"/>
    <s v="accounts that tweet about crime"/>
    <s v="accounts that tweet about American presidents"/>
    <s v="True"/>
    <s v="False"/>
    <s v="False"/>
    <s v="False"/>
    <s v="False"/>
    <s v="True"/>
    <s v="False"/>
    <s v="True"/>
    <x v="0"/>
    <s v="I could understand each word cloud for the most part, but I did find some clusters to be a tad more difficult to separate at times."/>
    <m/>
    <n v="21.946000000000002"/>
    <n v="1316.76"/>
    <n v="40.43"/>
    <m/>
    <n v="32.380000000000003"/>
    <m/>
    <m/>
    <m/>
    <m/>
    <n v="384.85"/>
    <m/>
    <m/>
    <m/>
    <m/>
    <m/>
    <m/>
    <n v="295.72000000000003"/>
    <m/>
    <m/>
    <m/>
    <m/>
    <m/>
    <m/>
    <m/>
    <m/>
    <n v="371.32"/>
    <m/>
    <m/>
    <m/>
    <m/>
    <m/>
    <m/>
    <m/>
    <m/>
    <n v="192.06"/>
    <m/>
    <m/>
    <m/>
    <m/>
    <n v="6.4141666666666675"/>
    <n v="4.9286666666666674"/>
    <n v="6.1886666666666663"/>
  </r>
  <r>
    <x v="0"/>
    <x v="1"/>
    <n v="11"/>
    <s v="2019-09-06 10:48:32"/>
    <n v="6"/>
    <s v="en"/>
    <n v="684276046"/>
    <s v="2019-09-06 10:32:45"/>
    <s v="2019-09-06 10:48:32"/>
    <s v="https://n-7gn6f3ymqlyeypjitxev2qsjqakgimt2ontr6eq-0lu-script.googleusercontent.com/userCodeAppPanel"/>
    <x v="0"/>
    <n v="1"/>
    <n v="0.83333333333333337"/>
    <n v="0.75"/>
    <n v="0.75"/>
    <n v="2"/>
    <n v="17"/>
    <n v="15.816166666666668"/>
    <n v="14.810333333333332"/>
    <n v="0.77272727272727271"/>
    <n v="1"/>
    <n v="3"/>
    <s v="5d31acf5958ca00001ccf59c"/>
    <n v="1"/>
    <n v="1"/>
    <n v="1"/>
    <n v="4"/>
    <s v="Democrats"/>
    <s v="Republicans"/>
    <s v="Donald Trump"/>
    <s v="Cluster 3"/>
    <s v="Cluster 5"/>
    <s v="Cluster 1"/>
    <s v="Cluster 0"/>
    <s v="Cluster 5"/>
    <s v="Cluster 4"/>
    <s v="love, heart, thing"/>
    <s v="black, police, white"/>
    <s v="news"/>
    <s v="look"/>
    <s v="Cluster 3"/>
    <s v="Cluster 5"/>
    <s v="accounts that tweet about news stories"/>
    <s v="accounts that tweet about American presidents"/>
    <s v="True"/>
    <s v="False"/>
    <s v="False"/>
    <s v="False"/>
    <s v="False"/>
    <s v="False"/>
    <s v="True"/>
    <s v="False"/>
    <x v="2"/>
    <s v="n/a"/>
    <m/>
    <n v="15.816166666666668"/>
    <n v="948.97"/>
    <n v="11.06"/>
    <m/>
    <n v="31.25"/>
    <m/>
    <m/>
    <m/>
    <m/>
    <n v="558.66"/>
    <m/>
    <m/>
    <m/>
    <m/>
    <m/>
    <m/>
    <n v="185.47"/>
    <m/>
    <m/>
    <m/>
    <m/>
    <m/>
    <m/>
    <m/>
    <m/>
    <n v="144.49"/>
    <m/>
    <m/>
    <m/>
    <m/>
    <m/>
    <m/>
    <m/>
    <m/>
    <n v="18.04"/>
    <m/>
    <m/>
    <m/>
    <m/>
    <n v="9.3109999999999999"/>
    <n v="3.0911666666666666"/>
    <n v="2.4081666666666668"/>
  </r>
  <r>
    <x v="0"/>
    <x v="1"/>
    <n v="12"/>
    <s v="2019-09-06 10:48:00"/>
    <n v="6"/>
    <s v="en"/>
    <n v="543793034"/>
    <s v="2019-09-06 10:38:54"/>
    <s v="2019-09-06 10:48:00"/>
    <s v="https://n-7gn6f3ymqlyeypjitxev2qsjqakgimt2ontr6eq-0lu-script.googleusercontent.com/userCodeAppPanel"/>
    <x v="0"/>
    <n v="1"/>
    <n v="0.33333333333333331"/>
    <n v="0.875"/>
    <n v="0.625"/>
    <n v="5"/>
    <n v="14"/>
    <n v="9.1529999999999987"/>
    <n v="8.3481666666666658"/>
    <n v="0.63636363636363635"/>
    <n v="2.3333333333333335"/>
    <n v="3"/>
    <s v="5bf6e87cb7dc2400013f9d8f"/>
    <n v="3"/>
    <n v="2"/>
    <n v="2"/>
    <n v="5"/>
    <s v="Democrats"/>
    <s v="Republicans"/>
    <s v="Donald Trump"/>
    <s v="Cluster 1"/>
    <s v="Cluster 5"/>
    <s v="Cluster 4"/>
    <s v="Cluster 0"/>
    <s v="Cluster 5"/>
    <s v="Cluster 5"/>
    <s v="love, heart, thing"/>
    <s v="black, police, white"/>
    <s v="news"/>
    <s v="trump"/>
    <s v="Cluster 3"/>
    <s v="Cluster 5"/>
    <s v="accounts that tweet about news stories"/>
    <s v="accounts that tweet about American presidents"/>
    <s v="True"/>
    <s v="True"/>
    <s v="True"/>
    <s v="False"/>
    <s v="False"/>
    <s v="True"/>
    <s v="True"/>
    <s v="False"/>
    <x v="4"/>
    <s v="very messy to read"/>
    <m/>
    <n v="9.1529999999999987"/>
    <n v="549.17999999999995"/>
    <n v="7.1"/>
    <m/>
    <n v="21.68"/>
    <m/>
    <m/>
    <m/>
    <m/>
    <n v="223.52"/>
    <m/>
    <m/>
    <m/>
    <m/>
    <m/>
    <m/>
    <n v="165.42"/>
    <m/>
    <m/>
    <m/>
    <m/>
    <m/>
    <m/>
    <m/>
    <m/>
    <n v="111.95"/>
    <m/>
    <m/>
    <m/>
    <m/>
    <m/>
    <m/>
    <m/>
    <m/>
    <n v="19.510000000000002"/>
    <m/>
    <m/>
    <m/>
    <m/>
    <n v="3.7253333333333334"/>
    <n v="2.7569999999999997"/>
    <n v="1.8658333333333335"/>
  </r>
  <r>
    <x v="0"/>
    <x v="1"/>
    <n v="13"/>
    <s v="2019-09-06 10:53:52"/>
    <n v="6"/>
    <s v="en"/>
    <n v="1435843182"/>
    <s v="2019-09-06 10:42:20"/>
    <s v="2019-09-06 10:53:52"/>
    <s v="https://n-7gn6f3ymqlyeypjitxev2qsjqakgimt2ontr6eq-0lu-script.googleusercontent.com/userCodeAppPanel"/>
    <x v="0"/>
    <n v="1"/>
    <n v="0.33333333333333331"/>
    <n v="0.75"/>
    <n v="0.75"/>
    <n v="2"/>
    <n v="14"/>
    <n v="11.562000000000001"/>
    <n v="10.411166666666668"/>
    <n v="0.63636363636363635"/>
    <n v="1"/>
    <n v="3"/>
    <s v="59e879752f63d30001c8fb9f"/>
    <n v="1"/>
    <n v="1"/>
    <n v="1"/>
    <n v="7"/>
    <s v="Democrats"/>
    <s v="Republicans"/>
    <s v="Donald Trump"/>
    <s v="Cluster 1"/>
    <s v="Cluster 5"/>
    <s v="Cluster 4"/>
    <s v="Cluster 0"/>
    <s v="Cluster 5"/>
    <s v="Cluster 1"/>
    <s v="police, Trump, Obama"/>
    <s v="black, police, white"/>
    <s v="news"/>
    <s v="trump"/>
    <s v="Cluster 3"/>
    <s v="Cluster 5"/>
    <s v="accounts that tweet American presidents"/>
    <s v="accounts that tweet about American presidents"/>
    <s v="True"/>
    <s v="True"/>
    <s v="True"/>
    <s v="False"/>
    <s v="False"/>
    <s v="False"/>
    <s v="True"/>
    <s v="False"/>
    <x v="2"/>
    <s v="The different colours makes it easier to differentiate between commonalities in subject matter"/>
    <m/>
    <n v="11.562000000000001"/>
    <n v="693.72"/>
    <n v="8.18"/>
    <m/>
    <n v="18.47"/>
    <m/>
    <m/>
    <m/>
    <m/>
    <n v="370.98"/>
    <m/>
    <m/>
    <m/>
    <m/>
    <m/>
    <m/>
    <n v="144.47999999999999"/>
    <m/>
    <m/>
    <m/>
    <m/>
    <m/>
    <m/>
    <m/>
    <m/>
    <n v="109.21"/>
    <m/>
    <m/>
    <m/>
    <m/>
    <m/>
    <m/>
    <m/>
    <m/>
    <n v="42.4"/>
    <m/>
    <m/>
    <m/>
    <m/>
    <n v="6.1830000000000007"/>
    <n v="2.4079999999999999"/>
    <n v="1.8201666666666665"/>
  </r>
  <r>
    <x v="0"/>
    <x v="1"/>
    <n v="14"/>
    <s v="2019-09-06 10:59:52"/>
    <n v="6"/>
    <s v="en"/>
    <n v="955544763"/>
    <s v="2019-09-06 10:44:56"/>
    <s v="2019-09-06 10:59:52"/>
    <s v="https://n-7gn6f3ymqlyeypjitxev2qsjqakgimt2ontr6eq-0lu-script.googleusercontent.com/blank"/>
    <x v="0"/>
    <n v="1"/>
    <n v="0.83333333333333337"/>
    <n v="0.75"/>
    <n v="0.875"/>
    <n v="2"/>
    <n v="18"/>
    <n v="15.004833333333332"/>
    <n v="12.104999999999999"/>
    <n v="0.81818181818181823"/>
    <n v="2.6666666666666665"/>
    <n v="3"/>
    <s v="5cf6a4546bc16c001918e83a"/>
    <n v="3"/>
    <n v="3"/>
    <n v="2"/>
    <n v="4"/>
    <s v="Democrats"/>
    <s v="Republicans"/>
    <s v="Donald Trump"/>
    <s v="Cluster 3"/>
    <s v="Cluster 5"/>
    <s v="Cluster 1"/>
    <s v="Cluster 0"/>
    <s v="Cluster 5"/>
    <s v="Cluster 4"/>
    <s v="love, heart, thing"/>
    <s v="black, police, white"/>
    <s v="news"/>
    <s v="trump"/>
    <s v="Cluster 3"/>
    <s v="Cluster 5"/>
    <s v="accounts that tweet about news stories"/>
    <s v="accounts that tweet about news stories"/>
    <s v="True"/>
    <s v="True"/>
    <s v="True"/>
    <s v="False"/>
    <s v="True"/>
    <s v="False"/>
    <s v="True"/>
    <s v="False"/>
    <x v="2"/>
    <s v="Once explained it is easily understood"/>
    <m/>
    <n v="15.004833333333332"/>
    <n v="900.29"/>
    <n v="16.72"/>
    <m/>
    <n v="103.7"/>
    <m/>
    <m/>
    <m/>
    <m/>
    <n v="321.89999999999998"/>
    <m/>
    <m/>
    <m/>
    <m/>
    <m/>
    <m/>
    <n v="267.85000000000002"/>
    <m/>
    <m/>
    <m/>
    <m/>
    <m/>
    <m/>
    <m/>
    <m/>
    <n v="136.55000000000001"/>
    <m/>
    <m/>
    <m/>
    <m/>
    <m/>
    <m/>
    <m/>
    <m/>
    <n v="53.57"/>
    <m/>
    <m/>
    <m/>
    <m/>
    <n v="5.3649999999999993"/>
    <n v="4.4641666666666673"/>
    <n v="2.2758333333333334"/>
  </r>
  <r>
    <x v="0"/>
    <x v="1"/>
    <n v="17"/>
    <s v="2019-09-06 11:14:58"/>
    <n v="6"/>
    <s v="en"/>
    <n v="1486311307"/>
    <s v="2019-09-06 11:00:40"/>
    <s v="2019-09-06 11:14:58"/>
    <s v="https://n-7gn6f3ymqlyeypjitxev2qsjqakgimt2ontr6eq-0lu-script.googleusercontent.com/userCodeAppPanel"/>
    <x v="0"/>
    <n v="1"/>
    <n v="0.5"/>
    <n v="0.875"/>
    <n v="0.5"/>
    <n v="2"/>
    <n v="14"/>
    <n v="14.365833333333335"/>
    <n v="13.229166666666668"/>
    <n v="0.63636363636363635"/>
    <n v="5"/>
    <n v="3"/>
    <s v="5847e60f73170700013697c6"/>
    <n v="4"/>
    <n v="5"/>
    <n v="6"/>
    <n v="6"/>
    <s v="Democrats"/>
    <s v="Republicans"/>
    <s v="Donald Trump"/>
    <s v="Cluster 3"/>
    <s v="Cluster 1"/>
    <s v="Cluster 4"/>
    <s v="Cluster 0"/>
    <s v="Cluster 5"/>
    <s v="Cluster 4"/>
    <s v="love, heart, thing"/>
    <s v="black, police, white"/>
    <s v="news"/>
    <s v="trump"/>
    <s v="Cluster 3"/>
    <s v="Cluster 5"/>
    <s v="accounts that tweet about news stories"/>
    <s v="accounts that tweet about American presidents"/>
    <s v="True"/>
    <s v="True"/>
    <s v="False"/>
    <s v="False"/>
    <s v="False"/>
    <s v="True"/>
    <s v="True"/>
    <s v="False"/>
    <x v="2"/>
    <s v="Clear and concise way to visualise the data."/>
    <m/>
    <n v="14.365833333333335"/>
    <n v="861.95"/>
    <n v="8.84"/>
    <m/>
    <n v="29.47"/>
    <m/>
    <m/>
    <m/>
    <m/>
    <n v="448.19"/>
    <m/>
    <m/>
    <m/>
    <m/>
    <m/>
    <m/>
    <n v="238.87"/>
    <m/>
    <m/>
    <m/>
    <m/>
    <m/>
    <m/>
    <m/>
    <m/>
    <n v="106.69"/>
    <m/>
    <m/>
    <m/>
    <m/>
    <m/>
    <m/>
    <m/>
    <m/>
    <n v="29.89"/>
    <m/>
    <m/>
    <m/>
    <m/>
    <n v="7.4698333333333329"/>
    <n v="3.9811666666666667"/>
    <n v="1.7781666666666667"/>
  </r>
  <r>
    <x v="0"/>
    <x v="1"/>
    <n v="18"/>
    <s v="2019-09-06 11:11:11"/>
    <n v="6"/>
    <s v="en"/>
    <n v="1332334474"/>
    <s v="2019-09-06 11:00:44"/>
    <s v="2019-09-06 11:11:11"/>
    <s v="https://n-7gn6f3ymqlyeypjitxev2qsjqakgimt2ontr6eq-0lu-script.googleusercontent.com/userCodeAppPanel"/>
    <x v="0"/>
    <n v="1"/>
    <n v="0.83333333333333337"/>
    <n v="0.75"/>
    <n v="0.625"/>
    <n v="2"/>
    <n v="16"/>
    <n v="10.516833333333333"/>
    <n v="8.684333333333333"/>
    <n v="0.72727272727272729"/>
    <n v="1.3333333333333333"/>
    <n v="3"/>
    <s v="5c51913edaaeba00011f68cc"/>
    <n v="1"/>
    <n v="2"/>
    <n v="1"/>
    <n v="5"/>
    <s v="Democrats"/>
    <s v="Republicans"/>
    <s v="Donald Trump"/>
    <s v="Cluster 3"/>
    <s v="Cluster 5"/>
    <s v="Cluster 1"/>
    <s v="Cluster 0"/>
    <s v="Cluster 5"/>
    <s v="Cluster 4"/>
    <s v="love, heart, thing"/>
    <s v="black, police, white"/>
    <s v="news"/>
    <s v="look"/>
    <s v="Cluster 3"/>
    <s v="Cluster 5"/>
    <s v="accounts that tweet about news stories"/>
    <s v="accounts that tweet about American presidents"/>
    <s v="True"/>
    <s v="True"/>
    <s v="False"/>
    <s v="False"/>
    <s v="False"/>
    <s v="False"/>
    <s v="True"/>
    <s v="False"/>
    <x v="2"/>
    <s v="The visual bar makes it easier to see how much a topic is mentioned"/>
    <m/>
    <n v="10.516833333333333"/>
    <n v="631.01"/>
    <n v="6.83"/>
    <m/>
    <n v="71.319999999999993"/>
    <m/>
    <m/>
    <m/>
    <m/>
    <n v="247.82"/>
    <m/>
    <m/>
    <m/>
    <m/>
    <m/>
    <m/>
    <n v="175.68"/>
    <m/>
    <m/>
    <m/>
    <m/>
    <m/>
    <m/>
    <m/>
    <m/>
    <n v="97.56"/>
    <m/>
    <m/>
    <m/>
    <m/>
    <m/>
    <m/>
    <m/>
    <m/>
    <n v="31.8"/>
    <m/>
    <m/>
    <m/>
    <m/>
    <n v="4.1303333333333336"/>
    <n v="2.9279999999999999"/>
    <n v="1.6260000000000001"/>
  </r>
  <r>
    <x v="0"/>
    <x v="1"/>
    <n v="19"/>
    <s v="2019-09-06 11:21:25"/>
    <n v="6"/>
    <s v="en"/>
    <n v="1371374971"/>
    <s v="2019-09-06 11:01:35"/>
    <s v="2019-09-06 11:21:25"/>
    <s v="https://n-7gn6f3ymqlyeypjitxev2qsjqakgimt2ontr6eq-0lu-script.googleusercontent.com/userCodeAppPanel"/>
    <x v="0"/>
    <n v="1"/>
    <n v="0.66666666666666663"/>
    <n v="0.875"/>
    <n v="0.75"/>
    <n v="3"/>
    <n v="17"/>
    <n v="19.879833333333334"/>
    <n v="18.388000000000002"/>
    <n v="0.77272727272727271"/>
    <n v="3.3333333333333335"/>
    <n v="3"/>
    <s v="5beb38b7aec9ef0001e9c835"/>
    <n v="4"/>
    <n v="3"/>
    <n v="3"/>
    <n v="2"/>
    <s v="Democrats"/>
    <s v="Republicans"/>
    <s v="Donald Trump"/>
    <s v="Cluster 3"/>
    <s v="Cluster 5"/>
    <s v="Cluster 2"/>
    <s v="Cluster 0"/>
    <s v="Cluster 5"/>
    <s v="Cluster 4"/>
    <s v="love, heart, thing"/>
    <s v="black, police, white"/>
    <s v="news"/>
    <s v="trump"/>
    <s v="Cluster 3"/>
    <s v="Cluster 5"/>
    <s v="accounts that tweet American presidents"/>
    <s v="accounts that tweet about American presidents"/>
    <s v="True"/>
    <s v="True"/>
    <s v="True"/>
    <s v="False"/>
    <s v="False"/>
    <s v="False"/>
    <s v="True"/>
    <s v="False"/>
    <x v="0"/>
    <s v="Some were clearer than others. Some I struggled to get any real meaning from. Possibly because I'm not American"/>
    <m/>
    <n v="19.879833333333334"/>
    <n v="1192.79"/>
    <n v="8.9"/>
    <m/>
    <n v="35.56"/>
    <m/>
    <m/>
    <m/>
    <m/>
    <n v="523.95000000000005"/>
    <m/>
    <m/>
    <m/>
    <m/>
    <m/>
    <m/>
    <n v="444.72"/>
    <m/>
    <m/>
    <m/>
    <m/>
    <m/>
    <m/>
    <m/>
    <m/>
    <n v="134.61000000000001"/>
    <m/>
    <m/>
    <m/>
    <m/>
    <m/>
    <m/>
    <m/>
    <m/>
    <n v="45.05"/>
    <m/>
    <m/>
    <m/>
    <m/>
    <n v="8.7324999999999999"/>
    <n v="7.4120000000000008"/>
    <n v="2.2435"/>
  </r>
  <r>
    <x v="0"/>
    <x v="1"/>
    <n v="21"/>
    <s v="2019-09-06 11:29:38"/>
    <n v="6"/>
    <s v="en"/>
    <n v="1574972762"/>
    <s v="2019-09-06 11:12:29"/>
    <s v="2019-09-06 11:29:38"/>
    <s v="https://n-7gn6f3ymqlyeypjitxev2qsjqakgimt2ontr6eq-0lu-script.googleusercontent.com/userCodeAppPanel"/>
    <x v="0"/>
    <n v="1"/>
    <n v="0.33333333333333331"/>
    <n v="0.5"/>
    <n v="0.75"/>
    <n v="3"/>
    <n v="12"/>
    <n v="17.205166666666667"/>
    <n v="14.614999999999998"/>
    <n v="0.54545454545454541"/>
    <n v="6"/>
    <n v="3"/>
    <s v="59c9cc4846f7210001906928"/>
    <n v="6"/>
    <n v="6"/>
    <n v="6"/>
    <n v="9"/>
    <s v="Democrats"/>
    <s v="Republicans"/>
    <s v="Donald Trump"/>
    <s v="Cluster 1"/>
    <s v="Cluster 2"/>
    <s v="Cluster 1"/>
    <s v="Cluster 0"/>
    <s v="Cluster 3"/>
    <s v="Cluster 0"/>
    <s v="love, heart, thing"/>
    <s v="black, police, white"/>
    <s v="death"/>
    <s v="trump"/>
    <s v="Cluster 5"/>
    <s v="Cluster 4"/>
    <s v="accounts that tweet about news stories"/>
    <s v="accounts that tweet about American presidents"/>
    <s v="True"/>
    <s v="True"/>
    <s v="True"/>
    <s v="False"/>
    <s v="True"/>
    <s v="True"/>
    <s v="True"/>
    <s v="False"/>
    <x v="0"/>
    <s v="explains news content"/>
    <m/>
    <n v="17.205166666666667"/>
    <n v="1032.31"/>
    <n v="6.44"/>
    <m/>
    <n v="96.56"/>
    <m/>
    <m/>
    <m/>
    <m/>
    <n v="363.58"/>
    <m/>
    <m/>
    <m/>
    <m/>
    <m/>
    <m/>
    <n v="329.61"/>
    <m/>
    <m/>
    <m/>
    <m/>
    <m/>
    <m/>
    <m/>
    <m/>
    <n v="183.71"/>
    <m/>
    <m/>
    <m/>
    <m/>
    <m/>
    <m/>
    <m/>
    <m/>
    <n v="52.41"/>
    <m/>
    <m/>
    <m/>
    <m/>
    <n v="6.0596666666666668"/>
    <n v="5.4935"/>
    <n v="3.0618333333333334"/>
  </r>
  <r>
    <x v="0"/>
    <x v="1"/>
    <n v="22"/>
    <s v="2019-09-06 11:30:30"/>
    <n v="6"/>
    <s v="en"/>
    <n v="1459086616"/>
    <s v="2019-09-06 11:16:17"/>
    <s v="2019-09-06 11:30:30"/>
    <s v="https://n-7gn6f3ymqlyeypjitxev2qsjqakgimt2ontr6eq-0lu-script.googleusercontent.com/userCodeAppPanel"/>
    <x v="0"/>
    <n v="1"/>
    <n v="0.5"/>
    <n v="0.625"/>
    <n v="0.625"/>
    <n v="1"/>
    <n v="13"/>
    <n v="14.249500000000001"/>
    <n v="12.975833333333334"/>
    <n v="0.59090909090909094"/>
    <n v="1.3333333333333333"/>
    <n v="3"/>
    <s v="5d55b643d3554300018a9237"/>
    <n v="1"/>
    <n v="2"/>
    <n v="1"/>
    <n v="1"/>
    <s v="Democrats"/>
    <s v="Republicans"/>
    <s v="Donald Trump"/>
    <s v="Cluster 1"/>
    <s v="Cluster 5"/>
    <s v="Cluster 2"/>
    <s v="Cluster 0"/>
    <s v="Cluster 5"/>
    <s v="Cluster 4"/>
    <s v="love, heart, thing"/>
    <s v="black, police, white"/>
    <s v="death"/>
    <s v="trump"/>
    <s v="Cluster 3"/>
    <s v="Cluster 5"/>
    <s v="accounts that tweet about news stories"/>
    <s v="accounts that tweet about news stories"/>
    <s v="True"/>
    <s v="True"/>
    <s v="False"/>
    <s v="True"/>
    <s v="True"/>
    <s v="False"/>
    <s v="True"/>
    <s v="False"/>
    <x v="3"/>
    <s v="The colour coding and bar charts make it easy to follow"/>
    <m/>
    <n v="14.249500000000001"/>
    <n v="854.97"/>
    <n v="5.45"/>
    <m/>
    <n v="38.01"/>
    <m/>
    <m/>
    <m/>
    <m/>
    <n v="342.05"/>
    <m/>
    <m/>
    <m/>
    <m/>
    <m/>
    <m/>
    <n v="283.31"/>
    <m/>
    <m/>
    <m/>
    <m/>
    <m/>
    <m/>
    <m/>
    <m/>
    <n v="153.19"/>
    <m/>
    <m/>
    <m/>
    <m/>
    <m/>
    <m/>
    <m/>
    <m/>
    <n v="32.96"/>
    <m/>
    <m/>
    <m/>
    <m/>
    <n v="5.7008333333333336"/>
    <n v="4.7218333333333335"/>
    <n v="2.5531666666666668"/>
  </r>
  <r>
    <x v="0"/>
    <x v="1"/>
    <n v="23"/>
    <s v="2019-09-06 11:48:17"/>
    <n v="6"/>
    <s v="en"/>
    <n v="1300128820"/>
    <s v="2019-09-06 11:16:22"/>
    <s v="2019-09-06 11:48:17"/>
    <s v="https://n-7gn6f3ymqlyeypjitxev2qsjqakgimt2ontr6eq-0lu-script.googleusercontent.com/userCodeAppPanel"/>
    <x v="0"/>
    <n v="1"/>
    <n v="0.83333333333333337"/>
    <n v="0.75"/>
    <n v="0.625"/>
    <n v="3"/>
    <n v="16"/>
    <n v="29.325333333333333"/>
    <n v="26.131166666666669"/>
    <n v="0.72727272727272729"/>
    <n v="1"/>
    <n v="3"/>
    <s v="5d1cab684d6d860001410d5a"/>
    <n v="1"/>
    <n v="1"/>
    <n v="1"/>
    <n v="5"/>
    <s v="Democrats"/>
    <s v="Republicans"/>
    <s v="Donald Trump"/>
    <s v="Cluster 3"/>
    <s v="Cluster 5"/>
    <s v="Cluster 1"/>
    <s v="Cluster 0"/>
    <s v="Cluster 5"/>
    <s v="Cluster 4"/>
    <s v="love, heart, thing"/>
    <s v="black, police, white"/>
    <s v="news"/>
    <s v="trump"/>
    <s v="Cluster 3"/>
    <s v="Cluster 5"/>
    <s v="accounts that tweet about news stories"/>
    <s v="accounts that tweet about crime"/>
    <s v="True"/>
    <s v="True"/>
    <s v="True"/>
    <s v="False"/>
    <s v="False"/>
    <s v="True"/>
    <s v="True"/>
    <s v="False"/>
    <x v="0"/>
    <s v="I think I understood the charts reasonably enough although it was certainly a struggle at times."/>
    <m/>
    <n v="29.325333333333333"/>
    <n v="1759.52"/>
    <n v="9.68"/>
    <m/>
    <n v="43.74"/>
    <m/>
    <m/>
    <m/>
    <m/>
    <n v="953.21"/>
    <m/>
    <m/>
    <m/>
    <m/>
    <m/>
    <m/>
    <n v="433.04"/>
    <m/>
    <m/>
    <m/>
    <m/>
    <m/>
    <m/>
    <m/>
    <m/>
    <n v="181.62"/>
    <m/>
    <m/>
    <m/>
    <m/>
    <m/>
    <m/>
    <m/>
    <m/>
    <n v="138.22999999999999"/>
    <m/>
    <m/>
    <m/>
    <m/>
    <n v="15.886833333333334"/>
    <n v="7.2173333333333334"/>
    <n v="3.0270000000000001"/>
  </r>
  <r>
    <x v="0"/>
    <x v="1"/>
    <n v="24"/>
    <s v="2019-09-06 11:27:51"/>
    <n v="6"/>
    <s v="en"/>
    <n v="1392473612"/>
    <s v="2019-09-06 11:17:12"/>
    <s v="2019-09-06 11:27:51"/>
    <s v="https://n-7gn6f3ymqlyeypjitxev2qsjqakgimt2ontr6eq-0lu-script.googleusercontent.com/blank"/>
    <x v="0"/>
    <n v="1"/>
    <n v="0.66666666666666663"/>
    <n v="0.875"/>
    <n v="0.75"/>
    <n v="2"/>
    <n v="17"/>
    <n v="10.688499999999999"/>
    <n v="9.096166666666667"/>
    <n v="0.77272727272727271"/>
    <n v="1"/>
    <n v="3"/>
    <s v="5d31d3395fbb460018e0672c"/>
    <n v="1"/>
    <n v="1"/>
    <n v="1"/>
    <n v="4"/>
    <s v="Democrats"/>
    <s v="Republicans"/>
    <s v="Donald Trump"/>
    <s v="Cluster 3"/>
    <s v="Cluster 5"/>
    <s v="Cluster 4"/>
    <s v="Cluster 0"/>
    <s v="Cluster 2"/>
    <s v="Cluster 1"/>
    <s v="love, heart, thing"/>
    <s v="black, police, white"/>
    <s v="news"/>
    <s v="trump"/>
    <s v="Cluster 3"/>
    <s v="Cluster 5"/>
    <s v="accounts that tweet about news stories"/>
    <s v="accounts that tweet about American presidents"/>
    <s v="True"/>
    <s v="True"/>
    <s v="True"/>
    <s v="False"/>
    <s v="False"/>
    <s v="False"/>
    <s v="True"/>
    <s v="False"/>
    <x v="2"/>
    <s v="Simple graphical representation of data as a horizontal bar relating to frequency allows for easy comparison and comprehension."/>
    <m/>
    <n v="10.688499999999999"/>
    <n v="641.30999999999995"/>
    <n v="12.01"/>
    <m/>
    <n v="28.55"/>
    <m/>
    <m/>
    <m/>
    <m/>
    <n v="243.56"/>
    <m/>
    <m/>
    <m/>
    <m/>
    <m/>
    <m/>
    <n v="194.03"/>
    <m/>
    <m/>
    <m/>
    <m/>
    <m/>
    <m/>
    <m/>
    <m/>
    <n v="108.18"/>
    <m/>
    <m/>
    <m/>
    <m/>
    <m/>
    <m/>
    <m/>
    <m/>
    <n v="54.98"/>
    <m/>
    <m/>
    <m/>
    <m/>
    <n v="4.059333333333333"/>
    <n v="3.2338333333333336"/>
    <n v="1.8030000000000002"/>
  </r>
  <r>
    <x v="0"/>
    <x v="1"/>
    <n v="25"/>
    <s v="2019-09-06 11:36:26"/>
    <n v="6"/>
    <s v="en"/>
    <n v="459759670"/>
    <s v="2019-09-06 11:17:39"/>
    <s v="2019-09-06 11:36:26"/>
    <s v="https://n-7gn6f3ymqlyeypjitxev2qsjqakgimt2ontr6eq-1lu-script.googleusercontent.com/userCodeAppPanel"/>
    <x v="0"/>
    <n v="1"/>
    <n v="0.83333333333333337"/>
    <n v="0.75"/>
    <n v="0.75"/>
    <n v="2"/>
    <n v="17"/>
    <n v="18.839833333333335"/>
    <n v="15.997833333333334"/>
    <n v="0.77272727272727271"/>
    <n v="4"/>
    <n v="3"/>
    <s v="5cdbf3589cb22f0019cce05f"/>
    <n v="1"/>
    <n v="1"/>
    <n v="10"/>
    <n v="2"/>
    <s v="Democrats"/>
    <s v="Republicans"/>
    <s v="Donald Trump"/>
    <s v="Cluster 3"/>
    <s v="Cluster 5"/>
    <s v="Cluster 1"/>
    <s v="Cluster 0"/>
    <s v="Cluster 1"/>
    <s v="Cluster 4"/>
    <s v="love, heart, thing"/>
    <s v="black, police, white"/>
    <s v="news"/>
    <s v="trump"/>
    <s v="Cluster 5"/>
    <s v="Cluster 5"/>
    <s v="accounts that tweet about news stories"/>
    <s v="accounts that tweet about American presidents"/>
    <s v="True"/>
    <s v="False"/>
    <s v="False"/>
    <s v="False"/>
    <s v="False"/>
    <s v="False"/>
    <s v="True"/>
    <s v="False"/>
    <x v="2"/>
    <s v="At first I didn't fully understand the blue bars - but I think I got it on the second reading, after answering the first few questions"/>
    <m/>
    <n v="18.839833333333335"/>
    <n v="1130.3900000000001"/>
    <n v="4"/>
    <m/>
    <n v="116.95"/>
    <m/>
    <m/>
    <m/>
    <m/>
    <n v="503.65"/>
    <m/>
    <m/>
    <m/>
    <m/>
    <m/>
    <m/>
    <n v="309.3"/>
    <m/>
    <m/>
    <m/>
    <m/>
    <m/>
    <m/>
    <m/>
    <m/>
    <n v="146.91999999999999"/>
    <m/>
    <m/>
    <m/>
    <m/>
    <m/>
    <m/>
    <m/>
    <m/>
    <n v="49.57"/>
    <m/>
    <m/>
    <m/>
    <m/>
    <n v="8.394166666666667"/>
    <n v="5.1550000000000002"/>
    <n v="2.4486666666666665"/>
  </r>
  <r>
    <x v="0"/>
    <x v="1"/>
    <n v="27"/>
    <s v="2019-09-06 11:30:39"/>
    <n v="6"/>
    <s v="en"/>
    <n v="1662764537"/>
    <s v="2019-09-06 11:19:57"/>
    <s v="2019-09-06 11:30:39"/>
    <s v="https://n-7gn6f3ymqlyeypjitxev2qsjqakgimt2ontr6eq-0lu-script.googleusercontent.com/userCodeAppPanel"/>
    <x v="0"/>
    <n v="1"/>
    <n v="0.66666666666666663"/>
    <n v="0.75"/>
    <n v="0.75"/>
    <n v="2"/>
    <n v="16"/>
    <n v="10.782833333333334"/>
    <n v="9.0591666666666661"/>
    <n v="0.72727272727272729"/>
    <n v="2.6666666666666665"/>
    <n v="3"/>
    <s v="5c322f84508b7a0001fcb70d"/>
    <n v="3"/>
    <n v="4"/>
    <n v="1"/>
    <n v="5"/>
    <s v="Democrats"/>
    <s v="Republicans"/>
    <s v="Donald Trump"/>
    <s v="Cluster 3"/>
    <s v="Cluster 4"/>
    <s v="Cluster 1"/>
    <s v="Cluster 0"/>
    <s v="Cluster 5"/>
    <s v="Cluster 4"/>
    <s v="love, heart, thing"/>
    <s v="black, police, white"/>
    <s v="news"/>
    <s v="trump"/>
    <s v="Cluster 3"/>
    <s v="Cluster 5"/>
    <s v="accounts that tweet about news stories"/>
    <s v="accounts that tweet about Donald Trump"/>
    <s v="True"/>
    <s v="True"/>
    <s v="True"/>
    <s v="False"/>
    <s v="False"/>
    <s v="False"/>
    <s v="True"/>
    <s v="False"/>
    <x v="2"/>
    <s v="It is easy to identify the terms that have been tweeted the most."/>
    <m/>
    <n v="10.782833333333334"/>
    <n v="646.97"/>
    <n v="14.78"/>
    <m/>
    <n v="39.71"/>
    <m/>
    <m/>
    <m/>
    <m/>
    <n v="305.7"/>
    <m/>
    <m/>
    <m/>
    <m/>
    <m/>
    <m/>
    <n v="121.9"/>
    <m/>
    <m/>
    <m/>
    <m/>
    <m/>
    <m/>
    <m/>
    <m/>
    <n v="115.95"/>
    <m/>
    <m/>
    <m/>
    <m/>
    <m/>
    <m/>
    <m/>
    <m/>
    <n v="48.93"/>
    <m/>
    <m/>
    <m/>
    <m/>
    <n v="5.0949999999999998"/>
    <n v="2.0316666666666667"/>
    <n v="1.9325000000000001"/>
  </r>
  <r>
    <x v="0"/>
    <x v="1"/>
    <n v="29"/>
    <s v="2019-09-06 11:35:08"/>
    <n v="6"/>
    <s v="en"/>
    <n v="1908438182"/>
    <s v="2019-09-06 11:20:44"/>
    <s v="2019-09-06 11:35:08"/>
    <s v="https://n-7gn6f3ymqlyeypjitxev2qsjqakgimt2ontr6eq-0lu-script.googleusercontent.com/userCodeAppPanel"/>
    <x v="0"/>
    <n v="1"/>
    <n v="0.66666666666666663"/>
    <n v="0.875"/>
    <n v="0.75"/>
    <n v="3"/>
    <n v="17"/>
    <n v="14.4595"/>
    <n v="13.668833333333334"/>
    <n v="0.77272727272727271"/>
    <n v="1"/>
    <n v="3"/>
    <s v="5bf587d07b47600001769ac4"/>
    <n v="1"/>
    <n v="1"/>
    <n v="1"/>
    <n v="8"/>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False"/>
    <s v="False"/>
    <s v="False"/>
    <s v="False"/>
    <s v="False"/>
    <s v="True"/>
    <s v="False"/>
    <x v="0"/>
    <m/>
    <m/>
    <n v="14.4595"/>
    <n v="867.57"/>
    <n v="3.61"/>
    <m/>
    <n v="33.51"/>
    <m/>
    <m/>
    <m/>
    <m/>
    <n v="444.7"/>
    <m/>
    <m/>
    <m/>
    <m/>
    <m/>
    <m/>
    <n v="257.68"/>
    <m/>
    <m/>
    <m/>
    <m/>
    <m/>
    <m/>
    <m/>
    <m/>
    <n v="117.75"/>
    <m/>
    <m/>
    <m/>
    <m/>
    <m/>
    <m/>
    <m/>
    <m/>
    <n v="10.32"/>
    <m/>
    <m/>
    <m/>
    <m/>
    <n v="7.4116666666666662"/>
    <n v="4.2946666666666671"/>
    <n v="1.9624999999999999"/>
  </r>
  <r>
    <x v="0"/>
    <x v="1"/>
    <n v="30"/>
    <s v="2019-09-06 11:34:54"/>
    <n v="6"/>
    <s v="en"/>
    <n v="1373824731"/>
    <s v="2019-09-06 11:21:06"/>
    <s v="2019-09-06 11:34:54"/>
    <s v="https://n-7gn6f3ymqlyeypjitxev2qsjqakgimt2ontr6eq-0lu-script.googleusercontent.com/userCodeAppPanel"/>
    <x v="0"/>
    <n v="1"/>
    <n v="0.5"/>
    <n v="0.625"/>
    <n v="0.625"/>
    <n v="4"/>
    <n v="13"/>
    <n v="13.840833333333334"/>
    <n v="11.621500000000001"/>
    <n v="0.59090909090909094"/>
    <n v="1"/>
    <n v="3"/>
    <s v="5c56025fcb61950001038a76"/>
    <n v="1"/>
    <n v="1"/>
    <n v="1"/>
    <n v="8"/>
    <s v="Democrats"/>
    <s v="Republicans"/>
    <s v="Donald Trump"/>
    <s v="Cluster 2"/>
    <s v="Cluster 5"/>
    <s v="Cluster 1"/>
    <s v="Cluster 0"/>
    <s v="Cluster 1"/>
    <s v="Cluster 5"/>
    <s v="love, heart, thing"/>
    <s v="black, police, white"/>
    <s v="police"/>
    <s v="obama"/>
    <s v="Cluster 3"/>
    <s v="Cluster 5"/>
    <s v="accounts that tweet about Donald Trump"/>
    <s v="accounts that tweet about American presidents"/>
    <s v="True"/>
    <s v="True"/>
    <s v="True"/>
    <s v="True"/>
    <s v="True"/>
    <s v="True"/>
    <s v="True"/>
    <s v="False"/>
    <x v="1"/>
    <s v="it is hard to cateogorise random words and assign them to Boolean values (Democrat V Republican). Some tweets were not even political  - girl, love etc. It is easy to see the top values and the low values."/>
    <m/>
    <n v="13.840833333333334"/>
    <n v="830.45"/>
    <n v="5.35"/>
    <m/>
    <n v="29.95"/>
    <m/>
    <m/>
    <m/>
    <m/>
    <n v="236.38"/>
    <m/>
    <m/>
    <m/>
    <m/>
    <m/>
    <m/>
    <n v="311.92"/>
    <m/>
    <m/>
    <m/>
    <m/>
    <m/>
    <m/>
    <m/>
    <m/>
    <n v="148.99"/>
    <m/>
    <m/>
    <m/>
    <m/>
    <m/>
    <m/>
    <m/>
    <m/>
    <n v="97.86"/>
    <m/>
    <m/>
    <m/>
    <m/>
    <n v="3.9396666666666667"/>
    <n v="5.198666666666667"/>
    <n v="2.483166666666667"/>
  </r>
  <r>
    <x v="0"/>
    <x v="1"/>
    <n v="31"/>
    <s v="2019-09-06 11:51:31"/>
    <n v="6"/>
    <s v="en"/>
    <n v="1642941793"/>
    <s v="2019-09-06 11:21:40"/>
    <s v="2019-09-06 11:51:31"/>
    <s v="https://n-7gn6f3ymqlyeypjitxev2qsjqakgimt2ontr6eq-0lu-script.googleusercontent.com/userCodeAppPanel"/>
    <x v="0"/>
    <n v="1"/>
    <n v="1"/>
    <n v="0.625"/>
    <n v="0.75"/>
    <n v="3"/>
    <n v="17"/>
    <n v="29.904166666666665"/>
    <n v="27.094666666666665"/>
    <n v="0.77272727272727271"/>
    <n v="1.3333333333333333"/>
    <n v="3"/>
    <s v="5ce7d6b62e037a0015e7333c"/>
    <n v="2"/>
    <n v="1"/>
    <n v="1"/>
    <n v="2"/>
    <s v="Democrats"/>
    <s v="Republicans"/>
    <s v="Donald Trump"/>
    <s v="Cluster 3"/>
    <s v="Cluster 5"/>
    <s v="Cluster 1"/>
    <s v="Cluster 0"/>
    <s v="Cluster 2"/>
    <s v="Cluster 4"/>
    <s v="love, heart, thing"/>
    <s v="black, police, white"/>
    <s v="death"/>
    <s v="look"/>
    <s v="Cluster 3"/>
    <s v="Cluster 5"/>
    <s v="accounts that tweet about news stories"/>
    <s v="accounts that tweet about American presidents"/>
    <s v="True"/>
    <s v="False"/>
    <s v="True"/>
    <s v="True"/>
    <s v="False"/>
    <s v="False"/>
    <s v="True"/>
    <s v="False"/>
    <x v="0"/>
    <m/>
    <m/>
    <n v="29.904166666666665"/>
    <n v="1794.25"/>
    <n v="21.93"/>
    <m/>
    <n v="74.099999999999994"/>
    <m/>
    <m/>
    <m/>
    <m/>
    <n v="939.72"/>
    <m/>
    <m/>
    <m/>
    <m/>
    <m/>
    <m/>
    <n v="493.6"/>
    <m/>
    <m/>
    <m/>
    <m/>
    <m/>
    <m/>
    <m/>
    <m/>
    <n v="192.36"/>
    <m/>
    <m/>
    <m/>
    <m/>
    <m/>
    <m/>
    <m/>
    <m/>
    <n v="72.540000000000006"/>
    <m/>
    <m/>
    <m/>
    <m/>
    <n v="15.662000000000001"/>
    <n v="8.2266666666666666"/>
    <n v="3.2060000000000004"/>
  </r>
  <r>
    <x v="0"/>
    <x v="1"/>
    <n v="33"/>
    <s v="2019-09-06 11:32:35"/>
    <n v="6"/>
    <s v="en"/>
    <n v="2044126485"/>
    <s v="2019-09-06 11:23:07"/>
    <s v="2019-09-06 11:32:35"/>
    <s v="https://n-7gn6f3ymqlyeypjitxev2qsjqakgimt2ontr6eq-0lu-script.googleusercontent.com/blank"/>
    <x v="0"/>
    <n v="1"/>
    <n v="0.33333333333333331"/>
    <n v="0.75"/>
    <n v="0.75"/>
    <n v="2"/>
    <n v="14"/>
    <n v="9.5358333333333327"/>
    <n v="7.8901666666666666"/>
    <n v="0.63636363636363635"/>
    <n v="1"/>
    <n v="3"/>
    <s v="57739704c1b42d0001a58ae6"/>
    <n v="1"/>
    <n v="1"/>
    <n v="1"/>
    <n v="3"/>
    <s v="Democrats"/>
    <s v="Republicans"/>
    <s v="Donald Trump"/>
    <s v="Cluster 3"/>
    <s v="Cluster 1"/>
    <s v="Cluster 4"/>
    <s v="Cluster 0"/>
    <s v="Cluster 0"/>
    <s v="Cluster 2"/>
    <s v="love, heart, thing"/>
    <s v="black, police, white"/>
    <s v="news"/>
    <s v="trump"/>
    <s v="Cluster 3"/>
    <s v="Cluster 5"/>
    <s v="accounts that tweet about Donald Trump"/>
    <s v="accounts that tweet about news stories"/>
    <s v="True"/>
    <s v="True"/>
    <s v="True"/>
    <s v="False"/>
    <s v="False"/>
    <s v="False"/>
    <s v="True"/>
    <s v="False"/>
    <x v="2"/>
    <s v="simply represented as to what is communicated often and what is not"/>
    <m/>
    <n v="9.5358333333333327"/>
    <n v="572.15"/>
    <n v="3.9"/>
    <m/>
    <n v="61.85"/>
    <m/>
    <m/>
    <m/>
    <m/>
    <n v="275.11"/>
    <m/>
    <m/>
    <m/>
    <m/>
    <m/>
    <m/>
    <n v="137.65"/>
    <m/>
    <m/>
    <m/>
    <m/>
    <m/>
    <m/>
    <m/>
    <m/>
    <n v="60.65"/>
    <m/>
    <m/>
    <m/>
    <m/>
    <m/>
    <m/>
    <m/>
    <m/>
    <n v="32.99"/>
    <m/>
    <m/>
    <m/>
    <m/>
    <n v="4.5851666666666668"/>
    <n v="2.2941666666666669"/>
    <n v="1.0108333333333333"/>
  </r>
  <r>
    <x v="0"/>
    <x v="1"/>
    <n v="34"/>
    <s v="2019-09-06 11:30:52"/>
    <n v="6"/>
    <s v="en"/>
    <n v="832404609"/>
    <s v="2019-09-06 11:23:24"/>
    <s v="2019-09-06 11:30:52"/>
    <s v="https://n-7gn6f3ymqlyeypjitxev2qsjqakgimt2ontr6eq-0lu-script.googleusercontent.com/userCodeAppPanel"/>
    <x v="0"/>
    <n v="1"/>
    <n v="1"/>
    <n v="0.875"/>
    <n v="0.625"/>
    <n v="2"/>
    <n v="18"/>
    <n v="7.509666666666666"/>
    <n v="6.5274999999999999"/>
    <n v="0.81818181818181823"/>
    <n v="1"/>
    <n v="3"/>
    <s v="5cab9c01291df900015c2849"/>
    <n v="1"/>
    <n v="1"/>
    <n v="1"/>
    <n v="6"/>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True"/>
    <s v="True"/>
    <s v="False"/>
    <s v="False"/>
    <s v="True"/>
    <s v="True"/>
    <s v="False"/>
    <x v="2"/>
    <s v="They looked confusing at first, but I quickly grasped how to understand them."/>
    <m/>
    <n v="7.509666666666666"/>
    <n v="450.58"/>
    <n v="8.11"/>
    <m/>
    <n v="24.44"/>
    <m/>
    <m/>
    <m/>
    <m/>
    <n v="239.65"/>
    <m/>
    <m/>
    <m/>
    <m/>
    <m/>
    <m/>
    <n v="91.88"/>
    <m/>
    <m/>
    <m/>
    <m/>
    <m/>
    <m/>
    <m/>
    <m/>
    <n v="60.12"/>
    <m/>
    <m/>
    <m/>
    <m/>
    <m/>
    <m/>
    <m/>
    <m/>
    <n v="26.38"/>
    <m/>
    <m/>
    <m/>
    <m/>
    <n v="3.9941666666666666"/>
    <n v="1.5313333333333332"/>
    <n v="1.002"/>
  </r>
  <r>
    <x v="0"/>
    <x v="1"/>
    <n v="35"/>
    <s v="2019-09-06 11:43:53"/>
    <n v="6"/>
    <s v="en"/>
    <n v="893490052"/>
    <s v="2019-09-06 11:23:29"/>
    <s v="2019-09-06 11:43:53"/>
    <s v="https://n-7gn6f3ymqlyeypjitxev2qsjqakgimt2ontr6eq-0lu-script.googleusercontent.com/userCodeAppPanel"/>
    <x v="0"/>
    <n v="1"/>
    <n v="0.66666666666666663"/>
    <n v="0.875"/>
    <n v="0.75"/>
    <n v="3"/>
    <n v="17"/>
    <n v="20.469000000000001"/>
    <n v="15.956833333333332"/>
    <n v="0.77272727272727271"/>
    <n v="4.333333333333333"/>
    <n v="3"/>
    <s v="5bead56b5324b10001c2551c"/>
    <n v="6"/>
    <n v="5"/>
    <n v="2"/>
    <n v="6"/>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True"/>
    <s v="True"/>
    <s v="False"/>
    <s v="False"/>
    <s v="False"/>
    <s v="True"/>
    <s v="False"/>
    <x v="0"/>
    <s v="After seeing them for the first time and reading the description of what they are i kind of understood how to read them. Ideally i would need someone to tell me how they should be read and given the chance to ask questions to clarify whether i am reading the graph correctly."/>
    <m/>
    <n v="20.469000000000001"/>
    <n v="1228.1400000000001"/>
    <n v="3.39"/>
    <m/>
    <n v="175.4"/>
    <m/>
    <m/>
    <m/>
    <m/>
    <n v="529.91999999999996"/>
    <m/>
    <m/>
    <m/>
    <m/>
    <m/>
    <m/>
    <n v="160.53"/>
    <m/>
    <m/>
    <m/>
    <m/>
    <m/>
    <m/>
    <m/>
    <m/>
    <n v="266.95999999999998"/>
    <m/>
    <m/>
    <m/>
    <m/>
    <m/>
    <m/>
    <m/>
    <m/>
    <n v="91.94"/>
    <m/>
    <m/>
    <m/>
    <m/>
    <n v="8.831999999999999"/>
    <n v="2.6755"/>
    <n v="4.4493333333333327"/>
  </r>
  <r>
    <x v="0"/>
    <x v="1"/>
    <n v="37"/>
    <s v="2019-09-06 11:38:53"/>
    <n v="6"/>
    <s v="en"/>
    <n v="344315361"/>
    <s v="2019-09-06 11:25:06"/>
    <s v="2019-09-06 11:38:53"/>
    <s v="https://n-7gn6f3ymqlyeypjitxev2qsjqakgimt2ontr6eq-0lu-script.googleusercontent.com/userCodeAppPanel"/>
    <x v="0"/>
    <n v="1"/>
    <n v="0.5"/>
    <n v="0.125"/>
    <n v="0.125"/>
    <n v="4"/>
    <n v="5"/>
    <n v="13.827833333333333"/>
    <n v="12.952333333333332"/>
    <n v="0.22727272727272727"/>
    <n v="1"/>
    <n v="3"/>
    <s v="5cc5a51042a9c30018caad3d"/>
    <n v="1"/>
    <n v="1"/>
    <n v="1"/>
    <n v="4"/>
    <s v="Democrats"/>
    <s v="Republicans"/>
    <s v="Donald Trump"/>
    <s v="Cluster 5"/>
    <s v="Cluster 5"/>
    <s v="Cluster 1"/>
    <s v="Cluster 0"/>
    <s v="Cluster 1"/>
    <s v="Cluster 5"/>
    <s v="love, heart, thing"/>
    <s v="police, Trump, Obama"/>
    <s v="death"/>
    <s v="obama"/>
    <s v="Cluster 2"/>
    <s v="Cluster 3"/>
    <s v="accounts that tweet about news stories"/>
    <s v="accounts that tweet about Donald Trump"/>
    <s v="False"/>
    <s v="True"/>
    <s v="False"/>
    <s v="True"/>
    <s v="False"/>
    <s v="True"/>
    <s v="True"/>
    <s v="True"/>
    <x v="1"/>
    <s v="There appears to be overlap and ambiguity"/>
    <m/>
    <n v="13.827833333333333"/>
    <n v="829.67"/>
    <n v="4.24"/>
    <m/>
    <n v="26.86"/>
    <m/>
    <m/>
    <m/>
    <m/>
    <n v="383.8"/>
    <m/>
    <m/>
    <m/>
    <m/>
    <m/>
    <m/>
    <n v="298.12"/>
    <m/>
    <m/>
    <m/>
    <m/>
    <m/>
    <m/>
    <m/>
    <m/>
    <n v="95.22"/>
    <m/>
    <m/>
    <m/>
    <m/>
    <m/>
    <m/>
    <m/>
    <m/>
    <n v="21.43"/>
    <m/>
    <m/>
    <m/>
    <m/>
    <n v="6.3966666666666665"/>
    <n v="4.9686666666666666"/>
    <n v="1.587"/>
  </r>
  <r>
    <x v="0"/>
    <x v="1"/>
    <n v="38"/>
    <s v="2019-09-06 11:38:10"/>
    <n v="6"/>
    <s v="en"/>
    <n v="335824716"/>
    <s v="2019-09-06 11:27:25"/>
    <s v="2019-09-06 11:38:10"/>
    <s v="https://n-7gn6f3ymqlyeypjitxev2qsjqakgimt2ontr6eq-0lu-script.googleusercontent.com/blank"/>
    <x v="0"/>
    <n v="1"/>
    <n v="0.83333333333333337"/>
    <n v="0.75"/>
    <n v="0.625"/>
    <n v="2"/>
    <n v="16"/>
    <n v="10.817499999999999"/>
    <n v="9.9936666666666678"/>
    <n v="0.72727272727272729"/>
    <n v="2"/>
    <n v="3"/>
    <s v="5aa83706f05361000172818f"/>
    <n v="1"/>
    <n v="1"/>
    <n v="4"/>
    <n v="5"/>
    <s v="Democrats"/>
    <s v="Republicans"/>
    <s v="Donald Trump"/>
    <s v="Cluster 3"/>
    <s v="Cluster 5"/>
    <s v="Cluster 1"/>
    <s v="Cluster 0"/>
    <s v="Cluster 5"/>
    <s v="Cluster 4"/>
    <s v="love, heart, thing"/>
    <s v="love, heart, thing"/>
    <s v="news"/>
    <s v="trump"/>
    <s v="Cluster 3"/>
    <s v="Cluster 5"/>
    <s v="accounts that tweet about news stories"/>
    <s v="accounts that tweet about American presidents"/>
    <s v="True"/>
    <s v="True"/>
    <s v="False"/>
    <s v="False"/>
    <s v="False"/>
    <s v="False"/>
    <s v="True"/>
    <s v="False"/>
    <x v="2"/>
    <s v="It was fairly easy to understand"/>
    <m/>
    <n v="10.817499999999999"/>
    <n v="649.04999999999995"/>
    <n v="4.17"/>
    <m/>
    <n v="28.3"/>
    <m/>
    <m/>
    <m/>
    <m/>
    <n v="314.64999999999998"/>
    <m/>
    <m/>
    <m/>
    <m/>
    <m/>
    <m/>
    <n v="187.36"/>
    <m/>
    <m/>
    <m/>
    <m/>
    <m/>
    <m/>
    <m/>
    <m/>
    <n v="97.61"/>
    <m/>
    <m/>
    <m/>
    <m/>
    <m/>
    <m/>
    <m/>
    <m/>
    <n v="16.96"/>
    <m/>
    <m/>
    <m/>
    <m/>
    <n v="5.2441666666666666"/>
    <n v="3.1226666666666669"/>
    <n v="1.6268333333333334"/>
  </r>
  <r>
    <x v="0"/>
    <x v="1"/>
    <n v="39"/>
    <s v="2019-09-06 11:40:58"/>
    <n v="6"/>
    <s v="en"/>
    <n v="728325808"/>
    <s v="2019-09-06 11:28:27"/>
    <s v="2019-09-06 11:40:58"/>
    <s v="https://n-7gn6f3ymqlyeypjitxev2qsjqakgimt2ontr6eq-0lu-script.googleusercontent.com/userCodeAppPanel"/>
    <x v="0"/>
    <n v="1"/>
    <n v="0.33333333333333331"/>
    <n v="0.375"/>
    <n v="0.625"/>
    <n v="3"/>
    <n v="10"/>
    <n v="12.566333333333334"/>
    <n v="11.496166666666669"/>
    <n v="0.45454545454545453"/>
    <n v="4"/>
    <n v="3"/>
    <s v="5b17642244127b00013f7f65"/>
    <n v="3"/>
    <n v="7"/>
    <n v="2"/>
    <n v="6"/>
    <s v="Democrats"/>
    <s v="Republicans"/>
    <s v="Donald Trump"/>
    <s v="Cluster 3"/>
    <s v="Cluster 1"/>
    <s v="Cluster 2"/>
    <s v="Cluster 2"/>
    <s v="Cluster 0"/>
    <s v="Cluster 4"/>
    <s v="love, heart, thing"/>
    <s v="black, police, white"/>
    <s v="police"/>
    <s v="obama"/>
    <s v="Cluster 3"/>
    <s v="Cluster 3"/>
    <s v="accounts that tweet about Donald Trump"/>
    <s v="accounts that tweet about crime"/>
    <s v="True"/>
    <s v="True"/>
    <s v="True"/>
    <s v="True"/>
    <s v="False"/>
    <s v="False"/>
    <s v="True"/>
    <s v="False"/>
    <x v="0"/>
    <m/>
    <m/>
    <n v="12.566333333333334"/>
    <n v="753.98"/>
    <n v="9.2200000000000006"/>
    <m/>
    <n v="40.61"/>
    <m/>
    <m/>
    <m/>
    <m/>
    <n v="290.38"/>
    <m/>
    <m/>
    <m/>
    <m/>
    <m/>
    <m/>
    <n v="288.17"/>
    <m/>
    <m/>
    <m/>
    <m/>
    <m/>
    <m/>
    <m/>
    <m/>
    <n v="111.22"/>
    <m/>
    <m/>
    <m/>
    <m/>
    <m/>
    <m/>
    <m/>
    <m/>
    <n v="14.38"/>
    <m/>
    <m/>
    <m/>
    <m/>
    <n v="4.839666666666667"/>
    <n v="4.802833333333334"/>
    <n v="1.8536666666666666"/>
  </r>
  <r>
    <x v="0"/>
    <x v="1"/>
    <n v="40"/>
    <s v="2019-09-06 11:54:20"/>
    <n v="6"/>
    <s v="en"/>
    <n v="1052855283"/>
    <s v="2019-09-06 11:45:56"/>
    <s v="2019-09-06 11:54:20"/>
    <s v="https://n-7gn6f3ymqlyeypjitxev2qsjqakgimt2ontr6eq-0lu-script.googleusercontent.com/userCodeAppPanel"/>
    <x v="0"/>
    <n v="1"/>
    <n v="0.83333333333333337"/>
    <n v="0.875"/>
    <n v="0.625"/>
    <n v="2"/>
    <n v="17"/>
    <n v="8.4554999999999989"/>
    <n v="7.4725000000000001"/>
    <n v="0.77272727272727271"/>
    <n v="1"/>
    <n v="3"/>
    <s v="5accded9a3ba7a0001b504e5"/>
    <n v="1"/>
    <n v="1"/>
    <n v="1"/>
    <n v="3"/>
    <s v="Democrats"/>
    <s v="Republicans"/>
    <s v="Donald Trump"/>
    <s v="Cluster 3"/>
    <s v="Cluster 5"/>
    <s v="Cluster 1"/>
    <s v="Cluster 0"/>
    <s v="Cluster 5"/>
    <s v="Cluster 4"/>
    <s v="love, heart, thing"/>
    <s v="black, police, white"/>
    <s v="news"/>
    <s v="trump"/>
    <s v="Cluster 3"/>
    <s v="Cluster 5"/>
    <s v="accounts that tweet about news stories"/>
    <s v="accounts that tweet about American presidents"/>
    <s v="True"/>
    <s v="True"/>
    <s v="False"/>
    <s v="False"/>
    <s v="False"/>
    <s v="False"/>
    <s v="True"/>
    <s v="False"/>
    <x v="2"/>
    <s v="it seems quite straight forward"/>
    <m/>
    <n v="8.4554999999999989"/>
    <n v="507.33"/>
    <n v="3.7"/>
    <m/>
    <n v="21.89"/>
    <m/>
    <m/>
    <m/>
    <m/>
    <n v="275.48"/>
    <m/>
    <m/>
    <m/>
    <m/>
    <m/>
    <m/>
    <n v="105.88"/>
    <m/>
    <m/>
    <m/>
    <m/>
    <m/>
    <m/>
    <m/>
    <m/>
    <n v="66.989999999999995"/>
    <m/>
    <m/>
    <m/>
    <m/>
    <m/>
    <m/>
    <m/>
    <m/>
    <n v="33.39"/>
    <m/>
    <m/>
    <m/>
    <m/>
    <n v="4.5913333333333339"/>
    <n v="1.7646666666666666"/>
    <n v="1.1164999999999998"/>
  </r>
  <r>
    <x v="0"/>
    <x v="1"/>
    <n v="41"/>
    <s v="2019-09-06 12:02:26"/>
    <n v="6"/>
    <s v="en"/>
    <n v="1538087073"/>
    <s v="2019-09-06 11:54:11"/>
    <s v="2019-09-06 12:02:26"/>
    <s v="https://n-7gn6f3ymqlyeypjitxev2qsjqakgimt2ontr6eq-0lu-script.googleusercontent.com/userCodeAppPanel"/>
    <x v="0"/>
    <n v="1"/>
    <n v="0.5"/>
    <n v="0.625"/>
    <n v="0.375"/>
    <n v="3"/>
    <n v="11"/>
    <n v="8.3134999999999994"/>
    <n v="7.0421666666666667"/>
    <n v="0.5"/>
    <n v="3.3333333333333335"/>
    <n v="3"/>
    <s v="5cebdbd50b72600016fd86a9"/>
    <n v="2"/>
    <n v="4"/>
    <n v="4"/>
    <n v="10"/>
    <s v="Democrats"/>
    <s v="Republicans"/>
    <s v="Donald Trump"/>
    <s v="Cluster 1"/>
    <s v="Cluster 3"/>
    <s v="Cluster 1"/>
    <s v="Cluster 0"/>
    <s v="Cluster 5"/>
    <s v="Cluster 4"/>
    <s v="love, heart, thing"/>
    <s v="police, Trump, Obama"/>
    <s v="news"/>
    <s v="trump"/>
    <s v="Cluster 3"/>
    <s v="Cluster 5"/>
    <s v="accounts that tweet about news stories"/>
    <s v="accounts that tweet about news stories"/>
    <s v="True"/>
    <s v="True"/>
    <s v="False"/>
    <s v="True"/>
    <s v="False"/>
    <s v="True"/>
    <s v="True"/>
    <s v="False"/>
    <x v="0"/>
    <s v="I think it was OK to understand however I don't think hash tags in general are easy to understand and I don't have twitter because it is annoying and confusing to look at for the eye."/>
    <m/>
    <n v="8.3134999999999994"/>
    <n v="498.81"/>
    <n v="4.71"/>
    <m/>
    <n v="25.58"/>
    <m/>
    <m/>
    <m/>
    <m/>
    <n v="206.11"/>
    <m/>
    <m/>
    <m/>
    <m/>
    <m/>
    <m/>
    <n v="119.63"/>
    <m/>
    <m/>
    <m/>
    <m/>
    <m/>
    <m/>
    <m/>
    <m/>
    <n v="96.79"/>
    <m/>
    <m/>
    <m/>
    <m/>
    <m/>
    <m/>
    <m/>
    <m/>
    <n v="45.99"/>
    <m/>
    <m/>
    <m/>
    <m/>
    <n v="3.4351666666666669"/>
    <n v="1.9938333333333333"/>
    <n v="1.6131666666666669"/>
  </r>
  <r>
    <x v="0"/>
    <x v="1"/>
    <n v="42"/>
    <s v="2019-09-06 12:13:06"/>
    <n v="6"/>
    <s v="en"/>
    <n v="1864317413"/>
    <s v="2019-09-06 12:01:06"/>
    <s v="2019-09-06 12:13:06"/>
    <s v="https://n-7gn6f3ymqlyeypjitxev2qsjqakgimt2ontr6eq-0lu-script.googleusercontent.com/userCodeAppPanel"/>
    <x v="0"/>
    <n v="1"/>
    <n v="0.66666666666666663"/>
    <n v="0.75"/>
    <n v="0.625"/>
    <n v="2"/>
    <n v="15"/>
    <n v="12.0365"/>
    <n v="10.976166666666666"/>
    <n v="0.68181818181818177"/>
    <n v="2"/>
    <n v="3"/>
    <s v="5be59e4c520a3300010e28fa"/>
    <n v="2"/>
    <n v="2"/>
    <n v="2"/>
    <n v="3"/>
    <s v="Democrats"/>
    <s v="Republicans"/>
    <s v="Donald Trump"/>
    <s v="Cluster 3"/>
    <s v="Cluster 5"/>
    <s v="Cluster 4"/>
    <s v="Cluster 0"/>
    <s v="Cluster 1"/>
    <s v="Cluster 4"/>
    <s v="love, heart, thing"/>
    <s v="black, police, white"/>
    <s v="death"/>
    <s v="trump"/>
    <s v="Cluster 3"/>
    <s v="Cluster 5"/>
    <s v="accounts that tweet about crime"/>
    <s v="accounts that tweet about news stories"/>
    <s v="True"/>
    <s v="True"/>
    <s v="False"/>
    <s v="False"/>
    <s v="False"/>
    <s v="False"/>
    <s v="True"/>
    <s v="False"/>
    <x v="2"/>
    <m/>
    <m/>
    <n v="12.0365"/>
    <n v="722.19"/>
    <n v="4.62"/>
    <m/>
    <n v="42.29"/>
    <m/>
    <m/>
    <m/>
    <m/>
    <n v="353.2"/>
    <m/>
    <m/>
    <m/>
    <m/>
    <m/>
    <m/>
    <n v="193.07"/>
    <m/>
    <m/>
    <m/>
    <m/>
    <m/>
    <m/>
    <m/>
    <m/>
    <n v="112.3"/>
    <m/>
    <m/>
    <m/>
    <m/>
    <m/>
    <m/>
    <m/>
    <m/>
    <n v="16.71"/>
    <m/>
    <m/>
    <m/>
    <m/>
    <n v="5.8866666666666667"/>
    <n v="3.2178333333333331"/>
    <n v="1.8716666666666666"/>
  </r>
  <r>
    <x v="2"/>
    <x v="1"/>
    <n v="45"/>
    <s v="2019-09-10 12:46:57"/>
    <n v="6"/>
    <s v="en"/>
    <n v="494328001"/>
    <s v="2019-09-10 12:33:30"/>
    <s v="2019-09-10 12:46:57"/>
    <s v="https://n-7ndajzbjmzh6ng24opzqo36guykgimt2ontr6eq-0lu-script.googleusercontent.com/userCodeAppPanel"/>
    <x v="0"/>
    <n v="1"/>
    <n v="0.66666666666666663"/>
    <n v="0.625"/>
    <n v="0.625"/>
    <n v="5"/>
    <n v="14"/>
    <n v="13.490833333333335"/>
    <n v="12.003666666666666"/>
    <n v="0.63636363636363635"/>
    <n v="2"/>
    <n v="3"/>
    <s v="5bfd8910eed5280001ead1dd"/>
    <n v="2"/>
    <n v="2"/>
    <n v="2"/>
    <n v="2"/>
    <s v="Democrats"/>
    <s v="Republicans"/>
    <s v="Donald Trump"/>
    <s v="Cluster 3"/>
    <s v="Cluster 5"/>
    <s v="Cluster 1"/>
    <s v="Cluster 2"/>
    <s v="Cluster 2"/>
    <s v="Cluster 0"/>
    <s v="love, heart, thing"/>
    <s v="police, Trump, Obama"/>
    <s v="news"/>
    <s v="trump"/>
    <s v="Cluster 3"/>
    <s v="Cluster 5"/>
    <s v="accounts that tweet about news stories"/>
    <s v="accounts that tweet about news stories"/>
    <s v="True"/>
    <s v="True"/>
    <s v="True"/>
    <s v="False"/>
    <s v="False"/>
    <s v="True"/>
    <s v="True"/>
    <s v="False"/>
    <x v="4"/>
    <m/>
    <m/>
    <n v="13.490833333333335"/>
    <n v="809.45"/>
    <n v="11.3"/>
    <m/>
    <n v="64.209999999999994"/>
    <m/>
    <m/>
    <m/>
    <m/>
    <n v="327.37"/>
    <m/>
    <m/>
    <m/>
    <m/>
    <m/>
    <m/>
    <n v="219.55"/>
    <m/>
    <m/>
    <m/>
    <m/>
    <m/>
    <m/>
    <m/>
    <m/>
    <n v="173.3"/>
    <m/>
    <m/>
    <m/>
    <m/>
    <m/>
    <m/>
    <m/>
    <m/>
    <n v="13.72"/>
    <m/>
    <m/>
    <m/>
    <m/>
    <n v="5.4561666666666664"/>
    <n v="3.6591666666666667"/>
    <n v="2.8883333333333336"/>
  </r>
  <r>
    <x v="2"/>
    <x v="1"/>
    <n v="46"/>
    <s v="2019-09-10 12:50:26"/>
    <n v="6"/>
    <s v="en"/>
    <n v="907359327"/>
    <s v="2019-09-10 12:35:34"/>
    <s v="2019-09-10 12:50:26"/>
    <s v="https://n-7ndajzbjmzh6ng24opzqo36guykgimt2ontr6eq-0lu-script.googleusercontent.com/userCodeAppPanel"/>
    <x v="0"/>
    <n v="1"/>
    <n v="0.33333333333333331"/>
    <n v="0.75"/>
    <n v="0.75"/>
    <n v="3"/>
    <n v="14"/>
    <n v="14.912166666666668"/>
    <n v="11.683166666666667"/>
    <n v="0.63636363636363635"/>
    <n v="1"/>
    <n v="3"/>
    <s v="5c0436da4e1b7b00016ab8b4"/>
    <n v="1"/>
    <n v="1"/>
    <n v="1"/>
    <n v="4"/>
    <s v="Democrats"/>
    <s v="Republicans"/>
    <s v="Donald Trump"/>
    <s v="Cluster 3"/>
    <s v="Cluster 1"/>
    <s v="Cluster 4"/>
    <s v="Cluster 0"/>
    <s v="Cluster 5"/>
    <s v="Cluster 2"/>
    <s v="love, heart, thing"/>
    <s v="black, police, white"/>
    <s v="news"/>
    <s v="trump"/>
    <s v="Cluster 3"/>
    <s v="Cluster 5"/>
    <s v="accounts that tweet American presidents"/>
    <s v="accounts that tweet about Donald Trump"/>
    <s v="True"/>
    <s v="True"/>
    <s v="True"/>
    <s v="False"/>
    <s v="True"/>
    <s v="True"/>
    <s v="True"/>
    <s v="False"/>
    <x v="0"/>
    <m/>
    <m/>
    <n v="14.912166666666668"/>
    <n v="894.73"/>
    <n v="6.31"/>
    <m/>
    <n v="161.99"/>
    <m/>
    <m/>
    <m/>
    <m/>
    <n v="228.93"/>
    <m/>
    <m/>
    <m/>
    <m/>
    <m/>
    <m/>
    <n v="277.39"/>
    <m/>
    <m/>
    <m/>
    <m/>
    <m/>
    <m/>
    <m/>
    <m/>
    <n v="194.67"/>
    <m/>
    <m/>
    <m/>
    <m/>
    <m/>
    <m/>
    <m/>
    <m/>
    <n v="25.44"/>
    <m/>
    <m/>
    <m/>
    <m/>
    <n v="3.8155000000000001"/>
    <n v="4.6231666666666662"/>
    <n v="3.2444999999999999"/>
  </r>
  <r>
    <x v="2"/>
    <x v="1"/>
    <n v="47"/>
    <s v="2019-09-10 12:47:14"/>
    <n v="6"/>
    <s v="en"/>
    <n v="371178936"/>
    <s v="2019-09-10 12:38:43"/>
    <s v="2019-09-10 12:47:14"/>
    <s v="https://n-7ndajzbjmzh6ng24opzqo36guykgimt2ontr6eq-1lu-script.googleusercontent.com/userCodeAppPanel"/>
    <x v="0"/>
    <n v="1"/>
    <n v="0.66666666666666663"/>
    <n v="0.875"/>
    <n v="0.625"/>
    <n v="4"/>
    <n v="16"/>
    <n v="8.548"/>
    <n v="7.7138333333333327"/>
    <n v="0.72727272727272729"/>
    <n v="1.6666666666666667"/>
    <n v="3"/>
    <s v="5c421b47125d6f0001d1d79c"/>
    <n v="3"/>
    <n v="1"/>
    <n v="1"/>
    <n v="3"/>
    <s v="Democrats"/>
    <s v="Republicans"/>
    <s v="Donald Trump"/>
    <s v="Cluster 3"/>
    <s v="Cluster 1"/>
    <s v="Cluster 1"/>
    <s v="Cluster 0"/>
    <s v="Cluster 5"/>
    <s v="Cluster 4"/>
    <s v="love, heart, thing"/>
    <s v="black, police, white"/>
    <s v="news"/>
    <s v="trump"/>
    <s v="Cluster 3"/>
    <s v="Cluster 5"/>
    <s v="accounts that tweet about Donald Trump"/>
    <s v="accounts that tweet about American presidents"/>
    <s v="True"/>
    <s v="True"/>
    <s v="False"/>
    <s v="False"/>
    <s v="False"/>
    <s v="False"/>
    <s v="True"/>
    <s v="False"/>
    <x v="1"/>
    <s v="Would prefer a summary"/>
    <m/>
    <n v="8.548"/>
    <n v="512.88"/>
    <n v="4.49"/>
    <m/>
    <n v="24.44"/>
    <m/>
    <m/>
    <m/>
    <m/>
    <n v="248.45"/>
    <m/>
    <m/>
    <m/>
    <m/>
    <m/>
    <m/>
    <n v="136.19999999999999"/>
    <m/>
    <m/>
    <m/>
    <m/>
    <m/>
    <m/>
    <m/>
    <m/>
    <n v="78.180000000000007"/>
    <m/>
    <m/>
    <m/>
    <m/>
    <m/>
    <m/>
    <m/>
    <m/>
    <n v="21.12"/>
    <m/>
    <m/>
    <m/>
    <m/>
    <n v="4.1408333333333331"/>
    <n v="2.27"/>
    <n v="1.3030000000000002"/>
  </r>
  <r>
    <x v="2"/>
    <x v="1"/>
    <n v="48"/>
    <s v="2019-09-10 13:16:11"/>
    <n v="6"/>
    <s v="en"/>
    <n v="1988159186"/>
    <s v="2019-09-10 12:42:09"/>
    <s v="2019-09-10 13:16:11"/>
    <s v="https://n-7ndajzbjmzh6ng24opzqo36guykgimt2ontr6eq-0lu-script.googleusercontent.com/blank"/>
    <x v="0"/>
    <n v="1"/>
    <n v="0.33333333333333331"/>
    <n v="0.875"/>
    <n v="0.75"/>
    <n v="4"/>
    <n v="15"/>
    <n v="33.483166666666669"/>
    <n v="29.299833333333336"/>
    <n v="0.68181818181818177"/>
    <n v="2"/>
    <n v="3"/>
    <s v="5d762a162cd3ff00198c7fcb"/>
    <n v="2"/>
    <n v="3"/>
    <n v="1"/>
    <n v="5"/>
    <s v="Democrats"/>
    <s v="Republicans"/>
    <s v="Donald Trump"/>
    <s v="Cluster 3"/>
    <s v="Cluster 0"/>
    <s v="Cluster 4"/>
    <s v="Cluster 0"/>
    <s v="Cluster 1"/>
    <s v="Cluster 0"/>
    <s v="love, heart, thing"/>
    <s v="black, police, white"/>
    <s v="news"/>
    <s v="trump"/>
    <s v="Cluster 3"/>
    <s v="Cluster 5"/>
    <s v="accounts that tweet about news stories"/>
    <s v="accounts that tweet about American presidents"/>
    <s v="True"/>
    <s v="True"/>
    <s v="True"/>
    <s v="False"/>
    <s v="False"/>
    <s v="False"/>
    <s v="True"/>
    <s v="False"/>
    <x v="1"/>
    <s v="I found it somewhat difficult to keep scanning around for consistencies or inconsistencies when contemplating my response, as there were simply too many options."/>
    <m/>
    <n v="33.483166666666669"/>
    <n v="2008.99"/>
    <n v="33.549999999999997"/>
    <m/>
    <n v="84.65"/>
    <m/>
    <m/>
    <m/>
    <m/>
    <n v="894.23"/>
    <m/>
    <m/>
    <m/>
    <m/>
    <m/>
    <m/>
    <n v="645.88"/>
    <m/>
    <m/>
    <m/>
    <m/>
    <m/>
    <m/>
    <m/>
    <m/>
    <n v="217.88"/>
    <m/>
    <m/>
    <m/>
    <m/>
    <m/>
    <m/>
    <m/>
    <m/>
    <n v="132.80000000000001"/>
    <m/>
    <m/>
    <m/>
    <m/>
    <n v="14.903833333333333"/>
    <n v="10.764666666666667"/>
    <n v="3.6313333333333331"/>
  </r>
  <r>
    <x v="2"/>
    <x v="1"/>
    <n v="49"/>
    <s v="2019-09-10 13:03:42"/>
    <n v="6"/>
    <s v="en"/>
    <n v="2023474583"/>
    <s v="2019-09-10 12:42:18"/>
    <s v="2019-09-10 13:03:42"/>
    <s v="https://n-7ndajzbjmzh6ng24opzqo36guykgimt2ontr6eq-0lu-script.googleusercontent.com/userCodeAppPanel"/>
    <x v="0"/>
    <n v="1"/>
    <n v="0.83333333333333337"/>
    <n v="0.875"/>
    <n v="0.75"/>
    <n v="3"/>
    <n v="18"/>
    <n v="21.453833333333332"/>
    <n v="20.408166666666666"/>
    <n v="0.81818181818181823"/>
    <n v="5.666666666666667"/>
    <n v="3"/>
    <s v="58473a1ef8cfb900012641e5"/>
    <n v="7"/>
    <n v="8"/>
    <n v="2"/>
    <n v="8"/>
    <s v="Democrats"/>
    <s v="Republicans"/>
    <s v="Donald Trump"/>
    <s v="Cluster 3"/>
    <s v="Cluster 5"/>
    <s v="Cluster 1"/>
    <s v="Cluster 0"/>
    <s v="Cluster 4"/>
    <s v="Cluster 4"/>
    <s v="love, heart, thing"/>
    <s v="black, police, white"/>
    <s v="news"/>
    <s v="trump"/>
    <s v="Cluster 3"/>
    <s v="Cluster 5"/>
    <s v="accounts that tweet about news stories"/>
    <s v="accounts that tweet about American presidents"/>
    <s v="True"/>
    <s v="True"/>
    <s v="False"/>
    <s v="False"/>
    <s v="True"/>
    <s v="False"/>
    <s v="True"/>
    <s v="False"/>
    <x v="0"/>
    <m/>
    <m/>
    <n v="21.453833333333332"/>
    <n v="1287.23"/>
    <n v="8.66"/>
    <m/>
    <n v="46.13"/>
    <m/>
    <m/>
    <m/>
    <m/>
    <n v="933.34"/>
    <m/>
    <m/>
    <m/>
    <m/>
    <m/>
    <m/>
    <n v="180.82"/>
    <m/>
    <m/>
    <m/>
    <m/>
    <m/>
    <m/>
    <m/>
    <m/>
    <n v="110.33"/>
    <m/>
    <m/>
    <m/>
    <m/>
    <m/>
    <m/>
    <m/>
    <m/>
    <n v="7.95"/>
    <m/>
    <m/>
    <m/>
    <m/>
    <n v="15.555666666666667"/>
    <n v="3.0136666666666665"/>
    <n v="1.8388333333333333"/>
  </r>
  <r>
    <x v="2"/>
    <x v="1"/>
    <n v="51"/>
    <s v="2019-09-10 13:01:17"/>
    <n v="6"/>
    <s v="en"/>
    <n v="1586494167"/>
    <s v="2019-09-10 12:46:52"/>
    <s v="2019-09-10 13:01:17"/>
    <s v="https://n-7ndajzbjmzh6ng24opzqo36guykgimt2ontr6eq-0lu-script.googleusercontent.com/userCodeAppPanel"/>
    <x v="0"/>
    <n v="1"/>
    <n v="0.83333333333333337"/>
    <n v="0.875"/>
    <n v="0.625"/>
    <n v="3"/>
    <n v="17"/>
    <n v="14.455500000000001"/>
    <n v="12.050333333333333"/>
    <n v="0.77272727272727271"/>
    <n v="2"/>
    <n v="3"/>
    <s v="5c7047334d38530001518ab0"/>
    <n v="2"/>
    <n v="3"/>
    <n v="1"/>
    <n v="7"/>
    <s v="Democrats"/>
    <s v="Republicans"/>
    <s v="Donald Trump"/>
    <s v="Cluster 3"/>
    <s v="Cluster 5"/>
    <s v="Cluster 1"/>
    <s v="Cluster 0"/>
    <s v="Cluster 1"/>
    <s v="Cluster 4"/>
    <s v="love, heart, thing"/>
    <s v="black, police, white"/>
    <s v="news"/>
    <s v="trump"/>
    <s v="Cluster 3"/>
    <s v="Cluster 5"/>
    <s v="accounts that tweet about news stories"/>
    <s v="accounts that tweet about American presidents"/>
    <s v="True"/>
    <s v="True"/>
    <s v="True"/>
    <s v="False"/>
    <s v="False"/>
    <s v="True"/>
    <s v="True"/>
    <s v="False"/>
    <x v="0"/>
    <s v="It is quite time consuming for the human eye, this might be due to having to keep scrolling and page layout,if it was all visible at once I feel it could be quicker.  Sometimes the word choices don't quite fit one category easily."/>
    <m/>
    <n v="14.455500000000001"/>
    <n v="867.33"/>
    <n v="12.05"/>
    <m/>
    <n v="46.93"/>
    <m/>
    <m/>
    <m/>
    <m/>
    <n v="416.47"/>
    <m/>
    <m/>
    <m/>
    <m/>
    <m/>
    <m/>
    <n v="179.15"/>
    <m/>
    <m/>
    <m/>
    <m/>
    <m/>
    <m/>
    <m/>
    <m/>
    <n v="127.4"/>
    <m/>
    <m/>
    <m/>
    <m/>
    <m/>
    <m/>
    <m/>
    <m/>
    <n v="85.33"/>
    <m/>
    <m/>
    <m/>
    <m/>
    <n v="6.9411666666666667"/>
    <n v="2.9858333333333333"/>
    <n v="2.1233333333333335"/>
  </r>
  <r>
    <x v="2"/>
    <x v="1"/>
    <n v="52"/>
    <s v="2019-09-10 13:06:12"/>
    <n v="6"/>
    <s v="en"/>
    <n v="119981520"/>
    <s v="2019-09-10 12:47:32"/>
    <s v="2019-09-10 13:06:12"/>
    <s v="https://n-7ndajzbjmzh6ng24opzqo36guykgimt2ontr6eq-0lu-script.googleusercontent.com/userCodeAppPanel"/>
    <x v="0"/>
    <n v="1"/>
    <n v="0.83333333333333337"/>
    <n v="0.875"/>
    <n v="0.625"/>
    <n v="2"/>
    <n v="17"/>
    <n v="18.71466666666667"/>
    <n v="13.195833333333333"/>
    <n v="0.77272727272727271"/>
    <n v="3.6666666666666665"/>
    <n v="3"/>
    <s v="5d72876dfeb6240017e67ba3"/>
    <n v="3"/>
    <n v="6"/>
    <n v="2"/>
    <n v="5"/>
    <s v="Democrats"/>
    <s v="Republicans"/>
    <s v="Donald Trump"/>
    <s v="Cluster 3"/>
    <s v="Cluster 5"/>
    <s v="Cluster 1"/>
    <s v="Cluster 0"/>
    <s v="Cluster 5"/>
    <s v="Cluster 4"/>
    <s v="love, heart, thing"/>
    <s v="black, police, white"/>
    <s v="news"/>
    <s v="trump"/>
    <s v="Cluster 3"/>
    <s v="Cluster 5"/>
    <s v="accounts that tweet about news stories"/>
    <s v="accounts that tweet about American presidents"/>
    <s v="True"/>
    <s v="True"/>
    <s v="False"/>
    <s v="False"/>
    <s v="False"/>
    <s v="False"/>
    <s v="True"/>
    <s v="False"/>
    <x v="2"/>
    <s v="Easy to comprehend the extremes, difficult to measure what sits in the middle. Visualization could be improved"/>
    <m/>
    <n v="18.71466666666667"/>
    <n v="1122.8800000000001"/>
    <n v="10.63"/>
    <m/>
    <n v="71.010000000000005"/>
    <m/>
    <m/>
    <m/>
    <m/>
    <n v="292.58"/>
    <m/>
    <m/>
    <m/>
    <m/>
    <m/>
    <m/>
    <n v="336.37"/>
    <m/>
    <m/>
    <m/>
    <m/>
    <m/>
    <m/>
    <m/>
    <m/>
    <n v="162.80000000000001"/>
    <m/>
    <m/>
    <m/>
    <m/>
    <m/>
    <m/>
    <m/>
    <m/>
    <n v="249.49"/>
    <m/>
    <m/>
    <m/>
    <m/>
    <n v="4.8763333333333332"/>
    <n v="5.6061666666666667"/>
    <n v="2.7133333333333334"/>
  </r>
  <r>
    <x v="2"/>
    <x v="1"/>
    <n v="53"/>
    <s v="2019-09-10 13:22:23"/>
    <n v="6"/>
    <s v="en"/>
    <n v="1619340487"/>
    <s v="2019-09-10 12:48:50"/>
    <s v="2019-09-10 13:22:23"/>
    <s v="https://n-7ndajzbjmzh6ng24opzqo36guykgimt2ontr6eq-0lu-script.googleusercontent.com/blank"/>
    <x v="0"/>
    <n v="1"/>
    <n v="0.66666666666666663"/>
    <n v="0.75"/>
    <n v="0.875"/>
    <n v="3"/>
    <n v="17"/>
    <n v="33.597833333333334"/>
    <n v="30.003999999999998"/>
    <n v="0.77272727272727271"/>
    <n v="1.3333333333333333"/>
    <n v="3"/>
    <s v="5d68166982225900188f2fe3"/>
    <n v="1"/>
    <n v="1"/>
    <n v="2"/>
    <n v="3"/>
    <s v="Democrats"/>
    <s v="Republicans"/>
    <s v="Donald Trump"/>
    <s v="Cluster 1"/>
    <s v="Cluster 5"/>
    <s v="Cluster 1"/>
    <s v="Cluster 0"/>
    <s v="Cluster 1"/>
    <s v="Cluster 4"/>
    <s v="love, heart, thing"/>
    <s v="black, police, white"/>
    <s v="news"/>
    <s v="trump"/>
    <s v="Cluster 3"/>
    <s v="Cluster 5"/>
    <s v="accounts that tweet about news stories"/>
    <s v="accounts that tweet about crime"/>
    <s v="True"/>
    <s v="True"/>
    <s v="True"/>
    <s v="False"/>
    <s v="True"/>
    <s v="False"/>
    <s v="True"/>
    <s v="False"/>
    <x v="0"/>
    <s v="Easy to understand once you have looked at it a few times and answered some questions, but initially explanations a bit difficult"/>
    <m/>
    <n v="33.597833333333334"/>
    <n v="2015.87"/>
    <n v="23.42"/>
    <m/>
    <n v="130.25"/>
    <m/>
    <m/>
    <m/>
    <m/>
    <n v="664.18"/>
    <m/>
    <m/>
    <m/>
    <m/>
    <m/>
    <m/>
    <n v="278.36"/>
    <m/>
    <m/>
    <m/>
    <m/>
    <m/>
    <m/>
    <m/>
    <m/>
    <n v="857.7"/>
    <m/>
    <m/>
    <m/>
    <m/>
    <m/>
    <m/>
    <m/>
    <m/>
    <n v="61.96"/>
    <m/>
    <m/>
    <m/>
    <m/>
    <n v="11.069666666666667"/>
    <n v="4.639333333333334"/>
    <n v="14.295"/>
  </r>
  <r>
    <x v="2"/>
    <x v="1"/>
    <n v="55"/>
    <s v="2019-09-10 13:09:38"/>
    <n v="6"/>
    <s v="en"/>
    <n v="1483896520"/>
    <s v="2019-09-10 12:54:53"/>
    <s v="2019-09-10 13:09:38"/>
    <s v="https://n-7ndajzbjmzh6ng24opzqo36guykgimt2ontr6eq-0lu-script.googleusercontent.com/userCodeAppPanel"/>
    <x v="0"/>
    <n v="1"/>
    <n v="0.66666666666666663"/>
    <n v="0.875"/>
    <n v="0.75"/>
    <n v="3"/>
    <n v="17"/>
    <n v="14.795"/>
    <n v="12.353333333333333"/>
    <n v="0.77272727272727271"/>
    <n v="1"/>
    <n v="3"/>
    <s v="57892012454e5400015f35c4"/>
    <n v="1"/>
    <n v="1"/>
    <n v="1"/>
    <n v="4"/>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False"/>
    <s v="False"/>
    <s v="False"/>
    <s v="False"/>
    <s v="False"/>
    <s v="True"/>
    <s v="False"/>
    <x v="0"/>
    <s v="This took a while to get the hang of but seemed comprehensible to me when I reached the true/false questions. Despite repeating the image it was still annoying having to scroll back up for reference. Also visually, 0,1 on top line makes no sense. Should be 1,2 etc."/>
    <m/>
    <n v="14.795"/>
    <n v="887.7"/>
    <n v="5.5"/>
    <m/>
    <n v="35.4"/>
    <m/>
    <m/>
    <m/>
    <m/>
    <n v="418.3"/>
    <m/>
    <m/>
    <m/>
    <m/>
    <m/>
    <m/>
    <n v="207.79"/>
    <m/>
    <m/>
    <m/>
    <m/>
    <m/>
    <m/>
    <m/>
    <m/>
    <n v="115.11"/>
    <m/>
    <m/>
    <m/>
    <m/>
    <m/>
    <m/>
    <m/>
    <m/>
    <n v="105.6"/>
    <m/>
    <m/>
    <m/>
    <m/>
    <n v="6.9716666666666667"/>
    <n v="3.4631666666666665"/>
    <n v="1.9185000000000001"/>
  </r>
  <r>
    <x v="2"/>
    <x v="1"/>
    <n v="56"/>
    <s v="2019-09-10 13:14:10"/>
    <n v="6"/>
    <s v="en"/>
    <n v="2140489572"/>
    <s v="2019-09-10 12:55:05"/>
    <s v="2019-09-10 13:14:10"/>
    <s v="https://n-7ndajzbjmzh6ng24opzqo36guykgimt2ontr6eq-0lu-script.googleusercontent.com/userCodeAppPanel"/>
    <x v="0"/>
    <n v="1"/>
    <n v="0.83333333333333337"/>
    <n v="0.875"/>
    <n v="0.75"/>
    <n v="3"/>
    <n v="18"/>
    <n v="19.1205"/>
    <n v="16.712833333333336"/>
    <n v="0.81818181818181823"/>
    <n v="5"/>
    <n v="3"/>
    <s v="5bda4059ea656500011d5334"/>
    <n v="5"/>
    <n v="5"/>
    <n v="5"/>
    <n v="6"/>
    <s v="Democrats"/>
    <s v="Republicans"/>
    <s v="Donald Trump"/>
    <s v="Cluster 3"/>
    <s v="Cluster 5"/>
    <s v="Cluster 1"/>
    <s v="Cluster 0"/>
    <s v="Cluster 1"/>
    <s v="Cluster 4"/>
    <s v="love, heart, thing"/>
    <s v="black, police, white"/>
    <s v="news"/>
    <s v="trump"/>
    <s v="Cluster 3"/>
    <s v="Cluster 5"/>
    <s v="accounts that tweet American presidents"/>
    <s v="accounts that tweet about American presidents"/>
    <s v="True"/>
    <s v="True"/>
    <s v="False"/>
    <s v="False"/>
    <s v="True"/>
    <s v="False"/>
    <s v="True"/>
    <s v="False"/>
    <x v="0"/>
    <m/>
    <m/>
    <n v="19.1205"/>
    <n v="1147.23"/>
    <n v="10.96"/>
    <m/>
    <n v="107.79"/>
    <m/>
    <m/>
    <m/>
    <m/>
    <n v="410.97"/>
    <m/>
    <m/>
    <m/>
    <m/>
    <m/>
    <m/>
    <n v="391.65"/>
    <m/>
    <m/>
    <m/>
    <m/>
    <m/>
    <m/>
    <m/>
    <m/>
    <n v="200.15"/>
    <m/>
    <m/>
    <m/>
    <m/>
    <m/>
    <m/>
    <m/>
    <m/>
    <n v="25.71"/>
    <m/>
    <m/>
    <m/>
    <m/>
    <n v="6.8495000000000008"/>
    <n v="6.5274999999999999"/>
    <n v="3.3358333333333334"/>
  </r>
  <r>
    <x v="2"/>
    <x v="1"/>
    <n v="57"/>
    <s v="2019-09-10 13:01:59"/>
    <n v="6"/>
    <s v="en"/>
    <n v="991034081"/>
    <s v="2019-09-10 12:55:15"/>
    <s v="2019-09-10 13:01:59"/>
    <s v="https://n-7ndajzbjmzh6ng24opzqo36guykgimt2ontr6eq-0lu-script.googleusercontent.com/userCodeAppPanel"/>
    <x v="0"/>
    <n v="1"/>
    <n v="0.5"/>
    <n v="0.625"/>
    <n v="0.5"/>
    <n v="1"/>
    <n v="12"/>
    <n v="6.7646666666666668"/>
    <n v="5.8731666666666662"/>
    <n v="0.54545454545454541"/>
    <n v="4"/>
    <n v="3"/>
    <s v="5d51bb808dace500197a54c7"/>
    <n v="2"/>
    <n v="2"/>
    <n v="8"/>
    <n v="6"/>
    <s v="Democrats"/>
    <s v="Republicans"/>
    <s v="Donald Trump"/>
    <s v="Cluster 3"/>
    <s v="Cluster 5"/>
    <s v="Cluster 4"/>
    <s v="Cluster 0"/>
    <s v="Cluster 5"/>
    <s v="Cluster 1"/>
    <s v="love, heart, thing"/>
    <s v="black, police, white"/>
    <s v="news"/>
    <s v="look"/>
    <s v="Cluster 3"/>
    <s v="Cluster 5"/>
    <s v="accounts that tweet about news stories"/>
    <s v="accounts that tweet about Donald Trump"/>
    <s v="True"/>
    <s v="True"/>
    <s v="False"/>
    <s v="False"/>
    <s v="False"/>
    <s v="True"/>
    <s v="True"/>
    <s v="False"/>
    <x v="3"/>
    <s v="Clear visuals and you can see associated terms"/>
    <m/>
    <n v="6.7646666666666668"/>
    <n v="405.88"/>
    <n v="8.59"/>
    <m/>
    <n v="25.33"/>
    <m/>
    <m/>
    <m/>
    <m/>
    <n v="163.97"/>
    <m/>
    <m/>
    <m/>
    <m/>
    <m/>
    <m/>
    <n v="105.37"/>
    <m/>
    <m/>
    <m/>
    <m/>
    <m/>
    <m/>
    <m/>
    <m/>
    <n v="83.05"/>
    <m/>
    <m/>
    <m/>
    <m/>
    <m/>
    <m/>
    <m/>
    <m/>
    <n v="19.57"/>
    <m/>
    <m/>
    <m/>
    <m/>
    <n v="2.7328333333333332"/>
    <n v="1.7561666666666667"/>
    <n v="1.3841666666666665"/>
  </r>
  <r>
    <x v="2"/>
    <x v="1"/>
    <n v="58"/>
    <s v="2019-09-10 13:02:33"/>
    <n v="6"/>
    <s v="en"/>
    <n v="1267124654"/>
    <s v="2019-09-10 12:55:41"/>
    <s v="2019-09-10 13:02:33"/>
    <s v="https://n-7ndajzbjmzh6ng24opzqo36guykgimt2ontr6eq-0lu-script.googleusercontent.com/userCodeAppPanel"/>
    <x v="0"/>
    <n v="1"/>
    <n v="0.16666666666666666"/>
    <n v="0.875"/>
    <n v="0.5"/>
    <n v="1"/>
    <n v="12"/>
    <n v="6.9046666666666665"/>
    <n v="4.6635"/>
    <n v="0.54545454545454541"/>
    <n v="5.333333333333333"/>
    <n v="3"/>
    <s v="5b66d1996f0d0400010d680a"/>
    <n v="3"/>
    <n v="10"/>
    <n v="3"/>
    <n v="9"/>
    <s v="Democrats"/>
    <s v="Republicans"/>
    <s v="Donald Trump"/>
    <s v="Cluster 2"/>
    <s v="Cluster 4"/>
    <s v="Cluster 5"/>
    <s v="Cluster 1"/>
    <s v="Cluster 2"/>
    <s v="Cluster 3"/>
    <s v="love, heart, thing"/>
    <s v="black, police, white"/>
    <s v="news"/>
    <s v="trump"/>
    <s v="Cluster 3"/>
    <s v="Cluster 5"/>
    <s v="accounts that tweet about news stories"/>
    <s v="accounts that tweet about American presidents"/>
    <s v="True"/>
    <s v="True"/>
    <s v="False"/>
    <s v="False"/>
    <s v="True"/>
    <s v="True"/>
    <s v="False"/>
    <s v="False"/>
    <x v="3"/>
    <s v="ive never seen one before. it seems a great way to monitor and track keywords"/>
    <m/>
    <n v="6.9046666666666665"/>
    <n v="414.28"/>
    <n v="13.18"/>
    <m/>
    <n v="88.96"/>
    <m/>
    <m/>
    <m/>
    <m/>
    <n v="51.32"/>
    <m/>
    <m/>
    <m/>
    <m/>
    <m/>
    <m/>
    <n v="140.31"/>
    <m/>
    <m/>
    <m/>
    <m/>
    <m/>
    <m/>
    <m/>
    <m/>
    <n v="88.18"/>
    <m/>
    <m/>
    <m/>
    <m/>
    <m/>
    <m/>
    <m/>
    <m/>
    <n v="32.33"/>
    <m/>
    <m/>
    <m/>
    <m/>
    <n v="0.85533333333333339"/>
    <n v="2.3385000000000002"/>
    <n v="1.4696666666666667"/>
  </r>
  <r>
    <x v="2"/>
    <x v="1"/>
    <n v="59"/>
    <s v="2019-09-10 13:12:22"/>
    <n v="6"/>
    <s v="en"/>
    <n v="44766257"/>
    <s v="2019-09-10 12:56:59"/>
    <s v="2019-09-10 13:12:22"/>
    <s v="https://n-7ndajzbjmzh6ng24opzqo36guykgimt2ontr6eq-0lu-script.googleusercontent.com/userCodeAppPanel"/>
    <x v="0"/>
    <n v="1"/>
    <n v="0.33333333333333331"/>
    <n v="0.625"/>
    <n v="0.75"/>
    <n v="3"/>
    <n v="13"/>
    <n v="15.428333333333335"/>
    <n v="12.729833333333334"/>
    <n v="0.59090909090909094"/>
    <n v="1"/>
    <n v="3"/>
    <s v="5c7e48179782c300191ce450"/>
    <n v="1"/>
    <n v="1"/>
    <n v="1"/>
    <n v="1"/>
    <s v="Democrats"/>
    <s v="Republicans"/>
    <s v="Donald Trump"/>
    <s v="Cluster 3"/>
    <s v="Cluster 5"/>
    <s v="Cluster 2"/>
    <s v="Cluster 2"/>
    <s v="Cluster 5"/>
    <s v="Cluster 1"/>
    <s v="love, heart, thing"/>
    <s v="black, police, white"/>
    <s v="news"/>
    <s v="trump"/>
    <s v="Cluster 3"/>
    <s v="Cluster 2"/>
    <s v="accounts that tweet about news stories"/>
    <s v="accounts that tweet about Donald Trump"/>
    <s v="True"/>
    <s v="False"/>
    <s v="False"/>
    <s v="False"/>
    <s v="False"/>
    <s v="False"/>
    <s v="True"/>
    <s v="False"/>
    <x v="0"/>
    <s v="It seems that it would be much more comprehensible once you get a feel for it; it is a little difficult at first."/>
    <m/>
    <n v="15.428333333333335"/>
    <n v="925.7"/>
    <n v="15.3"/>
    <m/>
    <n v="49.05"/>
    <m/>
    <m/>
    <m/>
    <m/>
    <n v="372.16"/>
    <m/>
    <m/>
    <m/>
    <m/>
    <m/>
    <m/>
    <n v="206.68"/>
    <m/>
    <m/>
    <m/>
    <m/>
    <m/>
    <m/>
    <m/>
    <m/>
    <n v="184.95"/>
    <m/>
    <m/>
    <m/>
    <m/>
    <m/>
    <m/>
    <m/>
    <m/>
    <n v="97.56"/>
    <m/>
    <m/>
    <m/>
    <m/>
    <n v="6.2026666666666674"/>
    <n v="3.444666666666667"/>
    <n v="3.0825"/>
  </r>
  <r>
    <x v="2"/>
    <x v="1"/>
    <n v="60"/>
    <s v="2019-09-10 13:09:26"/>
    <n v="6"/>
    <s v="en"/>
    <n v="1390560410"/>
    <s v="2019-09-10 12:57:50"/>
    <s v="2019-09-10 13:09:26"/>
    <s v="https://n-7ndajzbjmzh6ng24opzqo36guykgimt2ontr6eq-0lu-script.googleusercontent.com/blank"/>
    <x v="0"/>
    <n v="1"/>
    <n v="0.33333333333333331"/>
    <n v="0.875"/>
    <n v="0.625"/>
    <n v="3"/>
    <n v="14"/>
    <n v="11.652333333333333"/>
    <n v="10.209"/>
    <n v="0.63636363636363635"/>
    <n v="1"/>
    <n v="3"/>
    <s v="5bf8558726e31d000103fb6a"/>
    <n v="1"/>
    <n v="1"/>
    <n v="1"/>
    <n v="4"/>
    <s v="Democrats"/>
    <s v="Republicans"/>
    <s v="Donald Trump"/>
    <s v="Cluster 3"/>
    <s v="Cluster 1"/>
    <s v="Cluster 4"/>
    <s v="Cluster 0"/>
    <s v="Cluster 5"/>
    <s v="Cluster 5"/>
    <s v="love, heart, thing"/>
    <s v="black, police, white"/>
    <s v="news"/>
    <s v="trump"/>
    <s v="Cluster 3"/>
    <s v="Cluster 5"/>
    <s v="accounts that tweet about news stories"/>
    <s v="accounts that tweet about American presidents"/>
    <s v="True"/>
    <s v="True"/>
    <s v="True"/>
    <s v="False"/>
    <s v="False"/>
    <s v="True"/>
    <s v="True"/>
    <s v="False"/>
    <x v="0"/>
    <s v="they easily display the volume of words used, however it is hard to retain the information for later recall"/>
    <m/>
    <n v="11.652333333333333"/>
    <n v="699.14"/>
    <n v="8.44"/>
    <m/>
    <n v="24.66"/>
    <m/>
    <m/>
    <m/>
    <m/>
    <n v="286.83999999999997"/>
    <m/>
    <m/>
    <m/>
    <m/>
    <m/>
    <m/>
    <n v="196.03"/>
    <m/>
    <m/>
    <m/>
    <m/>
    <m/>
    <m/>
    <m/>
    <m/>
    <n v="129.66999999999999"/>
    <m/>
    <m/>
    <m/>
    <m/>
    <m/>
    <m/>
    <m/>
    <m/>
    <n v="53.5"/>
    <m/>
    <m/>
    <m/>
    <m/>
    <n v="4.780666666666666"/>
    <n v="3.2671666666666668"/>
    <n v="2.1611666666666665"/>
  </r>
  <r>
    <x v="0"/>
    <x v="1"/>
    <n v="26"/>
    <s v="2019-09-06 11:21:46"/>
    <n v="6"/>
    <s v="en"/>
    <n v="32903959"/>
    <s v="2019-09-06 11:18:53"/>
    <s v="2019-09-06 11:21:46"/>
    <s v="https://n-7gn6f3ymqlyeypjitxev2qsjqakgimt2ontr6eq-0lu-script.googleusercontent.com/blank"/>
    <x v="1"/>
    <n v="0.33333333333333331"/>
    <n v="0"/>
    <n v="0.5"/>
    <n v="0.75"/>
    <n v="4"/>
    <n v="10"/>
    <n v="2.9483333333333333"/>
    <n v="1.7384999999999997"/>
    <n v="0.45454545454545453"/>
    <n v="1"/>
    <n v="3"/>
    <s v="5c882bc165b4d70017b40a04"/>
    <n v="1"/>
    <n v="1"/>
    <n v="1"/>
    <n v="1"/>
    <s v="Republicans"/>
    <s v="Democrats"/>
    <s v="Donald Trump"/>
    <s v="Cluster 2"/>
    <s v="Cluster 2"/>
    <s v="Cluster 5"/>
    <s v="Cluster 2"/>
    <s v="Cluster 4"/>
    <s v="Cluster 1"/>
    <s v="love, heart, thing"/>
    <s v="black, police, white"/>
    <s v="black"/>
    <s v="look"/>
    <s v="Cluster 4"/>
    <s v="Cluster 5"/>
    <s v="accounts that tweet about Donald Trump"/>
    <s v="accounts that tweet about American presidents"/>
    <s v="True"/>
    <s v="False"/>
    <s v="True"/>
    <s v="False"/>
    <s v="False"/>
    <s v="False"/>
    <s v="False"/>
    <s v="False"/>
    <x v="1"/>
    <s v="N/a"/>
    <m/>
    <n v="2.9483333333333333"/>
    <n v="176.9"/>
    <n v="6.75"/>
    <m/>
    <n v="55.12"/>
    <m/>
    <m/>
    <m/>
    <m/>
    <n v="36.86"/>
    <m/>
    <m/>
    <m/>
    <m/>
    <m/>
    <m/>
    <n v="52.76"/>
    <m/>
    <m/>
    <m/>
    <m/>
    <m/>
    <m/>
    <m/>
    <m/>
    <n v="14.69"/>
    <m/>
    <m/>
    <m/>
    <m/>
    <m/>
    <m/>
    <m/>
    <m/>
    <n v="10.72"/>
    <m/>
    <m/>
    <m/>
    <m/>
    <n v="0.61433333333333329"/>
    <n v="0.8793333333333333"/>
    <n v="0.24483333333333332"/>
  </r>
  <r>
    <x v="2"/>
    <x v="1"/>
    <n v="61"/>
    <s v="2019-09-10 13:11:55"/>
    <n v="6"/>
    <s v="en"/>
    <n v="567944475"/>
    <s v="2019-09-10 12:58:12"/>
    <s v="2019-09-10 13:11:55"/>
    <s v="https://n-7ndajzbjmzh6ng24opzqo36guykgimt2ontr6eq-0lu-script.googleusercontent.com/userCodeAppPanel"/>
    <x v="0"/>
    <n v="1"/>
    <n v="0.5"/>
    <n v="0.875"/>
    <n v="0.5"/>
    <n v="3"/>
    <n v="14"/>
    <n v="13.755666666666666"/>
    <n v="11.7395"/>
    <n v="0.63636363636363635"/>
    <n v="1"/>
    <n v="3"/>
    <s v="5ce64d9e2a55320019a34af4"/>
    <n v="1"/>
    <n v="1"/>
    <n v="1"/>
    <n v="3"/>
    <s v="Democrats"/>
    <s v="Republicans"/>
    <s v="Donald Trump"/>
    <s v="Cluster 3"/>
    <s v="Cluster 1"/>
    <s v="Cluster 4"/>
    <s v="Cluster 0"/>
    <s v="Cluster 3"/>
    <s v="Cluster 4"/>
    <s v="love, heart, thing"/>
    <s v="black, police, white"/>
    <s v="news"/>
    <s v="trump"/>
    <s v="Cluster 3"/>
    <s v="Cluster 5"/>
    <s v="accounts that tweet about Donald Trump"/>
    <s v="accounts that tweet about American presidents"/>
    <s v="True"/>
    <s v="True"/>
    <s v="False"/>
    <s v="True"/>
    <s v="True"/>
    <s v="True"/>
    <s v="True"/>
    <s v="False"/>
    <x v="0"/>
    <s v="it is a little complicated to completely understand for somebody who isn't used to using these type of charts to examine data"/>
    <m/>
    <n v="13.755666666666666"/>
    <n v="825.34"/>
    <n v="8.98"/>
    <m/>
    <n v="56.51"/>
    <m/>
    <m/>
    <m/>
    <m/>
    <n v="365.49"/>
    <m/>
    <m/>
    <m/>
    <m/>
    <m/>
    <m/>
    <n v="218.8"/>
    <m/>
    <m/>
    <m/>
    <m/>
    <m/>
    <m/>
    <m/>
    <m/>
    <n v="120.08"/>
    <m/>
    <m/>
    <m/>
    <m/>
    <m/>
    <m/>
    <m/>
    <m/>
    <n v="55.48"/>
    <m/>
    <m/>
    <m/>
    <m/>
    <n v="6.0914999999999999"/>
    <n v="3.6466666666666669"/>
    <n v="2.0013333333333332"/>
  </r>
  <r>
    <x v="2"/>
    <x v="1"/>
    <n v="62"/>
    <s v="2019-09-10 13:17:54"/>
    <n v="6"/>
    <s v="en"/>
    <n v="1406933729"/>
    <s v="2019-09-10 12:58:38"/>
    <s v="2019-09-10 13:17:54"/>
    <s v="https://n-7ndajzbjmzh6ng24opzqo36guykgimt2ontr6eq-0lu-script.googleusercontent.com/userCodeAppPanel"/>
    <x v="0"/>
    <n v="1"/>
    <n v="0.83333333333333337"/>
    <n v="0.75"/>
    <n v="0.625"/>
    <n v="3"/>
    <n v="16"/>
    <n v="19.308333333333334"/>
    <n v="15.0825"/>
    <n v="0.72727272727272729"/>
    <n v="1"/>
    <n v="3"/>
    <s v="5c77e6e6e8df4d00160c5640"/>
    <n v="1"/>
    <n v="1"/>
    <n v="1"/>
    <n v="3"/>
    <s v="Democrats"/>
    <s v="Republicans"/>
    <s v="Donald Trump"/>
    <s v="Cluster 3"/>
    <s v="Cluster 5"/>
    <s v="Cluster 1"/>
    <s v="Cluster 0"/>
    <s v="Cluster 5"/>
    <s v="Cluster 4"/>
    <s v="love, heart, thing"/>
    <s v="black, police, white"/>
    <s v="news"/>
    <s v="trump"/>
    <s v="Cluster 3"/>
    <s v="Cluster 5"/>
    <s v="accounts that tweet about news stories"/>
    <s v="accounts that tweet about news stories"/>
    <s v="True"/>
    <s v="True"/>
    <s v="False"/>
    <s v="False"/>
    <s v="False"/>
    <s v="False"/>
    <s v="True"/>
    <s v="False"/>
    <x v="0"/>
    <s v="Having the blue scores made me think that the words were frequent in the clusters, but less so than the orange words. I had to keep reminding myself this wasn't the case and tried to think of them as being the opposite of the orange words."/>
    <m/>
    <n v="19.308333333333334"/>
    <n v="1158.5"/>
    <n v="5.66"/>
    <m/>
    <n v="33.04"/>
    <m/>
    <m/>
    <m/>
    <m/>
    <n v="462.23"/>
    <m/>
    <m/>
    <m/>
    <m/>
    <m/>
    <m/>
    <n v="237.1"/>
    <m/>
    <m/>
    <m/>
    <m/>
    <m/>
    <m/>
    <m/>
    <m/>
    <n v="205.62"/>
    <m/>
    <m/>
    <m/>
    <m/>
    <m/>
    <m/>
    <m/>
    <m/>
    <n v="214.85"/>
    <m/>
    <m/>
    <m/>
    <m/>
    <n v="7.7038333333333338"/>
    <n v="3.9516666666666667"/>
    <n v="3.427"/>
  </r>
  <r>
    <x v="2"/>
    <x v="1"/>
    <n v="63"/>
    <s v="2019-09-10 13:14:31"/>
    <n v="6"/>
    <s v="en"/>
    <n v="1264144111"/>
    <s v="2019-09-10 12:59:46"/>
    <s v="2019-09-10 13:14:31"/>
    <s v="https://n-7ndajzbjmzh6ng24opzqo36guykgimt2ontr6eq-0lu-script.googleusercontent.com/userCodeAppPanel"/>
    <x v="0"/>
    <n v="1"/>
    <n v="0.16666666666666666"/>
    <n v="1"/>
    <n v="0.75"/>
    <n v="3"/>
    <n v="15"/>
    <n v="14.798666666666666"/>
    <n v="12.580166666666667"/>
    <n v="0.68181818181818177"/>
    <n v="1.3333333333333333"/>
    <n v="3"/>
    <s v="58f880acd7c57d0001249c99"/>
    <n v="2"/>
    <n v="1"/>
    <n v="1"/>
    <n v="5"/>
    <s v="Democrats"/>
    <s v="Republicans"/>
    <s v="Donald Trump"/>
    <s v="Cluster 2"/>
    <s v="Cluster 2"/>
    <s v="Cluster 2"/>
    <s v="Cluster 0"/>
    <s v="Cluster 1"/>
    <s v="Cluster 3"/>
    <s v="love, heart, thing"/>
    <s v="black, police, white"/>
    <s v="news"/>
    <s v="trump"/>
    <s v="Cluster 3"/>
    <s v="Cluster 5"/>
    <s v="accounts that tweet about crime"/>
    <s v="accounts that tweet about American presidents"/>
    <s v="True"/>
    <s v="True"/>
    <s v="True"/>
    <s v="False"/>
    <s v="True"/>
    <s v="True"/>
    <s v="True"/>
    <s v="False"/>
    <x v="0"/>
    <s v="It was a bit inconvenient to keep on going up and down the screen to confirm the answers."/>
    <m/>
    <n v="14.798666666666666"/>
    <n v="887.92"/>
    <n v="8.6"/>
    <m/>
    <n v="58.31"/>
    <m/>
    <m/>
    <m/>
    <m/>
    <n v="270.33"/>
    <m/>
    <m/>
    <m/>
    <m/>
    <m/>
    <m/>
    <n v="278.77"/>
    <m/>
    <m/>
    <m/>
    <m/>
    <m/>
    <m/>
    <m/>
    <m/>
    <n v="205.71"/>
    <m/>
    <m/>
    <m/>
    <m/>
    <m/>
    <m/>
    <m/>
    <m/>
    <n v="66.2"/>
    <m/>
    <m/>
    <m/>
    <m/>
    <n v="4.5054999999999996"/>
    <n v="4.6461666666666668"/>
    <n v="3.4285000000000001"/>
  </r>
  <r>
    <x v="2"/>
    <x v="1"/>
    <n v="64"/>
    <s v="2019-09-10 13:15:06"/>
    <n v="6"/>
    <s v="en"/>
    <n v="2035931079"/>
    <s v="2019-09-10 13:00:23"/>
    <s v="2019-09-10 13:15:05"/>
    <s v="https://n-7ndajzbjmzh6ng24opzqo36guykgimt2ontr6eq-0lu-script.googleusercontent.com/userCodeAppPanel"/>
    <x v="0"/>
    <n v="1"/>
    <n v="0.83333333333333337"/>
    <n v="0.75"/>
    <n v="0.625"/>
    <n v="1"/>
    <n v="16"/>
    <n v="14.7475"/>
    <n v="12.0595"/>
    <n v="0.72727272727272729"/>
    <n v="1"/>
    <n v="3"/>
    <s v="5c0e6a7a390d55000101923e"/>
    <n v="1"/>
    <n v="1"/>
    <n v="1"/>
    <n v="3"/>
    <s v="Democrats"/>
    <s v="Republicans"/>
    <s v="Donald Trump"/>
    <s v="Cluster 3"/>
    <s v="Cluster 5"/>
    <s v="Cluster 1"/>
    <s v="Cluster 0"/>
    <s v="Cluster 5"/>
    <s v="Cluster 4"/>
    <s v="love, heart, thing"/>
    <s v="black, police, white"/>
    <s v="news"/>
    <s v="look"/>
    <s v="Cluster 3"/>
    <s v="Cluster 5"/>
    <s v="accounts that tweet about news stories"/>
    <s v="accounts that tweet about American presidents"/>
    <s v="True"/>
    <s v="True"/>
    <s v="False"/>
    <s v="False"/>
    <s v="False"/>
    <s v="False"/>
    <s v="True"/>
    <s v="False"/>
    <x v="3"/>
    <s v="It would be easier to understand if you didn't provide standard definitions and instead provided a few example tweets (not politically related) and used that to show how they fit into a cluster AND what would happen to a similar tweet, which doesn't quite fit the criteria and why (eg four tweets about growing flowers and one about adding rose petals to a dish)."/>
    <m/>
    <n v="14.7475"/>
    <n v="884.85"/>
    <n v="9.1999999999999993"/>
    <m/>
    <n v="30.07"/>
    <m/>
    <m/>
    <m/>
    <m/>
    <n v="466.8"/>
    <m/>
    <m/>
    <m/>
    <m/>
    <m/>
    <m/>
    <n v="161.38"/>
    <m/>
    <m/>
    <m/>
    <m/>
    <m/>
    <m/>
    <m/>
    <m/>
    <n v="95.39"/>
    <m/>
    <m/>
    <m/>
    <m/>
    <m/>
    <m/>
    <m/>
    <m/>
    <n v="122.01"/>
    <m/>
    <m/>
    <m/>
    <m/>
    <n v="7.78"/>
    <n v="2.6896666666666667"/>
    <n v="1.5898333333333334"/>
  </r>
  <r>
    <x v="2"/>
    <x v="1"/>
    <n v="66"/>
    <s v="2019-09-10 13:20:41"/>
    <n v="6"/>
    <s v="en"/>
    <n v="299554488"/>
    <s v="2019-09-10 13:03:37"/>
    <s v="2019-09-10 13:20:41"/>
    <s v="https://n-7ndajzbjmzh6ng24opzqo36guykgimt2ontr6eq-0lu-script.googleusercontent.com/userCodeAppPanel"/>
    <x v="0"/>
    <n v="1"/>
    <n v="1"/>
    <n v="0.875"/>
    <n v="0.75"/>
    <n v="3"/>
    <n v="19"/>
    <n v="17.137999999999998"/>
    <n v="15.958666666666666"/>
    <n v="0.86363636363636365"/>
    <n v="1.3333333333333333"/>
    <n v="3"/>
    <s v="5aa82bc235237b0001131a33"/>
    <n v="2"/>
    <n v="1"/>
    <n v="1"/>
    <n v="8"/>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False"/>
    <s v="False"/>
    <s v="False"/>
    <s v="False"/>
    <s v="True"/>
    <s v="False"/>
    <x v="0"/>
    <s v="Without direction of which terms to focus on, the results can be difficult to access - along with the intended implications."/>
    <m/>
    <n v="17.137999999999998"/>
    <n v="1028.28"/>
    <n v="3.59"/>
    <m/>
    <n v="21.5"/>
    <m/>
    <m/>
    <m/>
    <m/>
    <n v="699.92"/>
    <m/>
    <m/>
    <m/>
    <m/>
    <m/>
    <m/>
    <n v="150.82"/>
    <m/>
    <m/>
    <m/>
    <m/>
    <m/>
    <m/>
    <m/>
    <m/>
    <n v="106.78"/>
    <m/>
    <m/>
    <m/>
    <m/>
    <m/>
    <m/>
    <m/>
    <m/>
    <n v="45.67"/>
    <m/>
    <m/>
    <m/>
    <m/>
    <n v="11.665333333333333"/>
    <n v="2.5136666666666665"/>
    <n v="1.7796666666666667"/>
  </r>
  <r>
    <x v="2"/>
    <x v="1"/>
    <n v="69"/>
    <s v="2019-09-10 13:16:35"/>
    <n v="6"/>
    <s v="en"/>
    <n v="1564875786"/>
    <s v="2019-09-10 13:04:13"/>
    <s v="2019-09-10 13:16:35"/>
    <s v="https://n-7ndajzbjmzh6ng24opzqo36guykgimt2ontr6eq-0lu-script.googleusercontent.com/userCodeAppPanel"/>
    <x v="0"/>
    <n v="1"/>
    <n v="0.66666666666666663"/>
    <n v="0.875"/>
    <n v="0.75"/>
    <n v="4"/>
    <n v="17"/>
    <n v="12.399333333333335"/>
    <n v="10.031166666666666"/>
    <n v="0.77272727272727271"/>
    <n v="1.6666666666666667"/>
    <n v="3"/>
    <s v="5b87f12a4e4b480001125b92"/>
    <n v="3"/>
    <n v="1"/>
    <n v="1"/>
    <n v="5"/>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True"/>
    <s v="False"/>
    <s v="False"/>
    <s v="True"/>
    <s v="False"/>
    <s v="True"/>
    <s v="False"/>
    <x v="1"/>
    <s v="It takes quite a lot of reading to understand what is actually going on. I think I have understood it now but it took quite some time to make sure I am reading them correctly and understanding them right."/>
    <m/>
    <n v="12.399333333333335"/>
    <n v="743.96"/>
    <n v="6.34"/>
    <m/>
    <n v="76.010000000000005"/>
    <m/>
    <m/>
    <m/>
    <m/>
    <n v="281.32"/>
    <m/>
    <m/>
    <m/>
    <m/>
    <m/>
    <m/>
    <n v="216.97"/>
    <m/>
    <m/>
    <m/>
    <m/>
    <m/>
    <m/>
    <m/>
    <m/>
    <n v="103.58"/>
    <m/>
    <m/>
    <m/>
    <m/>
    <m/>
    <m/>
    <m/>
    <m/>
    <n v="59.74"/>
    <m/>
    <m/>
    <m/>
    <m/>
    <n v="4.6886666666666663"/>
    <n v="3.6161666666666665"/>
    <n v="1.7263333333333333"/>
  </r>
  <r>
    <x v="2"/>
    <x v="1"/>
    <n v="70"/>
    <s v="2019-09-10 13:19:47"/>
    <n v="6"/>
    <s v="en"/>
    <n v="849250518"/>
    <s v="2019-09-10 13:04:19"/>
    <s v="2019-09-10 13:19:47"/>
    <s v="https://n-7ndajzbjmzh6ng24opzqo36guykgimt2ontr6eq-0lu-script.googleusercontent.com/userCodeAppPanel"/>
    <x v="0"/>
    <n v="1"/>
    <n v="1"/>
    <n v="1"/>
    <n v="0.625"/>
    <n v="2"/>
    <n v="19"/>
    <n v="15.501833333333334"/>
    <n v="12.9635"/>
    <n v="0.86363636363636365"/>
    <n v="1.6666666666666667"/>
    <n v="3"/>
    <s v="5d76e07d01cf3c000165cde0"/>
    <n v="1"/>
    <n v="3"/>
    <n v="1"/>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True"/>
    <s v="False"/>
    <s v="False"/>
    <s v="False"/>
    <s v="False"/>
    <s v="True"/>
    <s v="False"/>
    <x v="2"/>
    <s v="Had to distinct colors representing two different values. Gap in between the colors was confusing"/>
    <m/>
    <n v="15.501833333333334"/>
    <n v="930.11"/>
    <n v="5.69"/>
    <m/>
    <n v="57.23"/>
    <m/>
    <m/>
    <m/>
    <m/>
    <n v="489.98"/>
    <m/>
    <m/>
    <m/>
    <m/>
    <m/>
    <m/>
    <n v="187.47"/>
    <m/>
    <m/>
    <m/>
    <m/>
    <m/>
    <m/>
    <m/>
    <m/>
    <n v="100.36"/>
    <m/>
    <m/>
    <m/>
    <m/>
    <m/>
    <m/>
    <m/>
    <m/>
    <n v="89.38"/>
    <m/>
    <m/>
    <m/>
    <m/>
    <n v="8.1663333333333341"/>
    <n v="3.1244999999999998"/>
    <n v="1.6726666666666667"/>
  </r>
  <r>
    <x v="2"/>
    <x v="1"/>
    <n v="72"/>
    <s v="2019-09-10 13:24:33"/>
    <n v="6"/>
    <s v="en"/>
    <n v="576102757"/>
    <s v="2019-09-10 13:06:27"/>
    <s v="2019-09-10 13:24:33"/>
    <s v="https://n-7ndajzbjmzh6ng24opzqo36guykgimt2ontr6eq-0lu-script.googleusercontent.com/blank"/>
    <x v="0"/>
    <n v="1"/>
    <n v="0.66666666666666663"/>
    <n v="0.75"/>
    <n v="0.75"/>
    <n v="3"/>
    <n v="16"/>
    <n v="18.148500000000002"/>
    <n v="15.673333333333334"/>
    <n v="0.72727272727272729"/>
    <n v="4"/>
    <n v="3"/>
    <s v="59706c6162ef6900017a3ce6"/>
    <n v="1"/>
    <n v="1"/>
    <n v="10"/>
    <n v="1"/>
    <s v="Democrats"/>
    <s v="Republicans"/>
    <s v="Donald Trump"/>
    <s v="Cluster 3"/>
    <s v="Cluster 2"/>
    <s v="Cluster 1"/>
    <s v="Cluster 0"/>
    <s v="Cluster 5"/>
    <s v="Cluster 4"/>
    <s v="love, heart, thing"/>
    <s v="black, police, white"/>
    <s v="news"/>
    <s v="trump"/>
    <s v="Cluster 3"/>
    <s v="Cluster 5"/>
    <s v="accounts that tweet about news stories"/>
    <s v="accounts that tweet about news stories"/>
    <s v="True"/>
    <s v="False"/>
    <s v="False"/>
    <s v="False"/>
    <s v="False"/>
    <s v="False"/>
    <s v="True"/>
    <s v="False"/>
    <x v="0"/>
    <m/>
    <m/>
    <n v="18.148500000000002"/>
    <n v="1088.9100000000001"/>
    <n v="11.24"/>
    <m/>
    <n v="117.34"/>
    <m/>
    <m/>
    <m/>
    <m/>
    <n v="466.18"/>
    <m/>
    <m/>
    <m/>
    <m/>
    <m/>
    <m/>
    <n v="305.36"/>
    <m/>
    <m/>
    <m/>
    <m/>
    <m/>
    <m/>
    <m/>
    <m/>
    <n v="168.86"/>
    <m/>
    <m/>
    <m/>
    <m/>
    <m/>
    <m/>
    <m/>
    <m/>
    <n v="19.93"/>
    <m/>
    <m/>
    <m/>
    <m/>
    <n v="7.7696666666666667"/>
    <n v="5.0893333333333333"/>
    <n v="2.8143333333333334"/>
  </r>
  <r>
    <x v="2"/>
    <x v="1"/>
    <n v="73"/>
    <s v="2019-09-10 13:27:21"/>
    <n v="6"/>
    <s v="en"/>
    <n v="1444879562"/>
    <s v="2019-09-10 13:16:32"/>
    <s v="2019-09-10 13:27:21"/>
    <s v="https://n-7ndajzbjmzh6ng24opzqo36guykgimt2ontr6eq-0lu-script.googleusercontent.com/userCodeAppPanel"/>
    <x v="0"/>
    <n v="1"/>
    <n v="0.33333333333333331"/>
    <n v="0.625"/>
    <n v="0.75"/>
    <n v="2"/>
    <n v="13"/>
    <n v="10.856166666666667"/>
    <n v="9.6290000000000013"/>
    <n v="0.59090909090909094"/>
    <n v="2"/>
    <n v="3"/>
    <s v="5d065939e22a26000104d498"/>
    <n v="2"/>
    <n v="2"/>
    <n v="2"/>
    <n v="7"/>
    <s v="Democrats"/>
    <s v="Republicans"/>
    <s v="Donald Trump"/>
    <s v="Cluster 1"/>
    <s v="Cluster 0"/>
    <s v="Cluster 1"/>
    <s v="Cluster 0"/>
    <s v="Cluster 1"/>
    <s v="Cluster 1"/>
    <s v="love, heart, thing"/>
    <s v="black, police, white"/>
    <s v="death"/>
    <s v="trump"/>
    <s v="Cluster 3"/>
    <s v="Cluster 1"/>
    <s v="accounts that tweet about news stories"/>
    <s v="accounts that tweet about American presidents"/>
    <s v="True"/>
    <s v="True"/>
    <s v="True"/>
    <s v="True"/>
    <s v="True"/>
    <s v="False"/>
    <s v="True"/>
    <s v="False"/>
    <x v="2"/>
    <s v="colour coding helps"/>
    <m/>
    <n v="10.856166666666667"/>
    <n v="651.37"/>
    <n v="12.97"/>
    <m/>
    <n v="37.409999999999997"/>
    <m/>
    <m/>
    <m/>
    <m/>
    <n v="266.27999999999997"/>
    <m/>
    <m/>
    <m/>
    <m/>
    <m/>
    <m/>
    <n v="153.74"/>
    <m/>
    <m/>
    <m/>
    <m/>
    <m/>
    <m/>
    <m/>
    <m/>
    <n v="157.72"/>
    <m/>
    <m/>
    <m/>
    <m/>
    <m/>
    <m/>
    <m/>
    <m/>
    <n v="23.25"/>
    <m/>
    <m/>
    <m/>
    <m/>
    <n v="4.4379999999999997"/>
    <n v="2.5623333333333336"/>
    <n v="2.6286666666666667"/>
  </r>
  <r>
    <x v="2"/>
    <x v="1"/>
    <n v="76"/>
    <s v="2019-09-10 14:13:47"/>
    <n v="6"/>
    <s v="en"/>
    <n v="86993407"/>
    <s v="2019-09-10 14:00:19"/>
    <s v="2019-09-10 14:13:47"/>
    <s v="https://n-7ndajzbjmzh6ng24opzqo36guykgimt2ontr6eq-0lu-script.googleusercontent.com/blank"/>
    <x v="0"/>
    <n v="1"/>
    <n v="0.66666666666666663"/>
    <n v="0.875"/>
    <n v="1"/>
    <n v="3"/>
    <n v="19"/>
    <n v="13.540333333333333"/>
    <n v="11.088166666666666"/>
    <n v="0.86363636363636365"/>
    <n v="2"/>
    <n v="3"/>
    <s v="5cacd129abf37b0015a49f71"/>
    <n v="2"/>
    <n v="3"/>
    <n v="1"/>
    <n v="1"/>
    <s v="Democrats"/>
    <s v="Republicans"/>
    <s v="Donald Trump"/>
    <s v="Cluster 3"/>
    <s v="Cluster 1"/>
    <s v="Cluster 1"/>
    <s v="Cluster 0"/>
    <s v="Cluster 5"/>
    <s v="Cluster 4"/>
    <s v="love, heart, thing"/>
    <s v="black, police, white"/>
    <s v="news"/>
    <s v="trump"/>
    <s v="Cluster 3"/>
    <s v="Cluster 5"/>
    <s v="accounts that tweet American presidents"/>
    <s v="accounts that tweet about American presidents"/>
    <s v="True"/>
    <s v="False"/>
    <s v="True"/>
    <s v="False"/>
    <s v="True"/>
    <s v="False"/>
    <s v="True"/>
    <s v="False"/>
    <x v="0"/>
    <s v="Depends what the question is asking"/>
    <m/>
    <n v="13.540333333333333"/>
    <n v="812.42"/>
    <n v="19.690000000000001"/>
    <m/>
    <n v="92.37"/>
    <m/>
    <m/>
    <m/>
    <m/>
    <n v="289.89999999999998"/>
    <m/>
    <m/>
    <m/>
    <m/>
    <m/>
    <m/>
    <n v="239.94"/>
    <m/>
    <m/>
    <m/>
    <m/>
    <m/>
    <m/>
    <m/>
    <m/>
    <n v="135.44999999999999"/>
    <m/>
    <m/>
    <m/>
    <m/>
    <m/>
    <m/>
    <m/>
    <m/>
    <n v="35.07"/>
    <m/>
    <m/>
    <m/>
    <m/>
    <n v="4.8316666666666661"/>
    <n v="3.9990000000000001"/>
    <n v="2.2574999999999998"/>
  </r>
  <r>
    <x v="2"/>
    <x v="1"/>
    <n v="50"/>
    <s v="2019-09-10 12:53:48"/>
    <n v="6"/>
    <s v="en"/>
    <n v="1073146406"/>
    <s v="2019-09-10 12:44:44"/>
    <s v="2019-09-10 12:53:48"/>
    <s v="https://n-7ndajzbjmzh6ng24opzqo36guykgimt2ontr6eq-0lu-script.googleusercontent.com/userCodeAppPanel"/>
    <x v="1"/>
    <n v="0.66666666666666663"/>
    <n v="0.66666666666666663"/>
    <n v="0.75"/>
    <n v="0.75"/>
    <n v="3"/>
    <n v="16"/>
    <n v="9.1148333333333333"/>
    <n v="7.1573333333333338"/>
    <n v="0.72727272727272729"/>
    <n v="2.3333333333333335"/>
    <n v="3"/>
    <s v="5744bbe15e549100063b08cb"/>
    <n v="2"/>
    <n v="2"/>
    <n v="3"/>
    <n v="1"/>
    <s v="Republicans"/>
    <s v="Republicans"/>
    <s v="Donald Trump"/>
    <s v="Cluster 3"/>
    <s v="Cluster 3"/>
    <s v="Cluster 1"/>
    <s v="Cluster 0"/>
    <s v="Cluster 5"/>
    <s v="Cluster 4"/>
    <s v="love, heart, thing"/>
    <s v="black, police, white"/>
    <s v="news"/>
    <s v="trump"/>
    <s v="Cluster 3"/>
    <s v="Cluster 5"/>
    <s v="accounts that tweet about news stories"/>
    <s v="accounts that tweet about Donald Trump"/>
    <s v="True"/>
    <s v="True"/>
    <s v="True"/>
    <s v="False"/>
    <s v="False"/>
    <s v="False"/>
    <s v="True"/>
    <s v="False"/>
    <x v="0"/>
    <s v="Relatively easy to distinguish them into topic but yes there can be some overlaps. Best to use the least likely wording to then distinguish"/>
    <m/>
    <n v="9.1148333333333333"/>
    <n v="546.89"/>
    <n v="5.4"/>
    <m/>
    <n v="31.88"/>
    <m/>
    <m/>
    <m/>
    <m/>
    <n v="215.8"/>
    <m/>
    <m/>
    <m/>
    <m/>
    <m/>
    <m/>
    <n v="133.05000000000001"/>
    <m/>
    <m/>
    <m/>
    <m/>
    <m/>
    <m/>
    <m/>
    <m/>
    <n v="80.59"/>
    <m/>
    <m/>
    <m/>
    <m/>
    <m/>
    <m/>
    <m/>
    <m/>
    <n v="80.17"/>
    <m/>
    <m/>
    <m/>
    <m/>
    <n v="3.5966666666666667"/>
    <n v="2.2175000000000002"/>
    <n v="1.3431666666666666"/>
  </r>
  <r>
    <x v="2"/>
    <x v="1"/>
    <n v="74"/>
    <s v="2019-09-10 13:52:30"/>
    <n v="6"/>
    <s v="en"/>
    <n v="994194305"/>
    <s v="2019-09-10 13:32:33"/>
    <s v="2019-09-10 13:52:30"/>
    <s v="https://n-7ndajzbjmzh6ng24opzqo36guykgimt2ontr6eq-0lu-script.googleusercontent.com/userCodeAppPanel"/>
    <x v="1"/>
    <n v="0.33333333333333331"/>
    <n v="0.83333333333333337"/>
    <n v="0.875"/>
    <n v="0.625"/>
    <n v="2"/>
    <n v="17"/>
    <n v="19.992999999999999"/>
    <n v="16.535833333333333"/>
    <n v="0.77272727272727271"/>
    <n v="2"/>
    <n v="3"/>
    <s v="5b0eacd3e9270900013bee22"/>
    <n v="4"/>
    <n v="1"/>
    <n v="1"/>
    <n v="6"/>
    <s v="Republicans"/>
    <s v="Democrats"/>
    <s v="Donald Trump"/>
    <s v="Cluster 3"/>
    <s v="Cluster 5"/>
    <s v="Cluster 1"/>
    <s v="Cluster 0"/>
    <s v="Cluster 1"/>
    <s v="Cluster 4"/>
    <s v="love, heart, thing"/>
    <s v="black, police, white"/>
    <s v="news"/>
    <s v="trump"/>
    <s v="Cluster 3"/>
    <s v="Cluster 5"/>
    <s v="accounts that tweet about crime"/>
    <s v="accounts that tweet about news stories"/>
    <s v="True"/>
    <s v="True"/>
    <s v="False"/>
    <s v="False"/>
    <s v="False"/>
    <s v="False"/>
    <s v="True"/>
    <s v="False"/>
    <x v="2"/>
    <s v="easy to comprehend"/>
    <m/>
    <n v="19.992999999999999"/>
    <n v="1199.58"/>
    <n v="12.7"/>
    <m/>
    <n v="165.43"/>
    <m/>
    <m/>
    <m/>
    <m/>
    <n v="633.04"/>
    <m/>
    <m/>
    <m/>
    <m/>
    <m/>
    <m/>
    <n v="204.18"/>
    <m/>
    <m/>
    <m/>
    <m/>
    <m/>
    <m/>
    <m/>
    <m/>
    <n v="154.93"/>
    <m/>
    <m/>
    <m/>
    <m/>
    <m/>
    <m/>
    <m/>
    <m/>
    <n v="29.3"/>
    <m/>
    <m/>
    <m/>
    <m/>
    <n v="10.550666666666666"/>
    <n v="3.403"/>
    <n v="2.5821666666666667"/>
  </r>
  <r>
    <x v="1"/>
    <x v="1"/>
    <n v="80"/>
    <s v="2019-09-11 08:50:45"/>
    <n v="6"/>
    <s v="en"/>
    <n v="857400570"/>
    <s v="2019-09-11 08:26:02"/>
    <s v="2019-09-11 08:50:45"/>
    <s v="https://n-7ndajzbjmzh6ng24opzqo36guykgimt2ontr6eq-0lu-script.googleusercontent.com/userCodeAppPanel"/>
    <x v="0"/>
    <n v="1"/>
    <n v="0.5"/>
    <n v="0.75"/>
    <n v="0.5"/>
    <n v="3"/>
    <n v="13"/>
    <n v="24.781833333333335"/>
    <n v="21.446500000000004"/>
    <n v="0.59090909090909094"/>
    <n v="5.333333333333333"/>
    <n v="3"/>
    <s v="5d3eec0098afa00015f63a53"/>
    <n v="5"/>
    <n v="5"/>
    <n v="6"/>
    <n v="6"/>
    <s v="Democrats"/>
    <s v="Republicans"/>
    <s v="Donald Trump"/>
    <s v="Cluster 3"/>
    <s v="Cluster 1"/>
    <s v="Cluster 4"/>
    <s v="Cluster 0"/>
    <s v="Cluster 5"/>
    <s v="Cluster 4"/>
    <s v="love, heart, thing"/>
    <s v="black, police, white"/>
    <s v="news"/>
    <s v="trump"/>
    <s v="Cluster 3"/>
    <s v="Cluster 5"/>
    <s v="accounts that tweet about news stories"/>
    <s v="accounts that tweet about news stories"/>
    <s v="True"/>
    <s v="True"/>
    <s v="False"/>
    <s v="False"/>
    <s v="False"/>
    <s v="True"/>
    <s v="True"/>
    <s v="False"/>
    <x v="0"/>
    <s v="Plot clusters would perhaps be easier to interpret."/>
    <m/>
    <n v="24.781833333333335"/>
    <n v="1486.91"/>
    <n v="37.340000000000003"/>
    <m/>
    <n v="89.97"/>
    <m/>
    <m/>
    <m/>
    <m/>
    <n v="683.94"/>
    <m/>
    <m/>
    <m/>
    <m/>
    <m/>
    <m/>
    <n v="382.94"/>
    <m/>
    <m/>
    <m/>
    <m/>
    <m/>
    <m/>
    <m/>
    <m/>
    <n v="219.91"/>
    <m/>
    <m/>
    <m/>
    <m/>
    <m/>
    <m/>
    <m/>
    <m/>
    <n v="72.81"/>
    <m/>
    <m/>
    <m/>
    <m/>
    <n v="11.399000000000001"/>
    <n v="6.3823333333333334"/>
    <n v="3.6651666666666665"/>
  </r>
  <r>
    <x v="1"/>
    <x v="1"/>
    <n v="81"/>
    <s v="2019-09-11 08:45:46"/>
    <n v="6"/>
    <s v="en"/>
    <n v="160047890"/>
    <s v="2019-09-11 08:27:26"/>
    <s v="2019-09-11 08:45:46"/>
    <s v="https://n-7ndajzbjmzh6ng24opzqo36guykgimt2ontr6eq-0lu-script.googleusercontent.com/userCodeAppPanel"/>
    <x v="1"/>
    <n v="0.66666666666666663"/>
    <n v="0.33333333333333331"/>
    <n v="0.875"/>
    <n v="0.125"/>
    <n v="1"/>
    <n v="10"/>
    <n v="18.401999999999997"/>
    <n v="15.801333333333334"/>
    <n v="0.45454545454545453"/>
    <n v="1.6666666666666667"/>
    <n v="3"/>
    <s v="5c8e9230cb9c4400175cea37"/>
    <n v="3"/>
    <n v="1"/>
    <n v="1"/>
    <n v="6"/>
    <s v="Democrats"/>
    <s v="Democrats"/>
    <s v="Donald Trump"/>
    <s v="Cluster 3"/>
    <s v="Cluster 2"/>
    <s v="Cluster 4"/>
    <s v="Cluster 0"/>
    <s v="Cluster 5"/>
    <s v="Cluster 1"/>
    <s v="love, heart, thing"/>
    <s v="black, police, white"/>
    <s v="death"/>
    <s v="trump"/>
    <s v="Cluster 3"/>
    <s v="Cluster 5"/>
    <s v="accounts that tweet about crime"/>
    <s v="accounts that tweet about American presidents"/>
    <s v="False"/>
    <s v="True"/>
    <s v="False"/>
    <s v="True"/>
    <s v="False"/>
    <s v="True"/>
    <s v="False"/>
    <s v="False"/>
    <x v="3"/>
    <m/>
    <m/>
    <n v="18.401999999999997"/>
    <n v="1104.1199999999999"/>
    <n v="7.8"/>
    <m/>
    <n v="129.65"/>
    <m/>
    <m/>
    <m/>
    <m/>
    <n v="507.6"/>
    <m/>
    <m/>
    <m/>
    <m/>
    <m/>
    <m/>
    <n v="294.93"/>
    <m/>
    <m/>
    <m/>
    <m/>
    <m/>
    <m/>
    <m/>
    <m/>
    <n v="145.55000000000001"/>
    <m/>
    <m/>
    <m/>
    <m/>
    <m/>
    <m/>
    <m/>
    <m/>
    <n v="18.59"/>
    <m/>
    <m/>
    <m/>
    <m/>
    <n v="8.4600000000000009"/>
    <n v="4.9154999999999998"/>
    <n v="2.4258333333333337"/>
  </r>
  <r>
    <x v="1"/>
    <x v="1"/>
    <n v="82"/>
    <s v="2019-09-11 08:39:57"/>
    <n v="6"/>
    <s v="en"/>
    <n v="2146845613"/>
    <s v="2019-09-11 08:27:28"/>
    <s v="2019-09-11 08:39:57"/>
    <s v="https://n-7ndajzbjmzh6ng24opzqo36guykgimt2ontr6eq-0lu-script.googleusercontent.com/userCodeAppPanel"/>
    <x v="0"/>
    <n v="1"/>
    <n v="0.5"/>
    <n v="0.625"/>
    <n v="0.75"/>
    <n v="3"/>
    <n v="14"/>
    <n v="12.5335"/>
    <n v="9.9885000000000002"/>
    <n v="0.63636363636363635"/>
    <n v="5"/>
    <n v="3"/>
    <s v="5c858149bc64870012babfe3"/>
    <n v="4"/>
    <n v="6"/>
    <n v="5"/>
    <n v="7"/>
    <s v="Democrats"/>
    <s v="Republicans"/>
    <s v="Donald Trump"/>
    <s v="Cluster 3"/>
    <s v="Cluster 0"/>
    <s v="Cluster 4"/>
    <s v="Cluster 0"/>
    <s v="Cluster 4"/>
    <s v="Cluster 4"/>
    <s v="love, heart, thing"/>
    <s v="black, police, white"/>
    <s v="police"/>
    <s v="new"/>
    <s v="Cluster 3"/>
    <s v="Cluster 5"/>
    <s v="accounts that tweet about news stories"/>
    <s v="accounts that tweet about American presidents"/>
    <s v="True"/>
    <s v="True"/>
    <s v="False"/>
    <s v="False"/>
    <s v="True"/>
    <s v="False"/>
    <s v="True"/>
    <s v="False"/>
    <x v="0"/>
    <s v="as for me, it's comprehensible, but I'm an ordinary person. Maybe for the professionals those charts are very easy to comprehend"/>
    <m/>
    <n v="12.5335"/>
    <n v="752.01"/>
    <n v="18.5"/>
    <m/>
    <n v="65.45"/>
    <m/>
    <m/>
    <m/>
    <m/>
    <n v="213.12"/>
    <m/>
    <m/>
    <m/>
    <m/>
    <m/>
    <m/>
    <n v="238.81"/>
    <m/>
    <m/>
    <m/>
    <m/>
    <m/>
    <m/>
    <m/>
    <m/>
    <n v="147.38"/>
    <m/>
    <m/>
    <m/>
    <m/>
    <m/>
    <m/>
    <m/>
    <m/>
    <n v="68.75"/>
    <m/>
    <m/>
    <m/>
    <m/>
    <n v="3.552"/>
    <n v="3.9801666666666669"/>
    <n v="2.4563333333333333"/>
  </r>
  <r>
    <x v="1"/>
    <x v="1"/>
    <n v="83"/>
    <s v="2019-09-11 08:43:49"/>
    <n v="6"/>
    <s v="en"/>
    <n v="876995973"/>
    <s v="2019-09-11 08:27:46"/>
    <s v="2019-09-11 08:43:49"/>
    <s v="https://n-7ndajzbjmzh6ng24opzqo36guykgimt2ontr6eq-0lu-script.googleusercontent.com/blank"/>
    <x v="0"/>
    <n v="1"/>
    <n v="0.5"/>
    <n v="0.75"/>
    <n v="0.75"/>
    <n v="4"/>
    <n v="15"/>
    <n v="16.082333333333334"/>
    <n v="13.571499999999999"/>
    <n v="0.68181818181818177"/>
    <n v="2.3333333333333335"/>
    <n v="3"/>
    <s v="5b7467ea50075a0001107043"/>
    <n v="2"/>
    <n v="2"/>
    <n v="3"/>
    <n v="3"/>
    <s v="Democrats"/>
    <s v="Republicans"/>
    <s v="Donald Trump"/>
    <s v="Cluster 3"/>
    <s v="Cluster 5"/>
    <s v="Cluster 4"/>
    <s v="Cluster 0"/>
    <s v="Cluster 5"/>
    <s v="Cluster 3"/>
    <s v="love, heart, thing"/>
    <s v="black, police, white"/>
    <s v="black"/>
    <s v="new"/>
    <s v="Cluster 3"/>
    <s v="Cluster 5"/>
    <s v="accounts that tweet about crime"/>
    <s v="accounts that tweet about American presidents"/>
    <s v="True"/>
    <s v="True"/>
    <s v="True"/>
    <s v="False"/>
    <s v="False"/>
    <s v="False"/>
    <s v="True"/>
    <s v="False"/>
    <x v="1"/>
    <s v="I found it difficult reading and having to scroll up to look, found it hard to comprehend"/>
    <m/>
    <n v="16.082333333333334"/>
    <n v="964.94"/>
    <n v="5.51"/>
    <m/>
    <n v="106.08"/>
    <m/>
    <m/>
    <m/>
    <m/>
    <n v="400.65"/>
    <m/>
    <m/>
    <m/>
    <m/>
    <m/>
    <m/>
    <n v="291.23"/>
    <m/>
    <m/>
    <m/>
    <m/>
    <m/>
    <m/>
    <m/>
    <m/>
    <n v="122.41"/>
    <m/>
    <m/>
    <m/>
    <m/>
    <m/>
    <m/>
    <m/>
    <m/>
    <n v="39.06"/>
    <m/>
    <m/>
    <m/>
    <m/>
    <n v="6.6774999999999993"/>
    <n v="4.8538333333333332"/>
    <n v="2.0401666666666665"/>
  </r>
  <r>
    <x v="1"/>
    <x v="1"/>
    <n v="84"/>
    <s v="2019-09-11 08:41:03"/>
    <n v="6"/>
    <s v="en"/>
    <n v="94778713"/>
    <s v="2019-09-11 08:27:48"/>
    <s v="2019-09-11 08:41:03"/>
    <s v="https://n-7ndajzbjmzh6ng24opzqo36guykgimt2ontr6eq-0lu-script.googleusercontent.com/userCodeAppPanel"/>
    <x v="0"/>
    <n v="1"/>
    <n v="0.5"/>
    <n v="0.75"/>
    <n v="0.75"/>
    <n v="3"/>
    <n v="15"/>
    <n v="13.332666666666666"/>
    <n v="11.695499999999999"/>
    <n v="0.68181818181818177"/>
    <n v="1.3333333333333333"/>
    <n v="3"/>
    <s v="5bd6c7a7abc5ee00017a5928"/>
    <n v="1"/>
    <n v="2"/>
    <n v="1"/>
    <n v="3"/>
    <s v="Democrats"/>
    <s v="Republicans"/>
    <s v="Donald Trump"/>
    <s v="Cluster 3"/>
    <s v="Cluster 5"/>
    <s v="Cluster 1"/>
    <s v="Cluster 1"/>
    <s v="Cluster 5"/>
    <s v="Cluster 2"/>
    <s v="love, heart, thing"/>
    <s v="black, police, white"/>
    <s v="news"/>
    <s v="trump"/>
    <s v="Cluster 3"/>
    <s v="Cluster 5"/>
    <s v="accounts that tweet about news stories"/>
    <s v="accounts that tweet about news stories"/>
    <s v="True"/>
    <s v="True"/>
    <s v="True"/>
    <s v="False"/>
    <s v="False"/>
    <s v="False"/>
    <s v="True"/>
    <s v="False"/>
    <x v="0"/>
    <s v="the word frequency is shown on  a bar graph, where orange words appear as a high frequency  and blue words appear less so."/>
    <m/>
    <n v="13.332666666666666"/>
    <n v="799.96"/>
    <n v="5.35"/>
    <m/>
    <n v="40.79"/>
    <m/>
    <m/>
    <m/>
    <m/>
    <n v="350.33"/>
    <m/>
    <m/>
    <m/>
    <m/>
    <m/>
    <m/>
    <n v="201.98"/>
    <m/>
    <m/>
    <m/>
    <m/>
    <m/>
    <m/>
    <m/>
    <m/>
    <n v="149.41999999999999"/>
    <m/>
    <m/>
    <m/>
    <m/>
    <m/>
    <m/>
    <m/>
    <m/>
    <n v="52.09"/>
    <m/>
    <m/>
    <m/>
    <m/>
    <n v="5.8388333333333327"/>
    <n v="3.366333333333333"/>
    <n v="2.4903333333333331"/>
  </r>
  <r>
    <x v="1"/>
    <x v="1"/>
    <n v="85"/>
    <s v="2019-09-11 08:41:50"/>
    <n v="6"/>
    <s v="en"/>
    <n v="2072147098"/>
    <s v="2019-09-11 08:27:55"/>
    <s v="2019-09-11 08:41:50"/>
    <s v="https://n-7ndajzbjmzh6ng24opzqo36guykgimt2ontr6eq-0lu-script.googleusercontent.com/blank"/>
    <x v="0"/>
    <n v="1"/>
    <n v="0.5"/>
    <n v="0.75"/>
    <n v="0.875"/>
    <n v="3"/>
    <n v="16"/>
    <n v="13.964666666666666"/>
    <n v="11.577500000000001"/>
    <n v="0.72727272727272729"/>
    <n v="2.3333333333333335"/>
    <n v="3"/>
    <s v="5d53c802ef30820001091f0d"/>
    <n v="2"/>
    <n v="1"/>
    <n v="4"/>
    <n v="4"/>
    <s v="Democrats"/>
    <s v="Republicans"/>
    <s v="Donald Trump"/>
    <s v="Cluster 3"/>
    <s v="Cluster 5"/>
    <s v="Cluster 3"/>
    <s v="Cluster 0"/>
    <s v="Cluster 5"/>
    <s v="Cluster 2"/>
    <s v="love, heart, thing"/>
    <s v="black, police, white"/>
    <s v="news"/>
    <s v="trump"/>
    <s v="Cluster 3"/>
    <s v="Cluster 5"/>
    <s v="accounts that tweet American presidents"/>
    <s v="accounts that tweet about news stories"/>
    <s v="True"/>
    <s v="True"/>
    <s v="True"/>
    <s v="False"/>
    <s v="True"/>
    <s v="False"/>
    <s v="True"/>
    <s v="False"/>
    <x v="0"/>
    <s v="I could understand which words were mentioned often"/>
    <m/>
    <n v="13.964666666666666"/>
    <n v="837.88"/>
    <n v="14.21"/>
    <m/>
    <n v="102.26"/>
    <m/>
    <m/>
    <m/>
    <m/>
    <n v="305.35000000000002"/>
    <m/>
    <m/>
    <m/>
    <m/>
    <m/>
    <m/>
    <n v="203.71"/>
    <m/>
    <m/>
    <m/>
    <m/>
    <m/>
    <m/>
    <m/>
    <m/>
    <n v="185.59"/>
    <m/>
    <m/>
    <m/>
    <m/>
    <m/>
    <m/>
    <m/>
    <m/>
    <n v="26.76"/>
    <m/>
    <m/>
    <m/>
    <m/>
    <n v="5.0891666666666673"/>
    <n v="3.3951666666666669"/>
    <n v="3.0931666666666668"/>
  </r>
  <r>
    <x v="1"/>
    <x v="1"/>
    <n v="86"/>
    <s v="2019-09-11 08:42:03"/>
    <n v="6"/>
    <s v="en"/>
    <n v="1972227992"/>
    <s v="2019-09-11 08:27:56"/>
    <s v="2019-09-11 08:42:03"/>
    <s v="https://n-7ndajzbjmzh6ng24opzqo36guykgimt2ontr6eq-0lu-script.googleusercontent.com/userCodeAppPanel"/>
    <x v="0"/>
    <n v="1"/>
    <n v="1"/>
    <n v="1"/>
    <n v="0.875"/>
    <n v="3"/>
    <n v="21"/>
    <n v="14.179666666666666"/>
    <n v="11.993166666666665"/>
    <n v="0.95454545454545459"/>
    <n v="1.6666666666666667"/>
    <n v="3"/>
    <s v="5d7134d0670bec0016d5b695"/>
    <n v="2"/>
    <n v="2"/>
    <n v="1"/>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0"/>
    <s v="When the Z-score chart was originally brought up it was very easy to comprehend and locate nearly each account with it's frequent cluster, but an overlap could happen which made it harder to tell which chart the cluster would fit under."/>
    <m/>
    <n v="14.179666666666666"/>
    <n v="850.78"/>
    <n v="7.93"/>
    <m/>
    <n v="34.74"/>
    <m/>
    <m/>
    <m/>
    <m/>
    <n v="378.69"/>
    <m/>
    <m/>
    <m/>
    <m/>
    <m/>
    <m/>
    <n v="209.57"/>
    <m/>
    <m/>
    <m/>
    <m/>
    <m/>
    <m/>
    <m/>
    <m/>
    <n v="131.33000000000001"/>
    <m/>
    <m/>
    <m/>
    <m/>
    <m/>
    <m/>
    <m/>
    <m/>
    <n v="88.52"/>
    <m/>
    <m/>
    <m/>
    <m/>
    <n v="6.3114999999999997"/>
    <n v="3.492833333333333"/>
    <n v="2.1888333333333336"/>
  </r>
  <r>
    <x v="1"/>
    <x v="1"/>
    <n v="87"/>
    <s v="2019-09-11 08:42:54"/>
    <n v="6"/>
    <s v="en"/>
    <n v="151198515"/>
    <s v="2019-09-11 08:28:02"/>
    <s v="2019-09-11 08:42:54"/>
    <s v="https://n-7ndajzbjmzh6ng24opzqo36guykgimt2ontr6eq-0lu-script.googleusercontent.com/blank"/>
    <x v="0"/>
    <n v="1"/>
    <n v="1"/>
    <n v="0.625"/>
    <n v="0.625"/>
    <n v="2"/>
    <n v="16"/>
    <n v="14.915333333333333"/>
    <n v="13.180666666666667"/>
    <n v="0.72727272727272729"/>
    <n v="1.3333333333333333"/>
    <n v="3"/>
    <s v="5cb25b29eb56e10001c0b442"/>
    <n v="2"/>
    <n v="1"/>
    <n v="1"/>
    <n v="5"/>
    <s v="Democrats"/>
    <s v="Republicans"/>
    <s v="Donald Trump"/>
    <s v="Cluster 3"/>
    <s v="Cluster 5"/>
    <s v="Cluster 1"/>
    <s v="Cluster 0"/>
    <s v="Cluster 2"/>
    <s v="Cluster 4"/>
    <s v="love, heart, thing"/>
    <s v="black, police, white"/>
    <s v="death"/>
    <s v="trump"/>
    <s v="Cluster 3"/>
    <s v="Cluster 1"/>
    <s v="accounts that tweet about news stories"/>
    <s v="accounts that tweet about American presidents"/>
    <s v="True"/>
    <s v="True"/>
    <s v="False"/>
    <s v="False"/>
    <s v="False"/>
    <s v="False"/>
    <s v="True"/>
    <s v="False"/>
    <x v="2"/>
    <s v="They are easy to understand as long as they are there for reference."/>
    <m/>
    <n v="14.915333333333333"/>
    <n v="894.92"/>
    <n v="5.92"/>
    <m/>
    <n v="40.19"/>
    <m/>
    <m/>
    <m/>
    <m/>
    <n v="361.01"/>
    <m/>
    <m/>
    <m/>
    <m/>
    <m/>
    <m/>
    <n v="303.55"/>
    <m/>
    <m/>
    <m/>
    <m/>
    <m/>
    <m/>
    <m/>
    <m/>
    <n v="126.28"/>
    <m/>
    <m/>
    <m/>
    <m/>
    <m/>
    <m/>
    <m/>
    <m/>
    <n v="57.97"/>
    <m/>
    <m/>
    <m/>
    <m/>
    <n v="6.0168333333333335"/>
    <n v="5.059166666666667"/>
    <n v="2.1046666666666667"/>
  </r>
  <r>
    <x v="1"/>
    <x v="1"/>
    <n v="88"/>
    <s v="2019-09-11 08:31:00"/>
    <n v="6"/>
    <s v="en"/>
    <n v="1199323383"/>
    <s v="2019-09-11 08:28:04"/>
    <s v="2019-09-11 08:31:00"/>
    <s v="https://n-7ndajzbjmzh6ng24opzqo36guykgimt2ontr6eq-1lu-script.googleusercontent.com/userCodeAppPanel"/>
    <x v="0"/>
    <n v="1"/>
    <n v="0.5"/>
    <n v="0.125"/>
    <n v="0.625"/>
    <n v="1"/>
    <n v="9"/>
    <n v="2.9738333333333333"/>
    <n v="2.4485000000000001"/>
    <n v="0.40909090909090912"/>
    <n v="5.333333333333333"/>
    <n v="3"/>
    <s v="5d59046cb8398c001abb6822"/>
    <n v="3"/>
    <n v="8"/>
    <n v="5"/>
    <n v="6"/>
    <s v="Democrats"/>
    <s v="Republicans"/>
    <s v="Donald Trump"/>
    <s v="Cluster 3"/>
    <s v="Cluster 2"/>
    <s v="Cluster 4"/>
    <s v="Cluster 5"/>
    <s v="Cluster 2"/>
    <s v="Cluster 4"/>
    <s v="black, police, white"/>
    <s v="love, heart, thing"/>
    <s v="news"/>
    <s v="new"/>
    <s v="Cluster 4"/>
    <s v="Cluster 2"/>
    <s v="accounts that tweet about Donald Trump"/>
    <s v="accounts that tweet about crime"/>
    <s v="True"/>
    <s v="True"/>
    <s v="False"/>
    <s v="True"/>
    <s v="True"/>
    <s v="False"/>
    <s v="True"/>
    <s v="False"/>
    <x v="3"/>
    <s v="Easy"/>
    <m/>
    <n v="2.9738333333333333"/>
    <n v="178.43"/>
    <n v="5.86"/>
    <m/>
    <n v="15.51"/>
    <m/>
    <m/>
    <m/>
    <m/>
    <n v="42.34"/>
    <m/>
    <m/>
    <m/>
    <m/>
    <m/>
    <m/>
    <n v="50.05"/>
    <m/>
    <m/>
    <m/>
    <m/>
    <m/>
    <m/>
    <m/>
    <m/>
    <n v="54.52"/>
    <m/>
    <m/>
    <m/>
    <m/>
    <m/>
    <m/>
    <m/>
    <m/>
    <n v="10.15"/>
    <m/>
    <m/>
    <m/>
    <m/>
    <n v="0.70566666666666678"/>
    <n v="0.83416666666666661"/>
    <n v="0.90866666666666673"/>
  </r>
  <r>
    <x v="1"/>
    <x v="1"/>
    <n v="89"/>
    <s v="2019-09-11 08:38:43"/>
    <n v="6"/>
    <s v="en"/>
    <n v="180697425"/>
    <s v="2019-09-11 08:28:16"/>
    <s v="2019-09-11 08:38:43"/>
    <s v="https://n-7ndajzbjmzh6ng24opzqo36guykgimt2ontr6eq-0lu-script.googleusercontent.com/userCodeAppPanel"/>
    <x v="0"/>
    <n v="1"/>
    <n v="0.66666666666666663"/>
    <n v="0.75"/>
    <n v="0.625"/>
    <n v="3"/>
    <n v="15"/>
    <n v="10.497666666666667"/>
    <n v="8.9791666666666661"/>
    <n v="0.68181818181818177"/>
    <n v="1"/>
    <n v="3"/>
    <s v="5bdbf5ee55beac00014a82ea"/>
    <n v="1"/>
    <n v="1"/>
    <n v="1"/>
    <n v="1"/>
    <s v="Democrats"/>
    <s v="Republicans"/>
    <s v="Donald Trump"/>
    <s v="Cluster 3"/>
    <s v="Cluster 1"/>
    <s v="Cluster 1"/>
    <s v="Cluster 0"/>
    <s v="Cluster 5"/>
    <s v="Cluster 4"/>
    <s v="love, heart, thing"/>
    <s v="black, police, white"/>
    <s v="police"/>
    <s v="trump"/>
    <s v="Cluster 3"/>
    <s v="Cluster 5"/>
    <s v="accounts that tweet about news stories"/>
    <s v="accounts that tweet about American presidents"/>
    <s v="True"/>
    <s v="True"/>
    <s v="True"/>
    <s v="False"/>
    <s v="False"/>
    <s v="True"/>
    <s v="True"/>
    <s v="False"/>
    <x v="0"/>
    <s v="I would have preferred a vertical representation as easier to see negative scores."/>
    <m/>
    <n v="10.497666666666667"/>
    <n v="629.86"/>
    <n v="5.38"/>
    <m/>
    <n v="25.98"/>
    <m/>
    <m/>
    <m/>
    <m/>
    <n v="244.75"/>
    <m/>
    <m/>
    <m/>
    <m/>
    <m/>
    <m/>
    <n v="161.56"/>
    <m/>
    <m/>
    <m/>
    <m/>
    <m/>
    <m/>
    <m/>
    <m/>
    <n v="132.44"/>
    <m/>
    <m/>
    <m/>
    <m/>
    <m/>
    <m/>
    <m/>
    <m/>
    <n v="59.75"/>
    <m/>
    <m/>
    <m/>
    <m/>
    <n v="4.0791666666666666"/>
    <n v="2.6926666666666668"/>
    <n v="2.2073333333333331"/>
  </r>
  <r>
    <x v="1"/>
    <x v="1"/>
    <n v="90"/>
    <s v="2019-09-11 08:44:55"/>
    <n v="6"/>
    <s v="en"/>
    <n v="1328801885"/>
    <s v="2019-09-11 08:28:18"/>
    <s v="2019-09-11 08:44:55"/>
    <m/>
    <x v="0"/>
    <n v="1"/>
    <n v="0.83333333333333337"/>
    <n v="0.875"/>
    <n v="0.625"/>
    <n v="3"/>
    <n v="17"/>
    <n v="16.659500000000001"/>
    <n v="15.331166666666668"/>
    <n v="0.77272727272727271"/>
    <n v="5"/>
    <n v="3"/>
    <s v="5c8974ef34daa70015e92daf"/>
    <n v="4"/>
    <n v="5"/>
    <n v="6"/>
    <n v="4"/>
    <s v="Democrats"/>
    <s v="Republicans"/>
    <s v="Donald Trump"/>
    <s v="Cluster 3"/>
    <s v="Cluster 5"/>
    <s v="Cluster 1"/>
    <s v="Cluster 0"/>
    <s v="Cluster 1"/>
    <s v="Cluster 4"/>
    <s v="love, heart, thing"/>
    <s v="black, police, white"/>
    <s v="news"/>
    <s v="trump"/>
    <s v="Cluster 3"/>
    <s v="Cluster 5"/>
    <s v="accounts that tweet about news stories"/>
    <s v="accounts that tweet about American presidents"/>
    <s v="True"/>
    <s v="True"/>
    <s v="True"/>
    <s v="False"/>
    <s v="False"/>
    <s v="True"/>
    <s v="True"/>
    <s v="False"/>
    <x v="0"/>
    <s v="They are comprehensible, but I think there might be a better way"/>
    <m/>
    <n v="16.659500000000001"/>
    <n v="999.57"/>
    <n v="9.01"/>
    <m/>
    <n v="27.57"/>
    <m/>
    <m/>
    <m/>
    <m/>
    <n v="574.9"/>
    <m/>
    <m/>
    <m/>
    <m/>
    <m/>
    <m/>
    <n v="180.89"/>
    <m/>
    <m/>
    <m/>
    <m/>
    <m/>
    <m/>
    <m/>
    <m/>
    <n v="164.08"/>
    <m/>
    <m/>
    <m/>
    <m/>
    <m/>
    <m/>
    <m/>
    <m/>
    <n v="43.12"/>
    <m/>
    <m/>
    <m/>
    <m/>
    <n v="9.581666666666667"/>
    <n v="3.0148333333333333"/>
    <n v="2.734666666666667"/>
  </r>
  <r>
    <x v="1"/>
    <x v="1"/>
    <n v="91"/>
    <s v="2019-09-11 08:47:29"/>
    <n v="6"/>
    <s v="en"/>
    <n v="2072092292"/>
    <s v="2019-09-11 08:28:42"/>
    <s v="2019-09-11 08:47:29"/>
    <s v="https://n-7ndajzbjmzh6ng24opzqo36guykgimt2ontr6eq-0lu-script.googleusercontent.com/userCodeAppPanel"/>
    <x v="0"/>
    <n v="1"/>
    <n v="0.5"/>
    <n v="0.625"/>
    <n v="0.75"/>
    <n v="3"/>
    <n v="14"/>
    <n v="18.81433333333333"/>
    <n v="12.313333333333333"/>
    <n v="0.63636363636363635"/>
    <n v="5"/>
    <n v="3"/>
    <s v="5d60d2bb8ae0bc001abbeeec"/>
    <n v="5"/>
    <n v="4"/>
    <n v="6"/>
    <n v="4"/>
    <s v="Democrats"/>
    <s v="Republicans"/>
    <s v="Donald Trump"/>
    <s v="Cluster 3"/>
    <s v="Cluster 2"/>
    <s v="Cluster 1"/>
    <s v="Cluster 0"/>
    <s v="Cluster 1"/>
    <s v="Cluster 1"/>
    <s v="love, heart, thing"/>
    <s v="black, police, white"/>
    <s v="police"/>
    <s v="trump"/>
    <s v="Cluster 3"/>
    <s v="Cluster 5"/>
    <s v="accounts that tweet about news stories"/>
    <s v="accounts that tweet about crime"/>
    <s v="True"/>
    <s v="True"/>
    <s v="False"/>
    <s v="False"/>
    <s v="True"/>
    <s v="False"/>
    <s v="True"/>
    <s v="False"/>
    <x v="0"/>
    <s v="It's all statistics."/>
    <m/>
    <n v="18.81433333333333"/>
    <n v="1128.8599999999999"/>
    <n v="13.52"/>
    <m/>
    <n v="207.49"/>
    <m/>
    <m/>
    <m/>
    <m/>
    <n v="381.14"/>
    <m/>
    <m/>
    <m/>
    <m/>
    <m/>
    <m/>
    <n v="213.99"/>
    <m/>
    <m/>
    <m/>
    <m/>
    <m/>
    <m/>
    <m/>
    <m/>
    <n v="143.66999999999999"/>
    <m/>
    <m/>
    <m/>
    <m/>
    <m/>
    <m/>
    <m/>
    <m/>
    <n v="169.05"/>
    <m/>
    <m/>
    <m/>
    <m/>
    <n v="6.3523333333333332"/>
    <n v="3.5665"/>
    <n v="2.3944999999999999"/>
  </r>
  <r>
    <x v="1"/>
    <x v="1"/>
    <n v="92"/>
    <s v="2019-09-11 08:45:42"/>
    <n v="6"/>
    <s v="en"/>
    <n v="1224860188"/>
    <s v="2019-09-11 08:28:46"/>
    <s v="2019-09-11 08:45:42"/>
    <s v="https://n-7ndajzbjmzh6ng24opzqo36guykgimt2ontr6eq-0lu-script.googleusercontent.com/userCodeAppPanel"/>
    <x v="0"/>
    <n v="1"/>
    <n v="0.66666666666666663"/>
    <n v="0.875"/>
    <n v="0.75"/>
    <n v="3"/>
    <n v="17"/>
    <n v="16.987000000000002"/>
    <n v="15.526333333333334"/>
    <n v="0.77272727272727271"/>
    <n v="4.333333333333333"/>
    <n v="3"/>
    <s v="571b3de05d40840013c49f3a"/>
    <n v="6"/>
    <n v="4"/>
    <n v="3"/>
    <n v="7"/>
    <s v="Democrats"/>
    <s v="Republicans"/>
    <s v="Donald Trump"/>
    <s v="Cluster 3"/>
    <s v="Cluster 5"/>
    <s v="Cluster 1"/>
    <s v="Cluster 0"/>
    <s v="Cluster 5"/>
    <s v="Cluster 2"/>
    <s v="love, heart, thing"/>
    <s v="black, police, white"/>
    <s v="news"/>
    <s v="trump"/>
    <s v="Cluster 3"/>
    <s v="Cluster 5"/>
    <s v="accounts that tweet about news stories"/>
    <s v="accounts that tweet about American presidents"/>
    <s v="True"/>
    <s v="True"/>
    <s v="True"/>
    <s v="False"/>
    <s v="False"/>
    <s v="False"/>
    <s v="True"/>
    <s v="False"/>
    <x v="0"/>
    <s v="A little complicated when reading the description but generally appears easy enough to group clusters"/>
    <m/>
    <n v="16.987000000000002"/>
    <n v="1019.22"/>
    <n v="8.07"/>
    <m/>
    <n v="46.95"/>
    <m/>
    <m/>
    <m/>
    <m/>
    <n v="590.58000000000004"/>
    <m/>
    <m/>
    <m/>
    <m/>
    <m/>
    <m/>
    <n v="224.4"/>
    <m/>
    <m/>
    <m/>
    <m/>
    <m/>
    <m/>
    <m/>
    <m/>
    <n v="116.6"/>
    <m/>
    <m/>
    <m/>
    <m/>
    <m/>
    <m/>
    <m/>
    <m/>
    <n v="32.619999999999997"/>
    <m/>
    <m/>
    <m/>
    <m/>
    <n v="9.843"/>
    <n v="3.74"/>
    <n v="1.9433333333333331"/>
  </r>
  <r>
    <x v="1"/>
    <x v="1"/>
    <n v="93"/>
    <s v="2019-09-11 08:55:27"/>
    <n v="6"/>
    <s v="en"/>
    <n v="1758365413"/>
    <s v="2019-09-11 08:28:54"/>
    <s v="2019-09-11 08:55:27"/>
    <s v="https://n-7ndajzbjmzh6ng24opzqo36guykgimt2ontr6eq-0lu-script.googleusercontent.com/userCodeAppPanel"/>
    <x v="0"/>
    <n v="1"/>
    <n v="1"/>
    <n v="1"/>
    <n v="0.625"/>
    <n v="1"/>
    <n v="19"/>
    <n v="26.580333333333332"/>
    <n v="24.511833333333332"/>
    <n v="0.86363636363636365"/>
    <n v="1"/>
    <n v="3"/>
    <s v="5d49edc1b1b6770016498a4e"/>
    <n v="1"/>
    <n v="1"/>
    <n v="1"/>
    <n v="3"/>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True"/>
    <s v="False"/>
    <s v="False"/>
    <s v="False"/>
    <s v="False"/>
    <s v="True"/>
    <s v="False"/>
    <x v="3"/>
    <s v="I had no problem understanding the data."/>
    <m/>
    <n v="26.580333333333332"/>
    <n v="1594.82"/>
    <n v="17.260000000000002"/>
    <m/>
    <n v="46.75"/>
    <m/>
    <m/>
    <m/>
    <m/>
    <n v="850.14"/>
    <m/>
    <m/>
    <m/>
    <m/>
    <m/>
    <m/>
    <n v="425.14"/>
    <m/>
    <m/>
    <m/>
    <m/>
    <m/>
    <m/>
    <m/>
    <m/>
    <n v="195.43"/>
    <m/>
    <m/>
    <m/>
    <m/>
    <m/>
    <m/>
    <m/>
    <m/>
    <n v="60.1"/>
    <m/>
    <m/>
    <m/>
    <m/>
    <n v="14.169"/>
    <n v="7.0856666666666666"/>
    <n v="3.257166666666667"/>
  </r>
  <r>
    <x v="1"/>
    <x v="1"/>
    <n v="94"/>
    <s v="2019-09-11 08:37:18"/>
    <n v="6"/>
    <s v="en"/>
    <n v="901619953"/>
    <s v="2019-09-11 08:29:26"/>
    <s v="2019-09-11 08:37:18"/>
    <s v="https://n-7ndajzbjmzh6ng24opzqo36guykgimt2ontr6eq-0lu-script.googleusercontent.com/userCodeAppPanel"/>
    <x v="0"/>
    <n v="1"/>
    <n v="0.66666666666666663"/>
    <n v="1"/>
    <n v="0.75"/>
    <n v="3"/>
    <n v="18"/>
    <n v="7.9169999999999998"/>
    <n v="6.4301666666666666"/>
    <n v="0.81818181818181823"/>
    <n v="1"/>
    <n v="3"/>
    <s v="5d4523425c4d1a000104f55a"/>
    <n v="1"/>
    <n v="1"/>
    <n v="1"/>
    <n v="6"/>
    <s v="Democrats"/>
    <s v="Republicans"/>
    <s v="Donald Trump"/>
    <s v="Cluster 3"/>
    <s v="Cluster 5"/>
    <s v="Cluster 4"/>
    <s v="Cluster 0"/>
    <s v="Cluster 1"/>
    <s v="Cluster 4"/>
    <s v="love, heart, thing"/>
    <s v="black, police, white"/>
    <s v="news"/>
    <s v="trump"/>
    <s v="Cluster 3"/>
    <s v="Cluster 5"/>
    <s v="accounts that tweet about crime"/>
    <s v="accounts that tweet about American presidents"/>
    <s v="True"/>
    <s v="True"/>
    <s v="True"/>
    <s v="False"/>
    <s v="False"/>
    <s v="False"/>
    <s v="True"/>
    <s v="False"/>
    <x v="0"/>
    <s v="I can somewhat understand that the length of the orange bars portray how much a certain word appears in a cluster of accounts' tweets and the blue bars vice-versa, but other than that I do not understand any other significance of the graphs."/>
    <m/>
    <n v="7.9169999999999998"/>
    <n v="475.02"/>
    <n v="5.33"/>
    <m/>
    <n v="19.77"/>
    <m/>
    <m/>
    <m/>
    <m/>
    <n v="182.44"/>
    <m/>
    <m/>
    <m/>
    <m/>
    <m/>
    <m/>
    <n v="117.81"/>
    <m/>
    <m/>
    <m/>
    <m/>
    <m/>
    <m/>
    <m/>
    <m/>
    <n v="85.56"/>
    <m/>
    <m/>
    <m/>
    <m/>
    <m/>
    <m/>
    <m/>
    <m/>
    <n v="64.11"/>
    <m/>
    <m/>
    <m/>
    <m/>
    <n v="3.0406666666666666"/>
    <n v="1.9635"/>
    <n v="1.4259999999999999"/>
  </r>
  <r>
    <x v="1"/>
    <x v="1"/>
    <n v="95"/>
    <s v="2019-09-11 08:52:14"/>
    <n v="6"/>
    <s v="en"/>
    <n v="1156095846"/>
    <s v="2019-09-11 08:32:02"/>
    <s v="2019-09-11 08:52:14"/>
    <s v="https://n-7ndajzbjmzh6ng24opzqo36guykgimt2ontr6eq-0lu-script.googleusercontent.com/userCodeAppPanel"/>
    <x v="0"/>
    <n v="1"/>
    <n v="1"/>
    <n v="0.875"/>
    <n v="0.75"/>
    <n v="4"/>
    <n v="19"/>
    <n v="20.257333333333335"/>
    <n v="17.606499999999997"/>
    <n v="0.86363636363636365"/>
    <n v="5"/>
    <n v="3"/>
    <s v="593b9110048d06000182f1b1"/>
    <n v="6"/>
    <n v="5"/>
    <n v="4"/>
    <n v="5"/>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False"/>
    <s v="False"/>
    <s v="False"/>
    <s v="False"/>
    <s v="True"/>
    <s v="False"/>
    <x v="1"/>
    <s v="While I understand that the upper bars in orange are words more often used, and the bottom bars in blue are less used, some of the rest of the aspects of Z-score charts are a bit odd to comprehend without any prior experience to seeing this type of chart"/>
    <m/>
    <n v="20.257333333333335"/>
    <n v="1215.44"/>
    <n v="6.55"/>
    <m/>
    <n v="66.64"/>
    <m/>
    <m/>
    <m/>
    <m/>
    <n v="768.55"/>
    <m/>
    <m/>
    <m/>
    <m/>
    <m/>
    <m/>
    <n v="188.51"/>
    <m/>
    <m/>
    <m/>
    <m/>
    <m/>
    <m/>
    <m/>
    <m/>
    <n v="99.33"/>
    <m/>
    <m/>
    <m/>
    <m/>
    <m/>
    <m/>
    <m/>
    <m/>
    <n v="85.86"/>
    <m/>
    <m/>
    <m/>
    <m/>
    <n v="12.809166666666666"/>
    <n v="3.141833333333333"/>
    <n v="1.6555"/>
  </r>
  <r>
    <x v="1"/>
    <x v="1"/>
    <n v="96"/>
    <s v="2019-09-11 08:54:39"/>
    <n v="6"/>
    <s v="en"/>
    <n v="1168574645"/>
    <s v="2019-09-11 08:32:32"/>
    <s v="2019-09-11 08:54:39"/>
    <s v="https://n-7ndajzbjmzh6ng24opzqo36guykgimt2ontr6eq-0lu-script.googleusercontent.com/userCodeAppPanel"/>
    <x v="0"/>
    <n v="1"/>
    <n v="0.5"/>
    <n v="1"/>
    <n v="0.375"/>
    <n v="4"/>
    <n v="14"/>
    <n v="22.159666666666666"/>
    <n v="17.829333333333338"/>
    <n v="0.63636363636363635"/>
    <n v="1.3333333333333333"/>
    <n v="3"/>
    <s v="5d3f60334cca8f0017b5bec1"/>
    <n v="1"/>
    <n v="1"/>
    <n v="2"/>
    <n v="7"/>
    <s v="Democrats"/>
    <s v="Republicans"/>
    <s v="Donald Trump"/>
    <s v="Cluster 3"/>
    <s v="Cluster 1"/>
    <s v="Cluster 1"/>
    <s v="Cluster 0"/>
    <s v="Cluster 1"/>
    <s v="Cluster 5"/>
    <s v="love, heart, thing"/>
    <s v="black, police, white"/>
    <s v="news"/>
    <s v="trump"/>
    <s v="Cluster 3"/>
    <s v="Cluster 5"/>
    <s v="accounts that tweet about crime"/>
    <s v="accounts that tweet about American presidents"/>
    <s v="True"/>
    <s v="True"/>
    <s v="False"/>
    <s v="True"/>
    <s v="False"/>
    <s v="False"/>
    <s v="True"/>
    <s v="True"/>
    <x v="1"/>
    <s v="It took me this survey to understand that the Z-scores charted blue meant that in those clusters of tweets mentioning the orange that the blue appeared less than in the complete data set. It was incredibly difficult to understand what was asked of me in this survey and the explanations given were not that great. I have no idea if that was intentional or not. I feel as though I learned how to better understand the charts through the questions asked of me. I still don't feel entirely sure. So, I would have to say they are difficult to understand."/>
    <m/>
    <n v="22.159666666666666"/>
    <n v="1329.58"/>
    <n v="11.01"/>
    <m/>
    <n v="52.9"/>
    <m/>
    <m/>
    <m/>
    <m/>
    <n v="557.33000000000004"/>
    <m/>
    <m/>
    <m/>
    <m/>
    <m/>
    <m/>
    <n v="343.24"/>
    <m/>
    <m/>
    <m/>
    <m/>
    <m/>
    <m/>
    <m/>
    <m/>
    <n v="169.19"/>
    <m/>
    <m/>
    <m/>
    <m/>
    <m/>
    <m/>
    <m/>
    <m/>
    <n v="195.91"/>
    <m/>
    <m/>
    <m/>
    <m/>
    <n v="9.2888333333333346"/>
    <n v="5.7206666666666672"/>
    <n v="2.8198333333333334"/>
  </r>
  <r>
    <x v="0"/>
    <x v="2"/>
    <n v="17"/>
    <s v="2019-09-06 11:01:04"/>
    <n v="6"/>
    <s v="en"/>
    <n v="1396003103"/>
    <s v="2019-09-06 10:51:17"/>
    <s v="2019-09-06 11:01:04"/>
    <s v="https://n-7gn6f3ymqlyeypjitxev2qsjqakgimt2ontr6eq-0lu-script.googleusercontent.com/userCodeAppPanel"/>
    <x v="1"/>
    <n v="0.33333333333333331"/>
    <n v="0.83333333333333337"/>
    <n v="1"/>
    <n v="0.875"/>
    <n v="2"/>
    <n v="20"/>
    <n v="9.846166666666667"/>
    <n v="8.3136666666666663"/>
    <n v="0.90909090909090906"/>
    <n v="1.3333333333333333"/>
    <n v="3"/>
    <s v="5b92e90721e7200001f5374c"/>
    <n v="2"/>
    <n v="1"/>
    <n v="1"/>
    <n v="4"/>
    <s v="Republicans"/>
    <s v="Democrat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False"/>
    <s v="False"/>
    <s v="True"/>
    <s v="False"/>
    <x v="2"/>
    <s v="I found this very interesting and fairly easy to use. Not sure if my interpretation is correct though!"/>
    <m/>
    <n v="9.846166666666667"/>
    <n v="590.77"/>
    <n v="9.3699999999999992"/>
    <m/>
    <n v="38.770000000000003"/>
    <m/>
    <m/>
    <m/>
    <m/>
    <n v="238.53"/>
    <m/>
    <m/>
    <m/>
    <m/>
    <m/>
    <m/>
    <n v="145.34"/>
    <m/>
    <m/>
    <m/>
    <m/>
    <m/>
    <m/>
    <m/>
    <m/>
    <n v="114.95"/>
    <m/>
    <m/>
    <m/>
    <m/>
    <m/>
    <m/>
    <m/>
    <m/>
    <n v="43.81"/>
    <m/>
    <m/>
    <m/>
    <m/>
    <n v="3.9754999999999998"/>
    <n v="2.4223333333333334"/>
    <n v="1.9158333333333333"/>
  </r>
  <r>
    <x v="0"/>
    <x v="2"/>
    <n v="21"/>
    <s v="2019-09-06 11:15:25"/>
    <n v="6"/>
    <s v="en"/>
    <n v="1631842086"/>
    <s v="2019-09-06 10:58:16"/>
    <s v="2019-09-06 11:15:25"/>
    <s v="https://n-7gn6f3ymqlyeypjitxev2qsjqakgimt2ontr6eq-1lu-script.googleusercontent.com/userCodeAppPanel"/>
    <x v="1"/>
    <n v="0.33333333333333331"/>
    <n v="1"/>
    <n v="0.875"/>
    <n v="1"/>
    <n v="3"/>
    <n v="21"/>
    <n v="17.179500000000001"/>
    <n v="15.662666666666668"/>
    <n v="0.95454545454545459"/>
    <n v="1"/>
    <n v="3"/>
    <s v="5aec4aa14a52e5000167ca63"/>
    <n v="1"/>
    <n v="1"/>
    <n v="1"/>
    <n v="2"/>
    <s v="Republicans"/>
    <s v="Democrat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True"/>
    <s v="False"/>
    <s v="True"/>
    <s v="False"/>
    <s v="True"/>
    <s v="False"/>
    <x v="0"/>
    <s v="the most common used words are easier to spot"/>
    <m/>
    <n v="17.179500000000001"/>
    <n v="1030.77"/>
    <n v="6.99"/>
    <m/>
    <n v="35.44"/>
    <m/>
    <m/>
    <m/>
    <m/>
    <n v="583.69000000000005"/>
    <m/>
    <m/>
    <m/>
    <m/>
    <m/>
    <m/>
    <n v="206"/>
    <m/>
    <m/>
    <m/>
    <m/>
    <m/>
    <m/>
    <m/>
    <m/>
    <n v="150.07"/>
    <m/>
    <m/>
    <m/>
    <m/>
    <m/>
    <m/>
    <m/>
    <m/>
    <n v="48.58"/>
    <m/>
    <m/>
    <m/>
    <m/>
    <n v="9.7281666666666684"/>
    <n v="3.4333333333333331"/>
    <n v="2.5011666666666668"/>
  </r>
  <r>
    <x v="0"/>
    <x v="2"/>
    <n v="26"/>
    <s v="2019-09-06 11:19:36"/>
    <n v="6"/>
    <s v="en"/>
    <n v="1822139990"/>
    <s v="2019-09-06 11:04:35"/>
    <s v="2019-09-06 11:19:34"/>
    <s v="https://n-7gn6f3ymqlyeypjitxev2qsjqakgimt2ontr6eq-0lu-script.googleusercontent.com/blank"/>
    <x v="1"/>
    <n v="0.33333333333333331"/>
    <n v="0.66666666666666663"/>
    <n v="0.875"/>
    <n v="0.875"/>
    <n v="3"/>
    <n v="18"/>
    <n v="15.051166666666667"/>
    <n v="10.779166666666665"/>
    <n v="0.81818181818181823"/>
    <n v="4.333333333333333"/>
    <n v="3"/>
    <s v="5c8982afed17530001820d80"/>
    <n v="3"/>
    <n v="5"/>
    <n v="5"/>
    <n v="1"/>
    <s v="Republicans"/>
    <s v="Democrats"/>
    <s v="Donald Trump"/>
    <s v="Cluster 3"/>
    <s v="Cluster 5"/>
    <s v="Cluster 2"/>
    <s v="Cluster 0"/>
    <s v="Cluster 5"/>
    <s v="Cluster 4"/>
    <s v="love, heart, thing"/>
    <s v="black, police, white"/>
    <s v="news"/>
    <s v="trump"/>
    <s v="Cluster 3"/>
    <s v="Cluster 4"/>
    <s v="accounts that tweet about crime"/>
    <s v="accounts that tweet about American presidents"/>
    <s v="True"/>
    <s v="False"/>
    <s v="True"/>
    <s v="False"/>
    <s v="False"/>
    <s v="False"/>
    <s v="True"/>
    <s v="False"/>
    <x v="0"/>
    <s v="It's comprehensible and assumptions can be made easily but I fear that we have lost the context ."/>
    <m/>
    <n v="15.051166666666667"/>
    <n v="903.07"/>
    <n v="4.3"/>
    <m/>
    <n v="108.89"/>
    <m/>
    <m/>
    <m/>
    <m/>
    <n v="288.43"/>
    <m/>
    <m/>
    <m/>
    <m/>
    <m/>
    <m/>
    <n v="176.18"/>
    <m/>
    <m/>
    <m/>
    <m/>
    <m/>
    <m/>
    <m/>
    <m/>
    <n v="182.14"/>
    <m/>
    <m/>
    <m/>
    <m/>
    <m/>
    <m/>
    <m/>
    <m/>
    <n v="143.13"/>
    <m/>
    <m/>
    <m/>
    <m/>
    <n v="4.8071666666666664"/>
    <n v="2.9363333333333332"/>
    <n v="3.0356666666666663"/>
  </r>
  <r>
    <x v="0"/>
    <x v="2"/>
    <n v="28"/>
    <s v="2019-09-06 11:13:55"/>
    <n v="6"/>
    <s v="en"/>
    <n v="1972600175"/>
    <s v="2019-09-06 11:07:04"/>
    <s v="2019-09-06 11:13:55"/>
    <s v="https://n-7gn6f3ymqlyeypjitxev2qsjqakgimt2ontr6eq-0lu-script.googleusercontent.com/userCodeAppPanel"/>
    <x v="1"/>
    <n v="0.66666666666666663"/>
    <n v="0.66666666666666663"/>
    <n v="0.75"/>
    <n v="0.875"/>
    <n v="3"/>
    <n v="17"/>
    <n v="6.9133333333333331"/>
    <n v="5.0483333333333329"/>
    <n v="0.77272727272727271"/>
    <n v="1"/>
    <n v="3"/>
    <s v="5c5dadc66467ac0001b7fa53"/>
    <n v="1"/>
    <n v="1"/>
    <n v="1"/>
    <n v="3"/>
    <s v="Democrats"/>
    <s v="Democrats"/>
    <s v="Donald Trump"/>
    <s v="Cluster 3"/>
    <s v="Cluster 5"/>
    <s v="Cluster 1"/>
    <s v="Cluster 0"/>
    <s v="Cluster 5"/>
    <s v="Cluster 1"/>
    <s v="love, heart, thing"/>
    <s v="black, police, white"/>
    <s v="news"/>
    <s v="obama"/>
    <s v="Cluster 3"/>
    <s v="Cluster 5"/>
    <s v="accounts that tweet about crime"/>
    <s v="accounts that tweet about news stories"/>
    <s v="True"/>
    <s v="False"/>
    <s v="True"/>
    <s v="False"/>
    <s v="True"/>
    <s v="True"/>
    <s v="True"/>
    <s v="False"/>
    <x v="0"/>
    <s v="it is diverse, so can be confusing"/>
    <m/>
    <n v="6.9133333333333331"/>
    <n v="414.8"/>
    <n v="54.44"/>
    <m/>
    <n v="27.61"/>
    <m/>
    <m/>
    <m/>
    <m/>
    <n v="119.79"/>
    <m/>
    <m/>
    <m/>
    <m/>
    <m/>
    <m/>
    <n v="101.19"/>
    <m/>
    <m/>
    <m/>
    <m/>
    <m/>
    <m/>
    <m/>
    <m/>
    <n v="81.92"/>
    <m/>
    <m/>
    <m/>
    <m/>
    <m/>
    <m/>
    <m/>
    <m/>
    <n v="29.85"/>
    <m/>
    <m/>
    <m/>
    <m/>
    <n v="1.9965000000000002"/>
    <n v="1.6864999999999999"/>
    <n v="1.3653333333333333"/>
  </r>
  <r>
    <x v="0"/>
    <x v="2"/>
    <n v="11"/>
    <s v="2019-09-06 10:37:49"/>
    <n v="6"/>
    <s v="en"/>
    <n v="690725204"/>
    <s v="2019-09-06 10:21:34"/>
    <s v="2019-09-06 10:37:49"/>
    <s v="https://n-7gn6f3ymqlyeypjitxev2qsjqakgimt2ontr6eq-0lu-script.googleusercontent.com/userCodeAppPanel"/>
    <x v="0"/>
    <n v="1"/>
    <n v="0.83333333333333337"/>
    <n v="1"/>
    <n v="1"/>
    <n v="3"/>
    <n v="21"/>
    <n v="16.2745"/>
    <n v="12.423999999999999"/>
    <n v="0.95454545454545459"/>
    <n v="4"/>
    <n v="3"/>
    <s v="5cc5a2c5974731000119eafc"/>
    <n v="4"/>
    <n v="3"/>
    <n v="5"/>
    <n v="6"/>
    <s v="Democrats"/>
    <s v="Republican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True"/>
    <s v="False"/>
    <s v="True"/>
    <s v="False"/>
    <x v="0"/>
    <m/>
    <m/>
    <n v="16.2745"/>
    <n v="976.47"/>
    <n v="13.26"/>
    <m/>
    <n v="205.34"/>
    <m/>
    <m/>
    <m/>
    <m/>
    <n v="386.28"/>
    <m/>
    <m/>
    <m/>
    <m/>
    <m/>
    <m/>
    <n v="215.18"/>
    <m/>
    <m/>
    <m/>
    <m/>
    <m/>
    <m/>
    <m/>
    <m/>
    <n v="143.97999999999999"/>
    <m/>
    <m/>
    <m/>
    <m/>
    <m/>
    <m/>
    <m/>
    <m/>
    <n v="12.43"/>
    <m/>
    <m/>
    <m/>
    <m/>
    <n v="6.4379999999999997"/>
    <n v="3.5863333333333336"/>
    <n v="2.3996666666666666"/>
  </r>
  <r>
    <x v="0"/>
    <x v="2"/>
    <n v="12"/>
    <s v="2019-09-06 10:42:41"/>
    <n v="6"/>
    <s v="en"/>
    <n v="1851310758"/>
    <s v="2019-09-06 10:32:39"/>
    <s v="2019-09-06 10:42:41"/>
    <s v="https://n-7gn6f3ymqlyeypjitxev2qsjqakgimt2ontr6eq-0lu-script.googleusercontent.com/userCodeAppPanel"/>
    <x v="0"/>
    <n v="1"/>
    <n v="0.83333333333333337"/>
    <n v="1"/>
    <n v="0.875"/>
    <n v="3"/>
    <n v="20"/>
    <n v="10.065333333333333"/>
    <n v="8.7526666666666664"/>
    <n v="0.90909090909090906"/>
    <n v="5.666666666666667"/>
    <n v="3"/>
    <s v="575d94abef120200067e5e5a"/>
    <n v="5"/>
    <n v="4"/>
    <n v="8"/>
    <n v="4"/>
    <s v="Democrats"/>
    <s v="Republican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False"/>
    <s v="False"/>
    <s v="True"/>
    <s v="False"/>
    <x v="0"/>
    <s v="Some were clearer than others. Cluster 2 was very generic and hard to see the relationship between the words"/>
    <m/>
    <n v="10.065333333333333"/>
    <n v="603.91999999999996"/>
    <n v="6.07"/>
    <m/>
    <n v="32.020000000000003"/>
    <m/>
    <m/>
    <m/>
    <m/>
    <n v="277.26"/>
    <m/>
    <m/>
    <m/>
    <m/>
    <m/>
    <m/>
    <n v="156.27000000000001"/>
    <m/>
    <m/>
    <m/>
    <m/>
    <m/>
    <m/>
    <m/>
    <m/>
    <n v="91.63"/>
    <m/>
    <m/>
    <m/>
    <m/>
    <m/>
    <m/>
    <m/>
    <m/>
    <n v="40.67"/>
    <m/>
    <m/>
    <m/>
    <m/>
    <n v="4.6209999999999996"/>
    <n v="2.6045000000000003"/>
    <n v="1.5271666666666666"/>
  </r>
  <r>
    <x v="0"/>
    <x v="2"/>
    <n v="13"/>
    <s v="2019-09-06 10:56:52"/>
    <n v="6"/>
    <s v="en"/>
    <n v="1262006069"/>
    <s v="2019-09-06 10:42:16"/>
    <s v="2019-09-06 10:56:52"/>
    <s v="https://n-7gn6f3ymqlyeypjitxev2qsjqakgimt2ontr6eq-0lu-script.googleusercontent.com/userCodeAppPanel"/>
    <x v="0"/>
    <n v="1"/>
    <n v="0.5"/>
    <n v="0.5"/>
    <n v="0.875"/>
    <n v="4"/>
    <n v="14"/>
    <n v="14.6555"/>
    <n v="13.405833333333334"/>
    <n v="0.63636363636363635"/>
    <n v="1"/>
    <n v="3"/>
    <s v="5c97730c25e64c0015118482"/>
    <n v="1"/>
    <n v="1"/>
    <n v="1"/>
    <n v="5"/>
    <s v="Democrats"/>
    <s v="Republicans"/>
    <s v="Donald Trump"/>
    <s v="Cluster 3"/>
    <s v="Cluster 5"/>
    <s v="Cluster 4"/>
    <s v="Cluster 0"/>
    <s v="Cluster 5"/>
    <s v="Cluster 1"/>
    <s v="love, heart, thing"/>
    <s v="black, police, white"/>
    <s v="black"/>
    <s v="obama"/>
    <s v="Cluster 3"/>
    <s v="Cluster 5"/>
    <s v="accounts that tweet about news stories"/>
    <s v="accounts that tweet about crime"/>
    <s v="True"/>
    <s v="False"/>
    <s v="True"/>
    <s v="False"/>
    <s v="False"/>
    <s v="False"/>
    <s v="True"/>
    <s v="False"/>
    <x v="1"/>
    <s v="Difficult to understand"/>
    <m/>
    <n v="14.6555"/>
    <n v="879.33"/>
    <n v="5.3"/>
    <m/>
    <n v="43.36"/>
    <m/>
    <m/>
    <m/>
    <m/>
    <n v="419.75"/>
    <m/>
    <m/>
    <m/>
    <m/>
    <m/>
    <m/>
    <n v="229.96"/>
    <m/>
    <m/>
    <m/>
    <m/>
    <m/>
    <m/>
    <m/>
    <m/>
    <n v="154.63999999999999"/>
    <m/>
    <m/>
    <m/>
    <m/>
    <m/>
    <m/>
    <m/>
    <m/>
    <n v="26.32"/>
    <m/>
    <m/>
    <m/>
    <m/>
    <n v="6.9958333333333336"/>
    <n v="3.8326666666666669"/>
    <n v="2.5773333333333333"/>
  </r>
  <r>
    <x v="0"/>
    <x v="2"/>
    <n v="14"/>
    <s v="2019-09-06 10:58:47"/>
    <n v="6"/>
    <s v="en"/>
    <n v="1650433702"/>
    <s v="2019-09-06 10:43:52"/>
    <s v="2019-09-06 10:58:47"/>
    <s v="https://n-7gn6f3ymqlyeypjitxev2qsjqakgimt2ontr6eq-0lu-script.googleusercontent.com/userCodeAppPanel"/>
    <x v="0"/>
    <n v="1"/>
    <n v="1"/>
    <n v="0.375"/>
    <n v="0.5"/>
    <n v="2"/>
    <n v="13"/>
    <n v="14.967333333333332"/>
    <n v="12.571833333333334"/>
    <n v="0.59090909090909094"/>
    <n v="1"/>
    <n v="3"/>
    <s v="5c0974db5b283a0001c8a32b"/>
    <n v="1"/>
    <n v="1"/>
    <n v="1"/>
    <n v="3"/>
    <s v="Democrats"/>
    <s v="Republicans"/>
    <s v="Donald Trump"/>
    <s v="Cluster 3"/>
    <s v="Cluster 5"/>
    <s v="Cluster 1"/>
    <s v="Cluster 0"/>
    <s v="Cluster 2"/>
    <s v="Cluster 4"/>
    <s v="love, heart, thing"/>
    <s v="black, police, white"/>
    <s v="death"/>
    <s v="look"/>
    <s v="Cluster 1"/>
    <s v="Cluster 5"/>
    <s v="accounts that tweet about news stories"/>
    <s v="accounts that tweet about crime"/>
    <s v="True"/>
    <s v="True"/>
    <s v="True"/>
    <s v="True"/>
    <s v="True"/>
    <s v="True"/>
    <s v="False"/>
    <s v="False"/>
    <x v="2"/>
    <s v="Easy to comprehend and summarise the categories."/>
    <m/>
    <n v="14.967333333333332"/>
    <n v="898.04"/>
    <n v="6.13"/>
    <m/>
    <n v="91.81"/>
    <m/>
    <m/>
    <m/>
    <m/>
    <n v="409.32"/>
    <m/>
    <m/>
    <m/>
    <m/>
    <m/>
    <m/>
    <n v="245.56"/>
    <m/>
    <m/>
    <m/>
    <m/>
    <m/>
    <m/>
    <m/>
    <m/>
    <n v="99.43"/>
    <m/>
    <m/>
    <m/>
    <m/>
    <m/>
    <m/>
    <m/>
    <m/>
    <n v="45.79"/>
    <m/>
    <m/>
    <m/>
    <m/>
    <n v="6.8220000000000001"/>
    <n v="4.0926666666666671"/>
    <n v="1.6571666666666667"/>
  </r>
  <r>
    <x v="2"/>
    <x v="2"/>
    <n v="48"/>
    <s v="2019-09-10 12:54:02"/>
    <n v="6"/>
    <s v="en"/>
    <n v="881037291"/>
    <s v="2019-09-10 12:41:00"/>
    <s v="2019-09-10 12:54:02"/>
    <s v="https://n-7ndajzbjmzh6ng24opzqo36guykgimt2ontr6eq-0lu-script.googleusercontent.com/userCodeAppPanel"/>
    <x v="1"/>
    <n v="0.33333333333333331"/>
    <n v="0.33333333333333331"/>
    <n v="0.625"/>
    <n v="0.75"/>
    <n v="3"/>
    <n v="13"/>
    <n v="13.078666666666667"/>
    <n v="11.417333333333332"/>
    <n v="0.59090909090909094"/>
    <n v="5.666666666666667"/>
    <n v="3"/>
    <s v="5bc14d94372ca60001cd6678"/>
    <n v="6"/>
    <n v="5"/>
    <n v="6"/>
    <n v="8"/>
    <s v="Republicans"/>
    <s v="Democrats"/>
    <s v="Donald Trump"/>
    <s v="Cluster 3"/>
    <s v="Cluster 1"/>
    <s v="Cluster 4"/>
    <s v="Cluster 0"/>
    <s v="Cluster 5"/>
    <s v="Cluster 1"/>
    <s v="love, heart, thing"/>
    <s v="black, police, white"/>
    <s v="news"/>
    <s v="look"/>
    <s v="Cluster 3"/>
    <s v="Cluster 5"/>
    <s v="accounts that tweet about news stories"/>
    <s v="accounts that tweet about Donald Trump"/>
    <s v="True"/>
    <s v="False"/>
    <s v="True"/>
    <s v="True"/>
    <s v="True"/>
    <s v="False"/>
    <s v="True"/>
    <s v="True"/>
    <x v="0"/>
    <s v="Details ."/>
    <m/>
    <n v="13.078666666666667"/>
    <n v="784.72"/>
    <n v="5.97"/>
    <m/>
    <n v="55.15"/>
    <m/>
    <m/>
    <m/>
    <m/>
    <n v="292.39999999999998"/>
    <m/>
    <m/>
    <m/>
    <m/>
    <m/>
    <m/>
    <n v="283.76"/>
    <m/>
    <m/>
    <m/>
    <m/>
    <m/>
    <m/>
    <m/>
    <m/>
    <n v="108.88"/>
    <m/>
    <m/>
    <m/>
    <m/>
    <m/>
    <m/>
    <m/>
    <m/>
    <n v="38.56"/>
    <m/>
    <m/>
    <m/>
    <m/>
    <n v="4.8733333333333331"/>
    <n v="4.7293333333333329"/>
    <n v="1.8146666666666667"/>
  </r>
  <r>
    <x v="0"/>
    <x v="2"/>
    <n v="16"/>
    <s v="2019-09-06 11:01:50"/>
    <n v="6"/>
    <s v="en"/>
    <n v="1875078774"/>
    <s v="2019-09-06 10:49:03"/>
    <s v="2019-09-06 11:01:50"/>
    <s v="https://n-7gn6f3ymqlyeypjitxev2qsjqakgimt2ontr6eq-0lu-script.googleusercontent.com/userCodeAppPanel"/>
    <x v="0"/>
    <n v="1"/>
    <n v="0.16666666666666666"/>
    <n v="0.5"/>
    <n v="0.75"/>
    <n v="2"/>
    <n v="11"/>
    <n v="12.818000000000001"/>
    <n v="10.817166666666665"/>
    <n v="0.5"/>
    <n v="10"/>
    <n v="3"/>
    <s v="5c3aea9cf5ebd500018551fa"/>
    <n v="10"/>
    <n v="10"/>
    <n v="10"/>
    <n v="10"/>
    <s v="Democrats"/>
    <s v="Republicans"/>
    <s v="Donald Trump"/>
    <s v="Cluster 2"/>
    <s v="Cluster 4"/>
    <s v="Cluster 1"/>
    <s v="Cluster 1"/>
    <s v="Cluster 3"/>
    <s v="Cluster 2"/>
    <s v="love, heart, thing"/>
    <s v="black, police, white"/>
    <s v="police"/>
    <s v="look"/>
    <s v="Cluster 5"/>
    <s v="Cluster 5"/>
    <s v="accounts that tweet American presidents"/>
    <s v="accounts that tweet about American presidents"/>
    <s v="True"/>
    <s v="False"/>
    <s v="True"/>
    <s v="False"/>
    <s v="False"/>
    <s v="False"/>
    <s v="False"/>
    <s v="False"/>
    <x v="2"/>
    <s v="is was ok for me"/>
    <m/>
    <n v="12.818000000000001"/>
    <n v="769.08"/>
    <n v="7.11"/>
    <m/>
    <n v="56.4"/>
    <m/>
    <m/>
    <m/>
    <m/>
    <n v="264.63"/>
    <m/>
    <m/>
    <m/>
    <m/>
    <m/>
    <m/>
    <n v="243.34"/>
    <m/>
    <m/>
    <m/>
    <m/>
    <m/>
    <m/>
    <m/>
    <m/>
    <n v="141.06"/>
    <m/>
    <m/>
    <m/>
    <m/>
    <m/>
    <m/>
    <m/>
    <m/>
    <n v="56.54"/>
    <m/>
    <m/>
    <m/>
    <m/>
    <n v="4.4104999999999999"/>
    <n v="4.0556666666666663"/>
    <n v="2.351"/>
  </r>
  <r>
    <x v="0"/>
    <x v="2"/>
    <n v="19"/>
    <s v="2019-09-06 11:10:55"/>
    <n v="6"/>
    <s v="en"/>
    <n v="900863003"/>
    <s v="2019-09-06 10:53:06"/>
    <s v="2019-09-06 11:10:55"/>
    <s v="https://n-7gn6f3ymqlyeypjitxev2qsjqakgimt2ontr6eq-0lu-script.googleusercontent.com/userCodeAppPanel"/>
    <x v="0"/>
    <n v="1"/>
    <n v="1"/>
    <n v="0.75"/>
    <n v="1"/>
    <n v="2"/>
    <n v="20"/>
    <n v="17.853999999999999"/>
    <n v="16.149333333333335"/>
    <n v="0.90909090909090906"/>
    <n v="1.3333333333333333"/>
    <n v="3"/>
    <s v="5c28f3efdfe7fc0001cd8b28"/>
    <n v="1"/>
    <n v="1"/>
    <n v="2"/>
    <n v="5"/>
    <s v="Democrats"/>
    <s v="Republicans"/>
    <s v="Donald Trump"/>
    <s v="Cluster 3"/>
    <s v="Cluster 5"/>
    <s v="Cluster 1"/>
    <s v="Cluster 0"/>
    <s v="Cluster 2"/>
    <s v="Cluster 4"/>
    <s v="love, heart, thing"/>
    <s v="black, police, white"/>
    <s v="death"/>
    <s v="look"/>
    <s v="Cluster 3"/>
    <s v="Cluster 5"/>
    <s v="accounts that tweet about crime"/>
    <s v="accounts that tweet about American presidents"/>
    <s v="True"/>
    <s v="False"/>
    <s v="True"/>
    <s v="False"/>
    <s v="True"/>
    <s v="False"/>
    <s v="True"/>
    <s v="False"/>
    <x v="2"/>
    <s v="No comment to make"/>
    <m/>
    <n v="17.853999999999999"/>
    <n v="1071.24"/>
    <n v="7.67"/>
    <m/>
    <n v="62.06"/>
    <m/>
    <m/>
    <m/>
    <m/>
    <n v="277.69"/>
    <m/>
    <m/>
    <m/>
    <m/>
    <m/>
    <m/>
    <n v="602.17999999999995"/>
    <m/>
    <m/>
    <m/>
    <m/>
    <m/>
    <m/>
    <m/>
    <m/>
    <n v="89.09"/>
    <m/>
    <m/>
    <m/>
    <m/>
    <m/>
    <m/>
    <m/>
    <m/>
    <n v="32.549999999999997"/>
    <m/>
    <m/>
    <m/>
    <m/>
    <n v="4.628166666666667"/>
    <n v="10.036333333333333"/>
    <n v="1.4848333333333334"/>
  </r>
  <r>
    <x v="0"/>
    <x v="2"/>
    <n v="20"/>
    <s v="2019-09-06 11:12:26"/>
    <n v="6"/>
    <s v="en"/>
    <n v="22906913"/>
    <s v="2019-09-06 10:53:22"/>
    <s v="2019-09-06 11:12:26"/>
    <s v="https://n-7gn6f3ymqlyeypjitxev2qsjqakgimt2ontr6eq-0lu-script.googleusercontent.com/userCodeAppPanel"/>
    <x v="0"/>
    <n v="1"/>
    <n v="1"/>
    <n v="1"/>
    <n v="0.875"/>
    <n v="2"/>
    <n v="21"/>
    <n v="19.118833333333335"/>
    <n v="14.666166666666665"/>
    <n v="0.95454545454545459"/>
    <n v="1"/>
    <n v="3"/>
    <s v="5cb50391e585bc001573bb03"/>
    <n v="1"/>
    <n v="1"/>
    <n v="1"/>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It's much easier to understand when you have a picture in front of you as an example. If it's just a description, it's much more difficult to understand."/>
    <m/>
    <n v="19.118833333333335"/>
    <n v="1147.1300000000001"/>
    <n v="11.32"/>
    <m/>
    <n v="133.06"/>
    <m/>
    <m/>
    <m/>
    <m/>
    <n v="433.4"/>
    <m/>
    <m/>
    <m/>
    <m/>
    <m/>
    <m/>
    <n v="245.94"/>
    <m/>
    <m/>
    <m/>
    <m/>
    <m/>
    <m/>
    <m/>
    <m/>
    <n v="200.63"/>
    <m/>
    <m/>
    <m/>
    <m/>
    <m/>
    <m/>
    <m/>
    <m/>
    <n v="122.78"/>
    <m/>
    <m/>
    <m/>
    <m/>
    <n v="7.2233333333333327"/>
    <n v="4.0990000000000002"/>
    <n v="3.3438333333333334"/>
  </r>
  <r>
    <x v="2"/>
    <x v="2"/>
    <n v="52"/>
    <s v="2019-09-10 12:59:59"/>
    <n v="6"/>
    <s v="en"/>
    <n v="1453061674"/>
    <s v="2019-09-10 12:53:23"/>
    <s v="2019-09-10 12:59:58"/>
    <s v="https://n-7ndajzbjmzh6ng24opzqo36guykgimt2ontr6eq-0lu-script.googleusercontent.com/blank"/>
    <x v="1"/>
    <n v="0.33333333333333331"/>
    <n v="0.5"/>
    <n v="0.5"/>
    <n v="0.75"/>
    <n v="2"/>
    <n v="13"/>
    <n v="6.65"/>
    <n v="5.8098333333333336"/>
    <n v="0.59090909090909094"/>
    <n v="2"/>
    <n v="3"/>
    <s v="5c8812b7a5b23d0017045cac"/>
    <n v="2"/>
    <n v="2"/>
    <n v="2"/>
    <n v="6"/>
    <s v="Republicans"/>
    <s v="Democrats"/>
    <s v="Donald Trump"/>
    <s v="Cluster 3"/>
    <s v="Cluster 5"/>
    <s v="Cluster 4"/>
    <s v="Cluster 0"/>
    <s v="Cluster 1"/>
    <s v="Cluster 3"/>
    <s v="love, heart, thing"/>
    <s v="black, police, white"/>
    <s v="death"/>
    <s v="obama"/>
    <s v="Cluster 3"/>
    <s v="Cluster 2"/>
    <s v="accounts that tweet about news stories"/>
    <s v="accounts that tweet about American presidents"/>
    <s v="True"/>
    <s v="False"/>
    <s v="True"/>
    <s v="False"/>
    <s v="True"/>
    <s v="True"/>
    <s v="False"/>
    <s v="False"/>
    <x v="2"/>
    <m/>
    <m/>
    <n v="6.65"/>
    <n v="399"/>
    <n v="13.59"/>
    <m/>
    <n v="27.8"/>
    <m/>
    <m/>
    <m/>
    <m/>
    <n v="175.07"/>
    <m/>
    <m/>
    <m/>
    <m/>
    <m/>
    <m/>
    <n v="79.27"/>
    <m/>
    <m/>
    <m/>
    <m/>
    <m/>
    <m/>
    <m/>
    <m/>
    <n v="94.25"/>
    <m/>
    <m/>
    <m/>
    <m/>
    <m/>
    <m/>
    <m/>
    <m/>
    <n v="9.02"/>
    <m/>
    <m/>
    <m/>
    <m/>
    <n v="2.9178333333333333"/>
    <n v="1.3211666666666666"/>
    <n v="1.5708333333333333"/>
  </r>
  <r>
    <x v="0"/>
    <x v="2"/>
    <n v="22"/>
    <s v="2019-09-06 11:14:43"/>
    <n v="6"/>
    <s v="en"/>
    <n v="1803635809"/>
    <s v="2019-09-06 10:58:52"/>
    <s v="2019-09-06 11:14:43"/>
    <s v="https://n-7gn6f3ymqlyeypjitxev2qsjqakgimt2ontr6eq-0lu-script.googleusercontent.com/blank"/>
    <x v="0"/>
    <n v="1"/>
    <n v="1"/>
    <n v="0.625"/>
    <n v="0.625"/>
    <n v="2"/>
    <n v="16"/>
    <n v="15.906000000000001"/>
    <n v="12.779333333333332"/>
    <n v="0.72727272727272729"/>
    <n v="2.3333333333333335"/>
    <n v="3"/>
    <s v="5bdf514805ba8e0001965d25"/>
    <n v="3"/>
    <n v="3"/>
    <n v="1"/>
    <n v="5"/>
    <s v="Democrats"/>
    <s v="Republicans"/>
    <s v="Donald Trump"/>
    <s v="Cluster 3"/>
    <s v="Cluster 5"/>
    <s v="Cluster 1"/>
    <s v="Cluster 0"/>
    <s v="Cluster 2"/>
    <s v="Cluster 4"/>
    <s v="love, heart, thing"/>
    <s v="black, police, white"/>
    <s v="death"/>
    <s v="obama"/>
    <s v="Cluster 3"/>
    <s v="Cluster 5"/>
    <s v="accounts that tweet about news stories"/>
    <s v="accounts that tweet about American presidents"/>
    <s v="True"/>
    <s v="False"/>
    <s v="False"/>
    <s v="False"/>
    <s v="False"/>
    <s v="False"/>
    <s v="True"/>
    <s v="True"/>
    <x v="2"/>
    <s v="Doesn’t give you the full picture"/>
    <m/>
    <n v="15.906000000000001"/>
    <n v="954.36"/>
    <n v="39.200000000000003"/>
    <m/>
    <n v="82.75"/>
    <m/>
    <m/>
    <m/>
    <m/>
    <n v="343.17"/>
    <m/>
    <m/>
    <m/>
    <m/>
    <m/>
    <m/>
    <n v="290.88"/>
    <m/>
    <m/>
    <m/>
    <m/>
    <m/>
    <m/>
    <m/>
    <m/>
    <n v="132.71"/>
    <m/>
    <m/>
    <m/>
    <m/>
    <m/>
    <m/>
    <m/>
    <m/>
    <n v="65.650000000000006"/>
    <m/>
    <m/>
    <m/>
    <m/>
    <n v="5.7195"/>
    <n v="4.8479999999999999"/>
    <n v="2.2118333333333333"/>
  </r>
  <r>
    <x v="2"/>
    <x v="2"/>
    <n v="54"/>
    <s v="2019-09-10 13:07:10"/>
    <n v="6"/>
    <s v="en"/>
    <n v="1349928397"/>
    <s v="2019-09-10 12:55:53"/>
    <s v="2019-09-10 13:07:10"/>
    <s v="https://n-7ndajzbjmzh6ng24opzqo36guykgimt2ontr6eq-0lu-script.googleusercontent.com/userCodeAppPanel"/>
    <x v="1"/>
    <n v="0"/>
    <n v="0.66666666666666663"/>
    <n v="0.875"/>
    <n v="0.75"/>
    <n v="4"/>
    <n v="17"/>
    <n v="11.340833333333334"/>
    <n v="10.3735"/>
    <n v="0.77272727272727271"/>
    <n v="1"/>
    <n v="3"/>
    <s v="5c6870916fdc87000162f29c"/>
    <n v="1"/>
    <n v="1"/>
    <n v="1"/>
    <n v="1"/>
    <s v="Other"/>
    <s v="Other"/>
    <s v="Hillary Clinton"/>
    <s v="Cluster 3"/>
    <s v="Cluster 5"/>
    <s v="Cluster 4"/>
    <s v="Cluster 0"/>
    <s v="Cluster 1"/>
    <s v="Cluster 4"/>
    <s v="love, heart, thing"/>
    <s v="black, police, white"/>
    <s v="news"/>
    <s v="trump"/>
    <s v="Cluster 3"/>
    <s v="Cluster 5"/>
    <s v="accounts that tweet about crime"/>
    <s v="accounts that tweet about news stories"/>
    <s v="True"/>
    <s v="False"/>
    <s v="True"/>
    <s v="False"/>
    <s v="True"/>
    <s v="False"/>
    <s v="False"/>
    <s v="True"/>
    <x v="1"/>
    <m/>
    <m/>
    <n v="11.340833333333334"/>
    <n v="680.45"/>
    <n v="9.76"/>
    <m/>
    <n v="34.659999999999997"/>
    <m/>
    <m/>
    <m/>
    <m/>
    <n v="329.18"/>
    <m/>
    <m/>
    <m/>
    <m/>
    <m/>
    <m/>
    <n v="196.42"/>
    <m/>
    <m/>
    <m/>
    <m/>
    <m/>
    <m/>
    <m/>
    <m/>
    <n v="96.81"/>
    <m/>
    <m/>
    <m/>
    <m/>
    <m/>
    <m/>
    <m/>
    <m/>
    <n v="13.62"/>
    <m/>
    <m/>
    <m/>
    <m/>
    <n v="5.4863333333333335"/>
    <n v="3.2736666666666663"/>
    <n v="1.6134999999999999"/>
  </r>
  <r>
    <x v="0"/>
    <x v="2"/>
    <n v="23"/>
    <s v="2019-09-06 11:13:51"/>
    <n v="6"/>
    <s v="en"/>
    <n v="1522083513"/>
    <s v="2019-09-06 11:01:27"/>
    <s v="2019-09-06 11:13:51"/>
    <s v="https://n-7gn6f3ymqlyeypjitxev2qsjqakgimt2ontr6eq-0lu-script.googleusercontent.com/userCodeAppPanel"/>
    <x v="0"/>
    <n v="1"/>
    <n v="0.66666666666666663"/>
    <n v="1"/>
    <n v="1"/>
    <n v="3"/>
    <n v="20"/>
    <n v="9.1278333333333332"/>
    <n v="7.6991666666666667"/>
    <n v="0.90909090909090906"/>
    <n v="1.6666666666666667"/>
    <n v="3"/>
    <s v="579a2047275be6000135a94c"/>
    <n v="3"/>
    <n v="1"/>
    <n v="1"/>
    <n v="5"/>
    <s v="Democrats"/>
    <s v="Republicans"/>
    <s v="Donald Trump"/>
    <s v="Cluster 3"/>
    <s v="Cluster 1"/>
    <s v="Cluster 1"/>
    <s v="Cluster 0"/>
    <s v="Cluster 5"/>
    <s v="Cluster 4"/>
    <s v="love, heart, thing"/>
    <s v="black, police, white"/>
    <s v="news"/>
    <s v="trump"/>
    <s v="Cluster 3"/>
    <s v="Cluster 5"/>
    <s v="accounts that tweet about crime"/>
    <s v="accounts that tweet about American presidents"/>
    <s v="True"/>
    <s v="False"/>
    <s v="True"/>
    <s v="False"/>
    <s v="True"/>
    <s v="False"/>
    <s v="True"/>
    <s v="False"/>
    <x v="0"/>
    <s v="Good visually but a bit confusing"/>
    <m/>
    <n v="9.1278333333333332"/>
    <n v="547.66999999999996"/>
    <n v="10.4"/>
    <m/>
    <n v="43.67"/>
    <m/>
    <m/>
    <m/>
    <m/>
    <n v="262.32"/>
    <m/>
    <m/>
    <m/>
    <m/>
    <m/>
    <m/>
    <n v="64.45"/>
    <m/>
    <m/>
    <m/>
    <m/>
    <m/>
    <m/>
    <m/>
    <m/>
    <n v="135.18"/>
    <m/>
    <m/>
    <m/>
    <m/>
    <m/>
    <m/>
    <m/>
    <m/>
    <n v="31.65"/>
    <m/>
    <m/>
    <m/>
    <m/>
    <n v="4.3719999999999999"/>
    <n v="1.0741666666666667"/>
    <n v="2.2530000000000001"/>
  </r>
  <r>
    <x v="0"/>
    <x v="2"/>
    <n v="24"/>
    <s v="2019-09-06 11:14:51"/>
    <n v="6"/>
    <s v="en"/>
    <n v="1455806997"/>
    <s v="2019-09-06 11:01:39"/>
    <s v="2019-09-06 11:14:51"/>
    <s v="https://n-7gn6f3ymqlyeypjitxev2qsjqakgimt2ontr6eq-0lu-script.googleusercontent.com/userCodeAppPanel"/>
    <x v="0"/>
    <n v="1"/>
    <n v="0.66666666666666663"/>
    <n v="0.625"/>
    <n v="0.625"/>
    <n v="3"/>
    <n v="14"/>
    <n v="13.265666666666668"/>
    <n v="11.767833333333334"/>
    <n v="0.63636363636363635"/>
    <n v="2"/>
    <n v="3"/>
    <s v="5c42c4b05aca820001f71477"/>
    <n v="2"/>
    <n v="2"/>
    <n v="2"/>
    <n v="5"/>
    <s v="Democrats"/>
    <s v="Republicans"/>
    <s v="Donald Trump"/>
    <s v="Cluster 3"/>
    <s v="Cluster 4"/>
    <s v="Cluster 1"/>
    <s v="Cluster 0"/>
    <s v="Cluster 2"/>
    <s v="Cluster 5"/>
    <s v="love, heart, thing"/>
    <s v="black, police, white"/>
    <s v="news"/>
    <s v="obama"/>
    <s v="Cluster 3"/>
    <s v="Cluster 1"/>
    <s v="accounts that tweet about news stories"/>
    <s v="accounts that tweet about American presidents"/>
    <s v="True"/>
    <s v="False"/>
    <s v="False"/>
    <s v="False"/>
    <s v="False"/>
    <s v="False"/>
    <s v="True"/>
    <s v="True"/>
    <x v="0"/>
    <s v="I can understand the basic theme but am not sure I am interpreting them correctly."/>
    <m/>
    <n v="13.265666666666668"/>
    <n v="795.94"/>
    <n v="6.91"/>
    <m/>
    <n v="37.270000000000003"/>
    <m/>
    <m/>
    <m/>
    <m/>
    <n v="269.58"/>
    <m/>
    <m/>
    <m/>
    <m/>
    <m/>
    <m/>
    <n v="285.5"/>
    <m/>
    <m/>
    <m/>
    <m/>
    <m/>
    <m/>
    <m/>
    <m/>
    <n v="150.99"/>
    <m/>
    <m/>
    <m/>
    <m/>
    <m/>
    <m/>
    <m/>
    <m/>
    <n v="45.69"/>
    <m/>
    <m/>
    <m/>
    <m/>
    <n v="4.4929999999999994"/>
    <n v="4.7583333333333337"/>
    <n v="2.5165000000000002"/>
  </r>
  <r>
    <x v="0"/>
    <x v="2"/>
    <n v="25"/>
    <s v="2019-09-06 11:13:05"/>
    <n v="6"/>
    <s v="en"/>
    <n v="1265249746"/>
    <s v="2019-09-06 11:02:32"/>
    <s v="2019-09-06 11:13:05"/>
    <s v="https://n-7gn6f3ymqlyeypjitxev2qsjqakgimt2ontr6eq-0lu-script.googleusercontent.com/userCodeAppPanel"/>
    <x v="0"/>
    <n v="1"/>
    <n v="1"/>
    <n v="0.875"/>
    <n v="0.875"/>
    <n v="2"/>
    <n v="20"/>
    <n v="10.6075"/>
    <n v="9.0306666666666668"/>
    <n v="0.90909090909090906"/>
    <n v="1.6666666666666667"/>
    <n v="3"/>
    <s v="5a23fe78bf56cc0001770280"/>
    <n v="2"/>
    <n v="2"/>
    <n v="1"/>
    <n v="5"/>
    <s v="Democrats"/>
    <s v="Republicans"/>
    <s v="Donald Trump"/>
    <s v="Cluster 3"/>
    <s v="Cluster 5"/>
    <s v="Cluster 1"/>
    <s v="Cluster 0"/>
    <s v="Cluster 2"/>
    <s v="Cluster 4"/>
    <s v="love, heart, thing"/>
    <s v="black, police, white"/>
    <s v="news"/>
    <s v="look"/>
    <s v="Cluster 3"/>
    <s v="Cluster 5"/>
    <s v="accounts that tweet about crime"/>
    <s v="accounts that tweet about American presidents"/>
    <s v="True"/>
    <s v="False"/>
    <s v="True"/>
    <s v="False"/>
    <s v="False"/>
    <s v="False"/>
    <s v="True"/>
    <s v="False"/>
    <x v="2"/>
    <s v="I think its an interesting way of grouping tweets together, you can start to see a pattern emerge."/>
    <m/>
    <n v="10.6075"/>
    <n v="636.45000000000005"/>
    <n v="6.8"/>
    <m/>
    <n v="49.93"/>
    <m/>
    <m/>
    <m/>
    <m/>
    <n v="274.60000000000002"/>
    <m/>
    <m/>
    <m/>
    <m/>
    <m/>
    <m/>
    <n v="158.12"/>
    <m/>
    <m/>
    <m/>
    <m/>
    <m/>
    <m/>
    <m/>
    <m/>
    <n v="109.12"/>
    <m/>
    <m/>
    <m/>
    <m/>
    <m/>
    <m/>
    <m/>
    <m/>
    <n v="37.880000000000003"/>
    <m/>
    <m/>
    <m/>
    <m/>
    <n v="4.5766666666666671"/>
    <n v="2.6353333333333335"/>
    <n v="1.8186666666666667"/>
  </r>
  <r>
    <x v="0"/>
    <x v="2"/>
    <n v="27"/>
    <s v="2019-09-06 11:31:06"/>
    <n v="6"/>
    <s v="en"/>
    <n v="1293126632"/>
    <s v="2019-09-06 11:07:00"/>
    <s v="2019-09-06 11:31:05"/>
    <s v="https://n-7gn6f3ymqlyeypjitxev2qsjqakgimt2ontr6eq-0lu-script.googleusercontent.com/userCodeAppPanel"/>
    <x v="0"/>
    <n v="1"/>
    <n v="0.33333333333333331"/>
    <n v="0.25"/>
    <n v="0.75"/>
    <n v="5"/>
    <n v="10"/>
    <n v="24.136666666666667"/>
    <n v="17.038666666666668"/>
    <n v="0.45454545454545453"/>
    <n v="1"/>
    <n v="3"/>
    <s v="5978e0fc13dc5e0001e2e3d4"/>
    <n v="1"/>
    <n v="1"/>
    <n v="1"/>
    <n v="1"/>
    <s v="Democrats"/>
    <s v="Republicans"/>
    <s v="Donald Trump"/>
    <s v="Cluster 3"/>
    <s v="Cluster 1"/>
    <s v="Cluster 4"/>
    <s v="Cluster 2"/>
    <s v="Cluster 1"/>
    <s v="Cluster 4"/>
    <s v="love, heart, thing"/>
    <s v="black, police, white"/>
    <s v="police"/>
    <s v="look"/>
    <s v="Cluster 2"/>
    <s v="Cluster 1"/>
    <s v="accounts that tweet about news stories"/>
    <s v="accounts that tweet about news stories"/>
    <s v="True"/>
    <s v="False"/>
    <s v="True"/>
    <s v="True"/>
    <s v="True"/>
    <s v="False"/>
    <s v="True"/>
    <s v="True"/>
    <x v="4"/>
    <s v="words that comprehend each other, are close in meanong, found together in a cloud"/>
    <m/>
    <n v="24.136666666666667"/>
    <n v="1448.2"/>
    <n v="9.26"/>
    <m/>
    <n v="367.62"/>
    <m/>
    <m/>
    <m/>
    <m/>
    <n v="826.45"/>
    <m/>
    <m/>
    <m/>
    <m/>
    <m/>
    <m/>
    <n v="132.86000000000001"/>
    <m/>
    <m/>
    <m/>
    <m/>
    <m/>
    <m/>
    <m/>
    <m/>
    <n v="63.01"/>
    <m/>
    <m/>
    <m/>
    <m/>
    <m/>
    <m/>
    <m/>
    <m/>
    <n v="49"/>
    <m/>
    <m/>
    <m/>
    <m/>
    <n v="13.774166666666668"/>
    <n v="2.2143333333333337"/>
    <n v="1.0501666666666667"/>
  </r>
  <r>
    <x v="0"/>
    <x v="2"/>
    <n v="29"/>
    <s v="2019-09-06 11:30:16"/>
    <n v="6"/>
    <s v="en"/>
    <n v="43927946"/>
    <s v="2019-09-06 11:08:36"/>
    <s v="2019-09-06 11:30:16"/>
    <s v="https://n-7gn6f3ymqlyeypjitxev2qsjqakgimt2ontr6eq-0lu-script.googleusercontent.com/userCodeAppPanel"/>
    <x v="0"/>
    <n v="1"/>
    <n v="1"/>
    <n v="0.875"/>
    <n v="0.875"/>
    <n v="3"/>
    <n v="20"/>
    <n v="17.154666666666667"/>
    <n v="12.975999999999999"/>
    <n v="0.90909090909090906"/>
    <n v="7.666666666666667"/>
    <n v="3"/>
    <s v="5b9ae2e307c6960001613886"/>
    <n v="7"/>
    <n v="8"/>
    <n v="8"/>
    <n v="7"/>
    <s v="Democrats"/>
    <s v="Republicans"/>
    <s v="Donald Trump"/>
    <s v="Cluster 3"/>
    <s v="Cluster 5"/>
    <s v="Cluster 1"/>
    <s v="Cluster 0"/>
    <s v="Cluster 2"/>
    <s v="Cluster 4"/>
    <s v="love, heart, thing"/>
    <s v="black, police, white"/>
    <s v="news"/>
    <s v="trump"/>
    <s v="Cluster 3"/>
    <s v="Cluster 4"/>
    <s v="accounts that tweet about crime"/>
    <s v="accounts that tweet about American presidents"/>
    <s v="True"/>
    <s v="False"/>
    <s v="False"/>
    <s v="False"/>
    <s v="True"/>
    <s v="False"/>
    <s v="True"/>
    <s v="False"/>
    <x v="0"/>
    <s v="It is a little bit confusing with this mess of words"/>
    <m/>
    <n v="17.154666666666667"/>
    <n v="1029.28"/>
    <n v="11.43"/>
    <m/>
    <n v="162.09"/>
    <m/>
    <m/>
    <m/>
    <m/>
    <n v="382.54"/>
    <m/>
    <m/>
    <m/>
    <m/>
    <m/>
    <m/>
    <n v="224.43"/>
    <m/>
    <m/>
    <m/>
    <m/>
    <m/>
    <m/>
    <m/>
    <m/>
    <n v="171.59"/>
    <m/>
    <m/>
    <m/>
    <m/>
    <m/>
    <m/>
    <m/>
    <m/>
    <n v="77.2"/>
    <m/>
    <m/>
    <m/>
    <m/>
    <n v="6.3756666666666666"/>
    <n v="3.7404999999999999"/>
    <n v="2.8598333333333334"/>
  </r>
  <r>
    <x v="2"/>
    <x v="2"/>
    <n v="60"/>
    <s v="2019-09-10 14:38:56"/>
    <n v="6"/>
    <s v="en"/>
    <n v="717618868"/>
    <s v="2019-09-10 14:30:23"/>
    <s v="2019-09-10 14:38:56"/>
    <s v="https://n-7ndajzbjmzh6ng24opzqo36guykgimt2ontr6eq-0lu-script.googleusercontent.com/blank"/>
    <x v="1"/>
    <n v="0.66666666666666663"/>
    <n v="0.83333333333333337"/>
    <n v="1"/>
    <n v="0.75"/>
    <n v="1"/>
    <n v="19"/>
    <n v="8.5851666666666677"/>
    <n v="7.2690000000000001"/>
    <n v="0.86363636363636365"/>
    <n v="3"/>
    <n v="3"/>
    <s v="5ae76ee9a740ff0001937dba"/>
    <n v="3"/>
    <n v="3"/>
    <n v="3"/>
    <n v="3"/>
    <s v="Democrats"/>
    <s v="Republicans"/>
    <s v="Hillary Clinton"/>
    <s v="Cluster 3"/>
    <s v="Cluster 5"/>
    <s v="Cluster 1"/>
    <s v="Cluster 0"/>
    <s v="Cluster 2"/>
    <s v="Cluster 5"/>
    <s v="love, heart, thing"/>
    <s v="black, police, white"/>
    <s v="news"/>
    <s v="trump"/>
    <s v="Cluster 3"/>
    <s v="Cluster 5"/>
    <s v="accounts that tweet about crime"/>
    <s v="accounts that tweet about American presidents"/>
    <s v="True"/>
    <s v="False"/>
    <s v="True"/>
    <s v="False"/>
    <s v="False"/>
    <s v="True"/>
    <s v="True"/>
    <s v="False"/>
    <x v="3"/>
    <s v="easy to understand the words and identify the words."/>
    <m/>
    <n v="8.5851666666666677"/>
    <n v="515.11"/>
    <n v="17.98"/>
    <m/>
    <n v="38.229999999999997"/>
    <m/>
    <m/>
    <m/>
    <m/>
    <n v="238.21"/>
    <m/>
    <m/>
    <m/>
    <m/>
    <m/>
    <m/>
    <n v="115.36"/>
    <m/>
    <m/>
    <m/>
    <m/>
    <m/>
    <m/>
    <m/>
    <m/>
    <n v="82.57"/>
    <m/>
    <m/>
    <m/>
    <m/>
    <m/>
    <m/>
    <m/>
    <m/>
    <n v="22.76"/>
    <m/>
    <m/>
    <m/>
    <m/>
    <n v="3.9701666666666666"/>
    <n v="1.9226666666666667"/>
    <n v="1.3761666666666665"/>
  </r>
  <r>
    <x v="0"/>
    <x v="2"/>
    <n v="30"/>
    <s v="2019-09-06 11:22:20"/>
    <n v="6"/>
    <s v="en"/>
    <n v="1644166497"/>
    <s v="2019-09-06 11:12:24"/>
    <s v="2019-09-06 11:22:19"/>
    <s v="https://n-7gn6f3ymqlyeypjitxev2qsjqakgimt2ontr6eq-0lu-script.googleusercontent.com/userCodeAppPanel"/>
    <x v="0"/>
    <n v="1"/>
    <n v="0.83333333333333337"/>
    <n v="0.875"/>
    <n v="1"/>
    <n v="3"/>
    <n v="20"/>
    <n v="9.9671666666666656"/>
    <n v="8.5824999999999996"/>
    <n v="0.90909090909090906"/>
    <n v="1"/>
    <n v="3"/>
    <s v="5caaa5da0adbf40001d85a81"/>
    <n v="1"/>
    <n v="1"/>
    <n v="1"/>
    <n v="6"/>
    <s v="Democrats"/>
    <s v="Republicans"/>
    <s v="Donald Trump"/>
    <s v="Cluster 3"/>
    <s v="Cluster 5"/>
    <s v="Cluster 1"/>
    <s v="Cluster 0"/>
    <s v="Cluster 2"/>
    <s v="Cluster 1"/>
    <s v="love, heart, thing"/>
    <s v="black, police, white"/>
    <s v="news"/>
    <s v="trump"/>
    <s v="Cluster 3"/>
    <s v="Cluster 5"/>
    <s v="accounts that tweet about news stories"/>
    <s v="accounts that tweet about American presidents"/>
    <s v="True"/>
    <s v="False"/>
    <s v="True"/>
    <s v="False"/>
    <s v="True"/>
    <s v="False"/>
    <s v="True"/>
    <s v="False"/>
    <x v="0"/>
    <s v="I struggled to read the blue words. Also they are not accessible to people with colour blindness, dyslexia, and other SpLDs."/>
    <m/>
    <n v="9.9671666666666656"/>
    <n v="598.03"/>
    <n v="4.17"/>
    <m/>
    <n v="22.89"/>
    <m/>
    <m/>
    <m/>
    <m/>
    <n v="262.95"/>
    <m/>
    <m/>
    <m/>
    <m/>
    <m/>
    <m/>
    <n v="156.34"/>
    <m/>
    <m/>
    <m/>
    <m/>
    <m/>
    <m/>
    <m/>
    <m/>
    <n v="95.66"/>
    <m/>
    <m/>
    <m/>
    <m/>
    <m/>
    <m/>
    <m/>
    <m/>
    <n v="56.02"/>
    <m/>
    <m/>
    <m/>
    <m/>
    <n v="4.3824999999999994"/>
    <n v="2.6056666666666666"/>
    <n v="1.5943333333333334"/>
  </r>
  <r>
    <x v="0"/>
    <x v="2"/>
    <n v="31"/>
    <s v="2019-09-06 11:24:51"/>
    <n v="6"/>
    <s v="en"/>
    <n v="103966002"/>
    <s v="2019-09-06 11:13:21"/>
    <s v="2019-09-06 11:24:51"/>
    <s v="https://n-7gn6f3ymqlyeypjitxev2qsjqakgimt2ontr6eq-0lu-script.googleusercontent.com/userCodeAppPanel"/>
    <x v="0"/>
    <n v="1"/>
    <n v="1"/>
    <n v="1"/>
    <n v="0.875"/>
    <n v="2"/>
    <n v="21"/>
    <n v="11.555333333333333"/>
    <n v="7.5211666666666668"/>
    <n v="0.95454545454545459"/>
    <n v="2.6666666666666665"/>
    <n v="3"/>
    <s v="5d5ba95a81cb29001f76efed"/>
    <n v="5"/>
    <n v="1"/>
    <n v="2"/>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A scale in regards to the size and colour of the words may help with comprehension. People with colour vision problems may need additional versions or the ability to change the colours."/>
    <m/>
    <n v="11.555333333333333"/>
    <n v="693.32"/>
    <n v="7.83"/>
    <m/>
    <n v="157.88"/>
    <m/>
    <m/>
    <m/>
    <m/>
    <n v="218.18"/>
    <m/>
    <m/>
    <m/>
    <m/>
    <m/>
    <m/>
    <n v="139.31"/>
    <m/>
    <m/>
    <m/>
    <m/>
    <m/>
    <m/>
    <m/>
    <m/>
    <n v="93.78"/>
    <m/>
    <m/>
    <m/>
    <m/>
    <m/>
    <m/>
    <m/>
    <m/>
    <n v="76.34"/>
    <m/>
    <m/>
    <m/>
    <m/>
    <n v="3.6363333333333334"/>
    <n v="2.3218333333333332"/>
    <n v="1.5629999999999999"/>
  </r>
  <r>
    <x v="0"/>
    <x v="2"/>
    <n v="32"/>
    <s v="2019-09-06 11:26:27"/>
    <n v="6"/>
    <s v="en"/>
    <n v="84294098"/>
    <s v="2019-09-06 11:14:06"/>
    <s v="2019-09-06 11:26:27"/>
    <s v="https://n-7gn6f3ymqlyeypjitxev2qsjqakgimt2ontr6eq-0lu-script.googleusercontent.com/userCodeAppPanel"/>
    <x v="0"/>
    <n v="1"/>
    <n v="0.33333333333333331"/>
    <n v="0.625"/>
    <n v="0.75"/>
    <n v="1"/>
    <n v="13"/>
    <n v="12.387166666666667"/>
    <n v="10.557499999999999"/>
    <n v="0.59090909090909094"/>
    <n v="5.666666666666667"/>
    <n v="3"/>
    <s v="5b8fdd69182eb80001622a73"/>
    <n v="7"/>
    <n v="6"/>
    <n v="4"/>
    <n v="8"/>
    <s v="Democrats"/>
    <s v="Republicans"/>
    <s v="Donald Trump"/>
    <s v="Cluster 3"/>
    <s v="Cluster 1"/>
    <s v="Cluster 4"/>
    <s v="Cluster 5"/>
    <s v="Cluster 3"/>
    <s v="Cluster 4"/>
    <s v="love, heart, thing"/>
    <s v="black, police, white"/>
    <s v="death"/>
    <s v="trump"/>
    <s v="Cluster 3"/>
    <s v="Cluster 5"/>
    <s v="accounts that tweet about news stories"/>
    <s v="accounts that tweet about news stories"/>
    <s v="True"/>
    <s v="False"/>
    <s v="True"/>
    <s v="False"/>
    <s v="False"/>
    <s v="False"/>
    <s v="True"/>
    <s v="True"/>
    <x v="3"/>
    <s v="making data easy to understand and analyse without having to need deep explanations."/>
    <m/>
    <n v="12.387166666666667"/>
    <n v="743.23"/>
    <n v="8.3699999999999992"/>
    <m/>
    <n v="57.4"/>
    <m/>
    <m/>
    <m/>
    <m/>
    <n v="183.29"/>
    <m/>
    <m/>
    <m/>
    <m/>
    <m/>
    <m/>
    <n v="194.56"/>
    <m/>
    <m/>
    <m/>
    <m/>
    <m/>
    <m/>
    <m/>
    <m/>
    <n v="255.6"/>
    <m/>
    <m/>
    <m/>
    <m/>
    <m/>
    <m/>
    <m/>
    <m/>
    <n v="44.01"/>
    <m/>
    <m/>
    <m/>
    <m/>
    <n v="3.0548333333333333"/>
    <n v="3.2426666666666666"/>
    <n v="4.26"/>
  </r>
  <r>
    <x v="0"/>
    <x v="2"/>
    <n v="33"/>
    <s v="2019-09-06 11:22:41"/>
    <n v="6"/>
    <s v="en"/>
    <n v="1278679174"/>
    <s v="2019-09-06 11:14:39"/>
    <s v="2019-09-06 11:22:41"/>
    <s v="https://n-7gn6f3ymqlyeypjitxev2qsjqakgimt2ontr6eq-0lu-script.googleusercontent.com/userCodeAppPanel"/>
    <x v="0"/>
    <n v="1"/>
    <n v="1"/>
    <n v="0.875"/>
    <n v="0.875"/>
    <n v="1"/>
    <n v="20"/>
    <n v="8.0846666666666671"/>
    <n v="6.0308333333333337"/>
    <n v="0.90909090909090906"/>
    <n v="1"/>
    <n v="3"/>
    <s v="5cbf7efc33c9c70017d49c79"/>
    <n v="1"/>
    <n v="1"/>
    <n v="1"/>
    <n v="3"/>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True"/>
    <s v="False"/>
    <s v="False"/>
    <s v="False"/>
    <s v="True"/>
    <s v="False"/>
    <x v="3"/>
    <s v="it's easy to follow because the most used words are bolder and brighter than the lesser-used words, and also the clusters are all different"/>
    <m/>
    <n v="8.0846666666666671"/>
    <n v="485.08"/>
    <n v="10.1"/>
    <m/>
    <n v="18.48"/>
    <m/>
    <m/>
    <m/>
    <m/>
    <n v="191.71"/>
    <m/>
    <m/>
    <m/>
    <m/>
    <m/>
    <m/>
    <n v="86.75"/>
    <m/>
    <m/>
    <m/>
    <m/>
    <m/>
    <m/>
    <m/>
    <m/>
    <n v="83.39"/>
    <m/>
    <m/>
    <m/>
    <m/>
    <m/>
    <m/>
    <m/>
    <m/>
    <n v="94.65"/>
    <m/>
    <m/>
    <m/>
    <m/>
    <n v="3.1951666666666667"/>
    <n v="1.4458333333333333"/>
    <n v="1.3898333333333333"/>
  </r>
  <r>
    <x v="0"/>
    <x v="2"/>
    <n v="35"/>
    <s v="2019-09-06 11:46:21"/>
    <n v="6"/>
    <s v="en"/>
    <n v="1310219017"/>
    <s v="2019-09-06 11:15:50"/>
    <s v="2019-09-06 11:46:21"/>
    <s v="https://n-7gn6f3ymqlyeypjitxev2qsjqakgimt2ontr6eq-0lu-script.googleusercontent.com/userCodeAppPanel"/>
    <x v="0"/>
    <n v="1"/>
    <n v="0.83333333333333337"/>
    <n v="0.75"/>
    <n v="1"/>
    <n v="3"/>
    <n v="19"/>
    <n v="30.574333333333335"/>
    <n v="27.297499999999999"/>
    <n v="0.86363636363636365"/>
    <n v="7"/>
    <n v="3"/>
    <s v="5cd49645dd6659000170d5b7"/>
    <n v="7"/>
    <n v="7"/>
    <n v="7"/>
    <n v="9"/>
    <s v="Democrats"/>
    <s v="Republicans"/>
    <s v="Donald Trump"/>
    <s v="Cluster 3"/>
    <s v="Cluster 5"/>
    <s v="Cluster 1"/>
    <s v="Cluster 0"/>
    <s v="Cluster 2"/>
    <s v="Cluster 2"/>
    <s v="love, heart, thing"/>
    <s v="black, police, white"/>
    <s v="news"/>
    <s v="trump"/>
    <s v="Cluster 3"/>
    <s v="Cluster 2"/>
    <s v="accounts that tweet about news stories"/>
    <s v="accounts that tweet about American presidents"/>
    <s v="True"/>
    <s v="False"/>
    <s v="True"/>
    <s v="False"/>
    <s v="True"/>
    <s v="False"/>
    <s v="True"/>
    <s v="False"/>
    <x v="0"/>
    <s v="It is a word that you cannot really state whether easy or difficult depending on the presentation at the time. So it can sometimes be difficult and sometimes appear easier"/>
    <m/>
    <n v="30.574333333333335"/>
    <n v="1834.46"/>
    <n v="5.78"/>
    <m/>
    <n v="85.05"/>
    <m/>
    <m/>
    <m/>
    <m/>
    <n v="1240.78"/>
    <m/>
    <m/>
    <m/>
    <m/>
    <m/>
    <m/>
    <n v="211.58"/>
    <m/>
    <m/>
    <m/>
    <m/>
    <m/>
    <m/>
    <m/>
    <m/>
    <n v="185.49"/>
    <m/>
    <m/>
    <m/>
    <m/>
    <m/>
    <m/>
    <m/>
    <m/>
    <n v="105.78"/>
    <m/>
    <m/>
    <m/>
    <m/>
    <n v="20.679666666666666"/>
    <n v="3.5263333333333335"/>
    <n v="3.0915000000000004"/>
  </r>
  <r>
    <x v="0"/>
    <x v="2"/>
    <n v="37"/>
    <s v="2019-09-06 11:28:50"/>
    <n v="6"/>
    <s v="en"/>
    <n v="1393218271"/>
    <s v="2019-09-06 11:19:53"/>
    <s v="2019-09-06 11:28:50"/>
    <s v="https://n-7gn6f3ymqlyeypjitxev2qsjqakgimt2ontr6eq-1lu-script.googleusercontent.com/userCodeAppPanel"/>
    <x v="0"/>
    <n v="1"/>
    <n v="0.83333333333333337"/>
    <n v="0.875"/>
    <n v="0.875"/>
    <n v="3"/>
    <n v="19"/>
    <n v="9.0126666666666662"/>
    <n v="8.0296666666666656"/>
    <n v="0.86363636363636365"/>
    <n v="1"/>
    <n v="3"/>
    <s v="5d53febd4e0e9a00177a9d54"/>
    <n v="1"/>
    <n v="1"/>
    <n v="1"/>
    <n v="3"/>
    <s v="Democrats"/>
    <s v="Republicans"/>
    <s v="Donald Trump"/>
    <s v="Cluster 3"/>
    <s v="Cluster 5"/>
    <s v="Cluster 1"/>
    <s v="Cluster 0"/>
    <s v="Cluster 2"/>
    <s v="Cluster 1"/>
    <s v="love, heart, thing"/>
    <s v="black, police, white"/>
    <s v="news"/>
    <s v="obama"/>
    <s v="Cluster 3"/>
    <s v="Cluster 5"/>
    <s v="accounts that tweet about crime"/>
    <s v="accounts that tweet about American presidents"/>
    <s v="True"/>
    <s v="False"/>
    <s v="True"/>
    <s v="False"/>
    <s v="True"/>
    <s v="True"/>
    <s v="True"/>
    <s v="False"/>
    <x v="0"/>
    <m/>
    <m/>
    <n v="9.0126666666666662"/>
    <n v="540.76"/>
    <n v="10.34"/>
    <m/>
    <n v="38.83"/>
    <m/>
    <m/>
    <m/>
    <m/>
    <n v="176.57"/>
    <m/>
    <m/>
    <m/>
    <m/>
    <m/>
    <m/>
    <n v="247.76"/>
    <m/>
    <m/>
    <m/>
    <m/>
    <m/>
    <m/>
    <m/>
    <m/>
    <n v="57.45"/>
    <m/>
    <m/>
    <m/>
    <m/>
    <m/>
    <m/>
    <m/>
    <m/>
    <n v="9.81"/>
    <m/>
    <m/>
    <m/>
    <m/>
    <n v="2.9428333333333332"/>
    <n v="4.1293333333333333"/>
    <n v="0.95750000000000002"/>
  </r>
  <r>
    <x v="0"/>
    <x v="2"/>
    <n v="38"/>
    <s v="2019-09-06 11:32:30"/>
    <n v="6"/>
    <s v="en"/>
    <n v="1872107446"/>
    <s v="2019-09-06 11:19:56"/>
    <s v="2019-09-06 11:32:30"/>
    <s v="https://n-7gn6f3ymqlyeypjitxev2qsjqakgimt2ontr6eq-0lu-script.googleusercontent.com/userCodeAppPanel"/>
    <x v="0"/>
    <n v="1"/>
    <n v="1"/>
    <n v="1"/>
    <n v="0.75"/>
    <n v="2"/>
    <n v="20"/>
    <n v="12.614666666666666"/>
    <n v="8.8773333333333326"/>
    <n v="0.90909090909090906"/>
    <n v="1"/>
    <n v="3"/>
    <s v="5d6d0dc7fbd73a00017123e6"/>
    <n v="1"/>
    <n v="1"/>
    <n v="1"/>
    <n v="3"/>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False"/>
    <s v="False"/>
    <s v="False"/>
    <s v="False"/>
    <s v="True"/>
    <s v="False"/>
    <x v="2"/>
    <s v="It is easy to decipher the topics/ words most used but not the context behind them, for example someone could tweet about Donald Trump a lot but that doesn't say whether this is in a negative or positive way."/>
    <m/>
    <n v="12.614666666666666"/>
    <n v="756.88"/>
    <n v="13.47"/>
    <m/>
    <n v="70.56"/>
    <m/>
    <m/>
    <m/>
    <m/>
    <n v="199.48"/>
    <m/>
    <m/>
    <m/>
    <m/>
    <m/>
    <m/>
    <n v="182.15"/>
    <m/>
    <m/>
    <m/>
    <m/>
    <m/>
    <m/>
    <m/>
    <m/>
    <n v="151.01"/>
    <m/>
    <m/>
    <m/>
    <m/>
    <m/>
    <m/>
    <m/>
    <m/>
    <n v="140.21"/>
    <m/>
    <m/>
    <m/>
    <m/>
    <n v="3.3246666666666664"/>
    <n v="3.0358333333333336"/>
    <n v="2.516833333333333"/>
  </r>
  <r>
    <x v="0"/>
    <x v="2"/>
    <n v="40"/>
    <s v="2019-09-06 11:31:49"/>
    <n v="6"/>
    <s v="en"/>
    <n v="1628413605"/>
    <s v="2019-09-06 11:22:33"/>
    <s v="2019-09-06 11:31:49"/>
    <s v="https://n-7gn6f3ymqlyeypjitxev2qsjqakgimt2ontr6eq-0lu-script.googleusercontent.com/userCodeAppPanel"/>
    <x v="0"/>
    <n v="1"/>
    <n v="0.5"/>
    <n v="0.875"/>
    <n v="1"/>
    <n v="3"/>
    <n v="18"/>
    <n v="9.3178333333333345"/>
    <n v="8.285166666666667"/>
    <n v="0.81818181818181823"/>
    <n v="1"/>
    <n v="3"/>
    <s v="5be2f1a1ed8fe50001c402e4"/>
    <n v="1"/>
    <n v="1"/>
    <n v="1"/>
    <n v="7"/>
    <s v="Democrats"/>
    <s v="Republicans"/>
    <s v="Donald Trump"/>
    <s v="Cluster 3"/>
    <s v="Cluster 5"/>
    <s v="Cluster 4"/>
    <s v="Cluster 0"/>
    <s v="Cluster 1"/>
    <s v="Cluster 2"/>
    <s v="love, heart, thing"/>
    <s v="black, police, white"/>
    <s v="news"/>
    <s v="new"/>
    <s v="Cluster 3"/>
    <s v="Cluster 5"/>
    <s v="accounts that tweet about crime"/>
    <s v="accounts that tweet about American presidents"/>
    <s v="True"/>
    <s v="False"/>
    <s v="True"/>
    <s v="False"/>
    <s v="True"/>
    <s v="False"/>
    <s v="True"/>
    <s v="False"/>
    <x v="0"/>
    <m/>
    <m/>
    <n v="9.3178333333333345"/>
    <n v="559.07000000000005"/>
    <n v="5.05"/>
    <m/>
    <n v="35.76"/>
    <m/>
    <m/>
    <m/>
    <m/>
    <n v="265.43"/>
    <m/>
    <m/>
    <m/>
    <m/>
    <m/>
    <m/>
    <n v="137.85"/>
    <m/>
    <m/>
    <m/>
    <m/>
    <m/>
    <m/>
    <m/>
    <m/>
    <n v="93.83"/>
    <m/>
    <m/>
    <m/>
    <m/>
    <m/>
    <m/>
    <m/>
    <m/>
    <n v="21.15"/>
    <m/>
    <m/>
    <m/>
    <m/>
    <n v="4.4238333333333335"/>
    <n v="2.2974999999999999"/>
    <n v="1.5638333333333334"/>
  </r>
  <r>
    <x v="0"/>
    <x v="2"/>
    <n v="41"/>
    <s v="2019-09-06 11:31:53"/>
    <n v="6"/>
    <s v="en"/>
    <n v="2093967612"/>
    <s v="2019-09-06 11:24:18"/>
    <s v="2019-09-06 11:31:53"/>
    <s v="https://n-7gn6f3ymqlyeypjitxev2qsjqakgimt2ontr6eq-0lu-script.googleusercontent.com/userCodeAppPanel"/>
    <x v="0"/>
    <n v="1"/>
    <n v="1"/>
    <n v="1"/>
    <n v="0.875"/>
    <n v="2"/>
    <n v="21"/>
    <n v="7.639333333333334"/>
    <n v="6.226"/>
    <n v="0.95454545454545459"/>
    <n v="1"/>
    <n v="3"/>
    <s v="5a6f9ac482968f0001a6a158"/>
    <n v="1"/>
    <n v="1"/>
    <n v="1"/>
    <n v="1"/>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since the most used words are the biggest, it is easier to get an overview of what the account mostly tweets about"/>
    <m/>
    <n v="7.639333333333334"/>
    <n v="458.36"/>
    <n v="5.35"/>
    <m/>
    <n v="30.77"/>
    <m/>
    <m/>
    <m/>
    <m/>
    <n v="168.34"/>
    <m/>
    <m/>
    <m/>
    <m/>
    <m/>
    <m/>
    <n v="121.32"/>
    <m/>
    <m/>
    <m/>
    <m/>
    <m/>
    <m/>
    <m/>
    <m/>
    <n v="83.9"/>
    <m/>
    <m/>
    <m/>
    <m/>
    <m/>
    <m/>
    <m/>
    <m/>
    <n v="48.68"/>
    <m/>
    <m/>
    <m/>
    <m/>
    <n v="2.8056666666666668"/>
    <n v="2.0219999999999998"/>
    <n v="1.3983333333333334"/>
  </r>
  <r>
    <x v="0"/>
    <x v="2"/>
    <n v="42"/>
    <s v="2019-09-06 11:33:52"/>
    <n v="6"/>
    <s v="en"/>
    <n v="2108751654"/>
    <s v="2019-09-06 11:25:18"/>
    <s v="2019-09-06 11:33:52"/>
    <s v="https://n-7gn6f3ymqlyeypjitxev2qsjqakgimt2ontr6eq-0lu-script.googleusercontent.com/userCodeAppPanel"/>
    <x v="0"/>
    <n v="1"/>
    <n v="0.33333333333333331"/>
    <n v="0.75"/>
    <n v="0.75"/>
    <n v="2"/>
    <n v="14"/>
    <n v="8.6358333333333324"/>
    <n v="5.738666666666667"/>
    <n v="0.63636363636363635"/>
    <n v="7.333333333333333"/>
    <n v="3"/>
    <s v="5cc4ce7c3bcc4500016216df"/>
    <n v="8"/>
    <n v="7"/>
    <n v="7"/>
    <n v="9"/>
    <s v="Democrats"/>
    <s v="Republicans"/>
    <s v="Donald Trump"/>
    <s v="Cluster 4"/>
    <s v="Cluster 4"/>
    <s v="Cluster 1"/>
    <s v="Cluster 5"/>
    <s v="Cluster 4"/>
    <s v="Cluster 4"/>
    <s v="love, heart, thing"/>
    <s v="black, police, white"/>
    <s v="black"/>
    <s v="trump"/>
    <s v="Cluster 3"/>
    <s v="Cluster 5"/>
    <s v="accounts that tweet about crime"/>
    <s v="accounts that tweet about news stories"/>
    <s v="True"/>
    <s v="False"/>
    <s v="False"/>
    <s v="False"/>
    <s v="True"/>
    <s v="True"/>
    <s v="True"/>
    <s v="False"/>
    <x v="2"/>
    <s v="I have to be honest I wasn't entirely sure what word cloud comprehensibility was until taking this survey, its actually very interesting will probably look into it a little bit more"/>
    <m/>
    <n v="8.6358333333333324"/>
    <n v="518.15"/>
    <n v="13.64"/>
    <m/>
    <n v="79.14"/>
    <m/>
    <m/>
    <m/>
    <m/>
    <n v="148.09"/>
    <m/>
    <m/>
    <m/>
    <m/>
    <m/>
    <m/>
    <n v="118.39"/>
    <m/>
    <m/>
    <m/>
    <m/>
    <m/>
    <m/>
    <m/>
    <m/>
    <n v="77.84"/>
    <m/>
    <m/>
    <m/>
    <m/>
    <m/>
    <m/>
    <m/>
    <m/>
    <n v="81.05"/>
    <m/>
    <m/>
    <m/>
    <m/>
    <n v="2.4681666666666668"/>
    <n v="1.9731666666666667"/>
    <n v="1.2973333333333334"/>
  </r>
  <r>
    <x v="0"/>
    <x v="2"/>
    <n v="43"/>
    <s v="2019-09-06 11:30:38"/>
    <n v="6"/>
    <s v="en"/>
    <n v="1512651175"/>
    <s v="2019-09-06 11:25:25"/>
    <s v="2019-09-06 11:30:38"/>
    <s v="https://n-7gn6f3ymqlyeypjitxev2qsjqakgimt2ontr6eq-0lu-script.googleusercontent.com/userCodeAppPanel"/>
    <x v="0"/>
    <n v="1"/>
    <n v="0.5"/>
    <n v="0.75"/>
    <n v="0.5"/>
    <n v="1"/>
    <n v="13"/>
    <n v="5.2786666666666671"/>
    <n v="4.4703333333333335"/>
    <n v="0.59090909090909094"/>
    <n v="1"/>
    <n v="3"/>
    <s v="5c9a95ef9de0ed0015388e77"/>
    <n v="1"/>
    <n v="1"/>
    <n v="1"/>
    <n v="5"/>
    <s v="Democrats"/>
    <s v="Republicans"/>
    <s v="Donald Trump"/>
    <s v="Cluster 3"/>
    <s v="Cluster 1"/>
    <s v="Cluster 4"/>
    <s v="Cluster 0"/>
    <s v="Cluster 2"/>
    <s v="Cluster 5"/>
    <s v="love, heart, thing"/>
    <s v="black, police, white"/>
    <s v="news"/>
    <s v="trump"/>
    <s v="Cluster 3"/>
    <s v="Cluster 5"/>
    <s v="accounts that tweet about news stories"/>
    <s v="accounts that tweet about news stories"/>
    <s v="True"/>
    <s v="False"/>
    <s v="True"/>
    <s v="False"/>
    <s v="False"/>
    <s v="True"/>
    <s v="False"/>
    <s v="True"/>
    <x v="3"/>
    <s v="Really easy to see what words appeared the most."/>
    <m/>
    <n v="5.2786666666666671"/>
    <n v="316.72000000000003"/>
    <n v="4.3899999999999997"/>
    <m/>
    <n v="27.57"/>
    <m/>
    <m/>
    <m/>
    <m/>
    <n v="137.9"/>
    <m/>
    <m/>
    <m/>
    <m/>
    <m/>
    <m/>
    <n v="77.5"/>
    <m/>
    <m/>
    <m/>
    <m/>
    <m/>
    <m/>
    <m/>
    <m/>
    <n v="52.82"/>
    <m/>
    <m/>
    <m/>
    <m/>
    <m/>
    <m/>
    <m/>
    <m/>
    <n v="16.54"/>
    <m/>
    <m/>
    <m/>
    <m/>
    <n v="2.2983333333333333"/>
    <n v="1.2916666666666667"/>
    <n v="0.8803333333333333"/>
  </r>
  <r>
    <x v="0"/>
    <x v="2"/>
    <n v="44"/>
    <s v="2019-09-06 11:36:35"/>
    <n v="6"/>
    <s v="en"/>
    <n v="1562912602"/>
    <s v="2019-09-06 11:26:28"/>
    <s v="2019-09-06 11:36:35"/>
    <s v="https://n-7gn6f3ymqlyeypjitxev2qsjqakgimt2ontr6eq-0lu-script.googleusercontent.com/userCodeAppPanel"/>
    <x v="0"/>
    <n v="1"/>
    <n v="1"/>
    <n v="1"/>
    <n v="0.875"/>
    <n v="2"/>
    <n v="21"/>
    <n v="10.173666666666666"/>
    <n v="8.5690000000000008"/>
    <n v="0.95454545454545459"/>
    <n v="2"/>
    <n v="3"/>
    <s v="58513454b9f14b000151795f"/>
    <n v="2"/>
    <n v="2"/>
    <n v="2"/>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ITs is usually obvious what is going on in each cloud but not every single option is easy to place"/>
    <m/>
    <n v="10.173666666666666"/>
    <n v="610.41999999999996"/>
    <n v="11.54"/>
    <m/>
    <n v="42.09"/>
    <m/>
    <m/>
    <m/>
    <m/>
    <n v="301.66000000000003"/>
    <m/>
    <m/>
    <m/>
    <m/>
    <m/>
    <m/>
    <n v="108.86"/>
    <m/>
    <m/>
    <m/>
    <m/>
    <m/>
    <m/>
    <m/>
    <m/>
    <n v="103.62"/>
    <m/>
    <m/>
    <m/>
    <m/>
    <m/>
    <m/>
    <m/>
    <m/>
    <n v="42.65"/>
    <m/>
    <m/>
    <m/>
    <m/>
    <n v="5.0276666666666667"/>
    <n v="1.8143333333333334"/>
    <n v="1.7270000000000001"/>
  </r>
  <r>
    <x v="0"/>
    <x v="2"/>
    <n v="45"/>
    <s v="2019-09-06 11:42:34"/>
    <n v="6"/>
    <s v="en"/>
    <n v="438296573"/>
    <s v="2019-09-06 11:30:28"/>
    <s v="2019-09-06 11:42:34"/>
    <s v="https://n-7gn6f3ymqlyeypjitxev2qsjqakgimt2ontr6eq-0lu-script.googleusercontent.com/blank"/>
    <x v="0"/>
    <n v="1"/>
    <n v="0.66666666666666663"/>
    <n v="0.75"/>
    <n v="0.875"/>
    <n v="1"/>
    <n v="17"/>
    <n v="12.147166666666667"/>
    <n v="10.356"/>
    <n v="0.77272727272727271"/>
    <n v="2.3333333333333335"/>
    <n v="3"/>
    <s v="59e0d7d6ac0af70001b365b4"/>
    <n v="3"/>
    <n v="2"/>
    <n v="2"/>
    <n v="4"/>
    <s v="Democrats"/>
    <s v="Republicans"/>
    <s v="Donald Trump"/>
    <s v="Cluster 3"/>
    <s v="Cluster 5"/>
    <s v="Cluster 1"/>
    <s v="Cluster 0"/>
    <s v="Cluster 5"/>
    <s v="Cluster 2"/>
    <s v="love, heart, thing"/>
    <s v="black, police, white"/>
    <s v="police"/>
    <s v="trump"/>
    <s v="Cluster 3"/>
    <s v="Cluster 5"/>
    <s v="accounts that tweet American presidents"/>
    <s v="accounts that tweet about American presidents"/>
    <s v="True"/>
    <s v="False"/>
    <s v="True"/>
    <s v="False"/>
    <s v="True"/>
    <s v="True"/>
    <s v="True"/>
    <s v="False"/>
    <x v="3"/>
    <s v="I found it easy to understand although you focus less on the less noticeable wording"/>
    <m/>
    <n v="12.147166666666667"/>
    <n v="728.83"/>
    <n v="13.49"/>
    <m/>
    <n v="35.49"/>
    <m/>
    <m/>
    <m/>
    <m/>
    <n v="273.86"/>
    <m/>
    <m/>
    <m/>
    <m/>
    <m/>
    <m/>
    <n v="196.51"/>
    <m/>
    <m/>
    <m/>
    <m/>
    <m/>
    <m/>
    <m/>
    <m/>
    <n v="150.99"/>
    <m/>
    <m/>
    <m/>
    <m/>
    <m/>
    <m/>
    <m/>
    <m/>
    <n v="58.49"/>
    <m/>
    <m/>
    <m/>
    <m/>
    <n v="4.5643333333333338"/>
    <n v="3.2751666666666663"/>
    <n v="2.5165000000000002"/>
  </r>
  <r>
    <x v="0"/>
    <x v="2"/>
    <n v="46"/>
    <s v="2019-09-06 11:54:23"/>
    <n v="6"/>
    <s v="en"/>
    <n v="1868723857"/>
    <s v="2019-09-06 11:46:00"/>
    <s v="2019-09-06 11:54:23"/>
    <s v="https://n-7gn6f3ymqlyeypjitxev2qsjqakgimt2ontr6eq-0lu-script.googleusercontent.com/userCodeAppPanel"/>
    <x v="0"/>
    <n v="1"/>
    <n v="1"/>
    <n v="1"/>
    <n v="0.875"/>
    <n v="2"/>
    <n v="21"/>
    <n v="8.4373333333333331"/>
    <n v="6.8585000000000003"/>
    <n v="0.95454545454545459"/>
    <n v="3"/>
    <n v="3"/>
    <s v="5c87e674c558df0014565c72"/>
    <n v="3"/>
    <n v="3"/>
    <n v="3"/>
    <n v="7"/>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False"/>
    <s v="True"/>
    <s v="True"/>
    <x v="2"/>
    <s v="The grouping of keywords makes it easier for me to categorise the tweets"/>
    <m/>
    <n v="8.4373333333333331"/>
    <n v="506.24"/>
    <n v="7.56"/>
    <m/>
    <n v="24.22"/>
    <m/>
    <m/>
    <m/>
    <m/>
    <n v="233.19"/>
    <m/>
    <m/>
    <m/>
    <m/>
    <m/>
    <m/>
    <n v="102.53"/>
    <m/>
    <m/>
    <m/>
    <m/>
    <m/>
    <m/>
    <m/>
    <m/>
    <n v="75.790000000000006"/>
    <m/>
    <m/>
    <m/>
    <m/>
    <m/>
    <m/>
    <m/>
    <m/>
    <n v="62.95"/>
    <m/>
    <m/>
    <m/>
    <m/>
    <n v="3.8864999999999998"/>
    <n v="1.7088333333333334"/>
    <n v="1.2631666666666668"/>
  </r>
  <r>
    <x v="2"/>
    <x v="2"/>
    <n v="47"/>
    <s v="2019-09-10 12:52:44"/>
    <n v="6"/>
    <s v="en"/>
    <n v="1948413496"/>
    <s v="2019-09-10 12:36:58"/>
    <s v="2019-09-10 12:52:44"/>
    <s v="https://n-7ndajzbjmzh6ng24opzqo36guykgimt2ontr6eq-0lu-script.googleusercontent.com/blank"/>
    <x v="0"/>
    <n v="1"/>
    <n v="0.83333333333333337"/>
    <n v="0.875"/>
    <n v="0.875"/>
    <n v="3"/>
    <n v="19"/>
    <n v="15.798"/>
    <n v="11.727833333333333"/>
    <n v="0.86363636363636365"/>
    <n v="3.6666666666666665"/>
    <n v="3"/>
    <s v="5d76b59830e6c500019de3aa"/>
    <n v="2"/>
    <n v="1"/>
    <n v="8"/>
    <n v="5"/>
    <s v="Democrats"/>
    <s v="Republicans"/>
    <s v="Donald Trump"/>
    <s v="Cluster 3"/>
    <s v="Cluster 5"/>
    <s v="Cluster 1"/>
    <s v="Cluster 0"/>
    <s v="Cluster 2"/>
    <s v="Cluster 5"/>
    <s v="love, heart, thing"/>
    <s v="black, police, white"/>
    <s v="news"/>
    <s v="trump"/>
    <s v="Cluster 3"/>
    <s v="Cluster 5"/>
    <s v="accounts that tweet about news stories"/>
    <s v="accounts that tweet about American presidents"/>
    <s v="True"/>
    <s v="True"/>
    <s v="True"/>
    <s v="False"/>
    <s v="True"/>
    <s v="False"/>
    <s v="True"/>
    <s v="False"/>
    <x v="0"/>
    <s v="Gives some idea, but important nuances of the tweets may be lost."/>
    <m/>
    <n v="15.798"/>
    <n v="947.88"/>
    <n v="67.27"/>
    <m/>
    <n v="124.07"/>
    <m/>
    <m/>
    <m/>
    <m/>
    <n v="392.51"/>
    <m/>
    <m/>
    <m/>
    <m/>
    <m/>
    <m/>
    <n v="164.12"/>
    <m/>
    <m/>
    <m/>
    <m/>
    <m/>
    <m/>
    <m/>
    <m/>
    <n v="147.04"/>
    <m/>
    <m/>
    <m/>
    <m/>
    <m/>
    <m/>
    <m/>
    <m/>
    <n v="52.87"/>
    <m/>
    <m/>
    <m/>
    <m/>
    <n v="6.5418333333333329"/>
    <n v="2.7353333333333336"/>
    <n v="2.4506666666666663"/>
  </r>
  <r>
    <x v="2"/>
    <x v="2"/>
    <n v="49"/>
    <s v="2019-09-10 12:52:19"/>
    <n v="6"/>
    <s v="en"/>
    <n v="1717302400"/>
    <s v="2019-09-10 12:42:51"/>
    <s v="2019-09-10 12:52:19"/>
    <s v="https://n-7ndajzbjmzh6ng24opzqo36guykgimt2ontr6eq-0lu-script.googleusercontent.com/userCodeAppPanel"/>
    <x v="0"/>
    <n v="1"/>
    <n v="1"/>
    <n v="0.875"/>
    <n v="0.875"/>
    <n v="2"/>
    <n v="20"/>
    <n v="9.5048333333333321"/>
    <n v="7.7676666666666669"/>
    <n v="0.90909090909090906"/>
    <n v="1.3333333333333333"/>
    <n v="3"/>
    <s v="5727267ae386b900093e2b8e"/>
    <n v="2"/>
    <n v="1"/>
    <n v="1"/>
    <n v="8"/>
    <s v="Democrats"/>
    <s v="Republicans"/>
    <s v="Donald Trump"/>
    <s v="Cluster 3"/>
    <s v="Cluster 5"/>
    <s v="Cluster 1"/>
    <s v="Cluster 0"/>
    <s v="Cluster 2"/>
    <s v="Cluster 4"/>
    <s v="love, heart, thing"/>
    <s v="black, police, white"/>
    <s v="news"/>
    <s v="trump"/>
    <s v="Cluster 3"/>
    <s v="Cluster 5"/>
    <s v="accounts that tweet about crime"/>
    <s v="accounts that tweet about news stories"/>
    <s v="True"/>
    <s v="False"/>
    <s v="True"/>
    <s v="False"/>
    <s v="True"/>
    <s v="False"/>
    <s v="True"/>
    <s v="True"/>
    <x v="2"/>
    <s v="I found it relatively straightforward to understand the key themes presented in each visualisation, and to associate these with the presented tweets."/>
    <m/>
    <n v="9.5048333333333321"/>
    <n v="570.29"/>
    <n v="3.86"/>
    <m/>
    <n v="31.22"/>
    <m/>
    <m/>
    <m/>
    <m/>
    <n v="215.4"/>
    <m/>
    <m/>
    <m/>
    <m/>
    <m/>
    <m/>
    <n v="127.68"/>
    <m/>
    <m/>
    <m/>
    <m/>
    <m/>
    <m/>
    <m/>
    <m/>
    <n v="122.98"/>
    <m/>
    <m/>
    <m/>
    <m/>
    <m/>
    <m/>
    <m/>
    <m/>
    <n v="69.150000000000006"/>
    <m/>
    <m/>
    <m/>
    <m/>
    <n v="3.5900000000000003"/>
    <n v="2.1280000000000001"/>
    <n v="2.0496666666666665"/>
  </r>
  <r>
    <x v="2"/>
    <x v="2"/>
    <n v="50"/>
    <s v="2019-09-10 12:55:50"/>
    <n v="6"/>
    <s v="en"/>
    <n v="1503602381"/>
    <s v="2019-09-10 12:46:25"/>
    <s v="2019-09-10 12:55:50"/>
    <s v="https://n-7ndajzbjmzh6ng24opzqo36guykgimt2ontr6eq-1lu-script.googleusercontent.com/userCodeAppPanel"/>
    <x v="0"/>
    <n v="1"/>
    <n v="1"/>
    <n v="0.875"/>
    <n v="1"/>
    <n v="1"/>
    <n v="21"/>
    <n v="9.4610000000000003"/>
    <n v="8.3659999999999997"/>
    <n v="0.95454545454545459"/>
    <n v="1"/>
    <n v="3"/>
    <s v="59f1d43d24d7bf00012f17f2"/>
    <n v="1"/>
    <n v="1"/>
    <n v="1"/>
    <n v="3"/>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True"/>
    <s v="False"/>
    <s v="True"/>
    <s v="False"/>
    <s v="True"/>
    <s v="False"/>
    <x v="3"/>
    <s v="Very clear and familiar format (I didn't recognise the name initially)"/>
    <m/>
    <n v="9.4610000000000003"/>
    <n v="567.66"/>
    <n v="7.15"/>
    <m/>
    <n v="26.47"/>
    <m/>
    <m/>
    <m/>
    <m/>
    <n v="228.9"/>
    <m/>
    <m/>
    <m/>
    <m/>
    <m/>
    <m/>
    <n v="114.36"/>
    <m/>
    <m/>
    <m/>
    <m/>
    <m/>
    <m/>
    <m/>
    <m/>
    <n v="158.69999999999999"/>
    <m/>
    <m/>
    <m/>
    <m/>
    <m/>
    <m/>
    <m/>
    <m/>
    <n v="32.08"/>
    <m/>
    <m/>
    <m/>
    <m/>
    <n v="3.8149999999999999"/>
    <n v="1.9059999999999999"/>
    <n v="2.645"/>
  </r>
  <r>
    <x v="2"/>
    <x v="2"/>
    <n v="51"/>
    <s v="2019-09-10 13:03:39"/>
    <n v="6"/>
    <s v="en"/>
    <n v="889917716"/>
    <s v="2019-09-10 12:52:11"/>
    <s v="2019-09-10 13:03:39"/>
    <s v="https://n-7ndajzbjmzh6ng24opzqo36guykgimt2ontr6eq-0lu-script.googleusercontent.com/blank"/>
    <x v="0"/>
    <n v="1"/>
    <n v="1"/>
    <n v="0.625"/>
    <n v="0.875"/>
    <n v="2"/>
    <n v="18"/>
    <n v="11.506"/>
    <n v="10.050833333333333"/>
    <n v="0.81818181818181823"/>
    <n v="5"/>
    <n v="3"/>
    <s v="5d52c9a1954940001995c26a"/>
    <n v="6"/>
    <n v="4"/>
    <n v="5"/>
    <n v="7"/>
    <s v="Democrats"/>
    <s v="Republicans"/>
    <s v="Donald Trump"/>
    <s v="Cluster 3"/>
    <s v="Cluster 5"/>
    <s v="Cluster 1"/>
    <s v="Cluster 0"/>
    <s v="Cluster 2"/>
    <s v="Cluster 4"/>
    <s v="love, heart, thing"/>
    <s v="black, police, white"/>
    <s v="death"/>
    <s v="obama"/>
    <s v="Cluster 3"/>
    <s v="Cluster 2"/>
    <s v="accounts that tweet about crime"/>
    <s v="accounts that tweet about American presidents"/>
    <s v="True"/>
    <s v="False"/>
    <s v="False"/>
    <s v="False"/>
    <s v="True"/>
    <s v="False"/>
    <s v="True"/>
    <s v="False"/>
    <x v="2"/>
    <s v="It is easy to see what the most important words are in the cloud"/>
    <m/>
    <n v="11.506"/>
    <n v="690.36"/>
    <n v="6.36"/>
    <m/>
    <n v="41.74"/>
    <m/>
    <m/>
    <m/>
    <m/>
    <n v="298.13"/>
    <m/>
    <m/>
    <m/>
    <m/>
    <m/>
    <m/>
    <n v="190.13"/>
    <m/>
    <m/>
    <m/>
    <m/>
    <m/>
    <m/>
    <m/>
    <m/>
    <n v="114.79"/>
    <m/>
    <m/>
    <m/>
    <m/>
    <m/>
    <m/>
    <m/>
    <m/>
    <n v="39.21"/>
    <m/>
    <m/>
    <m/>
    <m/>
    <n v="4.9688333333333334"/>
    <n v="3.1688333333333332"/>
    <n v="1.9131666666666667"/>
  </r>
  <r>
    <x v="2"/>
    <x v="2"/>
    <n v="53"/>
    <s v="2019-09-10 13:04:16"/>
    <n v="6"/>
    <s v="en"/>
    <n v="2098191236"/>
    <s v="2019-09-10 12:55:25"/>
    <s v="2019-09-10 13:04:16"/>
    <s v="https://n-7ndajzbjmzh6ng24opzqo36guykgimt2ontr6eq-0lu-script.googleusercontent.com/userCodeAppPanel"/>
    <x v="0"/>
    <n v="1"/>
    <n v="0.83333333333333337"/>
    <n v="0.75"/>
    <n v="1"/>
    <n v="2"/>
    <n v="19"/>
    <n v="8.9178333333333342"/>
    <n v="6.9833333333333334"/>
    <n v="0.86363636363636365"/>
    <n v="1"/>
    <n v="3"/>
    <s v="59660957135b5e0001929fd5"/>
    <n v="1"/>
    <n v="1"/>
    <n v="1"/>
    <n v="1"/>
    <s v="Democrats"/>
    <s v="Republicans"/>
    <s v="Donald Trump"/>
    <s v="Cluster 3"/>
    <s v="Cluster 5"/>
    <s v="Cluster 2"/>
    <s v="Cluster 0"/>
    <s v="Cluster 2"/>
    <s v="Cluster 4"/>
    <s v="love, heart, thing"/>
    <s v="black, police, white"/>
    <s v="news"/>
    <s v="trump"/>
    <s v="Cluster 3"/>
    <s v="Cluster 5"/>
    <s v="accounts that tweet American presidents"/>
    <s v="accounts that tweet about news stories"/>
    <s v="True"/>
    <s v="False"/>
    <s v="True"/>
    <s v="False"/>
    <s v="True"/>
    <s v="False"/>
    <s v="True"/>
    <s v="False"/>
    <x v="2"/>
    <s v="I found the red, most mention words much easier to concentrate on than the blue, less mentioned."/>
    <m/>
    <n v="8.9178333333333342"/>
    <n v="535.07000000000005"/>
    <n v="4.88"/>
    <m/>
    <n v="68.78"/>
    <m/>
    <m/>
    <m/>
    <m/>
    <n v="186.5"/>
    <m/>
    <m/>
    <m/>
    <m/>
    <m/>
    <m/>
    <n v="129.76"/>
    <m/>
    <m/>
    <m/>
    <m/>
    <m/>
    <m/>
    <m/>
    <m/>
    <n v="102.74"/>
    <m/>
    <m/>
    <m/>
    <m/>
    <m/>
    <m/>
    <m/>
    <m/>
    <n v="42.41"/>
    <m/>
    <m/>
    <m/>
    <m/>
    <n v="3.1083333333333334"/>
    <n v="2.1626666666666665"/>
    <n v="1.7123333333333333"/>
  </r>
  <r>
    <x v="2"/>
    <x v="2"/>
    <n v="55"/>
    <s v="2019-09-10 13:10:45"/>
    <n v="6"/>
    <s v="en"/>
    <n v="1031121528"/>
    <s v="2019-09-10 12:57:07"/>
    <s v="2019-09-10 13:10:45"/>
    <s v="https://n-7ndajzbjmzh6ng24opzqo36guykgimt2ontr6eq-0lu-script.googleusercontent.com/userCodeAppPanel"/>
    <x v="0"/>
    <n v="1"/>
    <n v="0.5"/>
    <n v="0.75"/>
    <n v="0.75"/>
    <n v="3"/>
    <n v="15"/>
    <n v="13.679499999999999"/>
    <n v="10.141666666666666"/>
    <n v="0.68181818181818177"/>
    <n v="2.3333333333333335"/>
    <n v="3"/>
    <s v="5c7f8ac84209d4000177fad5"/>
    <n v="2"/>
    <n v="3"/>
    <n v="2"/>
    <n v="5"/>
    <s v="Democrats"/>
    <s v="Republicans"/>
    <s v="Donald Trump"/>
    <s v="Cluster 3"/>
    <s v="Cluster 4"/>
    <s v="Cluster 1"/>
    <s v="Cluster 0"/>
    <s v="Cluster 5"/>
    <s v="Cluster 3"/>
    <s v="love, heart, thing"/>
    <s v="black, police, white"/>
    <s v="death"/>
    <s v="look"/>
    <s v="Cluster 3"/>
    <s v="Cluster 5"/>
    <s v="accounts that tweet about crime"/>
    <s v="accounts that tweet about American presidents"/>
    <s v="True"/>
    <s v="False"/>
    <s v="True"/>
    <s v="False"/>
    <s v="False"/>
    <s v="True"/>
    <s v="True"/>
    <s v="False"/>
    <x v="0"/>
    <s v="Was able to understand to a degree but I found some tricky to comprehend"/>
    <m/>
    <n v="13.679499999999999"/>
    <n v="820.77"/>
    <n v="26.49"/>
    <m/>
    <n v="92.13"/>
    <m/>
    <m/>
    <m/>
    <m/>
    <n v="287.26"/>
    <m/>
    <m/>
    <m/>
    <m/>
    <m/>
    <m/>
    <n v="199.8"/>
    <m/>
    <m/>
    <m/>
    <m/>
    <m/>
    <m/>
    <m/>
    <m/>
    <n v="121.44"/>
    <m/>
    <m/>
    <m/>
    <m/>
    <m/>
    <m/>
    <m/>
    <m/>
    <n v="93.65"/>
    <m/>
    <m/>
    <m/>
    <m/>
    <n v="4.7876666666666665"/>
    <n v="3.33"/>
    <n v="2.024"/>
  </r>
  <r>
    <x v="2"/>
    <x v="2"/>
    <n v="56"/>
    <s v="2019-09-10 13:07:26"/>
    <n v="6"/>
    <s v="en"/>
    <n v="1072030295"/>
    <s v="2019-09-10 12:57:13"/>
    <s v="2019-09-10 13:07:26"/>
    <s v="https://n-7ndajzbjmzh6ng24opzqo36guykgimt2ontr6eq-0lu-script.googleusercontent.com/userCodeAppPanel"/>
    <x v="0"/>
    <n v="1"/>
    <n v="0.83333333333333337"/>
    <n v="0.875"/>
    <n v="0.875"/>
    <n v="2"/>
    <n v="19"/>
    <n v="10.256499999999999"/>
    <n v="9.221166666666667"/>
    <n v="0.86363636363636365"/>
    <n v="2.3333333333333335"/>
    <n v="3"/>
    <s v="58b5e2f5731c3f0001d2828f"/>
    <n v="4"/>
    <n v="2"/>
    <n v="1"/>
    <n v="8"/>
    <s v="Democrats"/>
    <s v="Republicans"/>
    <s v="Donald Trump"/>
    <s v="Cluster 3"/>
    <s v="Cluster 1"/>
    <s v="Cluster 1"/>
    <s v="Cluster 0"/>
    <s v="Cluster 2"/>
    <s v="Cluster 4"/>
    <s v="love, heart, thing"/>
    <s v="black, police, white"/>
    <s v="news"/>
    <s v="trump"/>
    <s v="Cluster 3"/>
    <s v="Cluster 5"/>
    <s v="accounts that tweet about news stories"/>
    <s v="accounts that tweet about American presidents"/>
    <s v="True"/>
    <s v="False"/>
    <s v="True"/>
    <s v="False"/>
    <s v="False"/>
    <s v="False"/>
    <s v="True"/>
    <s v="False"/>
    <x v="2"/>
    <s v="The tweets don't always fit into one of the clouds easily"/>
    <m/>
    <n v="10.256499999999999"/>
    <n v="615.39"/>
    <n v="4.4400000000000004"/>
    <m/>
    <n v="25.95"/>
    <m/>
    <m/>
    <m/>
    <m/>
    <n v="281.49"/>
    <m/>
    <m/>
    <m/>
    <m/>
    <m/>
    <m/>
    <n v="118.17"/>
    <m/>
    <m/>
    <m/>
    <m/>
    <m/>
    <m/>
    <m/>
    <m/>
    <n v="153.61000000000001"/>
    <m/>
    <m/>
    <m/>
    <m/>
    <m/>
    <m/>
    <m/>
    <m/>
    <n v="31.73"/>
    <m/>
    <m/>
    <m/>
    <m/>
    <n v="4.6915000000000004"/>
    <n v="1.9695"/>
    <n v="2.5601666666666669"/>
  </r>
  <r>
    <x v="2"/>
    <x v="2"/>
    <n v="57"/>
    <s v="2019-09-10 13:05:20"/>
    <n v="6"/>
    <s v="en"/>
    <n v="11509637"/>
    <s v="2019-09-10 12:57:59"/>
    <s v="2019-09-10 13:05:20"/>
    <s v="https://n-7ndajzbjmzh6ng24opzqo36guykgimt2ontr6eq-0lu-script.googleusercontent.com/userCodeAppPanel"/>
    <x v="0"/>
    <n v="1"/>
    <n v="1"/>
    <n v="0.875"/>
    <n v="0.875"/>
    <n v="2"/>
    <n v="20"/>
    <n v="7.4046666666666665"/>
    <n v="5.871833333333333"/>
    <n v="0.90909090909090906"/>
    <n v="1"/>
    <n v="3"/>
    <s v="5c5f1e4f4fff5700017ec90e"/>
    <n v="1"/>
    <n v="1"/>
    <n v="1"/>
    <n v="2"/>
    <s v="Democrats"/>
    <s v="Republicans"/>
    <s v="Donald Trump"/>
    <s v="Cluster 3"/>
    <s v="Cluster 5"/>
    <s v="Cluster 1"/>
    <s v="Cluster 0"/>
    <s v="Cluster 2"/>
    <s v="Cluster 4"/>
    <s v="love, heart, thing"/>
    <s v="black, police, white"/>
    <s v="news"/>
    <s v="trump"/>
    <s v="Cluster 3"/>
    <s v="Cluster 5"/>
    <s v="accounts that tweet about crime"/>
    <s v="accounts that tweet about news stories"/>
    <s v="True"/>
    <s v="False"/>
    <s v="True"/>
    <s v="False"/>
    <s v="False"/>
    <s v="False"/>
    <s v="True"/>
    <s v="False"/>
    <x v="2"/>
    <s v="Easy to see the words/topics in involved but connection between topics can be vague"/>
    <m/>
    <n v="7.4046666666666665"/>
    <n v="444.28"/>
    <n v="8.1199999999999992"/>
    <m/>
    <n v="23.31"/>
    <m/>
    <m/>
    <m/>
    <m/>
    <n v="137.66999999999999"/>
    <m/>
    <m/>
    <m/>
    <m/>
    <m/>
    <m/>
    <n v="109.32"/>
    <m/>
    <m/>
    <m/>
    <m/>
    <m/>
    <m/>
    <m/>
    <m/>
    <n v="105.32"/>
    <m/>
    <m/>
    <m/>
    <m/>
    <m/>
    <m/>
    <m/>
    <m/>
    <n v="60.54"/>
    <m/>
    <m/>
    <m/>
    <m/>
    <n v="2.2944999999999998"/>
    <n v="1.8219999999999998"/>
    <n v="1.7553333333333332"/>
  </r>
  <r>
    <x v="2"/>
    <x v="2"/>
    <n v="58"/>
    <s v="2019-09-10 13:11:21"/>
    <n v="6"/>
    <s v="en"/>
    <n v="1937364120"/>
    <s v="2019-09-10 12:59:25"/>
    <s v="2019-09-10 13:11:21"/>
    <s v="https://n-7ndajzbjmzh6ng24opzqo36guykgimt2ontr6eq-0lu-script.googleusercontent.com/userCodeAppPanel"/>
    <x v="0"/>
    <n v="1"/>
    <n v="1"/>
    <n v="0.625"/>
    <n v="0.875"/>
    <n v="2"/>
    <n v="18"/>
    <n v="11.667166666666667"/>
    <n v="10.259333333333334"/>
    <n v="0.81818181818181823"/>
    <n v="1"/>
    <n v="3"/>
    <s v="5d333965f56db60001f01782"/>
    <n v="1"/>
    <n v="1"/>
    <n v="1"/>
    <n v="3"/>
    <s v="Democrats"/>
    <s v="Republicans"/>
    <s v="Donald Trump"/>
    <s v="Cluster 3"/>
    <s v="Cluster 5"/>
    <s v="Cluster 1"/>
    <s v="Cluster 0"/>
    <s v="Cluster 2"/>
    <s v="Cluster 4"/>
    <s v="love, heart, thing"/>
    <s v="black, police, white"/>
    <s v="death"/>
    <s v="new"/>
    <s v="Cluster 3"/>
    <s v="Cluster 5"/>
    <s v="accounts that tweet about news stories"/>
    <s v="accounts that tweet about American presidents"/>
    <s v="True"/>
    <s v="False"/>
    <s v="True"/>
    <s v="False"/>
    <s v="False"/>
    <s v="False"/>
    <s v="True"/>
    <s v="False"/>
    <x v="2"/>
    <m/>
    <m/>
    <n v="11.667166666666667"/>
    <n v="700.03"/>
    <n v="8.07"/>
    <m/>
    <n v="58.76"/>
    <m/>
    <m/>
    <m/>
    <m/>
    <n v="336.81"/>
    <m/>
    <m/>
    <m/>
    <m/>
    <m/>
    <m/>
    <n v="189.41"/>
    <m/>
    <m/>
    <m/>
    <m/>
    <m/>
    <m/>
    <m/>
    <m/>
    <n v="89.34"/>
    <m/>
    <m/>
    <m/>
    <m/>
    <m/>
    <m/>
    <m/>
    <m/>
    <n v="17.64"/>
    <m/>
    <m/>
    <m/>
    <m/>
    <n v="5.6135000000000002"/>
    <n v="3.1568333333333332"/>
    <n v="1.4890000000000001"/>
  </r>
  <r>
    <x v="2"/>
    <x v="2"/>
    <n v="59"/>
    <s v="2019-09-10 13:13:06"/>
    <n v="6"/>
    <s v="en"/>
    <n v="1483865383"/>
    <s v="2019-09-10 13:02:48"/>
    <s v="2019-09-10 13:13:06"/>
    <s v="https://n-7ndajzbjmzh6ng24opzqo36guykgimt2ontr6eq-0lu-script.googleusercontent.com/userCodeAppPanel"/>
    <x v="0"/>
    <n v="1"/>
    <n v="0.66666666666666663"/>
    <n v="0.75"/>
    <n v="1"/>
    <n v="2"/>
    <n v="18"/>
    <n v="10.341166666666668"/>
    <n v="8.7008333333333336"/>
    <n v="0.81818181818181823"/>
    <n v="4.333333333333333"/>
    <n v="3"/>
    <s v="5ce3bc173d3878001971daa1"/>
    <n v="3"/>
    <n v="3"/>
    <n v="7"/>
    <n v="9"/>
    <s v="Democrats"/>
    <s v="Republicans"/>
    <s v="Donald Trump"/>
    <s v="Cluster 3"/>
    <s v="Cluster 5"/>
    <s v="Cluster 4"/>
    <s v="Cluster 0"/>
    <s v="Cluster 5"/>
    <s v="Cluster 4"/>
    <s v="love, heart, thing"/>
    <s v="black, police, white"/>
    <s v="news"/>
    <s v="trump"/>
    <s v="Cluster 3"/>
    <s v="Cluster 5"/>
    <s v="accounts that tweet about news stories"/>
    <s v="accounts that tweet about news stories"/>
    <s v="True"/>
    <s v="False"/>
    <s v="True"/>
    <s v="False"/>
    <s v="True"/>
    <s v="False"/>
    <s v="True"/>
    <s v="False"/>
    <x v="2"/>
    <s v="Sizes and colouration of words definitely help to quickly interpret the most discussed topics in a certain context."/>
    <m/>
    <n v="10.341166666666668"/>
    <n v="620.47"/>
    <n v="10.42"/>
    <m/>
    <n v="34.75"/>
    <m/>
    <m/>
    <m/>
    <m/>
    <n v="278.05"/>
    <m/>
    <m/>
    <m/>
    <m/>
    <m/>
    <m/>
    <n v="134.43"/>
    <m/>
    <m/>
    <m/>
    <m/>
    <m/>
    <m/>
    <m/>
    <m/>
    <n v="109.57"/>
    <m/>
    <m/>
    <m/>
    <m/>
    <m/>
    <m/>
    <m/>
    <m/>
    <n v="53.25"/>
    <m/>
    <m/>
    <m/>
    <m/>
    <n v="4.6341666666666672"/>
    <n v="2.2404999999999999"/>
    <n v="1.8261666666666665"/>
  </r>
  <r>
    <x v="1"/>
    <x v="2"/>
    <n v="64"/>
    <s v="2019-09-11 08:34:29"/>
    <n v="6"/>
    <s v="en"/>
    <n v="1564147110"/>
    <s v="2019-09-11 08:25:27"/>
    <s v="2019-09-11 08:34:28"/>
    <s v="https://n-7ndajzbjmzh6ng24opzqo36guykgimt2ontr6eq-0lu-script.googleusercontent.com/blank"/>
    <x v="0"/>
    <n v="1"/>
    <n v="0.83333333333333337"/>
    <n v="1"/>
    <n v="1"/>
    <n v="2"/>
    <n v="21"/>
    <n v="9.0641666666666669"/>
    <n v="7.6611666666666665"/>
    <n v="0.95454545454545459"/>
    <n v="5"/>
    <n v="3"/>
    <s v="5c2e93f54c025f000187d7a9"/>
    <n v="6"/>
    <n v="6"/>
    <n v="3"/>
    <n v="6"/>
    <s v="Democrats"/>
    <s v="Republicans"/>
    <s v="Donald Trump"/>
    <s v="Cluster 3"/>
    <s v="Cluster 5"/>
    <s v="Cluster 1"/>
    <s v="Cluster 0"/>
    <s v="Cluster 2"/>
    <s v="Cluster 5"/>
    <s v="love, heart, thing"/>
    <s v="black, police, white"/>
    <s v="news"/>
    <s v="trump"/>
    <s v="Cluster 3"/>
    <s v="Cluster 5"/>
    <s v="accounts that tweet about crime"/>
    <s v="accounts that tweet about American presidents"/>
    <s v="True"/>
    <s v="False"/>
    <s v="True"/>
    <s v="False"/>
    <s v="True"/>
    <s v="False"/>
    <s v="True"/>
    <s v="False"/>
    <x v="2"/>
    <m/>
    <m/>
    <n v="9.0641666666666669"/>
    <n v="543.85"/>
    <n v="37.340000000000003"/>
    <m/>
    <n v="37.81"/>
    <m/>
    <m/>
    <m/>
    <m/>
    <n v="212.7"/>
    <m/>
    <m/>
    <m/>
    <m/>
    <m/>
    <m/>
    <n v="166.91"/>
    <m/>
    <m/>
    <m/>
    <m/>
    <m/>
    <m/>
    <m/>
    <m/>
    <n v="80.06"/>
    <m/>
    <m/>
    <m/>
    <m/>
    <m/>
    <m/>
    <m/>
    <m/>
    <n v="9.0299999999999994"/>
    <m/>
    <m/>
    <m/>
    <m/>
    <n v="3.5449999999999999"/>
    <n v="2.7818333333333332"/>
    <n v="1.3343333333333334"/>
  </r>
  <r>
    <x v="1"/>
    <x v="2"/>
    <n v="65"/>
    <s v="2019-09-11 08:45:02"/>
    <n v="6"/>
    <s v="en"/>
    <n v="1040808439"/>
    <s v="2019-09-11 08:25:59"/>
    <s v="2019-09-11 08:45:02"/>
    <s v="https://n-7ndajzbjmzh6ng24opzqo36guykgimt2ontr6eq-0lu-script.googleusercontent.com/userCodeAppPanel"/>
    <x v="0"/>
    <n v="1"/>
    <n v="0.5"/>
    <n v="0.875"/>
    <n v="1"/>
    <n v="4"/>
    <n v="18"/>
    <n v="19.0915"/>
    <n v="12.477"/>
    <n v="0.81818181818181823"/>
    <n v="1"/>
    <n v="3"/>
    <s v="5a1f412e074b1900012534ea"/>
    <n v="1"/>
    <n v="1"/>
    <n v="1"/>
    <n v="7"/>
    <s v="Democrats"/>
    <s v="Republicans"/>
    <s v="Donald Trump"/>
    <s v="Cluster 3"/>
    <s v="Cluster 5"/>
    <s v="Cluster 2"/>
    <s v="Cluster 0"/>
    <s v="Cluster 5"/>
    <s v="Cluster 5"/>
    <s v="love, heart, thing"/>
    <s v="black, police, white"/>
    <s v="news"/>
    <s v="look"/>
    <s v="Cluster 3"/>
    <s v="Cluster 5"/>
    <s v="accounts that tweet about crime"/>
    <s v="accounts that tweet about American presidents"/>
    <s v="True"/>
    <s v="False"/>
    <s v="True"/>
    <s v="False"/>
    <s v="True"/>
    <s v="False"/>
    <s v="True"/>
    <s v="False"/>
    <x v="1"/>
    <s v="understanding the cloud"/>
    <m/>
    <n v="19.0915"/>
    <n v="1145.49"/>
    <n v="11.32"/>
    <m/>
    <n v="170.1"/>
    <m/>
    <m/>
    <m/>
    <m/>
    <n v="340.85"/>
    <m/>
    <m/>
    <m/>
    <m/>
    <m/>
    <m/>
    <n v="245.76"/>
    <m/>
    <m/>
    <m/>
    <m/>
    <m/>
    <m/>
    <m/>
    <m/>
    <n v="162.01"/>
    <m/>
    <m/>
    <m/>
    <m/>
    <m/>
    <m/>
    <m/>
    <m/>
    <n v="215.45"/>
    <m/>
    <m/>
    <m/>
    <m/>
    <n v="5.6808333333333341"/>
    <n v="4.0960000000000001"/>
    <n v="2.7001666666666666"/>
  </r>
  <r>
    <x v="1"/>
    <x v="2"/>
    <n v="66"/>
    <s v="2019-09-11 08:34:40"/>
    <n v="6"/>
    <s v="en"/>
    <n v="652216151"/>
    <s v="2019-09-11 08:26:55"/>
    <s v="2019-09-11 08:34:39"/>
    <s v="https://n-7ndajzbjmzh6ng24opzqo36guykgimt2ontr6eq-0lu-script.googleusercontent.com/userCodeAppPanel"/>
    <x v="0"/>
    <n v="1"/>
    <n v="0.66666666666666663"/>
    <n v="0.625"/>
    <n v="0.75"/>
    <n v="1"/>
    <n v="15"/>
    <n v="7.7931666666666661"/>
    <n v="6.8403333333333336"/>
    <n v="0.68181818181818177"/>
    <n v="1"/>
    <n v="3"/>
    <s v="5a4b5c5135c9d50001fdd221"/>
    <n v="1"/>
    <n v="1"/>
    <n v="1"/>
    <n v="5"/>
    <s v="Democrats"/>
    <s v="Republicans"/>
    <s v="Donald Trump"/>
    <s v="Cluster 3"/>
    <s v="Cluster 5"/>
    <s v="Cluster 4"/>
    <s v="Cluster 0"/>
    <s v="Cluster 2"/>
    <s v="Cluster 1"/>
    <s v="love, heart, thing"/>
    <s v="black, police, white"/>
    <s v="death"/>
    <s v="new"/>
    <s v="Cluster 3"/>
    <s v="Cluster 5"/>
    <s v="accounts that tweet about news stories"/>
    <s v="accounts that tweet about American presidents"/>
    <s v="True"/>
    <s v="False"/>
    <s v="True"/>
    <s v="False"/>
    <s v="False"/>
    <s v="True"/>
    <s v="True"/>
    <s v="False"/>
    <x v="3"/>
    <s v="Good data analysis"/>
    <m/>
    <n v="7.7931666666666661"/>
    <n v="467.59"/>
    <n v="4.9000000000000004"/>
    <m/>
    <n v="28.27"/>
    <m/>
    <m/>
    <m/>
    <m/>
    <n v="162"/>
    <m/>
    <m/>
    <m/>
    <m/>
    <m/>
    <m/>
    <n v="152.76"/>
    <m/>
    <m/>
    <m/>
    <m/>
    <m/>
    <m/>
    <m/>
    <m/>
    <n v="95.66"/>
    <m/>
    <m/>
    <m/>
    <m/>
    <m/>
    <m/>
    <m/>
    <m/>
    <n v="24"/>
    <m/>
    <m/>
    <m/>
    <m/>
    <n v="2.7"/>
    <n v="2.5459999999999998"/>
    <n v="1.5943333333333334"/>
  </r>
  <r>
    <x v="1"/>
    <x v="2"/>
    <n v="67"/>
    <s v="2019-09-11 08:33:43"/>
    <n v="6"/>
    <s v="en"/>
    <n v="1640913804"/>
    <s v="2019-09-11 08:27:07"/>
    <s v="2019-09-11 08:33:43"/>
    <s v="https://n-7ndajzbjmzh6ng24opzqo36guykgimt2ontr6eq-0lu-script.googleusercontent.com/blank"/>
    <x v="0"/>
    <n v="1"/>
    <n v="0.83333333333333337"/>
    <n v="0.875"/>
    <n v="0.875"/>
    <n v="2"/>
    <n v="19"/>
    <n v="6.6276666666666673"/>
    <n v="5.730500000000001"/>
    <n v="0.86363636363636365"/>
    <n v="1.3333333333333333"/>
    <n v="3"/>
    <s v="5cd6ba1d36870e001901b349"/>
    <n v="2"/>
    <n v="1"/>
    <n v="1"/>
    <n v="3"/>
    <s v="Democrats"/>
    <s v="Republicans"/>
    <s v="Donald Trump"/>
    <s v="Cluster 3"/>
    <s v="Cluster 5"/>
    <s v="Cluster 1"/>
    <s v="Cluster 0"/>
    <s v="Cluster 1"/>
    <s v="Cluster 4"/>
    <s v="love, heart, thing"/>
    <s v="black, police, white"/>
    <s v="news"/>
    <s v="trump"/>
    <s v="Cluster 3"/>
    <s v="Cluster 5"/>
    <s v="accounts that tweet about news stories"/>
    <s v="accounts that tweet about American presidents"/>
    <s v="True"/>
    <s v="False"/>
    <s v="True"/>
    <s v="False"/>
    <s v="True"/>
    <s v="True"/>
    <s v="True"/>
    <s v="False"/>
    <x v="2"/>
    <m/>
    <m/>
    <n v="6.6276666666666673"/>
    <n v="397.66"/>
    <n v="10.02"/>
    <m/>
    <n v="29.47"/>
    <m/>
    <m/>
    <m/>
    <m/>
    <n v="165.16"/>
    <m/>
    <m/>
    <m/>
    <m/>
    <m/>
    <m/>
    <n v="115.07"/>
    <m/>
    <m/>
    <m/>
    <m/>
    <m/>
    <m/>
    <m/>
    <m/>
    <n v="63.6"/>
    <m/>
    <m/>
    <m/>
    <m/>
    <m/>
    <m/>
    <m/>
    <m/>
    <n v="14.34"/>
    <m/>
    <m/>
    <m/>
    <m/>
    <n v="2.7526666666666668"/>
    <n v="1.9178333333333333"/>
    <n v="1.06"/>
  </r>
  <r>
    <x v="1"/>
    <x v="2"/>
    <n v="68"/>
    <s v="2019-09-11 08:36:53"/>
    <n v="6"/>
    <s v="en"/>
    <n v="1798859755"/>
    <s v="2019-09-11 08:27:13"/>
    <s v="2019-09-11 08:36:53"/>
    <s v="https://n-7ndajzbjmzh6ng24opzqo36guykgimt2ontr6eq-0lu-script.googleusercontent.com/userCodeAppPanel"/>
    <x v="0"/>
    <n v="1"/>
    <n v="0.5"/>
    <n v="0.75"/>
    <n v="0.75"/>
    <n v="4"/>
    <n v="15"/>
    <n v="9.7259999999999991"/>
    <n v="8.6174999999999997"/>
    <n v="0.68181818181818177"/>
    <n v="3"/>
    <n v="3"/>
    <s v="5d64759fedf23500018f9334"/>
    <n v="5"/>
    <n v="3"/>
    <n v="1"/>
    <n v="5"/>
    <s v="Democrats"/>
    <s v="Republicans"/>
    <s v="Donald Trump"/>
    <s v="Cluster 3"/>
    <s v="Cluster 5"/>
    <s v="Cluster 4"/>
    <s v="Cluster 0"/>
    <s v="Cluster 5"/>
    <s v="Cluster 2"/>
    <s v="love, heart, thing"/>
    <s v="black, police, white"/>
    <s v="black"/>
    <s v="new"/>
    <s v="Cluster 3"/>
    <s v="Cluster 5"/>
    <s v="accounts that tweet about crime"/>
    <s v="accounts that tweet about American presidents"/>
    <s v="True"/>
    <s v="False"/>
    <s v="True"/>
    <s v="False"/>
    <s v="False"/>
    <s v="False"/>
    <s v="True"/>
    <s v="True"/>
    <x v="1"/>
    <s v="Very interesting subject."/>
    <m/>
    <n v="9.7259999999999991"/>
    <n v="583.55999999999995"/>
    <n v="5.0999999999999996"/>
    <m/>
    <n v="35.880000000000003"/>
    <m/>
    <m/>
    <m/>
    <m/>
    <n v="251.88"/>
    <m/>
    <m/>
    <m/>
    <m/>
    <m/>
    <m/>
    <n v="164.45"/>
    <m/>
    <m/>
    <m/>
    <m/>
    <m/>
    <m/>
    <m/>
    <m/>
    <n v="100.72"/>
    <m/>
    <m/>
    <m/>
    <m/>
    <m/>
    <m/>
    <m/>
    <m/>
    <n v="25.53"/>
    <m/>
    <m/>
    <m/>
    <m/>
    <n v="4.1979999999999995"/>
    <n v="2.7408333333333332"/>
    <n v="1.6786666666666668"/>
  </r>
  <r>
    <x v="1"/>
    <x v="2"/>
    <n v="69"/>
    <s v="2019-09-11 08:39:30"/>
    <n v="6"/>
    <s v="en"/>
    <n v="921264691"/>
    <s v="2019-09-11 08:27:20"/>
    <s v="2019-09-11 08:39:30"/>
    <s v="https://n-7ndajzbjmzh6ng24opzqo36guykgimt2ontr6eq-0lu-script.googleusercontent.com/blank"/>
    <x v="0"/>
    <n v="1"/>
    <n v="1"/>
    <n v="1"/>
    <n v="0.875"/>
    <n v="1"/>
    <n v="21"/>
    <n v="12.225333333333333"/>
    <n v="11.373333333333333"/>
    <n v="0.95454545454545459"/>
    <n v="1.6666666666666667"/>
    <n v="3"/>
    <s v="59f3a778b47dfc0001b65cf9"/>
    <n v="2"/>
    <n v="2"/>
    <n v="1"/>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3"/>
    <m/>
    <m/>
    <n v="12.225333333333333"/>
    <n v="733.52"/>
    <n v="12.63"/>
    <m/>
    <n v="27.6"/>
    <m/>
    <m/>
    <m/>
    <m/>
    <n v="363.51"/>
    <m/>
    <m/>
    <m/>
    <m/>
    <m/>
    <m/>
    <n v="151.9"/>
    <m/>
    <m/>
    <m/>
    <m/>
    <m/>
    <m/>
    <m/>
    <m/>
    <n v="166.99"/>
    <m/>
    <m/>
    <m/>
    <m/>
    <m/>
    <m/>
    <m/>
    <m/>
    <n v="10.89"/>
    <m/>
    <m/>
    <m/>
    <m/>
    <n v="6.0584999999999996"/>
    <n v="2.5316666666666667"/>
    <n v="2.7831666666666668"/>
  </r>
  <r>
    <x v="1"/>
    <x v="2"/>
    <n v="70"/>
    <s v="2019-09-11 08:36:58"/>
    <n v="6"/>
    <s v="en"/>
    <n v="827171161"/>
    <s v="2019-09-11 08:27:35"/>
    <s v="2019-09-11 08:36:57"/>
    <m/>
    <x v="0"/>
    <n v="1"/>
    <n v="1"/>
    <n v="0.625"/>
    <n v="0.875"/>
    <n v="3"/>
    <n v="18"/>
    <n v="9.4169999999999998"/>
    <n v="8.105833333333333"/>
    <n v="0.81818181818181823"/>
    <n v="1.3333333333333333"/>
    <n v="3"/>
    <s v="5979d62b1fc28a000191759a"/>
    <n v="2"/>
    <n v="1"/>
    <n v="1"/>
    <n v="5"/>
    <s v="Democrats"/>
    <s v="Republicans"/>
    <s v="Donald Trump"/>
    <s v="Cluster 3"/>
    <s v="Cluster 5"/>
    <s v="Cluster 1"/>
    <s v="Cluster 0"/>
    <s v="Cluster 2"/>
    <s v="Cluster 4"/>
    <s v="love, heart, thing"/>
    <s v="black, police, white"/>
    <s v="death"/>
    <s v="trump"/>
    <s v="Cluster 3"/>
    <s v="Cluster 5"/>
    <s v="accounts that tweet about news stories"/>
    <s v="accounts that tweet about news stories"/>
    <s v="True"/>
    <s v="False"/>
    <s v="True"/>
    <s v="False"/>
    <s v="False"/>
    <s v="False"/>
    <s v="True"/>
    <s v="False"/>
    <x v="0"/>
    <s v="understandable"/>
    <m/>
    <n v="9.4169999999999998"/>
    <n v="565.02"/>
    <n v="7.45"/>
    <m/>
    <n v="45.21"/>
    <m/>
    <m/>
    <m/>
    <m/>
    <n v="198.25"/>
    <m/>
    <m/>
    <m/>
    <m/>
    <m/>
    <m/>
    <n v="190.57"/>
    <m/>
    <m/>
    <m/>
    <m/>
    <m/>
    <m/>
    <m/>
    <m/>
    <n v="97.53"/>
    <m/>
    <m/>
    <m/>
    <m/>
    <m/>
    <m/>
    <m/>
    <m/>
    <n v="26.01"/>
    <m/>
    <m/>
    <m/>
    <m/>
    <n v="3.3041666666666667"/>
    <n v="3.1761666666666666"/>
    <n v="1.6254999999999999"/>
  </r>
  <r>
    <x v="1"/>
    <x v="2"/>
    <n v="71"/>
    <s v="2019-09-11 08:42:31"/>
    <n v="6"/>
    <s v="en"/>
    <n v="1842307414"/>
    <s v="2019-09-11 08:27:53"/>
    <s v="2019-09-11 08:42:31"/>
    <s v="https://n-7ndajzbjmzh6ng24opzqo36guykgimt2ontr6eq-0lu-script.googleusercontent.com/userCodeAppPanel"/>
    <x v="0"/>
    <n v="1"/>
    <n v="1"/>
    <n v="1"/>
    <n v="1"/>
    <n v="2"/>
    <n v="22"/>
    <n v="14.675000000000001"/>
    <n v="12.0945"/>
    <n v="1"/>
    <n v="1"/>
    <n v="3"/>
    <s v="591c76c53ae7870001cb0c60"/>
    <n v="1"/>
    <n v="1"/>
    <n v="1"/>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False"/>
    <s v="True"/>
    <s v="False"/>
    <x v="2"/>
    <s v="Seemingly straightforward at first, but needs more careful observation to pick up more subtle indications of subject matter."/>
    <m/>
    <n v="14.675000000000001"/>
    <n v="880.5"/>
    <n v="6.13"/>
    <m/>
    <n v="55.38"/>
    <m/>
    <m/>
    <m/>
    <m/>
    <n v="350.45"/>
    <m/>
    <m/>
    <m/>
    <m/>
    <m/>
    <m/>
    <n v="246.32"/>
    <m/>
    <m/>
    <m/>
    <m/>
    <m/>
    <m/>
    <m/>
    <m/>
    <n v="128.9"/>
    <m/>
    <m/>
    <m/>
    <m/>
    <m/>
    <m/>
    <m/>
    <m/>
    <n v="93.32"/>
    <m/>
    <m/>
    <m/>
    <m/>
    <n v="5.8408333333333333"/>
    <n v="4.1053333333333333"/>
    <n v="2.1483333333333334"/>
  </r>
  <r>
    <x v="1"/>
    <x v="2"/>
    <n v="72"/>
    <s v="2019-09-11 08:44:16"/>
    <n v="6"/>
    <s v="en"/>
    <n v="285215741"/>
    <s v="2019-09-11 08:27:53"/>
    <s v="2019-09-11 08:44:16"/>
    <s v="https://n-7ndajzbjmzh6ng24opzqo36guykgimt2ontr6eq-0lu-script.googleusercontent.com/userCodeAppPanel"/>
    <x v="0"/>
    <n v="1"/>
    <n v="1"/>
    <n v="1"/>
    <n v="0.625"/>
    <n v="2"/>
    <n v="19"/>
    <n v="16.4315"/>
    <n v="13.916"/>
    <n v="0.86363636363636365"/>
    <n v="5.666666666666667"/>
    <n v="3"/>
    <s v="5d0c7c551c7a8f0001e3d2e6"/>
    <n v="5"/>
    <n v="6"/>
    <n v="6"/>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True"/>
    <s v="False"/>
    <s v="False"/>
    <s v="False"/>
    <s v="False"/>
    <x v="2"/>
    <s v="Easy to read, the big words jump out at you, but the smallest words are harder to read so have to concentrate harder"/>
    <m/>
    <n v="16.4315"/>
    <n v="985.89"/>
    <n v="21.67"/>
    <m/>
    <n v="88.78"/>
    <m/>
    <m/>
    <m/>
    <m/>
    <n v="449.63"/>
    <m/>
    <m/>
    <m/>
    <m/>
    <m/>
    <m/>
    <n v="181.04"/>
    <m/>
    <m/>
    <m/>
    <m/>
    <m/>
    <m/>
    <m/>
    <m/>
    <n v="204.29"/>
    <m/>
    <m/>
    <m/>
    <m/>
    <m/>
    <m/>
    <m/>
    <m/>
    <n v="40.479999999999997"/>
    <m/>
    <m/>
    <m/>
    <m/>
    <n v="7.4938333333333329"/>
    <n v="3.0173333333333332"/>
    <n v="3.4048333333333334"/>
  </r>
  <r>
    <x v="1"/>
    <x v="2"/>
    <n v="73"/>
    <s v="2019-09-11 08:37:53"/>
    <n v="6"/>
    <s v="en"/>
    <n v="301137185"/>
    <s v="2019-09-11 08:27:54"/>
    <s v="2019-09-11 08:37:53"/>
    <s v="https://n-7ndajzbjmzh6ng24opzqo36guykgimt2ontr6eq-0lu-script.googleusercontent.com/userCodeAppPanel"/>
    <x v="0"/>
    <n v="1"/>
    <n v="0"/>
    <n v="0.875"/>
    <n v="0.75"/>
    <n v="4"/>
    <n v="13"/>
    <n v="10.020999999999999"/>
    <n v="4.4628333333333332"/>
    <n v="0.59090909090909094"/>
    <n v="3"/>
    <n v="3"/>
    <s v="5ad35bcdfb109b0001a32b20"/>
    <n v="1"/>
    <n v="1"/>
    <n v="7"/>
    <n v="4"/>
    <s v="Democrats"/>
    <s v="Republicans"/>
    <s v="Donald Trump"/>
    <s v="Cluster 2"/>
    <s v="Cluster 2"/>
    <s v="Cluster 3"/>
    <s v="Cluster 1"/>
    <s v="Cluster 4"/>
    <s v="Cluster 3"/>
    <s v="love, heart, thing"/>
    <s v="black, police, white"/>
    <s v="news"/>
    <s v="trump"/>
    <s v="Cluster 3"/>
    <s v="Cluster 5"/>
    <s v="accounts that tweet about crime"/>
    <s v="accounts that tweet about news stories"/>
    <s v="True"/>
    <s v="False"/>
    <s v="True"/>
    <s v="False"/>
    <s v="True"/>
    <s v="True"/>
    <s v="True"/>
    <s v="True"/>
    <x v="1"/>
    <s v="I really do not fully understand word cloud comprehensibility"/>
    <m/>
    <n v="10.020999999999999"/>
    <n v="601.26"/>
    <n v="243.02"/>
    <m/>
    <n v="35.130000000000003"/>
    <m/>
    <m/>
    <m/>
    <m/>
    <n v="127.67"/>
    <m/>
    <m/>
    <m/>
    <m/>
    <m/>
    <m/>
    <n v="76.459999999999994"/>
    <m/>
    <m/>
    <m/>
    <m/>
    <m/>
    <m/>
    <m/>
    <m/>
    <n v="63.64"/>
    <m/>
    <m/>
    <m/>
    <m/>
    <m/>
    <m/>
    <m/>
    <m/>
    <n v="55.34"/>
    <m/>
    <m/>
    <m/>
    <m/>
    <n v="2.1278333333333332"/>
    <n v="1.2743333333333333"/>
    <n v="1.0606666666666666"/>
  </r>
  <r>
    <x v="1"/>
    <x v="2"/>
    <n v="74"/>
    <s v="2019-09-11 08:37:22"/>
    <n v="6"/>
    <s v="en"/>
    <n v="1435807609"/>
    <s v="2019-09-11 08:27:59"/>
    <s v="2019-09-11 08:37:22"/>
    <s v="https://n-7ndajzbjmzh6ng24opzqo36guykgimt2ontr6eq-0lu-script.googleusercontent.com/userCodeAppPanel"/>
    <x v="0"/>
    <n v="1"/>
    <n v="1"/>
    <n v="0.875"/>
    <n v="1"/>
    <n v="3"/>
    <n v="21"/>
    <n v="9.43"/>
    <n v="7.53"/>
    <n v="0.95454545454545459"/>
    <n v="2.3333333333333335"/>
    <n v="3"/>
    <s v="5bca0e5d00e90f0001b47ed7"/>
    <n v="1"/>
    <n v="4"/>
    <n v="2"/>
    <n v="3"/>
    <s v="Democrats"/>
    <s v="Republicans"/>
    <s v="Donald Trump"/>
    <s v="Cluster 3"/>
    <s v="Cluster 5"/>
    <s v="Cluster 1"/>
    <s v="Cluster 0"/>
    <s v="Cluster 2"/>
    <s v="Cluster 4"/>
    <s v="love, heart, thing"/>
    <s v="black, police, white"/>
    <s v="news"/>
    <s v="trump"/>
    <s v="Cluster 3"/>
    <s v="Cluster 5"/>
    <s v="accounts that tweet about crime"/>
    <s v="accounts that tweet about news stories"/>
    <s v="True"/>
    <s v="False"/>
    <s v="True"/>
    <s v="False"/>
    <s v="True"/>
    <s v="False"/>
    <s v="True"/>
    <s v="False"/>
    <x v="0"/>
    <s v="The final series of questions highlighted the weaknesses of Z score comprehensibility, by removing the context of the tweets it became more difficult to ascertain the connection to broad topics"/>
    <m/>
    <n v="9.43"/>
    <n v="565.79999999999995"/>
    <n v="7.33"/>
    <m/>
    <n v="33.85"/>
    <m/>
    <m/>
    <m/>
    <m/>
    <n v="259.19"/>
    <m/>
    <m/>
    <m/>
    <m/>
    <m/>
    <m/>
    <n v="109.98"/>
    <m/>
    <m/>
    <m/>
    <m/>
    <m/>
    <m/>
    <m/>
    <m/>
    <n v="82.63"/>
    <m/>
    <m/>
    <m/>
    <m/>
    <m/>
    <m/>
    <m/>
    <m/>
    <n v="72.819999999999993"/>
    <m/>
    <m/>
    <m/>
    <m/>
    <n v="4.3198333333333334"/>
    <n v="1.833"/>
    <n v="1.3771666666666667"/>
  </r>
  <r>
    <x v="1"/>
    <x v="2"/>
    <n v="75"/>
    <s v="2019-09-11 08:53:29"/>
    <n v="6"/>
    <s v="en"/>
    <n v="1283864860"/>
    <s v="2019-09-11 08:28:18"/>
    <s v="2019-09-11 08:53:29"/>
    <s v="https://n-7ndajzbjmzh6ng24opzqo36guykgimt2ontr6eq-0lu-script.googleusercontent.com/blank"/>
    <x v="0"/>
    <n v="1"/>
    <n v="1"/>
    <n v="1"/>
    <n v="0.875"/>
    <n v="2"/>
    <n v="21"/>
    <n v="25.236000000000001"/>
    <n v="22.336500000000001"/>
    <n v="0.95454545454545459"/>
    <n v="1"/>
    <n v="3"/>
    <s v="5d4b4c318cbe900001c1f771"/>
    <n v="1"/>
    <n v="1"/>
    <n v="1"/>
    <n v="2"/>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True"/>
    <s v="True"/>
    <s v="False"/>
    <x v="2"/>
    <s v="Clear, quick, visualisation. Harder when comparing 2 clusters to be the same"/>
    <m/>
    <n v="25.236000000000001"/>
    <n v="1514.16"/>
    <n v="8.83"/>
    <m/>
    <n v="81.72"/>
    <m/>
    <m/>
    <m/>
    <m/>
    <n v="557.19000000000005"/>
    <m/>
    <m/>
    <m/>
    <m/>
    <m/>
    <m/>
    <n v="553.41999999999996"/>
    <m/>
    <m/>
    <m/>
    <m/>
    <m/>
    <m/>
    <m/>
    <m/>
    <n v="229.58"/>
    <m/>
    <m/>
    <m/>
    <m/>
    <m/>
    <m/>
    <m/>
    <m/>
    <n v="83.42"/>
    <m/>
    <m/>
    <m/>
    <m/>
    <n v="9.2865000000000002"/>
    <n v="9.2236666666666665"/>
    <n v="3.8263333333333334"/>
  </r>
  <r>
    <x v="1"/>
    <x v="2"/>
    <n v="76"/>
    <s v="2019-09-11 08:33:37"/>
    <n v="6"/>
    <s v="en"/>
    <n v="278503628"/>
    <s v="2019-09-11 08:28:18"/>
    <s v="2019-09-11 08:33:37"/>
    <s v="https://n-7ndajzbjmzh6ng24opzqo36guykgimt2ontr6eq-0lu-script.googleusercontent.com/userCodeAppPanel"/>
    <x v="0"/>
    <n v="1"/>
    <n v="1"/>
    <n v="0.75"/>
    <n v="1"/>
    <n v="3"/>
    <n v="20"/>
    <n v="5.3514999999999997"/>
    <n v="4.1896666666666667"/>
    <n v="0.90909090909090906"/>
    <n v="2.6666666666666665"/>
    <n v="3"/>
    <s v="5d3263cabdebd60019c15cca"/>
    <n v="2"/>
    <n v="3"/>
    <n v="3"/>
    <n v="5"/>
    <s v="Democrats"/>
    <s v="Republicans"/>
    <s v="Donald Trump"/>
    <s v="Cluster 3"/>
    <s v="Cluster 5"/>
    <s v="Cluster 1"/>
    <s v="Cluster 0"/>
    <s v="Cluster 2"/>
    <s v="Cluster 4"/>
    <s v="love, heart, thing"/>
    <s v="black, police, white"/>
    <s v="news"/>
    <s v="trump"/>
    <s v="Cluster 3"/>
    <s v="Cluster 2"/>
    <s v="accounts that tweet about news stories"/>
    <s v="accounts that tweet about American presidents"/>
    <s v="True"/>
    <s v="False"/>
    <s v="True"/>
    <s v="False"/>
    <s v="True"/>
    <s v="False"/>
    <s v="True"/>
    <s v="False"/>
    <x v="0"/>
    <s v="A visual representation on how often a word appears."/>
    <m/>
    <n v="5.3514999999999997"/>
    <n v="321.08999999999997"/>
    <n v="7.64"/>
    <m/>
    <n v="32.86"/>
    <m/>
    <m/>
    <m/>
    <m/>
    <n v="144"/>
    <m/>
    <m/>
    <m/>
    <m/>
    <m/>
    <m/>
    <n v="49.39"/>
    <m/>
    <m/>
    <m/>
    <m/>
    <m/>
    <m/>
    <m/>
    <m/>
    <n v="57.99"/>
    <m/>
    <m/>
    <m/>
    <m/>
    <m/>
    <m/>
    <m/>
    <m/>
    <n v="29.21"/>
    <m/>
    <m/>
    <m/>
    <m/>
    <n v="2.4"/>
    <n v="0.82316666666666671"/>
    <n v="0.96650000000000003"/>
  </r>
  <r>
    <x v="1"/>
    <x v="2"/>
    <n v="77"/>
    <s v="2019-09-11 08:35:32"/>
    <n v="6"/>
    <s v="en"/>
    <n v="1940711448"/>
    <s v="2019-09-11 08:28:20"/>
    <s v="2019-09-11 08:35:31"/>
    <s v="https://n-7ndajzbjmzh6ng24opzqo36guykgimt2ontr6eq-0lu-script.googleusercontent.com/userCodeAppPanel"/>
    <x v="0"/>
    <n v="1"/>
    <n v="1"/>
    <n v="1"/>
    <n v="0.875"/>
    <n v="2"/>
    <n v="21"/>
    <n v="7.2273333333333332"/>
    <n v="6.0866666666666669"/>
    <n v="0.95454545454545459"/>
    <n v="4"/>
    <n v="3"/>
    <s v="5d3111ed96d003001a2383e2"/>
    <n v="2"/>
    <n v="2"/>
    <n v="8"/>
    <n v="8"/>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I'd prefer a bar graph of most commonly used words. Much easier to visualize."/>
    <m/>
    <n v="7.2273333333333332"/>
    <n v="433.64"/>
    <n v="7.18"/>
    <m/>
    <n v="26.25"/>
    <m/>
    <m/>
    <m/>
    <m/>
    <n v="177"/>
    <m/>
    <m/>
    <m/>
    <m/>
    <m/>
    <m/>
    <n v="78.84"/>
    <m/>
    <m/>
    <m/>
    <m/>
    <m/>
    <m/>
    <m/>
    <m/>
    <n v="109.36"/>
    <m/>
    <m/>
    <m/>
    <m/>
    <m/>
    <m/>
    <m/>
    <m/>
    <n v="35.01"/>
    <m/>
    <m/>
    <m/>
    <m/>
    <n v="2.95"/>
    <n v="1.3140000000000001"/>
    <n v="1.8226666666666667"/>
  </r>
  <r>
    <x v="1"/>
    <x v="2"/>
    <n v="78"/>
    <s v="2019-09-11 08:47:41"/>
    <n v="6"/>
    <s v="en"/>
    <n v="1924899339"/>
    <s v="2019-09-11 08:28:32"/>
    <s v="2019-09-11 08:47:41"/>
    <s v="https://n-7ndajzbjmzh6ng24opzqo36guykgimt2ontr6eq-0lu-script.googleusercontent.com/userCodeAppPanel"/>
    <x v="0"/>
    <n v="1"/>
    <n v="0.5"/>
    <n v="0.75"/>
    <n v="0.875"/>
    <n v="3"/>
    <n v="16"/>
    <n v="19.238999999999997"/>
    <n v="14.153499999999999"/>
    <n v="0.72727272727272729"/>
    <n v="4"/>
    <n v="3"/>
    <s v="59607e59aba046000124bf07"/>
    <n v="4"/>
    <n v="4"/>
    <n v="4"/>
    <n v="10"/>
    <s v="Democrats"/>
    <s v="Republicans"/>
    <s v="Donald Trump"/>
    <s v="Cluster 3"/>
    <s v="Cluster 2"/>
    <s v="Cluster 1"/>
    <s v="Cluster 0"/>
    <s v="Cluster 5"/>
    <s v="Cluster 2"/>
    <s v="love, heart, thing"/>
    <s v="black, police, white"/>
    <s v="news"/>
    <s v="look"/>
    <s v="Cluster 3"/>
    <s v="Cluster 5"/>
    <s v="accounts that tweet about crime"/>
    <s v="accounts that tweet about news stories"/>
    <s v="True"/>
    <s v="False"/>
    <s v="True"/>
    <s v="False"/>
    <s v="False"/>
    <s v="False"/>
    <s v="True"/>
    <s v="False"/>
    <x v="0"/>
    <s v="large letters in red stand out and you don't always see a clear view of all the other words"/>
    <m/>
    <n v="19.238999999999997"/>
    <n v="1154.3399999999999"/>
    <n v="10.39"/>
    <m/>
    <n v="140.76"/>
    <m/>
    <m/>
    <m/>
    <m/>
    <n v="322.86"/>
    <m/>
    <m/>
    <m/>
    <m/>
    <m/>
    <m/>
    <n v="314.52999999999997"/>
    <m/>
    <m/>
    <m/>
    <m/>
    <m/>
    <m/>
    <m/>
    <m/>
    <n v="211.82"/>
    <m/>
    <m/>
    <m/>
    <m/>
    <m/>
    <m/>
    <m/>
    <m/>
    <n v="153.97999999999999"/>
    <m/>
    <m/>
    <m/>
    <m/>
    <n v="5.3810000000000002"/>
    <n v="5.242166666666666"/>
    <n v="3.5303333333333331"/>
  </r>
  <r>
    <x v="1"/>
    <x v="2"/>
    <n v="79"/>
    <s v="2019-09-11 08:38:48"/>
    <n v="6"/>
    <s v="en"/>
    <n v="1002585204"/>
    <s v="2019-09-11 08:28:33"/>
    <s v="2019-09-11 08:38:48"/>
    <s v="https://n-7ndajzbjmzh6ng24opzqo36guykgimt2ontr6eq-0lu-script.googleusercontent.com/userCodeAppPanel"/>
    <x v="0"/>
    <n v="1"/>
    <n v="0.5"/>
    <n v="1"/>
    <n v="1"/>
    <n v="3"/>
    <n v="19"/>
    <n v="10.308833333333332"/>
    <n v="8.2465000000000011"/>
    <n v="0.86363636363636365"/>
    <n v="4.333333333333333"/>
    <n v="3"/>
    <s v="5c46cd391ddd660001ca68a4"/>
    <n v="3"/>
    <n v="2"/>
    <n v="8"/>
    <n v="7"/>
    <s v="Democrats"/>
    <s v="Republicans"/>
    <s v="Donald Trump"/>
    <s v="Cluster 3"/>
    <s v="Cluster 5"/>
    <s v="Cluster 4"/>
    <s v="Cluster 0"/>
    <s v="Cluster 4"/>
    <s v="Cluster 1"/>
    <s v="love, heart, thing"/>
    <s v="black, police, white"/>
    <s v="news"/>
    <s v="trump"/>
    <s v="Cluster 3"/>
    <s v="Cluster 5"/>
    <s v="accounts that tweet about crime"/>
    <s v="accounts that tweet about American presidents"/>
    <s v="True"/>
    <s v="False"/>
    <s v="True"/>
    <s v="False"/>
    <s v="True"/>
    <s v="False"/>
    <s v="True"/>
    <s v="False"/>
    <x v="0"/>
    <s v="The associations with the Z-Score clouds is easy to comprehend, but is difficult for an individual to quickly discern specific differences between them at a passing glance.  There are nuances to each that make them different, and given a larger number of word clouds, the differences would narrow significantly, making it even more difficult to glean the true nature of each subset."/>
    <m/>
    <n v="10.308833333333332"/>
    <n v="618.53"/>
    <n v="5.18"/>
    <m/>
    <n v="28.87"/>
    <m/>
    <m/>
    <m/>
    <m/>
    <n v="270.7"/>
    <m/>
    <m/>
    <m/>
    <m/>
    <m/>
    <m/>
    <n v="117.26"/>
    <m/>
    <m/>
    <m/>
    <m/>
    <m/>
    <m/>
    <m/>
    <m/>
    <n v="106.83"/>
    <m/>
    <m/>
    <m/>
    <m/>
    <m/>
    <m/>
    <m/>
    <m/>
    <n v="89.69"/>
    <m/>
    <m/>
    <m/>
    <m/>
    <n v="4.5116666666666667"/>
    <n v="1.9543333333333335"/>
    <n v="1.7805"/>
  </r>
  <r>
    <x v="1"/>
    <x v="2"/>
    <n v="80"/>
    <s v="2019-09-11 08:39:11"/>
    <n v="6"/>
    <s v="en"/>
    <n v="1750116217"/>
    <s v="2019-09-11 08:28:36"/>
    <s v="2019-09-11 08:39:11"/>
    <s v="https://n-7ndajzbjmzh6ng24opzqo36guykgimt2ontr6eq-0lu-script.googleusercontent.com/userCodeAppPanel"/>
    <x v="0"/>
    <n v="1"/>
    <n v="0.83333333333333337"/>
    <n v="0.875"/>
    <n v="0.625"/>
    <n v="3"/>
    <n v="17"/>
    <n v="10.650333333333332"/>
    <n v="9.0060000000000002"/>
    <n v="0.77272727272727271"/>
    <n v="2.6666666666666665"/>
    <n v="3"/>
    <s v="5d534a87dccb050001bd5dbc"/>
    <n v="1"/>
    <n v="1"/>
    <n v="6"/>
    <n v="4"/>
    <s v="Democrats"/>
    <s v="Republicans"/>
    <s v="Donald Trump"/>
    <s v="Cluster 3"/>
    <s v="Cluster 5"/>
    <s v="Cluster 1"/>
    <s v="Cluster 0"/>
    <s v="Cluster 5"/>
    <s v="Cluster 4"/>
    <s v="love, heart, thing"/>
    <s v="black, police, white"/>
    <s v="news"/>
    <s v="trump"/>
    <s v="Cluster 3"/>
    <s v="Cluster 5"/>
    <s v="accounts that tweet about crime"/>
    <s v="accounts that tweet about Donald Trump"/>
    <s v="True"/>
    <s v="False"/>
    <s v="True"/>
    <s v="False"/>
    <s v="False"/>
    <s v="False"/>
    <s v="False"/>
    <s v="True"/>
    <x v="0"/>
    <s v="The colours need to be easy to differentiate. Some of the reds, you couldn't tell which is darker"/>
    <m/>
    <n v="10.650333333333332"/>
    <n v="639.02"/>
    <n v="11.56"/>
    <m/>
    <n v="41.85"/>
    <m/>
    <m/>
    <m/>
    <m/>
    <n v="307.08999999999997"/>
    <m/>
    <m/>
    <m/>
    <m/>
    <m/>
    <m/>
    <n v="114.49"/>
    <m/>
    <m/>
    <m/>
    <m/>
    <m/>
    <m/>
    <m/>
    <m/>
    <n v="118.78"/>
    <m/>
    <m/>
    <m/>
    <m/>
    <m/>
    <m/>
    <m/>
    <m/>
    <n v="45.25"/>
    <m/>
    <m/>
    <m/>
    <m/>
    <n v="5.1181666666666663"/>
    <n v="1.9081666666666666"/>
    <n v="1.9796666666666667"/>
  </r>
  <r>
    <x v="1"/>
    <x v="2"/>
    <n v="81"/>
    <s v="2019-09-11 08:56:02"/>
    <n v="6"/>
    <s v="en"/>
    <n v="1888022639"/>
    <s v="2019-09-11 08:28:57"/>
    <s v="2019-09-11 08:56:02"/>
    <s v="https://n-7ndajzbjmzh6ng24opzqo36guykgimt2ontr6eq-0lu-script.googleusercontent.com/blank"/>
    <x v="0"/>
    <n v="1"/>
    <n v="1"/>
    <n v="1"/>
    <n v="0.75"/>
    <n v="2"/>
    <n v="20"/>
    <n v="27.129833333333334"/>
    <n v="26.222333333333331"/>
    <n v="0.90909090909090906"/>
    <n v="2"/>
    <n v="3"/>
    <s v="5c3ce5cde0ea82000145f9f9"/>
    <n v="1"/>
    <n v="3"/>
    <n v="2"/>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True"/>
    <s v="True"/>
    <s v="True"/>
    <x v="2"/>
    <s v="Good visual representation"/>
    <m/>
    <n v="27.129833333333334"/>
    <n v="1627.79"/>
    <n v="13.28"/>
    <m/>
    <n v="25.52"/>
    <m/>
    <m/>
    <m/>
    <m/>
    <n v="166.19"/>
    <m/>
    <m/>
    <m/>
    <m/>
    <m/>
    <m/>
    <n v="1329.3"/>
    <m/>
    <m/>
    <m/>
    <m/>
    <m/>
    <m/>
    <m/>
    <m/>
    <n v="77.849999999999994"/>
    <m/>
    <m/>
    <m/>
    <m/>
    <m/>
    <m/>
    <m/>
    <m/>
    <n v="15.65"/>
    <m/>
    <m/>
    <m/>
    <m/>
    <n v="2.7698333333333331"/>
    <n v="22.154999999999998"/>
    <n v="1.2974999999999999"/>
  </r>
  <r>
    <x v="1"/>
    <x v="2"/>
    <n v="82"/>
    <s v="2019-09-11 08:38:01"/>
    <n v="6"/>
    <s v="en"/>
    <n v="1562390165"/>
    <s v="2019-09-11 08:30:41"/>
    <s v="2019-09-11 08:38:01"/>
    <s v="https://n-7ndajzbjmzh6ng24opzqo36guykgimt2ontr6eq-0lu-script.googleusercontent.com/userCodeAppPanel"/>
    <x v="0"/>
    <n v="1"/>
    <n v="1"/>
    <n v="1"/>
    <n v="0.875"/>
    <n v="1"/>
    <n v="21"/>
    <n v="7.3763333333333332"/>
    <n v="6.3571666666666671"/>
    <n v="0.95454545454545459"/>
    <n v="2.3333333333333335"/>
    <n v="3"/>
    <s v="5c4d28046ac1a000011fffaa"/>
    <n v="2"/>
    <n v="3"/>
    <n v="2"/>
    <n v="4"/>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3"/>
    <s v="it was very readable"/>
    <m/>
    <n v="7.3763333333333332"/>
    <n v="442.58"/>
    <n v="7.33"/>
    <m/>
    <n v="32.61"/>
    <m/>
    <m/>
    <m/>
    <m/>
    <n v="214.46"/>
    <m/>
    <m/>
    <m/>
    <m/>
    <m/>
    <m/>
    <n v="77.63"/>
    <m/>
    <m/>
    <m/>
    <m/>
    <m/>
    <m/>
    <m/>
    <m/>
    <n v="89.34"/>
    <m/>
    <m/>
    <m/>
    <m/>
    <m/>
    <m/>
    <m/>
    <m/>
    <n v="21.21"/>
    <m/>
    <m/>
    <m/>
    <m/>
    <n v="3.5743333333333336"/>
    <n v="1.2938333333333332"/>
    <n v="1.4890000000000001"/>
  </r>
  <r>
    <x v="1"/>
    <x v="2"/>
    <n v="83"/>
    <s v="2019-09-11 08:58:05"/>
    <n v="6"/>
    <s v="en"/>
    <n v="1003845144"/>
    <s v="2019-09-11 08:31:01"/>
    <s v="2019-09-11 08:58:05"/>
    <s v="https://n-7ndajzbjmzh6ng24opzqo36guykgimt2ontr6eq-0lu-script.googleusercontent.com/userCodeAppPanel"/>
    <x v="0"/>
    <n v="1"/>
    <n v="0.83333333333333337"/>
    <n v="0.5"/>
    <n v="0.75"/>
    <n v="3"/>
    <n v="15"/>
    <n v="27.110666666666667"/>
    <n v="24.091833333333334"/>
    <n v="0.68181818181818177"/>
    <n v="3"/>
    <n v="3"/>
    <s v="5cd1bbc59e657600172becf0"/>
    <n v="3"/>
    <n v="3"/>
    <n v="3"/>
    <n v="2"/>
    <s v="Democrats"/>
    <s v="Republicans"/>
    <s v="Donald Trump"/>
    <s v="Cluster 3"/>
    <s v="Cluster 5"/>
    <s v="Cluster 1"/>
    <s v="Cluster 0"/>
    <s v="Cluster 2"/>
    <s v="Cluster 1"/>
    <s v="love, heart, thing"/>
    <s v="black, police, white"/>
    <s v="death"/>
    <s v="look"/>
    <s v="Cluster 3"/>
    <s v="Cluster 5"/>
    <s v="accounts that tweet American presidents"/>
    <s v="accounts that tweet about news stories"/>
    <s v="True"/>
    <s v="False"/>
    <s v="True"/>
    <s v="False"/>
    <s v="False"/>
    <s v="True"/>
    <s v="True"/>
    <s v="False"/>
    <x v="0"/>
    <s v="SOME OF IT WAS EASY WHILE OTHERS WERE HARDER"/>
    <m/>
    <n v="27.110666666666667"/>
    <n v="1626.64"/>
    <n v="7.08"/>
    <m/>
    <n v="106.37"/>
    <m/>
    <m/>
    <m/>
    <m/>
    <n v="783.58"/>
    <m/>
    <m/>
    <m/>
    <m/>
    <m/>
    <m/>
    <n v="388.99"/>
    <m/>
    <m/>
    <m/>
    <m/>
    <m/>
    <m/>
    <m/>
    <m/>
    <n v="272.94"/>
    <m/>
    <m/>
    <m/>
    <m/>
    <m/>
    <m/>
    <m/>
    <m/>
    <n v="67.680000000000007"/>
    <m/>
    <m/>
    <m/>
    <m/>
    <n v="13.059666666666667"/>
    <n v="6.4831666666666665"/>
    <n v="4.5490000000000004"/>
  </r>
  <r>
    <x v="1"/>
    <x v="2"/>
    <n v="84"/>
    <s v="2019-09-11 09:00:28"/>
    <n v="6"/>
    <s v="en"/>
    <n v="176593632"/>
    <s v="2019-09-11 08:34:14"/>
    <s v="2019-09-11 09:00:28"/>
    <s v="https://n-7ndajzbjmzh6ng24opzqo36guykgimt2ontr6eq-0lu-script.googleusercontent.com/userCodeAppPanel"/>
    <x v="0"/>
    <n v="1"/>
    <n v="0.5"/>
    <n v="1"/>
    <n v="0.875"/>
    <n v="2"/>
    <n v="18"/>
    <n v="26.271999999999998"/>
    <n v="22.729833333333335"/>
    <n v="0.81818181818181823"/>
    <n v="4.333333333333333"/>
    <n v="3"/>
    <s v="5c5ac2869d974300015d81fc"/>
    <n v="5"/>
    <n v="4"/>
    <n v="4"/>
    <n v="9"/>
    <s v="Democrats"/>
    <s v="Republicans"/>
    <s v="Donald Trump"/>
    <s v="Cluster 3"/>
    <s v="Cluster 5"/>
    <s v="Cluster 4"/>
    <s v="Cluster 2"/>
    <s v="Cluster 5"/>
    <s v="Cluster 4"/>
    <s v="love, heart, thing"/>
    <s v="black, police, white"/>
    <s v="news"/>
    <s v="trump"/>
    <s v="Cluster 3"/>
    <s v="Cluster 5"/>
    <s v="accounts that tweet about crime"/>
    <s v="accounts that tweet about American presidents"/>
    <s v="True"/>
    <s v="False"/>
    <s v="True"/>
    <s v="False"/>
    <s v="False"/>
    <s v="False"/>
    <s v="True"/>
    <s v="False"/>
    <x v="2"/>
    <s v="It was easy to understand and I can see how it is good to use for learning about whats being said"/>
    <m/>
    <n v="26.271999999999998"/>
    <n v="1576.32"/>
    <n v="7.14"/>
    <m/>
    <n v="180.2"/>
    <m/>
    <m/>
    <m/>
    <m/>
    <n v="986.43"/>
    <m/>
    <m/>
    <m/>
    <m/>
    <m/>
    <m/>
    <n v="291.45"/>
    <m/>
    <m/>
    <m/>
    <m/>
    <m/>
    <m/>
    <m/>
    <m/>
    <n v="85.91"/>
    <m/>
    <m/>
    <m/>
    <m/>
    <m/>
    <m/>
    <m/>
    <m/>
    <n v="25.19"/>
    <m/>
    <m/>
    <m/>
    <m/>
    <n v="16.4405"/>
    <n v="4.8574999999999999"/>
    <n v="1.4318333333333333"/>
  </r>
  <r>
    <x v="1"/>
    <x v="2"/>
    <n v="85"/>
    <s v="2019-09-11 08:49:28"/>
    <n v="6"/>
    <s v="en"/>
    <n v="493247098"/>
    <s v="2019-09-11 08:34:59"/>
    <s v="2019-09-11 08:49:28"/>
    <s v="https://n-7ndajzbjmzh6ng24opzqo36guykgimt2ontr6eq-0lu-script.googleusercontent.com/userCodeAppPanel"/>
    <x v="0"/>
    <n v="1"/>
    <n v="0.66666666666666663"/>
    <n v="0.875"/>
    <n v="1"/>
    <n v="4"/>
    <n v="19"/>
    <n v="14.539"/>
    <n v="11.358500000000001"/>
    <n v="0.86363636363636365"/>
    <n v="3"/>
    <n v="3"/>
    <s v="593533d4ed2e9a0001d37c0b"/>
    <n v="4"/>
    <n v="3"/>
    <n v="2"/>
    <n v="9"/>
    <s v="Democrats"/>
    <s v="Republicans"/>
    <s v="Donald Trump"/>
    <s v="Cluster 3"/>
    <s v="Cluster 5"/>
    <s v="Cluster 2"/>
    <s v="Cluster 0"/>
    <s v="Cluster 2"/>
    <s v="Cluster 1"/>
    <s v="love, heart, thing"/>
    <s v="black, police, white"/>
    <s v="news"/>
    <s v="trump"/>
    <s v="Cluster 3"/>
    <s v="Cluster 5"/>
    <s v="accounts that tweet about crime"/>
    <s v="accounts that tweet about news stories"/>
    <s v="True"/>
    <s v="False"/>
    <s v="True"/>
    <s v="False"/>
    <s v="True"/>
    <s v="False"/>
    <s v="True"/>
    <s v="False"/>
    <x v="1"/>
    <s v="It's tricky to visualise with the words at different angles. Also some of them are not fully coloured which means you have to really look hard. If it were possible to group the words together in corresponding categories it might make things easier."/>
    <m/>
    <n v="14.539"/>
    <n v="872.34"/>
    <n v="8.91"/>
    <m/>
    <n v="59.07"/>
    <m/>
    <m/>
    <m/>
    <m/>
    <n v="372.69"/>
    <m/>
    <m/>
    <m/>
    <m/>
    <m/>
    <m/>
    <n v="153.75"/>
    <m/>
    <m/>
    <m/>
    <m/>
    <m/>
    <m/>
    <m/>
    <m/>
    <n v="155.07"/>
    <m/>
    <m/>
    <m/>
    <m/>
    <m/>
    <m/>
    <m/>
    <m/>
    <n v="122.85"/>
    <m/>
    <m/>
    <m/>
    <m/>
    <n v="6.2115"/>
    <n v="2.5625"/>
    <n v="2.5844999999999998"/>
  </r>
  <r>
    <x v="1"/>
    <x v="2"/>
    <n v="86"/>
    <s v="2019-09-11 09:05:08"/>
    <n v="6"/>
    <s v="en"/>
    <n v="1677672532"/>
    <s v="2019-09-11 08:55:38"/>
    <s v="2019-09-11 09:05:08"/>
    <s v="https://n-7ndajzbjmzh6ng24opzqo36guykgimt2ontr6eq-0lu-script.googleusercontent.com/userCodeAppPanel"/>
    <x v="0"/>
    <n v="1"/>
    <n v="1"/>
    <n v="0.875"/>
    <n v="0.75"/>
    <n v="3"/>
    <n v="19"/>
    <n v="9.5476666666666663"/>
    <n v="8.5429999999999993"/>
    <n v="0.86363636363636365"/>
    <n v="1"/>
    <n v="3"/>
    <s v="5d2466b24813f6000188f4b4"/>
    <n v="1"/>
    <n v="1"/>
    <n v="1"/>
    <n v="3"/>
    <s v="Democrats"/>
    <s v="Republicans"/>
    <s v="Donald Trump"/>
    <s v="Cluster 3"/>
    <s v="Cluster 5"/>
    <s v="Cluster 1"/>
    <s v="Cluster 0"/>
    <s v="Cluster 2"/>
    <s v="Cluster 4"/>
    <s v="love, heart, thing"/>
    <s v="black, police, white"/>
    <s v="news"/>
    <s v="look"/>
    <s v="Cluster 3"/>
    <s v="Cluster 5"/>
    <s v="accounts that tweet about crime"/>
    <s v="accounts that tweet about American presidents"/>
    <s v="True"/>
    <s v="False"/>
    <s v="True"/>
    <s v="False"/>
    <s v="False"/>
    <s v="False"/>
    <s v="False"/>
    <s v="False"/>
    <x v="0"/>
    <s v="The colours and size make it easier to pick out the priority words."/>
    <m/>
    <n v="9.5476666666666663"/>
    <n v="572.86"/>
    <n v="5.25"/>
    <m/>
    <n v="26.04"/>
    <m/>
    <m/>
    <m/>
    <m/>
    <n v="260.37"/>
    <m/>
    <m/>
    <m/>
    <m/>
    <m/>
    <m/>
    <n v="149.08000000000001"/>
    <m/>
    <m/>
    <m/>
    <m/>
    <m/>
    <m/>
    <m/>
    <m/>
    <n v="103.13"/>
    <m/>
    <m/>
    <m/>
    <m/>
    <m/>
    <m/>
    <m/>
    <m/>
    <n v="28.99"/>
    <m/>
    <m/>
    <m/>
    <m/>
    <n v="4.3395000000000001"/>
    <n v="2.484666666666667"/>
    <n v="1.7188333333333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8" firstHeaderRow="0" firstDataRow="1" firstDataCol="1" rowPageCount="2" colPageCount="1"/>
  <pivotFields count="97">
    <pivotField axis="axisPage" multipleItemSelectionAllowed="1" showAll="0" defaultSubtotal="0">
      <items count="4">
        <item x="0"/>
        <item h="1" m="1" x="3"/>
        <item h="1" x="2"/>
        <item h="1" x="1"/>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Page" multipleItemSelectionAllowed="1" showAll="0" defaultSubtotal="0">
      <items count="2">
        <item x="0"/>
        <item h="1" x="1"/>
      </items>
    </pivotField>
    <pivotField numFmtId="9" showAll="0"/>
    <pivotField dataField="1" numFmtId="9" showAll="0"/>
    <pivotField dataField="1" numFmtId="9" showAll="0"/>
    <pivotField dataField="1" numFmtId="9" showAll="0"/>
    <pivotField numFmtId="1" showAll="0" defaultSubtotal="0"/>
    <pivotField showAll="0" defaultSubtotal="0"/>
    <pivotField showAll="0" defaultSubtotal="0"/>
    <pivotField showAll="0" defaultSubtotal="0"/>
    <pivotField dataField="1" numFmtId="9" showAll="0"/>
    <pivotField numFmtId="2"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s>
  <rowFields count="1">
    <field x="1"/>
  </rowFields>
  <rowItems count="4">
    <i>
      <x/>
    </i>
    <i>
      <x v="1"/>
    </i>
    <i>
      <x v="2"/>
    </i>
    <i t="grand">
      <x/>
    </i>
  </rowItems>
  <colFields count="1">
    <field x="-2"/>
  </colFields>
  <colItems count="4">
    <i>
      <x/>
    </i>
    <i i="1">
      <x v="1"/>
    </i>
    <i i="2">
      <x v="2"/>
    </i>
    <i i="3">
      <x v="3"/>
    </i>
  </colItems>
  <pageFields count="2">
    <pageField fld="0" hier="-1"/>
    <pageField fld="10" hier="-1"/>
  </pageFields>
  <dataFields count="4">
    <dataField name="Average of classifySuccessRatio" fld="12" subtotal="average" baseField="0" baseItem="0"/>
    <dataField name="Average of explainSuccessRatio" fld="13" subtotal="average" baseField="0" baseItem="0"/>
    <dataField name="Average of validateSuccessRatio" fld="14" subtotal="average" baseField="0" baseItem="0"/>
    <dataField name="Average of totalSuccessRatio" fld="19" subtotal="average" baseField="0" baseItem="0"/>
  </dataFields>
  <formats count="1">
    <format dxfId="2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10" firstHeaderRow="0" firstDataRow="1" firstDataCol="1" rowPageCount="2" colPageCount="1"/>
  <pivotFields count="97">
    <pivotField axis="axisPage" multipleItemSelectionAllowed="1" showAll="0" defaultSubtotal="0">
      <items count="4">
        <item x="0"/>
        <item h="1" m="1" x="3"/>
        <item h="1" x="2"/>
        <item h="1" x="1"/>
      </items>
    </pivotField>
    <pivotField axis="axisPage" multipleItemSelectionAllowed="1" showAll="0">
      <items count="4">
        <item x="0"/>
        <item x="1"/>
        <item x="2"/>
        <item t="default"/>
      </items>
    </pivotField>
    <pivotField showAll="0"/>
    <pivotField showAll="0"/>
    <pivotField showAll="0"/>
    <pivotField showAll="0"/>
    <pivotField showAll="0"/>
    <pivotField showAll="0"/>
    <pivotField showAll="0"/>
    <pivotField showAll="0"/>
    <pivotField showAll="0" defaultSubtotal="0"/>
    <pivotField numFmtId="9" showAll="0"/>
    <pivotField dataField="1" numFmtId="9" showAll="0"/>
    <pivotField dataField="1" numFmtId="9" showAll="0"/>
    <pivotField dataField="1" numFmtId="9" showAll="0"/>
    <pivotField numFmtId="1" showAll="0" defaultSubtotal="0"/>
    <pivotField showAll="0" defaultSubtotal="0"/>
    <pivotField showAll="0" defaultSubtotal="0"/>
    <pivotField showAll="0" defaultSubtotal="0"/>
    <pivotField dataField="1" numFmtId="9" showAll="0"/>
    <pivotField numFmtId="2"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s>
  <rowFields count="1">
    <field x="52"/>
  </rowFields>
  <rowItems count="6">
    <i>
      <x/>
    </i>
    <i>
      <x v="1"/>
    </i>
    <i>
      <x v="2"/>
    </i>
    <i>
      <x v="3"/>
    </i>
    <i>
      <x v="4"/>
    </i>
    <i t="grand">
      <x/>
    </i>
  </rowItems>
  <colFields count="1">
    <field x="-2"/>
  </colFields>
  <colItems count="4">
    <i>
      <x/>
    </i>
    <i i="1">
      <x v="1"/>
    </i>
    <i i="2">
      <x v="2"/>
    </i>
    <i i="3">
      <x v="3"/>
    </i>
  </colItems>
  <pageFields count="2">
    <pageField fld="1" hier="-1"/>
    <pageField fld="0" hier="-1"/>
  </pageFields>
  <dataFields count="4">
    <dataField name="Average of classifySuccessRatio" fld="12" subtotal="average" baseField="45" baseItem="0"/>
    <dataField name="Average of explainSuccessRatio" fld="13" subtotal="average" baseField="45" baseItem="0"/>
    <dataField name="Average of validateSuccessRatio" fld="14" subtotal="average" baseField="45" baseItem="3"/>
    <dataField name="Average of totalSuccessRatio" fld="19" subtotal="average" baseField="45" baseItem="2"/>
  </dataFields>
  <formats count="2">
    <format dxfId="220">
      <pivotArea outline="0" collapsedLevelsAreSubtotals="1" fieldPosition="0"/>
    </format>
    <format dxfId="21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97">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numFmtId="9" showAll="0"/>
    <pivotField numFmtId="9" showAll="0"/>
    <pivotField numFmtId="9" showAll="0"/>
    <pivotField numFmtId="9" showAll="0"/>
    <pivotField dataField="1" numFmtId="1" showAll="0"/>
    <pivotField showAll="0"/>
    <pivotField showAll="0"/>
    <pivotField showAll="0" defaultSubtotal="0"/>
    <pivotField numFmtId="9"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s>
  <rowFields count="1">
    <field x="1"/>
  </rowFields>
  <rowItems count="4">
    <i>
      <x/>
    </i>
    <i>
      <x v="1"/>
    </i>
    <i>
      <x v="2"/>
    </i>
    <i t="grand">
      <x/>
    </i>
  </rowItems>
  <colItems count="1">
    <i/>
  </colItems>
  <dataFields count="1">
    <dataField name="Average of subjectiveComprehensibility" fld="15"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I7" firstHeaderRow="0" firstDataRow="1" firstDataCol="1" rowPageCount="1" colPageCount="1"/>
  <pivotFields count="97">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numFmtId="9" showAll="0"/>
    <pivotField dataField="1" numFmtId="9" showAll="0"/>
    <pivotField dataField="1" numFmtId="9" showAll="0"/>
    <pivotField dataField="1" numFmtId="9" showAll="0"/>
    <pivotField numFmtId="1" showAll="0"/>
    <pivotField showAll="0"/>
    <pivotField showAll="0"/>
    <pivotField dataField="1" showAll="0" defaultSubtotal="0"/>
    <pivotField dataField="1" numFmtId="9"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dataField="1" showAll="0" defaultSubtotal="0"/>
    <pivotField dataField="1" showAll="0" defaultSubtotal="0"/>
  </pivotFields>
  <rowFields count="1">
    <field x="1"/>
  </rowFields>
  <rowItems count="4">
    <i>
      <x/>
    </i>
    <i>
      <x v="1"/>
    </i>
    <i>
      <x v="2"/>
    </i>
    <i t="grand">
      <x/>
    </i>
  </rowItems>
  <colFields count="1">
    <field x="-2"/>
  </colFields>
  <colItems count="8">
    <i>
      <x/>
    </i>
    <i i="1">
      <x v="1"/>
    </i>
    <i i="2">
      <x v="2"/>
    </i>
    <i i="3">
      <x v="3"/>
    </i>
    <i i="4">
      <x v="4"/>
    </i>
    <i i="5">
      <x v="5"/>
    </i>
    <i i="6">
      <x v="6"/>
    </i>
    <i i="7">
      <x v="7"/>
    </i>
  </colItems>
  <pageFields count="1">
    <pageField fld="10" hier="-1"/>
  </pageFields>
  <dataFields count="8">
    <dataField name="Total correct answers" fld="19" subtotal="average" baseField="0" baseItem="523705152"/>
    <dataField name="Classify - correct answers" fld="12" subtotal="average" baseField="0" baseItem="504155176"/>
    <dataField name="Explain - correct answers" fld="13" subtotal="average" baseField="0" baseItem="526364064"/>
    <dataField name="Validate - correct answers" fld="14" subtotal="average" baseField="0" baseItem="526353856" numFmtId="9"/>
    <dataField name="Classify - time" fld="94" subtotal="average" baseField="1" baseItem="0"/>
    <dataField name="Explain - time" fld="95" subtotal="average" baseField="1" baseItem="0"/>
    <dataField name="Validate - time" fld="96" subtotal="average" baseField="1" baseItem="0"/>
    <dataField name="Total time" fld="18" subtotal="average" baseField="1" baseItem="0"/>
  </dataFields>
  <formats count="3">
    <format dxfId="119">
      <pivotArea collapsedLevelsAreSubtotals="1" fieldPosition="0">
        <references count="2">
          <reference field="4294967294" count="3" selected="0">
            <x v="0"/>
            <x v="1"/>
            <x v="2"/>
          </reference>
          <reference field="1" count="0"/>
        </references>
      </pivotArea>
    </format>
    <format dxfId="118">
      <pivotArea field="1" grandRow="1" outline="0" collapsedLevelsAreSubtotals="1" axis="axisRow" fieldPosition="0">
        <references count="1">
          <reference field="4294967294" count="3" selected="0">
            <x v="0"/>
            <x v="1"/>
            <x v="2"/>
          </reference>
        </references>
      </pivotArea>
    </format>
    <format dxfId="117">
      <pivotArea outline="0" collapsedLevelsAreSubtotals="1" fieldPosition="0">
        <references count="1">
          <reference field="4294967294" count="1" selected="0">
            <x v="3"/>
          </reference>
        </references>
      </pivotArea>
    </format>
  </formats>
  <chartFormats count="8">
    <chartFormat chart="0" format="52" series="1">
      <pivotArea type="data" outline="0" fieldPosition="0">
        <references count="1">
          <reference field="4294967294" count="1" selected="0">
            <x v="0"/>
          </reference>
        </references>
      </pivotArea>
    </chartFormat>
    <chartFormat chart="0" format="53" series="1">
      <pivotArea type="data" outline="0" fieldPosition="0">
        <references count="1">
          <reference field="4294967294" count="1" selected="0">
            <x v="1"/>
          </reference>
        </references>
      </pivotArea>
    </chartFormat>
    <chartFormat chart="0" format="54" series="1">
      <pivotArea type="data" outline="0" fieldPosition="0">
        <references count="1">
          <reference field="4294967294" count="1" selected="0">
            <x v="2"/>
          </reference>
        </references>
      </pivotArea>
    </chartFormat>
    <chartFormat chart="0" format="55" series="1">
      <pivotArea type="data" outline="0" fieldPosition="0">
        <references count="1">
          <reference field="4294967294" count="1" selected="0">
            <x v="3"/>
          </reference>
        </references>
      </pivotArea>
    </chartFormat>
    <chartFormat chart="0" format="56" series="1">
      <pivotArea type="data" outline="0" fieldPosition="0">
        <references count="1">
          <reference field="4294967294" count="1" selected="0">
            <x v="4"/>
          </reference>
        </references>
      </pivotArea>
    </chartFormat>
    <chartFormat chart="0" format="57" series="1">
      <pivotArea type="data" outline="0" fieldPosition="0">
        <references count="1">
          <reference field="4294967294" count="1" selected="0">
            <x v="5"/>
          </reference>
        </references>
      </pivotArea>
    </chartFormat>
    <chartFormat chart="0" format="58" series="1">
      <pivotArea type="data" outline="0" fieldPosition="0">
        <references count="1">
          <reference field="4294967294" count="1" selected="0">
            <x v="6"/>
          </reference>
        </references>
      </pivotArea>
    </chartFormat>
    <chartFormat chart="0" format="59"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B6" totalsRowShown="0">
  <autoFilter ref="A1:B6"/>
  <tableColumns count="2">
    <tableColumn id="1" name="Key"/>
    <tableColumn id="2" name="Value"/>
  </tableColumns>
  <tableStyleInfo name="TableStyleMedium2" showFirstColumn="0" showLastColumn="0" showRowStripes="1" showColumnStripes="0"/>
</table>
</file>

<file path=xl/tables/table10.xml><?xml version="1.0" encoding="utf-8"?>
<table xmlns="http://schemas.openxmlformats.org/spreadsheetml/2006/main" id="1" name="Table1" displayName="Table1" ref="A1:B26" totalsRowShown="0">
  <autoFilter ref="A1:B26"/>
  <tableColumns count="2">
    <tableColumn id="1" name="Question" dataDxfId="97" dataCellStyle="Normal 2"/>
    <tableColumn id="2" name="Answer" dataDxfId="9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S203" totalsRowCount="1" headerRowDxfId="218" dataDxfId="217" headerRowCellStyle="Normal 2" dataCellStyle="Normal 2">
  <autoFilter ref="A1:CS202">
    <filterColumn colId="10">
      <filters>
        <filter val="no"/>
      </filters>
    </filterColumn>
  </autoFilter>
  <sortState ref="A2:CO202">
    <sortCondition ref="B1:B202"/>
  </sortState>
  <tableColumns count="97">
    <tableColumn id="93" name="run" dataDxfId="216" totalsRowDxfId="95" dataCellStyle="Normal 2"/>
    <tableColumn id="1" name="visualization" dataDxfId="215"/>
    <tableColumn id="2" name="id" dataDxfId="214" totalsRowDxfId="94" dataCellStyle="Normal 2"/>
    <tableColumn id="3" name="submitdate" dataDxfId="213" totalsRowDxfId="93" dataCellStyle="Normal 2"/>
    <tableColumn id="4" name="lastpage" dataDxfId="212" totalsRowDxfId="92" dataCellStyle="Normal 2"/>
    <tableColumn id="5" name="startlanguage" dataDxfId="211" totalsRowDxfId="91" dataCellStyle="Normal 2"/>
    <tableColumn id="6" name="seed" dataDxfId="210" totalsRowDxfId="90" dataCellStyle="Normal 2"/>
    <tableColumn id="7" name="startdate" dataDxfId="209" totalsRowDxfId="89" dataCellStyle="Normal 2"/>
    <tableColumn id="8" name="datestamp" dataDxfId="208" totalsRowDxfId="88" dataCellStyle="Normal 2"/>
    <tableColumn id="9" name="refurl" dataDxfId="207" totalsRowDxfId="87" dataCellStyle="Normal 2"/>
    <tableColumn id="94" name="exclude" dataDxfId="206" totalsRowDxfId="86">
      <calculatedColumnFormula>IF(Table2[[#This Row],[priorSuccessRatio]]&lt;1,"yes","no")</calculatedColumnFormula>
    </tableColumn>
    <tableColumn id="84" name="priorSuccessRatio" dataDxfId="205" totalsRowDxfId="85" dataCellStyle="Percent">
      <calculatedColumnFormula>VLOOKUP(Table2[[#This Row],[prolific]],'Correct calc'!B$16:$AJ$998,6,FALSE)</calculatedColumnFormula>
    </tableColumn>
    <tableColumn id="85" name="classifySuccessRatio" dataDxfId="204" totalsRowDxfId="84" dataCellStyle="Percent">
      <calculatedColumnFormula>VLOOKUP(Table2[[#This Row],[prolific]],'Correct calc'!B$16:$AJ$998,14,FALSE)</calculatedColumnFormula>
    </tableColumn>
    <tableColumn id="86" name="explainSuccessRatio" dataDxfId="203" totalsRowDxfId="83" dataCellStyle="Percent">
      <calculatedColumnFormula>VLOOKUP(Table2[[#This Row],[prolific]],'Correct calc'!B$16:$AJ998,24,FALSE)</calculatedColumnFormula>
    </tableColumn>
    <tableColumn id="87" name="validateSuccessRatio" dataDxfId="202" totalsRowDxfId="82" dataCellStyle="Percent">
      <calculatedColumnFormula>VLOOKUP(Table2[[#This Row],[prolific]],'Correct calc'!B$16:$AJ998,34,FALSE)</calculatedColumnFormula>
    </tableColumn>
    <tableColumn id="91" name="subjectiveComprehensibility" dataDxfId="201" totalsRowDxfId="81" dataCellStyle="Percent">
      <calculatedColumnFormula>VLOOKUP(Table2[[#This Row],[comprescore]],Table3[],2,FALSE)</calculatedColumnFormula>
    </tableColumn>
    <tableColumn id="83" name="totalCorrectAnswers" dataDxfId="200" totalsRowDxfId="80" dataCellStyle="Percent">
      <calculatedColumnFormula>VLOOKUP(Table2[[#This Row],[prolific]],'Correct calc'!B$16:$AK$998,36,FALSE)</calculatedColumnFormula>
    </tableColumn>
    <tableColumn id="92" name="timeToComplete" totalsRowFunction="average" dataDxfId="199" totalsRowDxfId="79" dataCellStyle="Percent">
      <calculatedColumnFormula>Table2[[#This Row],[interviewminutes]]</calculatedColumnFormula>
    </tableColumn>
    <tableColumn id="97" name="tasksTimeToComplete" dataDxfId="198" totalsRowDxfId="78" dataCellStyle="Percent">
      <calculatedColumnFormula>Table2[[#This Row],[classifyTime]]+Table2[[#This Row],[explainTime]]+Table2[[#This Row],[validateTime]]</calculatedColumnFormula>
    </tableColumn>
    <tableColumn id="88" name="totalSuccessRatio" totalsRowFunction="average" dataDxfId="197" totalsRowDxfId="77" dataCellStyle="Percent">
      <calculatedColumnFormula>VLOOKUP(Table2[[#This Row],[prolific]],'Correct calc'!B$16:$AJ$998,35,FALSE)</calculatedColumnFormula>
    </tableColumn>
    <tableColumn id="81" name="priorKnowledgeTechAvg" dataDxfId="196" totalsRowDxfId="76" dataCellStyle="Percent">
      <calculatedColumnFormula>SUM(Table2[[#This Row],[priorKnowledge'[CLUSTERING']]:[priorKnowledge'[ZSCORES']]])/Table2[[#This Row],[priorKnowledgeTechQuestionCount]]</calculatedColumnFormula>
    </tableColumn>
    <tableColumn id="82" name="priorKnowledgeTechQuestionCount" dataDxfId="195" totalsRowDxfId="75" dataCellStyle="Percent">
      <calculatedColumnFormula>IF(Table2[[#This Row],[visualization]]="Wordcloud",2,3)</calculatedColumnFormula>
    </tableColumn>
    <tableColumn id="10" name="prolific" dataDxfId="194" totalsRowDxfId="74" dataCellStyle="Normal 2"/>
    <tableColumn id="11" name="priorKnowledge[CLUSTERING]" dataDxfId="193" totalsRowDxfId="73" dataCellStyle="Normal 2"/>
    <tableColumn id="12" name="priorKnowledge[NLP]" dataDxfId="192" totalsRowDxfId="72" dataCellStyle="Normal 2"/>
    <tableColumn id="13" name="priorKnowledge[ZSCORES]" dataDxfId="191" totalsRowDxfId="71" dataCellStyle="Normal 2"/>
    <tableColumn id="14" name="priorKnowledge[RUSSIA]" dataDxfId="190" totalsRowDxfId="70" dataCellStyle="Normal 2"/>
    <tableColumn id="15" name="priorClinton" dataDxfId="189" totalsRowDxfId="69" dataCellStyle="Normal 2"/>
    <tableColumn id="16" name="priorTrump" dataDxfId="188" totalsRowDxfId="68" dataCellStyle="Normal 2"/>
    <tableColumn id="17" name="priorWinner" dataDxfId="187" totalsRowDxfId="67" dataCellStyle="Normal 2"/>
    <tableColumn id="18" name="cluster3" dataDxfId="186" totalsRowDxfId="66" dataCellStyle="Normal 2"/>
    <tableColumn id="19" name="cluster5" dataDxfId="185" totalsRowDxfId="65" dataCellStyle="Normal 2"/>
    <tableColumn id="20" name="cluster1" dataDxfId="184" totalsRowDxfId="64" dataCellStyle="Normal 2"/>
    <tableColumn id="21" name="cluster0" dataDxfId="183" totalsRowDxfId="63" dataCellStyle="Normal 2"/>
    <tableColumn id="22" name="cliuster2" dataDxfId="182" totalsRowDxfId="62" dataCellStyle="Normal 2"/>
    <tableColumn id="23" name="cluster4" dataDxfId="181" totalsRowDxfId="61" dataCellStyle="Normal 2"/>
    <tableColumn id="24" name="explain1" dataDxfId="180" totalsRowDxfId="60" dataCellStyle="Normal 2"/>
    <tableColumn id="25" name="explain2" dataDxfId="179" totalsRowDxfId="59" dataCellStyle="Normal 2"/>
    <tableColumn id="26" name="explain3" dataDxfId="178" totalsRowDxfId="58" dataCellStyle="Normal 2"/>
    <tableColumn id="27" name="explain4" dataDxfId="177" totalsRowDxfId="57" dataCellStyle="Normal 2"/>
    <tableColumn id="28" name="explain5" dataDxfId="176" totalsRowDxfId="56" dataCellStyle="Normal 2"/>
    <tableColumn id="29" name="explain6" dataDxfId="175" totalsRowDxfId="55" dataCellStyle="Normal 2"/>
    <tableColumn id="30" name="explain7" dataDxfId="174" totalsRowDxfId="54" dataCellStyle="Normal 2"/>
    <tableColumn id="31" name="explain8" dataDxfId="173" totalsRowDxfId="53" dataCellStyle="Normal 2"/>
    <tableColumn id="32" name="validate1" dataDxfId="172" totalsRowDxfId="52" dataCellStyle="Normal 2"/>
    <tableColumn id="33" name="validate2" dataDxfId="171" totalsRowDxfId="51" dataCellStyle="Normal 2"/>
    <tableColumn id="34" name="validate3" dataDxfId="170" totalsRowDxfId="50" dataCellStyle="Normal 2"/>
    <tableColumn id="35" name="validate4" dataDxfId="169" totalsRowDxfId="49" dataCellStyle="Normal 2"/>
    <tableColumn id="36" name="validate5" dataDxfId="168" totalsRowDxfId="48" dataCellStyle="Normal 2"/>
    <tableColumn id="37" name="validate6" dataDxfId="167" totalsRowDxfId="47" dataCellStyle="Normal 2"/>
    <tableColumn id="38" name="validate7" dataDxfId="166" totalsRowDxfId="46" dataCellStyle="Normal 2"/>
    <tableColumn id="39" name="validate8" dataDxfId="165" totalsRowDxfId="45" dataCellStyle="Normal 2"/>
    <tableColumn id="40" name="comprescore" dataDxfId="164" totalsRowDxfId="44" dataCellStyle="Normal 2"/>
    <tableColumn id="41" name="comprecomment" dataDxfId="163" totalsRowDxfId="43" dataCellStyle="Normal 2"/>
    <tableColumn id="42" name="feedback" dataDxfId="162" totalsRowDxfId="42" dataCellStyle="Normal 2"/>
    <tableColumn id="89" name="interviewminutes" totalsRowFunction="average" dataDxfId="161" totalsRowDxfId="41" dataCellStyle="Normal 2">
      <calculatedColumnFormula>Table2[[#This Row],[interviewtime]]/60</calculatedColumnFormula>
    </tableColumn>
    <tableColumn id="43" name="interviewtime" totalsRowFunction="average" dataDxfId="160" totalsRowDxfId="40" dataCellStyle="Normal 2"/>
    <tableColumn id="44" name="groupTime26" dataDxfId="159" totalsRowDxfId="39" dataCellStyle="Normal 2"/>
    <tableColumn id="45" name="prolificTime" dataDxfId="158" totalsRowDxfId="38" dataCellStyle="Normal 2"/>
    <tableColumn id="46" name="groupTime21" dataDxfId="157" totalsRowDxfId="37" dataCellStyle="Normal 2"/>
    <tableColumn id="47" name="priorKnowledgeTime" dataDxfId="156" totalsRowDxfId="36" dataCellStyle="Normal 2"/>
    <tableColumn id="48" name="priorClintonTime" dataDxfId="155" totalsRowDxfId="35" dataCellStyle="Normal 2"/>
    <tableColumn id="49" name="priorTrumpTime" dataDxfId="154" totalsRowDxfId="34" dataCellStyle="Normal 2"/>
    <tableColumn id="50" name="priorWinnerTime" dataDxfId="153" totalsRowDxfId="33" dataCellStyle="Normal 2"/>
    <tableColumn id="51" name="groupTime22" dataDxfId="152" totalsRowDxfId="32" dataCellStyle="Normal 2"/>
    <tableColumn id="52" name="cluster3Time" dataDxfId="151" totalsRowDxfId="31" dataCellStyle="Normal 2"/>
    <tableColumn id="53" name="cluster5Time" dataDxfId="150" totalsRowDxfId="30" dataCellStyle="Normal 2"/>
    <tableColumn id="54" name="cluster1Time" dataDxfId="149" totalsRowDxfId="29" dataCellStyle="Normal 2"/>
    <tableColumn id="55" name="cluster0Time" dataDxfId="148" totalsRowDxfId="28" dataCellStyle="Normal 2"/>
    <tableColumn id="56" name="cliuster2Time" dataDxfId="147" totalsRowDxfId="27" dataCellStyle="Normal 2"/>
    <tableColumn id="57" name="cluster4Time" dataDxfId="146" totalsRowDxfId="26" dataCellStyle="Normal 2"/>
    <tableColumn id="58" name="groupTime23" dataDxfId="145" totalsRowDxfId="25" dataCellStyle="Normal 2"/>
    <tableColumn id="59" name="explain1Time" dataDxfId="144" totalsRowDxfId="24" dataCellStyle="Normal 2"/>
    <tableColumn id="60" name="explain2Time" dataDxfId="143" totalsRowDxfId="23" dataCellStyle="Normal 2"/>
    <tableColumn id="61" name="explain3Time" dataDxfId="142" totalsRowDxfId="22" dataCellStyle="Normal 2"/>
    <tableColumn id="62" name="explain4Time" dataDxfId="141" totalsRowDxfId="21" dataCellStyle="Normal 2"/>
    <tableColumn id="63" name="explain5Time" dataDxfId="140" totalsRowDxfId="20" dataCellStyle="Normal 2"/>
    <tableColumn id="64" name="explain6Time" dataDxfId="139" totalsRowDxfId="19" dataCellStyle="Normal 2"/>
    <tableColumn id="65" name="explain7Time" dataDxfId="138" totalsRowDxfId="18" dataCellStyle="Normal 2"/>
    <tableColumn id="66" name="explain8Time" dataDxfId="137" totalsRowDxfId="17" dataCellStyle="Normal 2"/>
    <tableColumn id="67" name="groupTime24" dataDxfId="136" totalsRowDxfId="16" dataCellStyle="Normal 2"/>
    <tableColumn id="68" name="validate1Time" dataDxfId="135" totalsRowDxfId="15" dataCellStyle="Normal 2"/>
    <tableColumn id="69" name="validate2Time" dataDxfId="134" totalsRowDxfId="14" dataCellStyle="Normal 2"/>
    <tableColumn id="70" name="validate3Time" dataDxfId="133" totalsRowDxfId="13" dataCellStyle="Normal 2"/>
    <tableColumn id="71" name="validate4Time" dataDxfId="132" totalsRowDxfId="12" dataCellStyle="Normal 2"/>
    <tableColumn id="72" name="validate5Time" dataDxfId="131" totalsRowDxfId="11" dataCellStyle="Normal 2"/>
    <tableColumn id="73" name="validate6Time" dataDxfId="130" totalsRowDxfId="10" dataCellStyle="Normal 2"/>
    <tableColumn id="74" name="validate7Time" dataDxfId="129" totalsRowDxfId="9" dataCellStyle="Normal 2"/>
    <tableColumn id="75" name="validate8Time" dataDxfId="128" totalsRowDxfId="8" dataCellStyle="Normal 2"/>
    <tableColumn id="76" name="groupTime25" dataDxfId="127" totalsRowDxfId="7" dataCellStyle="Normal 2"/>
    <tableColumn id="77" name="comprescoreTime" dataDxfId="126" totalsRowDxfId="6" dataCellStyle="Normal 2"/>
    <tableColumn id="78" name="comprecommentTime" dataDxfId="125" totalsRowDxfId="5" dataCellStyle="Normal 2"/>
    <tableColumn id="79" name="groupTime31" dataDxfId="124" totalsRowDxfId="4" dataCellStyle="Normal 2"/>
    <tableColumn id="80" name="feedbackTime" totalsRowFunction="count" dataDxfId="123" totalsRowDxfId="3" dataCellStyle="Normal 2"/>
    <tableColumn id="90" name="classifyTime" dataDxfId="122" totalsRowDxfId="2" dataCellStyle="Normal 2">
      <calculatedColumnFormula>Table2[[#This Row],[groupTime22]]/60</calculatedColumnFormula>
    </tableColumn>
    <tableColumn id="95" name="explainTime" dataDxfId="121" totalsRowDxfId="1" dataCellStyle="Normal 2">
      <calculatedColumnFormula>Table2[[#This Row],[groupTime23]]/60</calculatedColumnFormula>
    </tableColumn>
    <tableColumn id="96" name="validateTime" dataDxfId="120" totalsRowDxfId="0" dataCellStyle="Normal 2">
      <calculatedColumnFormula>Table2[[#This Row],[groupTime24]]/60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K2:M190" totalsRowShown="0">
  <autoFilter ref="K2:M190"/>
  <tableColumns count="3">
    <tableColumn id="1" name="Prolific ID" dataDxfId="116"/>
    <tableColumn id="2" name="priorKnowledgeTechAvg"/>
    <tableColumn id="3" name="totalCorrectAnswers"/>
  </tableColumns>
  <tableStyleInfo name="TableStyleMedium2" showFirstColumn="0" showLastColumn="0" showRowStripes="1" showColumnStripes="0"/>
</table>
</file>

<file path=xl/tables/table4.xml><?xml version="1.0" encoding="utf-8"?>
<table xmlns="http://schemas.openxmlformats.org/spreadsheetml/2006/main" id="6" name="Table57" displayName="Table57" ref="J2:M190" totalsRowShown="0">
  <autoFilter ref="J2:M190"/>
  <tableColumns count="4">
    <tableColumn id="4" name="Visualization" dataDxfId="115"/>
    <tableColumn id="1" name="Prolific ID" dataDxfId="114"/>
    <tableColumn id="2" name="tasksTimeToComplete"/>
    <tableColumn id="3" name="totalCorrectAnswers"/>
  </tableColumns>
  <tableStyleInfo name="TableStyleMedium2" showFirstColumn="0" showLastColumn="0" showRowStripes="1" showColumnStripes="0"/>
</table>
</file>

<file path=xl/tables/table5.xml><?xml version="1.0" encoding="utf-8"?>
<table xmlns="http://schemas.openxmlformats.org/spreadsheetml/2006/main" id="7" name="Table578" displayName="Table578" ref="J10:M198" totalsRowShown="0">
  <autoFilter ref="J10:M198"/>
  <tableColumns count="4">
    <tableColumn id="4" name="Visualization" dataDxfId="113"/>
    <tableColumn id="1" name="Prolific ID" dataDxfId="112"/>
    <tableColumn id="2" name="subjectiveComprehensibility"/>
    <tableColumn id="3" name="totalCorrectAnswers"/>
  </tableColumns>
  <tableStyleInfo name="TableStyleMedium2" showFirstColumn="0" showLastColumn="0" showRowStripes="1" showColumnStripes="0"/>
</table>
</file>

<file path=xl/tables/table6.xml><?xml version="1.0" encoding="utf-8"?>
<table xmlns="http://schemas.openxmlformats.org/spreadsheetml/2006/main" id="8" name="Table5789" displayName="Table5789" ref="J2:M190" totalsRowShown="0">
  <autoFilter ref="J2:M190"/>
  <tableColumns count="4">
    <tableColumn id="4" name="Visualization" dataDxfId="111"/>
    <tableColumn id="1" name="Prolific ID" dataDxfId="110"/>
    <tableColumn id="2" name="subjectiveComprehensibility"/>
    <tableColumn id="3" name="tasksTimeToComplete"/>
  </tableColumns>
  <tableStyleInfo name="TableStyleMedium2" showFirstColumn="0" showLastColumn="0" showRowStripes="1" showColumnStripes="0"/>
</table>
</file>

<file path=xl/tables/table7.xml><?xml version="1.0" encoding="utf-8"?>
<table xmlns="http://schemas.openxmlformats.org/spreadsheetml/2006/main" id="4" name="Table4" displayName="Table4" ref="A2:C68" totalsRowCount="1">
  <autoFilter ref="A2:C67"/>
  <tableColumns count="3">
    <tableColumn id="1" name="Z-score charts" totalsRowFunction="average" dataDxfId="109" dataCellStyle="Percent"/>
    <tableColumn id="2" name="Z-score wordcloud" totalsRowFunction="average" dataCellStyle="Good"/>
    <tableColumn id="3" name="Wordcloud" totalsRowFunction="average" dataDxfId="108" dataCellStyle="Percent"/>
  </tableColumns>
  <tableStyleInfo name="TableStyleMedium2" showFirstColumn="0" showLastColumn="0" showRowStripes="1" showColumnStripes="0"/>
</table>
</file>

<file path=xl/tables/table8.xml><?xml version="1.0" encoding="utf-8"?>
<table xmlns="http://schemas.openxmlformats.org/spreadsheetml/2006/main" id="9" name="Table410" displayName="Table410" ref="A2:D68" totalsRowCount="1">
  <autoFilter ref="A2:D67"/>
  <tableColumns count="4">
    <tableColumn id="1" name="Z-score charts" totalsRowFunction="average" dataDxfId="107" dataCellStyle="Percent"/>
    <tableColumn id="2" name="Z-score wordcloud" totalsRowFunction="average" dataCellStyle="Good"/>
    <tableColumn id="3" name="Wordcloud" totalsRowFunction="average" dataDxfId="106" dataCellStyle="Percent"/>
    <tableColumn id="4" name="Column1"/>
  </tableColumns>
  <tableStyleInfo name="TableStyleMedium2" showFirstColumn="0" showLastColumn="0" showRowStripes="1" showColumnStripes="0"/>
</table>
</file>

<file path=xl/tables/table9.xml><?xml version="1.0" encoding="utf-8"?>
<table xmlns="http://schemas.openxmlformats.org/spreadsheetml/2006/main" id="10" name="Table10" displayName="Table10" ref="A2:C68" totalsRowCount="1" totalsRowDxfId="105">
  <autoFilter ref="A2:C67"/>
  <tableColumns count="3">
    <tableColumn id="1" name="Word cloud" totalsRowFunction="average" dataDxfId="104" totalsRowDxfId="103" dataCellStyle="Percent"/>
    <tableColumn id="2" name="Z-score charts" totalsRowFunction="average" dataDxfId="102" totalsRowDxfId="101" dataCellStyle="Percent"/>
    <tableColumn id="3" name="Z-score wordcloud" totalsRowFunction="average" dataDxfId="100" totalsRowDxfId="99"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5" sqref="C5"/>
    </sheetView>
  </sheetViews>
  <sheetFormatPr defaultRowHeight="15" x14ac:dyDescent="0.25"/>
  <cols>
    <col min="1" max="1" width="17.5703125" bestFit="1" customWidth="1"/>
    <col min="2" max="2" width="29.28515625" bestFit="1" customWidth="1"/>
    <col min="3" max="3" width="29.42578125" bestFit="1" customWidth="1"/>
    <col min="4" max="4" width="30.140625" bestFit="1" customWidth="1"/>
    <col min="5" max="5" width="27" customWidth="1"/>
  </cols>
  <sheetData>
    <row r="1" spans="1:5" x14ac:dyDescent="0.25">
      <c r="A1" s="13" t="s">
        <v>181</v>
      </c>
      <c r="B1" t="s">
        <v>352</v>
      </c>
    </row>
    <row r="2" spans="1:5" x14ac:dyDescent="0.25">
      <c r="A2" s="13" t="s">
        <v>579</v>
      </c>
      <c r="B2" t="s">
        <v>129</v>
      </c>
    </row>
    <row r="4" spans="1:5" x14ac:dyDescent="0.25">
      <c r="A4" s="13" t="s">
        <v>130</v>
      </c>
      <c r="B4" t="s">
        <v>132</v>
      </c>
      <c r="C4" t="s">
        <v>133</v>
      </c>
      <c r="D4" t="s">
        <v>134</v>
      </c>
      <c r="E4" t="s">
        <v>135</v>
      </c>
    </row>
    <row r="5" spans="1:5" x14ac:dyDescent="0.25">
      <c r="A5" s="14" t="s">
        <v>115</v>
      </c>
      <c r="B5" s="10">
        <v>0.67441860465116277</v>
      </c>
      <c r="C5" s="10">
        <v>0.78779069767441856</v>
      </c>
      <c r="D5" s="10">
        <v>0.50290697674418605</v>
      </c>
      <c r="E5" s="10">
        <v>0.65327695560253718</v>
      </c>
    </row>
    <row r="6" spans="1:5" x14ac:dyDescent="0.25">
      <c r="A6" s="14" t="s">
        <v>113</v>
      </c>
      <c r="B6" s="10">
        <v>0.64</v>
      </c>
      <c r="C6" s="10">
        <v>0.72</v>
      </c>
      <c r="D6" s="10">
        <v>0.65500000000000003</v>
      </c>
      <c r="E6" s="10">
        <v>0.67454545454545467</v>
      </c>
    </row>
    <row r="7" spans="1:5" x14ac:dyDescent="0.25">
      <c r="A7" s="14" t="s">
        <v>114</v>
      </c>
      <c r="B7" s="10">
        <v>0.77160493827160492</v>
      </c>
      <c r="C7" s="10">
        <v>0.79629629629629628</v>
      </c>
      <c r="D7" s="10">
        <v>0.83333333333333337</v>
      </c>
      <c r="E7" s="10">
        <v>0.80303030303030298</v>
      </c>
    </row>
    <row r="8" spans="1:5" x14ac:dyDescent="0.25">
      <c r="A8" s="14" t="s">
        <v>131</v>
      </c>
      <c r="B8" s="10">
        <v>0.69298245614035081</v>
      </c>
      <c r="C8" s="10">
        <v>0.77236842105263159</v>
      </c>
      <c r="D8" s="10">
        <v>0.63684210526315788</v>
      </c>
      <c r="E8" s="10">
        <v>0.70143540669856452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M198"/>
  <sheetViews>
    <sheetView topLeftCell="A16" zoomScaleNormal="100" workbookViewId="0">
      <selection activeCell="J20" sqref="J20:M20"/>
    </sheetView>
  </sheetViews>
  <sheetFormatPr defaultRowHeight="15" x14ac:dyDescent="0.25"/>
  <cols>
    <col min="1" max="1" width="30.85546875" customWidth="1"/>
    <col min="2" max="2" width="29.140625" customWidth="1"/>
    <col min="6" max="14" width="16.28515625" customWidth="1"/>
  </cols>
  <sheetData>
    <row r="10" spans="1:13" x14ac:dyDescent="0.25">
      <c r="A10" s="22" t="s">
        <v>170</v>
      </c>
      <c r="B10" s="17">
        <f>CORREL(Table578[subjectiveComprehensibility],Table578[totalCorrectAnswers])</f>
        <v>-0.22771893703070203</v>
      </c>
      <c r="J10" t="s">
        <v>578</v>
      </c>
      <c r="K10" t="s">
        <v>577</v>
      </c>
      <c r="L10" t="s">
        <v>140</v>
      </c>
      <c r="M10" t="s">
        <v>137</v>
      </c>
    </row>
    <row r="11" spans="1:13" x14ac:dyDescent="0.25">
      <c r="A11" s="22" t="s">
        <v>168</v>
      </c>
      <c r="B11" t="s">
        <v>137</v>
      </c>
      <c r="J11" s="11" t="s">
        <v>115</v>
      </c>
      <c r="K11" s="31" t="s">
        <v>270</v>
      </c>
      <c r="L11" s="28">
        <v>3</v>
      </c>
      <c r="M11" s="16">
        <v>13</v>
      </c>
    </row>
    <row r="12" spans="1:13" x14ac:dyDescent="0.25">
      <c r="A12" s="22" t="s">
        <v>167</v>
      </c>
      <c r="B12" t="s">
        <v>140</v>
      </c>
      <c r="J12" s="11" t="s">
        <v>115</v>
      </c>
      <c r="K12" s="31" t="s">
        <v>272</v>
      </c>
      <c r="L12" s="28">
        <v>3</v>
      </c>
      <c r="M12" s="16">
        <v>16</v>
      </c>
    </row>
    <row r="13" spans="1:13" x14ac:dyDescent="0.25">
      <c r="J13" s="11" t="s">
        <v>115</v>
      </c>
      <c r="K13" s="31" t="s">
        <v>274</v>
      </c>
      <c r="L13" s="28">
        <v>3</v>
      </c>
      <c r="M13" s="16">
        <v>15</v>
      </c>
    </row>
    <row r="14" spans="1:13" x14ac:dyDescent="0.25">
      <c r="J14" s="11" t="s">
        <v>115</v>
      </c>
      <c r="K14" s="31" t="s">
        <v>276</v>
      </c>
      <c r="L14" s="28">
        <v>3</v>
      </c>
      <c r="M14" s="16">
        <v>13</v>
      </c>
    </row>
    <row r="15" spans="1:13" x14ac:dyDescent="0.25">
      <c r="J15" s="11" t="s">
        <v>115</v>
      </c>
      <c r="K15" s="31" t="s">
        <v>277</v>
      </c>
      <c r="L15" s="28">
        <v>4</v>
      </c>
      <c r="M15" s="16">
        <v>11</v>
      </c>
    </row>
    <row r="16" spans="1:13" x14ac:dyDescent="0.25">
      <c r="J16" s="11" t="s">
        <v>115</v>
      </c>
      <c r="K16" s="31" t="s">
        <v>280</v>
      </c>
      <c r="L16" s="28">
        <v>2</v>
      </c>
      <c r="M16" s="16">
        <v>17</v>
      </c>
    </row>
    <row r="17" spans="1:13" x14ac:dyDescent="0.25">
      <c r="J17" s="11" t="s">
        <v>115</v>
      </c>
      <c r="K17" s="31" t="s">
        <v>282</v>
      </c>
      <c r="L17" s="28">
        <v>2</v>
      </c>
      <c r="M17" s="16">
        <v>16</v>
      </c>
    </row>
    <row r="18" spans="1:13" x14ac:dyDescent="0.25">
      <c r="J18" s="11" t="s">
        <v>115</v>
      </c>
      <c r="K18" s="31" t="s">
        <v>284</v>
      </c>
      <c r="L18" s="28">
        <v>4</v>
      </c>
      <c r="M18" s="16">
        <v>12</v>
      </c>
    </row>
    <row r="19" spans="1:13" x14ac:dyDescent="0.25">
      <c r="J19" s="11" t="s">
        <v>115</v>
      </c>
      <c r="K19" s="31" t="s">
        <v>287</v>
      </c>
      <c r="L19" s="28">
        <v>2</v>
      </c>
      <c r="M19" s="16">
        <v>15</v>
      </c>
    </row>
    <row r="20" spans="1:13" x14ac:dyDescent="0.25">
      <c r="J20" s="11" t="s">
        <v>115</v>
      </c>
      <c r="K20" s="31" t="s">
        <v>289</v>
      </c>
      <c r="L20" s="28">
        <v>2</v>
      </c>
      <c r="M20" s="16">
        <v>15</v>
      </c>
    </row>
    <row r="21" spans="1:13" x14ac:dyDescent="0.25">
      <c r="J21" s="11" t="s">
        <v>115</v>
      </c>
      <c r="K21" s="31" t="s">
        <v>291</v>
      </c>
      <c r="L21" s="28">
        <v>3</v>
      </c>
      <c r="M21" s="16">
        <v>15</v>
      </c>
    </row>
    <row r="22" spans="1:13" x14ac:dyDescent="0.25">
      <c r="J22" s="11" t="s">
        <v>115</v>
      </c>
      <c r="K22" s="31" t="s">
        <v>292</v>
      </c>
      <c r="L22" s="28">
        <v>1</v>
      </c>
      <c r="M22" s="16">
        <v>16</v>
      </c>
    </row>
    <row r="23" spans="1:13" x14ac:dyDescent="0.25">
      <c r="J23" s="11" t="s">
        <v>115</v>
      </c>
      <c r="K23" s="31" t="s">
        <v>293</v>
      </c>
      <c r="L23" s="28">
        <v>3</v>
      </c>
      <c r="M23" s="16">
        <v>19</v>
      </c>
    </row>
    <row r="24" spans="1:13" x14ac:dyDescent="0.25">
      <c r="J24" s="11" t="s">
        <v>115</v>
      </c>
      <c r="K24" s="31" t="s">
        <v>295</v>
      </c>
      <c r="L24" s="28">
        <v>3</v>
      </c>
      <c r="M24" s="16">
        <v>16</v>
      </c>
    </row>
    <row r="25" spans="1:13" x14ac:dyDescent="0.25">
      <c r="J25" s="11" t="s">
        <v>115</v>
      </c>
      <c r="K25" s="31" t="s">
        <v>297</v>
      </c>
      <c r="L25" s="28">
        <v>2</v>
      </c>
      <c r="M25" s="16">
        <v>15</v>
      </c>
    </row>
    <row r="26" spans="1:13" x14ac:dyDescent="0.25">
      <c r="J26" s="11" t="s">
        <v>115</v>
      </c>
      <c r="K26" s="31" t="s">
        <v>298</v>
      </c>
      <c r="L26" s="28">
        <v>3</v>
      </c>
      <c r="M26" s="16">
        <v>18</v>
      </c>
    </row>
    <row r="27" spans="1:13" x14ac:dyDescent="0.25">
      <c r="A27" s="22" t="s">
        <v>582</v>
      </c>
      <c r="C27" s="18"/>
      <c r="D27" s="54"/>
      <c r="E27" s="54"/>
      <c r="F27" s="54"/>
      <c r="G27" s="54"/>
      <c r="J27" s="11" t="s">
        <v>115</v>
      </c>
      <c r="K27" s="31" t="s">
        <v>300</v>
      </c>
      <c r="L27" s="28">
        <v>2</v>
      </c>
      <c r="M27" s="16">
        <v>13</v>
      </c>
    </row>
    <row r="28" spans="1:13" x14ac:dyDescent="0.25">
      <c r="A28" t="s">
        <v>142</v>
      </c>
      <c r="C28" s="18"/>
      <c r="D28" s="54"/>
      <c r="E28" s="54"/>
      <c r="F28" s="54"/>
      <c r="G28" s="54"/>
      <c r="J28" s="11" t="s">
        <v>115</v>
      </c>
      <c r="K28" s="31" t="s">
        <v>302</v>
      </c>
      <c r="L28" s="28">
        <v>3</v>
      </c>
      <c r="M28" s="16">
        <v>13</v>
      </c>
    </row>
    <row r="29" spans="1:13" ht="15.75" thickBot="1" x14ac:dyDescent="0.3">
      <c r="C29" s="18"/>
      <c r="D29" s="54"/>
      <c r="E29" s="54"/>
      <c r="F29" s="54"/>
      <c r="G29" s="54"/>
      <c r="J29" s="11" t="s">
        <v>115</v>
      </c>
      <c r="K29" s="31" t="s">
        <v>303</v>
      </c>
      <c r="L29" s="28">
        <v>4</v>
      </c>
      <c r="M29" s="16">
        <v>14</v>
      </c>
    </row>
    <row r="30" spans="1:13" x14ac:dyDescent="0.25">
      <c r="A30" s="21" t="s">
        <v>143</v>
      </c>
      <c r="B30" s="21"/>
      <c r="C30" s="18"/>
      <c r="D30" s="54"/>
      <c r="E30" s="54"/>
      <c r="F30" s="54"/>
      <c r="G30" s="54"/>
      <c r="J30" s="11" t="s">
        <v>115</v>
      </c>
      <c r="K30" s="31" t="s">
        <v>305</v>
      </c>
      <c r="L30" s="28">
        <v>2</v>
      </c>
      <c r="M30" s="16">
        <v>17</v>
      </c>
    </row>
    <row r="31" spans="1:13" x14ac:dyDescent="0.25">
      <c r="A31" s="18" t="s">
        <v>144</v>
      </c>
      <c r="B31" s="18">
        <v>0.22771893703070173</v>
      </c>
      <c r="C31" s="18"/>
      <c r="D31" s="54"/>
      <c r="E31" s="55"/>
      <c r="F31" s="54"/>
      <c r="G31" s="55"/>
      <c r="J31" s="11" t="s">
        <v>115</v>
      </c>
      <c r="K31" s="31" t="s">
        <v>306</v>
      </c>
      <c r="L31" s="28">
        <v>2</v>
      </c>
      <c r="M31" s="16">
        <v>10</v>
      </c>
    </row>
    <row r="32" spans="1:13" x14ac:dyDescent="0.25">
      <c r="A32" s="18" t="s">
        <v>145</v>
      </c>
      <c r="B32" s="18">
        <v>5.1855914282392702E-2</v>
      </c>
      <c r="J32" s="11" t="s">
        <v>115</v>
      </c>
      <c r="K32" s="31" t="s">
        <v>308</v>
      </c>
      <c r="L32" s="28">
        <v>2</v>
      </c>
      <c r="M32" s="16">
        <v>14</v>
      </c>
    </row>
    <row r="33" spans="1:13" x14ac:dyDescent="0.25">
      <c r="A33" s="18" t="s">
        <v>146</v>
      </c>
      <c r="B33" s="18">
        <v>4.6758365434448577E-2</v>
      </c>
      <c r="J33" s="11" t="s">
        <v>115</v>
      </c>
      <c r="K33" s="31" t="s">
        <v>310</v>
      </c>
      <c r="L33" s="28">
        <v>3</v>
      </c>
      <c r="M33" s="16">
        <v>13</v>
      </c>
    </row>
    <row r="34" spans="1:13" x14ac:dyDescent="0.25">
      <c r="A34" s="18" t="s">
        <v>147</v>
      </c>
      <c r="B34" s="18">
        <v>3.1416243539566326</v>
      </c>
      <c r="J34" s="11" t="s">
        <v>115</v>
      </c>
      <c r="K34" s="31" t="s">
        <v>312</v>
      </c>
      <c r="L34" s="28">
        <v>3</v>
      </c>
      <c r="M34" s="16">
        <v>13</v>
      </c>
    </row>
    <row r="35" spans="1:13" ht="15.75" thickBot="1" x14ac:dyDescent="0.3">
      <c r="A35" s="19" t="s">
        <v>148</v>
      </c>
      <c r="B35" s="19">
        <v>188</v>
      </c>
      <c r="J35" s="11" t="s">
        <v>115</v>
      </c>
      <c r="K35" s="31" t="s">
        <v>314</v>
      </c>
      <c r="L35" s="28">
        <v>2</v>
      </c>
      <c r="M35" s="16">
        <v>15</v>
      </c>
    </row>
    <row r="36" spans="1:13" x14ac:dyDescent="0.25">
      <c r="J36" s="11" t="s">
        <v>115</v>
      </c>
      <c r="K36" s="31" t="s">
        <v>316</v>
      </c>
      <c r="L36" s="28">
        <v>3</v>
      </c>
      <c r="M36" s="16">
        <v>14</v>
      </c>
    </row>
    <row r="37" spans="1:13" ht="15.75" thickBot="1" x14ac:dyDescent="0.3">
      <c r="A37" t="s">
        <v>149</v>
      </c>
      <c r="F37" s="23" t="s">
        <v>742</v>
      </c>
      <c r="G37" s="23"/>
      <c r="H37" s="23"/>
      <c r="J37" s="11" t="s">
        <v>115</v>
      </c>
      <c r="K37" s="31" t="s">
        <v>318</v>
      </c>
      <c r="L37" s="28">
        <v>4</v>
      </c>
      <c r="M37" s="16">
        <v>12</v>
      </c>
    </row>
    <row r="38" spans="1:13" x14ac:dyDescent="0.25">
      <c r="A38" s="20"/>
      <c r="B38" s="20" t="s">
        <v>153</v>
      </c>
      <c r="C38" s="20" t="s">
        <v>154</v>
      </c>
      <c r="D38" s="20" t="s">
        <v>155</v>
      </c>
      <c r="E38" s="20" t="s">
        <v>156</v>
      </c>
      <c r="F38" s="20" t="s">
        <v>157</v>
      </c>
      <c r="J38" s="11" t="s">
        <v>115</v>
      </c>
      <c r="K38" s="31" t="s">
        <v>320</v>
      </c>
      <c r="L38" s="28">
        <v>4</v>
      </c>
      <c r="M38" s="16">
        <v>16</v>
      </c>
    </row>
    <row r="39" spans="1:13" x14ac:dyDescent="0.25">
      <c r="A39" s="18" t="s">
        <v>150</v>
      </c>
      <c r="B39" s="18">
        <v>1</v>
      </c>
      <c r="C39" s="18">
        <v>100.40270407730736</v>
      </c>
      <c r="D39" s="18">
        <v>100.40270407730736</v>
      </c>
      <c r="E39" s="18">
        <v>10.172715520579372</v>
      </c>
      <c r="F39" s="33">
        <v>1.6728426557550901E-3</v>
      </c>
      <c r="J39" s="11" t="s">
        <v>115</v>
      </c>
      <c r="K39" s="31" t="s">
        <v>322</v>
      </c>
      <c r="L39" s="28">
        <v>3</v>
      </c>
      <c r="M39" s="16">
        <v>16</v>
      </c>
    </row>
    <row r="40" spans="1:13" x14ac:dyDescent="0.25">
      <c r="A40" s="18" t="s">
        <v>151</v>
      </c>
      <c r="B40" s="18">
        <v>186</v>
      </c>
      <c r="C40" s="18">
        <v>1835.783466135458</v>
      </c>
      <c r="D40" s="18">
        <v>9.8698035813734304</v>
      </c>
      <c r="E40" s="18"/>
      <c r="F40" s="18"/>
      <c r="J40" s="11" t="s">
        <v>115</v>
      </c>
      <c r="K40" s="31" t="s">
        <v>324</v>
      </c>
      <c r="L40" s="28">
        <v>4</v>
      </c>
      <c r="M40" s="16">
        <v>14</v>
      </c>
    </row>
    <row r="41" spans="1:13" ht="15.75" thickBot="1" x14ac:dyDescent="0.3">
      <c r="A41" s="19" t="s">
        <v>128</v>
      </c>
      <c r="B41" s="19">
        <v>187</v>
      </c>
      <c r="C41" s="19">
        <v>1936.1861702127653</v>
      </c>
      <c r="D41" s="19"/>
      <c r="E41" s="19"/>
      <c r="F41" s="19"/>
      <c r="J41" s="11" t="s">
        <v>115</v>
      </c>
      <c r="K41" s="31" t="s">
        <v>326</v>
      </c>
      <c r="L41" s="28">
        <v>4</v>
      </c>
      <c r="M41" s="16">
        <v>6</v>
      </c>
    </row>
    <row r="42" spans="1:13" ht="15.75" thickBot="1" x14ac:dyDescent="0.3">
      <c r="J42" s="11" t="s">
        <v>115</v>
      </c>
      <c r="K42" s="31" t="s">
        <v>329</v>
      </c>
      <c r="L42" s="28">
        <v>2</v>
      </c>
      <c r="M42" s="16">
        <v>15</v>
      </c>
    </row>
    <row r="43" spans="1:13" x14ac:dyDescent="0.25">
      <c r="A43" s="20"/>
      <c r="B43" s="20" t="s">
        <v>158</v>
      </c>
      <c r="C43" s="20" t="s">
        <v>147</v>
      </c>
      <c r="D43" s="20" t="s">
        <v>159</v>
      </c>
      <c r="E43" s="20" t="s">
        <v>160</v>
      </c>
      <c r="F43" s="20" t="s">
        <v>161</v>
      </c>
      <c r="G43" s="20" t="s">
        <v>162</v>
      </c>
      <c r="H43" s="20" t="s">
        <v>163</v>
      </c>
      <c r="I43" s="20" t="s">
        <v>164</v>
      </c>
      <c r="J43" s="11" t="s">
        <v>115</v>
      </c>
      <c r="K43" s="31" t="s">
        <v>331</v>
      </c>
      <c r="L43" s="28">
        <v>2</v>
      </c>
      <c r="M43" s="16">
        <v>18</v>
      </c>
    </row>
    <row r="44" spans="1:13" x14ac:dyDescent="0.25">
      <c r="A44" s="18" t="s">
        <v>152</v>
      </c>
      <c r="B44" s="18">
        <v>17.983067729083668</v>
      </c>
      <c r="C44" s="18">
        <v>0.69874691807511391</v>
      </c>
      <c r="D44" s="18">
        <v>25.736167507719188</v>
      </c>
      <c r="E44" s="18">
        <v>3.3643794367905487E-63</v>
      </c>
      <c r="F44" s="18">
        <v>16.604579729451121</v>
      </c>
      <c r="G44" s="18">
        <v>19.361555728716215</v>
      </c>
      <c r="H44" s="18">
        <v>16.604579729451121</v>
      </c>
      <c r="I44" s="18">
        <v>19.361555728716215</v>
      </c>
      <c r="J44" s="11" t="s">
        <v>115</v>
      </c>
      <c r="K44" s="31" t="s">
        <v>333</v>
      </c>
      <c r="L44" s="28">
        <v>1</v>
      </c>
      <c r="M44" s="16">
        <v>16</v>
      </c>
    </row>
    <row r="45" spans="1:13" ht="15.75" thickBot="1" x14ac:dyDescent="0.3">
      <c r="A45" s="19" t="s">
        <v>165</v>
      </c>
      <c r="B45" s="19">
        <v>-0.79163346613545982</v>
      </c>
      <c r="C45" s="19">
        <v>0.24820223952077425</v>
      </c>
      <c r="D45" s="19">
        <v>-3.189469473216421</v>
      </c>
      <c r="E45" s="19">
        <v>1.6728426557550318E-3</v>
      </c>
      <c r="F45" s="19">
        <v>-1.2812868725559672</v>
      </c>
      <c r="G45" s="19">
        <v>-0.30198005971495251</v>
      </c>
      <c r="H45" s="19">
        <v>-1.2812868725559672</v>
      </c>
      <c r="I45" s="19">
        <v>-0.30198005971495251</v>
      </c>
      <c r="J45" s="11" t="s">
        <v>115</v>
      </c>
      <c r="K45" s="31" t="s">
        <v>335</v>
      </c>
      <c r="L45" s="28">
        <v>3</v>
      </c>
      <c r="M45" s="16">
        <v>13</v>
      </c>
    </row>
    <row r="46" spans="1:13" x14ac:dyDescent="0.25">
      <c r="J46" s="11" t="s">
        <v>115</v>
      </c>
      <c r="K46" s="31" t="s">
        <v>337</v>
      </c>
      <c r="L46" s="28">
        <v>4</v>
      </c>
      <c r="M46" s="16">
        <v>18</v>
      </c>
    </row>
    <row r="47" spans="1:13" x14ac:dyDescent="0.25">
      <c r="J47" s="11" t="s">
        <v>115</v>
      </c>
      <c r="K47" s="31" t="s">
        <v>339</v>
      </c>
      <c r="L47" s="28">
        <v>2</v>
      </c>
      <c r="M47" s="16">
        <v>14</v>
      </c>
    </row>
    <row r="48" spans="1:13" x14ac:dyDescent="0.25">
      <c r="A48" s="22" t="s">
        <v>977</v>
      </c>
      <c r="J48" s="11" t="s">
        <v>115</v>
      </c>
      <c r="K48" s="31" t="s">
        <v>340</v>
      </c>
      <c r="L48" s="28">
        <v>2</v>
      </c>
      <c r="M48" s="16">
        <v>16</v>
      </c>
    </row>
    <row r="49" spans="1:13" x14ac:dyDescent="0.25">
      <c r="A49" t="s">
        <v>142</v>
      </c>
      <c r="J49" s="11" t="s">
        <v>115</v>
      </c>
      <c r="K49" s="31" t="s">
        <v>342</v>
      </c>
      <c r="L49" s="28">
        <v>5</v>
      </c>
      <c r="M49" s="16">
        <v>11</v>
      </c>
    </row>
    <row r="50" spans="1:13" ht="15.75" thickBot="1" x14ac:dyDescent="0.3">
      <c r="J50" s="11" t="s">
        <v>115</v>
      </c>
      <c r="K50" s="31" t="s">
        <v>344</v>
      </c>
      <c r="L50" s="28">
        <v>4</v>
      </c>
      <c r="M50" s="16">
        <v>12</v>
      </c>
    </row>
    <row r="51" spans="1:13" x14ac:dyDescent="0.25">
      <c r="A51" s="21" t="s">
        <v>143</v>
      </c>
      <c r="B51" s="21"/>
      <c r="J51" s="11" t="s">
        <v>115</v>
      </c>
      <c r="K51" s="31" t="s">
        <v>346</v>
      </c>
      <c r="L51" s="28">
        <v>2</v>
      </c>
      <c r="M51" s="16">
        <v>9</v>
      </c>
    </row>
    <row r="52" spans="1:13" x14ac:dyDescent="0.25">
      <c r="A52" s="18" t="s">
        <v>144</v>
      </c>
      <c r="B52" s="18">
        <v>0.16486438486448507</v>
      </c>
      <c r="J52" s="11" t="s">
        <v>115</v>
      </c>
      <c r="K52" s="31" t="s">
        <v>348</v>
      </c>
      <c r="L52" s="28">
        <v>3</v>
      </c>
      <c r="M52" s="16">
        <v>17</v>
      </c>
    </row>
    <row r="53" spans="1:13" x14ac:dyDescent="0.25">
      <c r="A53" s="18" t="s">
        <v>145</v>
      </c>
      <c r="B53" s="18">
        <v>2.7180265396745052E-2</v>
      </c>
      <c r="J53" s="11" t="s">
        <v>115</v>
      </c>
      <c r="K53" s="31" t="s">
        <v>350</v>
      </c>
      <c r="L53" s="28">
        <v>2</v>
      </c>
      <c r="M53" s="16">
        <v>17</v>
      </c>
    </row>
    <row r="54" spans="1:13" x14ac:dyDescent="0.25">
      <c r="A54" s="18" t="s">
        <v>146</v>
      </c>
      <c r="B54" s="18">
        <v>1.123240089505235E-2</v>
      </c>
      <c r="J54" s="11" t="s">
        <v>115</v>
      </c>
      <c r="K54" s="31" t="s">
        <v>745</v>
      </c>
      <c r="L54" s="28">
        <v>1</v>
      </c>
      <c r="M54" s="16">
        <v>8</v>
      </c>
    </row>
    <row r="55" spans="1:13" x14ac:dyDescent="0.25">
      <c r="A55" s="18" t="s">
        <v>147</v>
      </c>
      <c r="B55" s="18">
        <v>2.7097231093129093</v>
      </c>
      <c r="J55" s="11" t="s">
        <v>115</v>
      </c>
      <c r="K55" s="31" t="s">
        <v>748</v>
      </c>
      <c r="L55" s="28">
        <v>4</v>
      </c>
      <c r="M55" s="16">
        <v>11</v>
      </c>
    </row>
    <row r="56" spans="1:13" ht="15.75" thickBot="1" x14ac:dyDescent="0.3">
      <c r="A56" s="19" t="s">
        <v>148</v>
      </c>
      <c r="B56" s="19">
        <v>63</v>
      </c>
      <c r="J56" s="11" t="s">
        <v>115</v>
      </c>
      <c r="K56" s="31" t="s">
        <v>751</v>
      </c>
      <c r="L56" s="28">
        <v>3</v>
      </c>
      <c r="M56" s="16">
        <v>9</v>
      </c>
    </row>
    <row r="57" spans="1:13" x14ac:dyDescent="0.25">
      <c r="J57" s="11" t="s">
        <v>115</v>
      </c>
      <c r="K57" s="31" t="s">
        <v>754</v>
      </c>
      <c r="L57" s="28">
        <v>4</v>
      </c>
      <c r="M57" s="16">
        <v>14</v>
      </c>
    </row>
    <row r="58" spans="1:13" ht="15.75" thickBot="1" x14ac:dyDescent="0.3">
      <c r="A58" t="s">
        <v>149</v>
      </c>
      <c r="F58" s="35" t="s">
        <v>741</v>
      </c>
      <c r="G58" s="35"/>
      <c r="H58" s="35"/>
      <c r="J58" s="11" t="s">
        <v>115</v>
      </c>
      <c r="K58" s="31" t="s">
        <v>757</v>
      </c>
      <c r="L58" s="28">
        <v>1</v>
      </c>
      <c r="M58" s="16">
        <v>11</v>
      </c>
    </row>
    <row r="59" spans="1:13" x14ac:dyDescent="0.25">
      <c r="A59" s="20"/>
      <c r="B59" s="20" t="s">
        <v>153</v>
      </c>
      <c r="C59" s="20" t="s">
        <v>154</v>
      </c>
      <c r="D59" s="20" t="s">
        <v>155</v>
      </c>
      <c r="E59" s="20" t="s">
        <v>156</v>
      </c>
      <c r="F59" s="20" t="s">
        <v>157</v>
      </c>
      <c r="J59" s="11" t="s">
        <v>115</v>
      </c>
      <c r="K59" s="31" t="s">
        <v>760</v>
      </c>
      <c r="L59" s="28">
        <v>3</v>
      </c>
      <c r="M59" s="16">
        <v>18</v>
      </c>
    </row>
    <row r="60" spans="1:13" x14ac:dyDescent="0.25">
      <c r="A60" s="18" t="s">
        <v>150</v>
      </c>
      <c r="B60" s="18">
        <v>1</v>
      </c>
      <c r="C60" s="18">
        <v>12.514139334888682</v>
      </c>
      <c r="D60" s="18">
        <v>12.514139334888682</v>
      </c>
      <c r="E60" s="18">
        <v>1.7043200607742901</v>
      </c>
      <c r="F60" s="34">
        <v>0.19662651474651899</v>
      </c>
      <c r="J60" s="11" t="s">
        <v>115</v>
      </c>
      <c r="K60" s="31" t="s">
        <v>763</v>
      </c>
      <c r="L60" s="28">
        <v>4</v>
      </c>
      <c r="M60" s="16">
        <v>10</v>
      </c>
    </row>
    <row r="61" spans="1:13" x14ac:dyDescent="0.25">
      <c r="A61" s="18" t="s">
        <v>151</v>
      </c>
      <c r="B61" s="18">
        <v>61</v>
      </c>
      <c r="C61" s="18">
        <v>447.89855907780975</v>
      </c>
      <c r="D61" s="18">
        <v>7.3425993291444218</v>
      </c>
      <c r="E61" s="18"/>
      <c r="F61" s="18"/>
      <c r="J61" s="11" t="s">
        <v>115</v>
      </c>
      <c r="K61" s="31" t="s">
        <v>766</v>
      </c>
      <c r="L61" s="28">
        <v>3</v>
      </c>
      <c r="M61" s="16">
        <v>15</v>
      </c>
    </row>
    <row r="62" spans="1:13" ht="15.75" thickBot="1" x14ac:dyDescent="0.3">
      <c r="A62" s="19" t="s">
        <v>128</v>
      </c>
      <c r="B62" s="19">
        <v>62</v>
      </c>
      <c r="C62" s="19">
        <v>460.41269841269843</v>
      </c>
      <c r="D62" s="19"/>
      <c r="E62" s="19"/>
      <c r="F62" s="19"/>
      <c r="J62" s="11" t="s">
        <v>115</v>
      </c>
      <c r="K62" s="31" t="s">
        <v>769</v>
      </c>
      <c r="L62" s="28">
        <v>1</v>
      </c>
      <c r="M62" s="16">
        <v>17</v>
      </c>
    </row>
    <row r="63" spans="1:13" ht="15.75" thickBot="1" x14ac:dyDescent="0.3">
      <c r="J63" s="11" t="s">
        <v>115</v>
      </c>
      <c r="K63" s="31" t="s">
        <v>772</v>
      </c>
      <c r="L63" s="28">
        <v>2</v>
      </c>
      <c r="M63" s="16">
        <v>18</v>
      </c>
    </row>
    <row r="64" spans="1:13" x14ac:dyDescent="0.25">
      <c r="A64" s="20"/>
      <c r="B64" s="20" t="s">
        <v>158</v>
      </c>
      <c r="C64" s="20" t="s">
        <v>147</v>
      </c>
      <c r="D64" s="20" t="s">
        <v>159</v>
      </c>
      <c r="E64" s="20" t="s">
        <v>160</v>
      </c>
      <c r="F64" s="20" t="s">
        <v>161</v>
      </c>
      <c r="G64" s="20" t="s">
        <v>162</v>
      </c>
      <c r="H64" s="20" t="s">
        <v>163</v>
      </c>
      <c r="I64" s="20" t="s">
        <v>164</v>
      </c>
      <c r="J64" s="11" t="s">
        <v>115</v>
      </c>
      <c r="K64" s="31" t="s">
        <v>775</v>
      </c>
      <c r="L64" s="28">
        <v>3</v>
      </c>
      <c r="M64" s="16">
        <v>13</v>
      </c>
    </row>
    <row r="65" spans="1:13" x14ac:dyDescent="0.25">
      <c r="A65" s="18" t="s">
        <v>152</v>
      </c>
      <c r="B65" s="18">
        <v>15.505475504322765</v>
      </c>
      <c r="C65" s="18">
        <v>1.0866189565229831</v>
      </c>
      <c r="D65" s="18">
        <v>14.269468990250225</v>
      </c>
      <c r="E65" s="18">
        <v>4.2173195320885805E-21</v>
      </c>
      <c r="F65" s="18">
        <v>13.332646610956816</v>
      </c>
      <c r="G65" s="18">
        <v>17.678304397688713</v>
      </c>
      <c r="H65" s="18">
        <v>13.332646610956816</v>
      </c>
      <c r="I65" s="18">
        <v>17.678304397688713</v>
      </c>
      <c r="J65" s="11" t="s">
        <v>115</v>
      </c>
      <c r="K65" s="31" t="s">
        <v>778</v>
      </c>
      <c r="L65" s="28">
        <v>2</v>
      </c>
      <c r="M65" s="16">
        <v>12</v>
      </c>
    </row>
    <row r="66" spans="1:13" ht="15.75" thickBot="1" x14ac:dyDescent="0.3">
      <c r="A66" s="19" t="s">
        <v>165</v>
      </c>
      <c r="B66" s="19">
        <v>-0.47665706051873175</v>
      </c>
      <c r="C66" s="19">
        <v>0.36511565327957252</v>
      </c>
      <c r="D66" s="19">
        <v>-1.3054960975714478</v>
      </c>
      <c r="E66" s="19">
        <v>0.19662651474651952</v>
      </c>
      <c r="F66" s="19">
        <v>-1.2067509320674001</v>
      </c>
      <c r="G66" s="19">
        <v>0.2534368110299367</v>
      </c>
      <c r="H66" s="19">
        <v>-1.2067509320674001</v>
      </c>
      <c r="I66" s="19">
        <v>0.2534368110299367</v>
      </c>
      <c r="J66" s="11" t="s">
        <v>115</v>
      </c>
      <c r="K66" s="31" t="s">
        <v>781</v>
      </c>
      <c r="L66" s="28">
        <v>4</v>
      </c>
      <c r="M66" s="16">
        <v>15</v>
      </c>
    </row>
    <row r="67" spans="1:13" x14ac:dyDescent="0.25">
      <c r="J67" s="11" t="s">
        <v>115</v>
      </c>
      <c r="K67" s="31" t="s">
        <v>785</v>
      </c>
      <c r="L67" s="28">
        <v>3</v>
      </c>
      <c r="M67" s="16">
        <v>11</v>
      </c>
    </row>
    <row r="68" spans="1:13" x14ac:dyDescent="0.25">
      <c r="J68" s="11" t="s">
        <v>115</v>
      </c>
      <c r="K68" s="31" t="s">
        <v>788</v>
      </c>
      <c r="L68" s="28">
        <v>3</v>
      </c>
      <c r="M68" s="16">
        <v>13</v>
      </c>
    </row>
    <row r="69" spans="1:13" x14ac:dyDescent="0.25">
      <c r="J69" s="11" t="s">
        <v>115</v>
      </c>
      <c r="K69" s="31" t="s">
        <v>791</v>
      </c>
      <c r="L69" s="28">
        <v>4</v>
      </c>
      <c r="M69" s="16">
        <v>16</v>
      </c>
    </row>
    <row r="70" spans="1:13" x14ac:dyDescent="0.25">
      <c r="A70" s="22" t="s">
        <v>583</v>
      </c>
      <c r="J70" s="11" t="s">
        <v>115</v>
      </c>
      <c r="K70" s="31" t="s">
        <v>794</v>
      </c>
      <c r="L70" s="28">
        <v>4</v>
      </c>
      <c r="M70" s="16">
        <v>17</v>
      </c>
    </row>
    <row r="71" spans="1:13" x14ac:dyDescent="0.25">
      <c r="A71" t="s">
        <v>142</v>
      </c>
      <c r="J71" s="11" t="s">
        <v>115</v>
      </c>
      <c r="K71" s="31" t="s">
        <v>796</v>
      </c>
      <c r="L71" s="28">
        <v>3</v>
      </c>
      <c r="M71" s="16">
        <v>15</v>
      </c>
    </row>
    <row r="72" spans="1:13" ht="15.75" thickBot="1" x14ac:dyDescent="0.3">
      <c r="J72" s="11" t="s">
        <v>115</v>
      </c>
      <c r="K72" s="31" t="s">
        <v>799</v>
      </c>
      <c r="L72" s="28">
        <v>3</v>
      </c>
      <c r="M72" s="16">
        <v>16</v>
      </c>
    </row>
    <row r="73" spans="1:13" x14ac:dyDescent="0.25">
      <c r="A73" s="21" t="s">
        <v>143</v>
      </c>
      <c r="B73" s="21"/>
      <c r="J73" s="11" t="s">
        <v>115</v>
      </c>
      <c r="K73" s="31" t="s">
        <v>802</v>
      </c>
      <c r="L73" s="28">
        <v>3</v>
      </c>
      <c r="M73" s="16">
        <v>15</v>
      </c>
    </row>
    <row r="74" spans="1:13" x14ac:dyDescent="0.25">
      <c r="A74" s="18" t="s">
        <v>144</v>
      </c>
      <c r="B74" s="18">
        <v>2.714283333513853E-2</v>
      </c>
      <c r="J74" s="11" t="s">
        <v>113</v>
      </c>
      <c r="K74" s="31" t="s">
        <v>524</v>
      </c>
      <c r="L74" s="28">
        <v>2</v>
      </c>
      <c r="M74" s="16">
        <v>17</v>
      </c>
    </row>
    <row r="75" spans="1:13" x14ac:dyDescent="0.25">
      <c r="A75" s="18" t="s">
        <v>145</v>
      </c>
      <c r="B75" s="18">
        <v>7.3673340145910743E-4</v>
      </c>
      <c r="J75" s="11" t="s">
        <v>113</v>
      </c>
      <c r="K75" s="31" t="s">
        <v>526</v>
      </c>
      <c r="L75" s="28">
        <v>5</v>
      </c>
      <c r="M75" s="16">
        <v>14</v>
      </c>
    </row>
    <row r="76" spans="1:13" x14ac:dyDescent="0.25">
      <c r="A76" s="18" t="s">
        <v>146</v>
      </c>
      <c r="B76" s="18">
        <v>-1.5124588290581225E-2</v>
      </c>
      <c r="J76" s="11" t="s">
        <v>113</v>
      </c>
      <c r="K76" s="31" t="s">
        <v>528</v>
      </c>
      <c r="L76" s="28">
        <v>2</v>
      </c>
      <c r="M76" s="16">
        <v>14</v>
      </c>
    </row>
    <row r="77" spans="1:13" x14ac:dyDescent="0.25">
      <c r="A77" s="18" t="s">
        <v>147</v>
      </c>
      <c r="B77" s="18">
        <v>2.6881997996602811</v>
      </c>
      <c r="J77" s="11" t="s">
        <v>113</v>
      </c>
      <c r="K77" s="31" t="s">
        <v>530</v>
      </c>
      <c r="L77" s="28">
        <v>2</v>
      </c>
      <c r="M77" s="16">
        <v>18</v>
      </c>
    </row>
    <row r="78" spans="1:13" ht="15.75" thickBot="1" x14ac:dyDescent="0.3">
      <c r="A78" s="19" t="s">
        <v>148</v>
      </c>
      <c r="B78" s="19">
        <v>65</v>
      </c>
      <c r="J78" s="11" t="s">
        <v>113</v>
      </c>
      <c r="K78" s="31" t="s">
        <v>533</v>
      </c>
      <c r="L78" s="28">
        <v>2</v>
      </c>
      <c r="M78" s="16">
        <v>14</v>
      </c>
    </row>
    <row r="79" spans="1:13" x14ac:dyDescent="0.25">
      <c r="J79" s="11" t="s">
        <v>113</v>
      </c>
      <c r="K79" s="31" t="s">
        <v>535</v>
      </c>
      <c r="L79" s="28">
        <v>2</v>
      </c>
      <c r="M79" s="16">
        <v>16</v>
      </c>
    </row>
    <row r="80" spans="1:13" ht="15.75" thickBot="1" x14ac:dyDescent="0.3">
      <c r="A80" t="s">
        <v>149</v>
      </c>
      <c r="F80" s="35" t="s">
        <v>741</v>
      </c>
      <c r="G80" s="35"/>
      <c r="H80" s="35"/>
      <c r="J80" s="11" t="s">
        <v>113</v>
      </c>
      <c r="K80" s="31" t="s">
        <v>537</v>
      </c>
      <c r="L80" s="28">
        <v>3</v>
      </c>
      <c r="M80" s="16">
        <v>17</v>
      </c>
    </row>
    <row r="81" spans="1:13" x14ac:dyDescent="0.25">
      <c r="A81" s="20"/>
      <c r="B81" s="20" t="s">
        <v>153</v>
      </c>
      <c r="C81" s="20" t="s">
        <v>154</v>
      </c>
      <c r="D81" s="20" t="s">
        <v>155</v>
      </c>
      <c r="E81" s="20" t="s">
        <v>156</v>
      </c>
      <c r="F81" s="20" t="s">
        <v>157</v>
      </c>
      <c r="J81" s="11" t="s">
        <v>113</v>
      </c>
      <c r="K81" s="31" t="s">
        <v>540</v>
      </c>
      <c r="L81" s="28">
        <v>3</v>
      </c>
      <c r="M81" s="16">
        <v>12</v>
      </c>
    </row>
    <row r="82" spans="1:13" x14ac:dyDescent="0.25">
      <c r="A82" s="18" t="s">
        <v>150</v>
      </c>
      <c r="B82" s="18">
        <v>1</v>
      </c>
      <c r="C82" s="18">
        <v>0.33565573770476931</v>
      </c>
      <c r="D82" s="18">
        <v>0.33565573770476931</v>
      </c>
      <c r="E82" s="18">
        <v>4.6448424397622638E-2</v>
      </c>
      <c r="F82" s="34">
        <v>0.83005894986384998</v>
      </c>
      <c r="J82" s="11" t="s">
        <v>113</v>
      </c>
      <c r="K82" s="31" t="s">
        <v>542</v>
      </c>
      <c r="L82" s="28">
        <v>1</v>
      </c>
      <c r="M82" s="16">
        <v>13</v>
      </c>
    </row>
    <row r="83" spans="1:13" x14ac:dyDescent="0.25">
      <c r="A83" s="18" t="s">
        <v>151</v>
      </c>
      <c r="B83" s="18">
        <v>63</v>
      </c>
      <c r="C83" s="18">
        <v>455.2643442622952</v>
      </c>
      <c r="D83" s="18">
        <v>7.2264181628935749</v>
      </c>
      <c r="E83" s="18"/>
      <c r="F83" s="18"/>
      <c r="J83" s="11" t="s">
        <v>113</v>
      </c>
      <c r="K83" s="31" t="s">
        <v>544</v>
      </c>
      <c r="L83" s="28">
        <v>3</v>
      </c>
      <c r="M83" s="16">
        <v>16</v>
      </c>
    </row>
    <row r="84" spans="1:13" ht="15.75" thickBot="1" x14ac:dyDescent="0.3">
      <c r="A84" s="19" t="s">
        <v>128</v>
      </c>
      <c r="B84" s="19">
        <v>64</v>
      </c>
      <c r="C84" s="19">
        <v>455.59999999999997</v>
      </c>
      <c r="D84" s="19"/>
      <c r="E84" s="19"/>
      <c r="F84" s="19"/>
      <c r="J84" s="11" t="s">
        <v>113</v>
      </c>
      <c r="K84" s="31" t="s">
        <v>546</v>
      </c>
      <c r="L84" s="28">
        <v>2</v>
      </c>
      <c r="M84" s="16">
        <v>17</v>
      </c>
    </row>
    <row r="85" spans="1:13" ht="15.75" thickBot="1" x14ac:dyDescent="0.3">
      <c r="J85" s="11" t="s">
        <v>113</v>
      </c>
      <c r="K85" s="31" t="s">
        <v>548</v>
      </c>
      <c r="L85" s="28">
        <v>2</v>
      </c>
      <c r="M85" s="16">
        <v>17</v>
      </c>
    </row>
    <row r="86" spans="1:13" x14ac:dyDescent="0.25">
      <c r="A86" s="20"/>
      <c r="B86" s="20" t="s">
        <v>158</v>
      </c>
      <c r="C86" s="20" t="s">
        <v>147</v>
      </c>
      <c r="D86" s="20" t="s">
        <v>159</v>
      </c>
      <c r="E86" s="20" t="s">
        <v>160</v>
      </c>
      <c r="F86" s="20" t="s">
        <v>161</v>
      </c>
      <c r="G86" s="20" t="s">
        <v>162</v>
      </c>
      <c r="H86" s="20" t="s">
        <v>163</v>
      </c>
      <c r="I86" s="20" t="s">
        <v>164</v>
      </c>
      <c r="J86" s="11" t="s">
        <v>113</v>
      </c>
      <c r="K86" s="31" t="s">
        <v>551</v>
      </c>
      <c r="L86" s="28">
        <v>2</v>
      </c>
      <c r="M86" s="16">
        <v>16</v>
      </c>
    </row>
    <row r="87" spans="1:13" x14ac:dyDescent="0.25">
      <c r="A87" s="18" t="s">
        <v>152</v>
      </c>
      <c r="B87" s="18">
        <v>15.618852459016393</v>
      </c>
      <c r="C87" s="18">
        <v>1.0688075015637133</v>
      </c>
      <c r="D87" s="18">
        <v>14.61334471938615</v>
      </c>
      <c r="E87" s="18">
        <v>6.5780657332091234E-22</v>
      </c>
      <c r="F87" s="18">
        <v>13.483011096491325</v>
      </c>
      <c r="G87" s="18">
        <v>17.754693821541462</v>
      </c>
      <c r="H87" s="18">
        <v>13.483011096491325</v>
      </c>
      <c r="I87" s="18">
        <v>17.754693821541462</v>
      </c>
      <c r="J87" s="11" t="s">
        <v>113</v>
      </c>
      <c r="K87" s="31" t="s">
        <v>554</v>
      </c>
      <c r="L87" s="28">
        <v>3</v>
      </c>
      <c r="M87" s="16">
        <v>17</v>
      </c>
    </row>
    <row r="88" spans="1:13" ht="15.75" thickBot="1" x14ac:dyDescent="0.3">
      <c r="A88" s="19" t="s">
        <v>165</v>
      </c>
      <c r="B88" s="19">
        <v>-7.9918032786885085E-2</v>
      </c>
      <c r="C88" s="19">
        <v>0.370816705996588</v>
      </c>
      <c r="D88" s="19">
        <v>-0.2155189652852923</v>
      </c>
      <c r="E88" s="19">
        <v>0.83005894986381279</v>
      </c>
      <c r="F88" s="19">
        <v>-0.82093609022386094</v>
      </c>
      <c r="G88" s="19">
        <v>0.66110002465009088</v>
      </c>
      <c r="H88" s="19">
        <v>-0.82093609022386094</v>
      </c>
      <c r="I88" s="19">
        <v>0.66110002465009088</v>
      </c>
      <c r="J88" s="11" t="s">
        <v>113</v>
      </c>
      <c r="K88" s="31" t="s">
        <v>555</v>
      </c>
      <c r="L88" s="28">
        <v>4</v>
      </c>
      <c r="M88" s="16">
        <v>13</v>
      </c>
    </row>
    <row r="89" spans="1:13" x14ac:dyDescent="0.25">
      <c r="J89" s="11" t="s">
        <v>113</v>
      </c>
      <c r="K89" s="31" t="s">
        <v>557</v>
      </c>
      <c r="L89" s="28">
        <v>3</v>
      </c>
      <c r="M89" s="16">
        <v>17</v>
      </c>
    </row>
    <row r="90" spans="1:13" x14ac:dyDescent="0.25">
      <c r="J90" s="11" t="s">
        <v>113</v>
      </c>
      <c r="K90" s="31" t="s">
        <v>559</v>
      </c>
      <c r="L90" s="28">
        <v>2</v>
      </c>
      <c r="M90" s="16">
        <v>14</v>
      </c>
    </row>
    <row r="91" spans="1:13" x14ac:dyDescent="0.25">
      <c r="A91" s="22" t="s">
        <v>978</v>
      </c>
      <c r="J91" s="11" t="s">
        <v>113</v>
      </c>
      <c r="K91" s="31" t="s">
        <v>561</v>
      </c>
      <c r="L91" s="28">
        <v>2</v>
      </c>
      <c r="M91" s="16">
        <v>18</v>
      </c>
    </row>
    <row r="92" spans="1:13" x14ac:dyDescent="0.25">
      <c r="A92" t="s">
        <v>142</v>
      </c>
      <c r="J92" s="11" t="s">
        <v>113</v>
      </c>
      <c r="K92" s="31" t="s">
        <v>563</v>
      </c>
      <c r="L92" s="28">
        <v>3</v>
      </c>
      <c r="M92" s="16">
        <v>17</v>
      </c>
    </row>
    <row r="93" spans="1:13" ht="15.75" thickBot="1" x14ac:dyDescent="0.3">
      <c r="J93" s="11" t="s">
        <v>113</v>
      </c>
      <c r="K93" s="31" t="s">
        <v>566</v>
      </c>
      <c r="L93" s="28">
        <v>4</v>
      </c>
      <c r="M93" s="16">
        <v>5</v>
      </c>
    </row>
    <row r="94" spans="1:13" x14ac:dyDescent="0.25">
      <c r="A94" s="21" t="s">
        <v>143</v>
      </c>
      <c r="B94" s="21"/>
      <c r="J94" s="11" t="s">
        <v>113</v>
      </c>
      <c r="K94" s="31" t="s">
        <v>568</v>
      </c>
      <c r="L94" s="28">
        <v>2</v>
      </c>
      <c r="M94" s="16">
        <v>16</v>
      </c>
    </row>
    <row r="95" spans="1:13" x14ac:dyDescent="0.25">
      <c r="A95" s="18" t="s">
        <v>144</v>
      </c>
      <c r="B95" s="18">
        <v>0.26245716474150604</v>
      </c>
      <c r="J95" s="11" t="s">
        <v>113</v>
      </c>
      <c r="K95" s="31" t="s">
        <v>570</v>
      </c>
      <c r="L95" s="28">
        <v>3</v>
      </c>
      <c r="M95" s="16">
        <v>10</v>
      </c>
    </row>
    <row r="96" spans="1:13" x14ac:dyDescent="0.25">
      <c r="A96" s="18" t="s">
        <v>145</v>
      </c>
      <c r="B96" s="18">
        <v>6.8883763324150041E-2</v>
      </c>
      <c r="J96" s="11" t="s">
        <v>113</v>
      </c>
      <c r="K96" s="31" t="s">
        <v>571</v>
      </c>
      <c r="L96" s="28">
        <v>2</v>
      </c>
      <c r="M96" s="16">
        <v>17</v>
      </c>
    </row>
    <row r="97" spans="1:13" x14ac:dyDescent="0.25">
      <c r="A97" s="18" t="s">
        <v>146</v>
      </c>
      <c r="B97" s="18">
        <v>5.2830035105600907E-2</v>
      </c>
      <c r="J97" s="11" t="s">
        <v>113</v>
      </c>
      <c r="K97" s="31" t="s">
        <v>573</v>
      </c>
      <c r="L97" s="28">
        <v>3</v>
      </c>
      <c r="M97" s="16">
        <v>11</v>
      </c>
    </row>
    <row r="98" spans="1:13" x14ac:dyDescent="0.25">
      <c r="A98" s="18" t="s">
        <v>147</v>
      </c>
      <c r="B98" s="18">
        <v>2.8206785894732778</v>
      </c>
      <c r="J98" s="11" t="s">
        <v>113</v>
      </c>
      <c r="K98" s="31" t="s">
        <v>575</v>
      </c>
      <c r="L98" s="28">
        <v>2</v>
      </c>
      <c r="M98" s="16">
        <v>15</v>
      </c>
    </row>
    <row r="99" spans="1:13" ht="15.75" thickBot="1" x14ac:dyDescent="0.3">
      <c r="A99" s="19" t="s">
        <v>148</v>
      </c>
      <c r="B99" s="19">
        <v>60</v>
      </c>
      <c r="J99" s="11" t="s">
        <v>113</v>
      </c>
      <c r="K99" s="31" t="s">
        <v>692</v>
      </c>
      <c r="L99" s="39">
        <v>5</v>
      </c>
      <c r="M99" s="40">
        <v>14</v>
      </c>
    </row>
    <row r="100" spans="1:13" x14ac:dyDescent="0.25">
      <c r="J100" s="11" t="s">
        <v>113</v>
      </c>
      <c r="K100" s="31" t="s">
        <v>693</v>
      </c>
      <c r="L100" s="39">
        <v>3</v>
      </c>
      <c r="M100" s="40">
        <v>14</v>
      </c>
    </row>
    <row r="101" spans="1:13" ht="15.75" thickBot="1" x14ac:dyDescent="0.3">
      <c r="A101" t="s">
        <v>149</v>
      </c>
      <c r="F101" s="23" t="s">
        <v>742</v>
      </c>
      <c r="G101" s="23"/>
      <c r="H101" s="23"/>
      <c r="J101" s="11" t="s">
        <v>113</v>
      </c>
      <c r="K101" s="31" t="s">
        <v>694</v>
      </c>
      <c r="L101" s="39">
        <v>4</v>
      </c>
      <c r="M101" s="40">
        <v>16</v>
      </c>
    </row>
    <row r="102" spans="1:13" x14ac:dyDescent="0.25">
      <c r="A102" s="20"/>
      <c r="B102" s="20" t="s">
        <v>153</v>
      </c>
      <c r="C102" s="20" t="s">
        <v>154</v>
      </c>
      <c r="D102" s="20" t="s">
        <v>155</v>
      </c>
      <c r="E102" s="20" t="s">
        <v>156</v>
      </c>
      <c r="F102" s="20" t="s">
        <v>157</v>
      </c>
      <c r="J102" s="11" t="s">
        <v>113</v>
      </c>
      <c r="K102" s="31" t="s">
        <v>696</v>
      </c>
      <c r="L102" s="39">
        <v>4</v>
      </c>
      <c r="M102" s="40">
        <v>15</v>
      </c>
    </row>
    <row r="103" spans="1:13" x14ac:dyDescent="0.25">
      <c r="A103" s="18" t="s">
        <v>150</v>
      </c>
      <c r="B103" s="18">
        <v>1</v>
      </c>
      <c r="C103" s="18">
        <v>34.138793103448791</v>
      </c>
      <c r="D103" s="18">
        <v>34.138793103448791</v>
      </c>
      <c r="E103" s="18">
        <v>4.2908265535826695</v>
      </c>
      <c r="F103" s="33">
        <v>4.2776599175571098E-2</v>
      </c>
      <c r="J103" s="11" t="s">
        <v>113</v>
      </c>
      <c r="K103" s="31" t="s">
        <v>698</v>
      </c>
      <c r="L103" s="39">
        <v>3</v>
      </c>
      <c r="M103" s="40">
        <v>18</v>
      </c>
    </row>
    <row r="104" spans="1:13" x14ac:dyDescent="0.25">
      <c r="A104" s="18" t="s">
        <v>151</v>
      </c>
      <c r="B104" s="18">
        <v>58</v>
      </c>
      <c r="C104" s="18">
        <v>461.46120689655163</v>
      </c>
      <c r="D104" s="18">
        <v>7.9562277051129593</v>
      </c>
      <c r="E104" s="18"/>
      <c r="F104" s="18"/>
      <c r="J104" s="11" t="s">
        <v>113</v>
      </c>
      <c r="K104" s="31" t="s">
        <v>700</v>
      </c>
      <c r="L104" s="39">
        <v>3</v>
      </c>
      <c r="M104" s="40">
        <v>17</v>
      </c>
    </row>
    <row r="105" spans="1:13" ht="15.75" thickBot="1" x14ac:dyDescent="0.3">
      <c r="A105" s="19" t="s">
        <v>128</v>
      </c>
      <c r="B105" s="19">
        <v>59</v>
      </c>
      <c r="C105" s="19">
        <v>495.60000000000042</v>
      </c>
      <c r="D105" s="19"/>
      <c r="E105" s="19"/>
      <c r="F105" s="19"/>
      <c r="J105" s="11" t="s">
        <v>113</v>
      </c>
      <c r="K105" s="31" t="s">
        <v>702</v>
      </c>
      <c r="L105" s="39">
        <v>2</v>
      </c>
      <c r="M105" s="40">
        <v>17</v>
      </c>
    </row>
    <row r="106" spans="1:13" ht="15.75" thickBot="1" x14ac:dyDescent="0.3">
      <c r="J106" s="11" t="s">
        <v>113</v>
      </c>
      <c r="K106" s="31" t="s">
        <v>704</v>
      </c>
      <c r="L106" s="39">
        <v>3</v>
      </c>
      <c r="M106" s="40">
        <v>17</v>
      </c>
    </row>
    <row r="107" spans="1:13" x14ac:dyDescent="0.25">
      <c r="A107" s="20"/>
      <c r="B107" s="20" t="s">
        <v>158</v>
      </c>
      <c r="C107" s="20" t="s">
        <v>147</v>
      </c>
      <c r="D107" s="20" t="s">
        <v>159</v>
      </c>
      <c r="E107" s="20" t="s">
        <v>160</v>
      </c>
      <c r="F107" s="20" t="s">
        <v>161</v>
      </c>
      <c r="G107" s="20" t="s">
        <v>162</v>
      </c>
      <c r="H107" s="20" t="s">
        <v>163</v>
      </c>
      <c r="I107" s="20" t="s">
        <v>164</v>
      </c>
      <c r="J107" s="11" t="s">
        <v>113</v>
      </c>
      <c r="K107" s="31" t="s">
        <v>706</v>
      </c>
      <c r="L107" s="39">
        <v>3</v>
      </c>
      <c r="M107" s="40">
        <v>17</v>
      </c>
    </row>
    <row r="108" spans="1:13" x14ac:dyDescent="0.25">
      <c r="A108" s="18" t="s">
        <v>152</v>
      </c>
      <c r="B108" s="18">
        <v>20.258620689655171</v>
      </c>
      <c r="C108" s="18">
        <v>1.0584297053830121</v>
      </c>
      <c r="D108" s="18">
        <v>19.140260885180108</v>
      </c>
      <c r="E108" s="18">
        <v>9.6505387238168091E-27</v>
      </c>
      <c r="F108" s="18">
        <v>18.139943442651305</v>
      </c>
      <c r="G108" s="18">
        <v>22.377297936659037</v>
      </c>
      <c r="H108" s="18">
        <v>18.139943442651305</v>
      </c>
      <c r="I108" s="18">
        <v>22.377297936659037</v>
      </c>
      <c r="J108" s="11" t="s">
        <v>113</v>
      </c>
      <c r="K108" s="31" t="s">
        <v>708</v>
      </c>
      <c r="L108" s="39">
        <v>3</v>
      </c>
      <c r="M108" s="40">
        <v>18</v>
      </c>
    </row>
    <row r="109" spans="1:13" ht="15.75" thickBot="1" x14ac:dyDescent="0.3">
      <c r="A109" s="19" t="s">
        <v>165</v>
      </c>
      <c r="B109" s="19">
        <v>-0.85775862068965514</v>
      </c>
      <c r="C109" s="19">
        <v>0.4140898751227306</v>
      </c>
      <c r="D109" s="19">
        <v>-2.0714310400258573</v>
      </c>
      <c r="E109" s="19">
        <v>4.277659917557268E-2</v>
      </c>
      <c r="F109" s="19">
        <v>-1.686649563730342</v>
      </c>
      <c r="G109" s="19">
        <v>-2.8867677648968249E-2</v>
      </c>
      <c r="H109" s="19">
        <v>-1.686649563730342</v>
      </c>
      <c r="I109" s="19">
        <v>-2.8867677648968249E-2</v>
      </c>
      <c r="J109" s="11" t="s">
        <v>113</v>
      </c>
      <c r="K109" s="31" t="s">
        <v>709</v>
      </c>
      <c r="L109" s="39">
        <v>1</v>
      </c>
      <c r="M109" s="40">
        <v>12</v>
      </c>
    </row>
    <row r="110" spans="1:13" x14ac:dyDescent="0.25">
      <c r="J110" s="11" t="s">
        <v>113</v>
      </c>
      <c r="K110" s="31" t="s">
        <v>711</v>
      </c>
      <c r="L110" s="39">
        <v>1</v>
      </c>
      <c r="M110" s="40">
        <v>12</v>
      </c>
    </row>
    <row r="111" spans="1:13" x14ac:dyDescent="0.25">
      <c r="J111" s="11" t="s">
        <v>113</v>
      </c>
      <c r="K111" s="31" t="s">
        <v>713</v>
      </c>
      <c r="L111" s="39">
        <v>3</v>
      </c>
      <c r="M111" s="40">
        <v>13</v>
      </c>
    </row>
    <row r="112" spans="1:13" x14ac:dyDescent="0.25">
      <c r="J112" s="11" t="s">
        <v>113</v>
      </c>
      <c r="K112" s="31" t="s">
        <v>715</v>
      </c>
      <c r="L112" s="39">
        <v>3</v>
      </c>
      <c r="M112" s="40">
        <v>14</v>
      </c>
    </row>
    <row r="113" spans="10:13" x14ac:dyDescent="0.25">
      <c r="J113" s="11" t="s">
        <v>113</v>
      </c>
      <c r="K113" s="31" t="s">
        <v>717</v>
      </c>
      <c r="L113" s="39">
        <v>3</v>
      </c>
      <c r="M113" s="40">
        <v>14</v>
      </c>
    </row>
    <row r="114" spans="10:13" x14ac:dyDescent="0.25">
      <c r="J114" s="11" t="s">
        <v>113</v>
      </c>
      <c r="K114" s="31" t="s">
        <v>719</v>
      </c>
      <c r="L114" s="39">
        <v>3</v>
      </c>
      <c r="M114" s="40">
        <v>16</v>
      </c>
    </row>
    <row r="115" spans="10:13" x14ac:dyDescent="0.25">
      <c r="J115" s="11" t="s">
        <v>113</v>
      </c>
      <c r="K115" s="31" t="s">
        <v>721</v>
      </c>
      <c r="L115" s="39">
        <v>3</v>
      </c>
      <c r="M115" s="40">
        <v>15</v>
      </c>
    </row>
    <row r="116" spans="10:13" x14ac:dyDescent="0.25">
      <c r="J116" s="11" t="s">
        <v>113</v>
      </c>
      <c r="K116" s="31" t="s">
        <v>723</v>
      </c>
      <c r="L116" s="39">
        <v>1</v>
      </c>
      <c r="M116" s="40">
        <v>16</v>
      </c>
    </row>
    <row r="117" spans="10:13" x14ac:dyDescent="0.25">
      <c r="J117" s="11" t="s">
        <v>113</v>
      </c>
      <c r="K117" s="31" t="s">
        <v>726</v>
      </c>
      <c r="L117" s="39">
        <v>3</v>
      </c>
      <c r="M117" s="40">
        <v>19</v>
      </c>
    </row>
    <row r="118" spans="10:13" x14ac:dyDescent="0.25">
      <c r="J118" s="11" t="s">
        <v>113</v>
      </c>
      <c r="K118" s="31" t="s">
        <v>729</v>
      </c>
      <c r="L118" s="39">
        <v>4</v>
      </c>
      <c r="M118" s="40">
        <v>17</v>
      </c>
    </row>
    <row r="119" spans="10:13" x14ac:dyDescent="0.25">
      <c r="J119" s="11" t="s">
        <v>113</v>
      </c>
      <c r="K119" s="31" t="s">
        <v>731</v>
      </c>
      <c r="L119" s="39">
        <v>2</v>
      </c>
      <c r="M119" s="40">
        <v>19</v>
      </c>
    </row>
    <row r="120" spans="10:13" x14ac:dyDescent="0.25">
      <c r="J120" s="11" t="s">
        <v>113</v>
      </c>
      <c r="K120" s="31" t="s">
        <v>734</v>
      </c>
      <c r="L120" s="39">
        <v>3</v>
      </c>
      <c r="M120" s="40">
        <v>16</v>
      </c>
    </row>
    <row r="121" spans="10:13" x14ac:dyDescent="0.25">
      <c r="J121" s="11" t="s">
        <v>113</v>
      </c>
      <c r="K121" s="31" t="s">
        <v>735</v>
      </c>
      <c r="L121" s="39">
        <v>2</v>
      </c>
      <c r="M121" s="40">
        <v>13</v>
      </c>
    </row>
    <row r="122" spans="10:13" x14ac:dyDescent="0.25">
      <c r="J122" s="11" t="s">
        <v>113</v>
      </c>
      <c r="K122" s="31" t="s">
        <v>738</v>
      </c>
      <c r="L122" s="39">
        <v>3</v>
      </c>
      <c r="M122" s="40">
        <v>19</v>
      </c>
    </row>
    <row r="123" spans="10:13" x14ac:dyDescent="0.25">
      <c r="J123" s="11" t="s">
        <v>113</v>
      </c>
      <c r="K123" s="31" t="s">
        <v>945</v>
      </c>
      <c r="L123" s="28">
        <v>3</v>
      </c>
      <c r="M123" s="16">
        <v>13</v>
      </c>
    </row>
    <row r="124" spans="10:13" x14ac:dyDescent="0.25">
      <c r="J124" s="11" t="s">
        <v>113</v>
      </c>
      <c r="K124" s="31" t="s">
        <v>947</v>
      </c>
      <c r="L124" s="28">
        <v>3</v>
      </c>
      <c r="M124" s="16">
        <v>14</v>
      </c>
    </row>
    <row r="125" spans="10:13" x14ac:dyDescent="0.25">
      <c r="J125" s="11" t="s">
        <v>113</v>
      </c>
      <c r="K125" s="31" t="s">
        <v>949</v>
      </c>
      <c r="L125" s="28">
        <v>4</v>
      </c>
      <c r="M125" s="16">
        <v>15</v>
      </c>
    </row>
    <row r="126" spans="10:13" x14ac:dyDescent="0.25">
      <c r="J126" s="11" t="s">
        <v>113</v>
      </c>
      <c r="K126" s="31" t="s">
        <v>951</v>
      </c>
      <c r="L126" s="28">
        <v>3</v>
      </c>
      <c r="M126" s="16">
        <v>15</v>
      </c>
    </row>
    <row r="127" spans="10:13" x14ac:dyDescent="0.25">
      <c r="J127" s="11" t="s">
        <v>113</v>
      </c>
      <c r="K127" s="31" t="s">
        <v>953</v>
      </c>
      <c r="L127" s="28">
        <v>3</v>
      </c>
      <c r="M127" s="16">
        <v>16</v>
      </c>
    </row>
    <row r="128" spans="10:13" x14ac:dyDescent="0.25">
      <c r="J128" s="11" t="s">
        <v>113</v>
      </c>
      <c r="K128" s="31" t="s">
        <v>955</v>
      </c>
      <c r="L128" s="28">
        <v>3</v>
      </c>
      <c r="M128" s="16">
        <v>21</v>
      </c>
    </row>
    <row r="129" spans="10:13" x14ac:dyDescent="0.25">
      <c r="J129" s="11" t="s">
        <v>113</v>
      </c>
      <c r="K129" s="31" t="s">
        <v>957</v>
      </c>
      <c r="L129" s="28">
        <v>2</v>
      </c>
      <c r="M129" s="16">
        <v>16</v>
      </c>
    </row>
    <row r="130" spans="10:13" x14ac:dyDescent="0.25">
      <c r="J130" s="11" t="s">
        <v>113</v>
      </c>
      <c r="K130" s="31" t="s">
        <v>959</v>
      </c>
      <c r="L130" s="28">
        <v>1</v>
      </c>
      <c r="M130" s="16">
        <v>9</v>
      </c>
    </row>
    <row r="131" spans="10:13" x14ac:dyDescent="0.25">
      <c r="J131" s="11" t="s">
        <v>113</v>
      </c>
      <c r="K131" s="31" t="s">
        <v>961</v>
      </c>
      <c r="L131" s="28">
        <v>3</v>
      </c>
      <c r="M131" s="16">
        <v>15</v>
      </c>
    </row>
    <row r="132" spans="10:13" x14ac:dyDescent="0.25">
      <c r="J132" s="11" t="s">
        <v>113</v>
      </c>
      <c r="K132" s="31" t="s">
        <v>963</v>
      </c>
      <c r="L132" s="28">
        <v>3</v>
      </c>
      <c r="M132" s="16">
        <v>17</v>
      </c>
    </row>
    <row r="133" spans="10:13" x14ac:dyDescent="0.25">
      <c r="J133" s="11" t="s">
        <v>113</v>
      </c>
      <c r="K133" s="31" t="s">
        <v>965</v>
      </c>
      <c r="L133" s="28">
        <v>3</v>
      </c>
      <c r="M133" s="16">
        <v>14</v>
      </c>
    </row>
    <row r="134" spans="10:13" x14ac:dyDescent="0.25">
      <c r="J134" s="11" t="s">
        <v>113</v>
      </c>
      <c r="K134" s="31" t="s">
        <v>967</v>
      </c>
      <c r="L134" s="28">
        <v>3</v>
      </c>
      <c r="M134" s="16">
        <v>17</v>
      </c>
    </row>
    <row r="135" spans="10:13" x14ac:dyDescent="0.25">
      <c r="J135" s="11" t="s">
        <v>113</v>
      </c>
      <c r="K135" s="31" t="s">
        <v>969</v>
      </c>
      <c r="L135" s="28">
        <v>1</v>
      </c>
      <c r="M135" s="16">
        <v>19</v>
      </c>
    </row>
    <row r="136" spans="10:13" x14ac:dyDescent="0.25">
      <c r="J136" s="11" t="s">
        <v>113</v>
      </c>
      <c r="K136" s="31" t="s">
        <v>971</v>
      </c>
      <c r="L136" s="28">
        <v>3</v>
      </c>
      <c r="M136" s="16">
        <v>18</v>
      </c>
    </row>
    <row r="137" spans="10:13" x14ac:dyDescent="0.25">
      <c r="J137" s="11" t="s">
        <v>113</v>
      </c>
      <c r="K137" s="31" t="s">
        <v>973</v>
      </c>
      <c r="L137" s="28">
        <v>4</v>
      </c>
      <c r="M137" s="16">
        <v>19</v>
      </c>
    </row>
    <row r="138" spans="10:13" x14ac:dyDescent="0.25">
      <c r="J138" s="11" t="s">
        <v>113</v>
      </c>
      <c r="K138" s="31" t="s">
        <v>975</v>
      </c>
      <c r="L138" s="28">
        <v>4</v>
      </c>
      <c r="M138" s="16">
        <v>14</v>
      </c>
    </row>
    <row r="139" spans="10:13" x14ac:dyDescent="0.25">
      <c r="J139" s="11" t="s">
        <v>114</v>
      </c>
      <c r="K139" s="31" t="s">
        <v>419</v>
      </c>
      <c r="L139" s="28">
        <v>3</v>
      </c>
      <c r="M139" s="16">
        <v>21</v>
      </c>
    </row>
    <row r="140" spans="10:13" x14ac:dyDescent="0.25">
      <c r="J140" s="11" t="s">
        <v>114</v>
      </c>
      <c r="K140" s="31" t="s">
        <v>420</v>
      </c>
      <c r="L140" s="28">
        <v>3</v>
      </c>
      <c r="M140" s="16">
        <v>20</v>
      </c>
    </row>
    <row r="141" spans="10:13" x14ac:dyDescent="0.25">
      <c r="J141" s="11" t="s">
        <v>114</v>
      </c>
      <c r="K141" s="31" t="s">
        <v>422</v>
      </c>
      <c r="L141" s="28">
        <v>4</v>
      </c>
      <c r="M141" s="16">
        <v>14</v>
      </c>
    </row>
    <row r="142" spans="10:13" x14ac:dyDescent="0.25">
      <c r="J142" s="11" t="s">
        <v>114</v>
      </c>
      <c r="K142" s="31" t="s">
        <v>424</v>
      </c>
      <c r="L142" s="28">
        <v>2</v>
      </c>
      <c r="M142" s="16">
        <v>13</v>
      </c>
    </row>
    <row r="143" spans="10:13" x14ac:dyDescent="0.25">
      <c r="J143" s="11" t="s">
        <v>114</v>
      </c>
      <c r="K143" s="26" t="s">
        <v>426</v>
      </c>
      <c r="L143" s="28">
        <v>2</v>
      </c>
      <c r="M143" s="16">
        <v>11</v>
      </c>
    </row>
    <row r="144" spans="10:13" x14ac:dyDescent="0.25">
      <c r="J144" s="11" t="s">
        <v>114</v>
      </c>
      <c r="K144" s="26" t="s">
        <v>429</v>
      </c>
      <c r="L144" s="28">
        <v>2</v>
      </c>
      <c r="M144" s="16">
        <v>20</v>
      </c>
    </row>
    <row r="145" spans="10:13" x14ac:dyDescent="0.25">
      <c r="J145" s="11" t="s">
        <v>114</v>
      </c>
      <c r="K145" s="45" t="s">
        <v>431</v>
      </c>
      <c r="L145" s="28">
        <v>2</v>
      </c>
      <c r="M145" s="16">
        <v>21</v>
      </c>
    </row>
    <row r="146" spans="10:13" x14ac:dyDescent="0.25">
      <c r="J146" s="11" t="s">
        <v>114</v>
      </c>
      <c r="K146" s="45" t="s">
        <v>434</v>
      </c>
      <c r="L146" s="28">
        <v>2</v>
      </c>
      <c r="M146" s="16">
        <v>16</v>
      </c>
    </row>
    <row r="147" spans="10:13" x14ac:dyDescent="0.25">
      <c r="J147" s="11" t="s">
        <v>114</v>
      </c>
      <c r="K147" s="26" t="s">
        <v>436</v>
      </c>
      <c r="L147" s="28">
        <v>3</v>
      </c>
      <c r="M147" s="16">
        <v>20</v>
      </c>
    </row>
    <row r="148" spans="10:13" x14ac:dyDescent="0.25">
      <c r="J148" s="11" t="s">
        <v>114</v>
      </c>
      <c r="K148" s="26" t="s">
        <v>438</v>
      </c>
      <c r="L148" s="28">
        <v>3</v>
      </c>
      <c r="M148" s="16">
        <v>14</v>
      </c>
    </row>
    <row r="149" spans="10:13" x14ac:dyDescent="0.25">
      <c r="J149" s="11" t="s">
        <v>114</v>
      </c>
      <c r="K149" s="26" t="s">
        <v>440</v>
      </c>
      <c r="L149" s="28">
        <v>2</v>
      </c>
      <c r="M149" s="16">
        <v>20</v>
      </c>
    </row>
    <row r="150" spans="10:13" x14ac:dyDescent="0.25">
      <c r="J150" s="11" t="s">
        <v>114</v>
      </c>
      <c r="K150" s="26" t="s">
        <v>443</v>
      </c>
      <c r="L150" s="28">
        <v>5</v>
      </c>
      <c r="M150" s="16">
        <v>10</v>
      </c>
    </row>
    <row r="151" spans="10:13" x14ac:dyDescent="0.25">
      <c r="J151" s="11" t="s">
        <v>114</v>
      </c>
      <c r="K151" s="45" t="s">
        <v>446</v>
      </c>
      <c r="L151" s="28">
        <v>3</v>
      </c>
      <c r="M151" s="16">
        <v>20</v>
      </c>
    </row>
    <row r="152" spans="10:13" x14ac:dyDescent="0.25">
      <c r="J152" s="11" t="s">
        <v>114</v>
      </c>
      <c r="K152" s="26" t="s">
        <v>448</v>
      </c>
      <c r="L152" s="28">
        <v>3</v>
      </c>
      <c r="M152" s="16">
        <v>20</v>
      </c>
    </row>
    <row r="153" spans="10:13" x14ac:dyDescent="0.25">
      <c r="J153" s="11" t="s">
        <v>114</v>
      </c>
      <c r="K153" s="26" t="s">
        <v>450</v>
      </c>
      <c r="L153" s="28">
        <v>2</v>
      </c>
      <c r="M153" s="16">
        <v>21</v>
      </c>
    </row>
    <row r="154" spans="10:13" x14ac:dyDescent="0.25">
      <c r="J154" s="11" t="s">
        <v>114</v>
      </c>
      <c r="K154" s="26" t="s">
        <v>452</v>
      </c>
      <c r="L154" s="28">
        <v>1</v>
      </c>
      <c r="M154" s="16">
        <v>13</v>
      </c>
    </row>
    <row r="155" spans="10:13" x14ac:dyDescent="0.25">
      <c r="J155" s="11" t="s">
        <v>114</v>
      </c>
      <c r="K155" s="26" t="s">
        <v>454</v>
      </c>
      <c r="L155" s="28">
        <v>1</v>
      </c>
      <c r="M155" s="16">
        <v>20</v>
      </c>
    </row>
    <row r="156" spans="10:13" x14ac:dyDescent="0.25">
      <c r="J156" s="11" t="s">
        <v>114</v>
      </c>
      <c r="K156" s="26" t="s">
        <v>457</v>
      </c>
      <c r="L156" s="28">
        <v>3</v>
      </c>
      <c r="M156" s="16">
        <v>19</v>
      </c>
    </row>
    <row r="157" spans="10:13" x14ac:dyDescent="0.25">
      <c r="J157" s="11" t="s">
        <v>114</v>
      </c>
      <c r="K157" s="26" t="s">
        <v>459</v>
      </c>
      <c r="L157" s="28">
        <v>3</v>
      </c>
      <c r="M157" s="16">
        <v>19</v>
      </c>
    </row>
    <row r="158" spans="10:13" x14ac:dyDescent="0.25">
      <c r="J158" s="11" t="s">
        <v>114</v>
      </c>
      <c r="K158" s="26" t="s">
        <v>460</v>
      </c>
      <c r="L158" s="28">
        <v>2</v>
      </c>
      <c r="M158" s="16">
        <v>20</v>
      </c>
    </row>
    <row r="159" spans="10:13" x14ac:dyDescent="0.25">
      <c r="J159" s="11" t="s">
        <v>114</v>
      </c>
      <c r="K159" s="26" t="s">
        <v>462</v>
      </c>
      <c r="L159" s="28">
        <v>3</v>
      </c>
      <c r="M159" s="16">
        <v>18</v>
      </c>
    </row>
    <row r="160" spans="10:13" x14ac:dyDescent="0.25">
      <c r="J160" s="11" t="s">
        <v>114</v>
      </c>
      <c r="K160" s="26" t="s">
        <v>463</v>
      </c>
      <c r="L160" s="28">
        <v>2</v>
      </c>
      <c r="M160" s="16">
        <v>21</v>
      </c>
    </row>
    <row r="161" spans="10:13" x14ac:dyDescent="0.25">
      <c r="J161" s="11" t="s">
        <v>114</v>
      </c>
      <c r="K161" s="26" t="s">
        <v>465</v>
      </c>
      <c r="L161" s="28">
        <v>2</v>
      </c>
      <c r="M161" s="16">
        <v>14</v>
      </c>
    </row>
    <row r="162" spans="10:13" x14ac:dyDescent="0.25">
      <c r="J162" s="11" t="s">
        <v>114</v>
      </c>
      <c r="K162" s="26" t="s">
        <v>467</v>
      </c>
      <c r="L162" s="28">
        <v>1</v>
      </c>
      <c r="M162" s="16">
        <v>13</v>
      </c>
    </row>
    <row r="163" spans="10:13" x14ac:dyDescent="0.25">
      <c r="J163" s="11" t="s">
        <v>114</v>
      </c>
      <c r="K163" s="26" t="s">
        <v>469</v>
      </c>
      <c r="L163" s="28">
        <v>2</v>
      </c>
      <c r="M163" s="16">
        <v>21</v>
      </c>
    </row>
    <row r="164" spans="10:13" x14ac:dyDescent="0.25">
      <c r="J164" s="11" t="s">
        <v>114</v>
      </c>
      <c r="K164" s="26" t="s">
        <v>471</v>
      </c>
      <c r="L164" s="28">
        <v>1</v>
      </c>
      <c r="M164" s="16">
        <v>17</v>
      </c>
    </row>
    <row r="165" spans="10:13" x14ac:dyDescent="0.25">
      <c r="J165" s="11" t="s">
        <v>114</v>
      </c>
      <c r="K165" s="26" t="s">
        <v>473</v>
      </c>
      <c r="L165" s="28">
        <v>2</v>
      </c>
      <c r="M165" s="16">
        <v>21</v>
      </c>
    </row>
    <row r="166" spans="10:13" x14ac:dyDescent="0.25">
      <c r="J166" s="11" t="s">
        <v>114</v>
      </c>
      <c r="K166" s="26" t="s">
        <v>616</v>
      </c>
      <c r="L166" s="39">
        <v>3</v>
      </c>
      <c r="M166" s="16">
        <v>19</v>
      </c>
    </row>
    <row r="167" spans="10:13" x14ac:dyDescent="0.25">
      <c r="J167" s="11" t="s">
        <v>114</v>
      </c>
      <c r="K167" s="26" t="s">
        <v>619</v>
      </c>
      <c r="L167" s="39">
        <v>2</v>
      </c>
      <c r="M167" s="16">
        <v>20</v>
      </c>
    </row>
    <row r="168" spans="10:13" x14ac:dyDescent="0.25">
      <c r="J168" s="11" t="s">
        <v>114</v>
      </c>
      <c r="K168" s="26" t="s">
        <v>621</v>
      </c>
      <c r="L168" s="39">
        <v>1</v>
      </c>
      <c r="M168" s="16">
        <v>21</v>
      </c>
    </row>
    <row r="169" spans="10:13" x14ac:dyDescent="0.25">
      <c r="J169" s="11" t="s">
        <v>114</v>
      </c>
      <c r="K169" s="26" t="s">
        <v>623</v>
      </c>
      <c r="L169" s="39">
        <v>2</v>
      </c>
      <c r="M169" s="16">
        <v>18</v>
      </c>
    </row>
    <row r="170" spans="10:13" x14ac:dyDescent="0.25">
      <c r="J170" s="11" t="s">
        <v>114</v>
      </c>
      <c r="K170" s="26" t="s">
        <v>625</v>
      </c>
      <c r="L170" s="39">
        <v>2</v>
      </c>
      <c r="M170" s="16">
        <v>19</v>
      </c>
    </row>
    <row r="171" spans="10:13" x14ac:dyDescent="0.25">
      <c r="J171" s="11" t="s">
        <v>114</v>
      </c>
      <c r="K171" s="26" t="s">
        <v>628</v>
      </c>
      <c r="L171" s="39">
        <v>3</v>
      </c>
      <c r="M171" s="16">
        <v>15</v>
      </c>
    </row>
    <row r="172" spans="10:13" x14ac:dyDescent="0.25">
      <c r="J172" s="11" t="s">
        <v>114</v>
      </c>
      <c r="K172" s="26" t="s">
        <v>630</v>
      </c>
      <c r="L172" s="39">
        <v>2</v>
      </c>
      <c r="M172" s="16">
        <v>19</v>
      </c>
    </row>
    <row r="173" spans="10:13" x14ac:dyDescent="0.25">
      <c r="J173" s="11" t="s">
        <v>114</v>
      </c>
      <c r="K173" s="26" t="s">
        <v>632</v>
      </c>
      <c r="L173" s="39">
        <v>2</v>
      </c>
      <c r="M173" s="16">
        <v>20</v>
      </c>
    </row>
    <row r="174" spans="10:13" x14ac:dyDescent="0.25">
      <c r="J174" s="11" t="s">
        <v>114</v>
      </c>
      <c r="K174" s="26" t="s">
        <v>634</v>
      </c>
      <c r="L174" s="39">
        <v>2</v>
      </c>
      <c r="M174" s="16">
        <v>18</v>
      </c>
    </row>
    <row r="175" spans="10:13" x14ac:dyDescent="0.25">
      <c r="J175" s="11" t="s">
        <v>114</v>
      </c>
      <c r="K175" s="26" t="s">
        <v>635</v>
      </c>
      <c r="L175" s="39">
        <v>2</v>
      </c>
      <c r="M175" s="16">
        <v>18</v>
      </c>
    </row>
    <row r="176" spans="10:13" x14ac:dyDescent="0.25">
      <c r="J176" s="11" t="s">
        <v>114</v>
      </c>
      <c r="K176" s="26" t="s">
        <v>869</v>
      </c>
      <c r="L176" s="28">
        <v>2</v>
      </c>
      <c r="M176" s="16">
        <v>21</v>
      </c>
    </row>
    <row r="177" spans="10:13" x14ac:dyDescent="0.25">
      <c r="J177" s="11" t="s">
        <v>114</v>
      </c>
      <c r="K177" s="26" t="s">
        <v>870</v>
      </c>
      <c r="L177" s="28">
        <v>4</v>
      </c>
      <c r="M177" s="16">
        <v>18</v>
      </c>
    </row>
    <row r="178" spans="10:13" x14ac:dyDescent="0.25">
      <c r="J178" s="11" t="s">
        <v>114</v>
      </c>
      <c r="K178" s="26" t="s">
        <v>872</v>
      </c>
      <c r="L178" s="28">
        <v>1</v>
      </c>
      <c r="M178" s="16">
        <v>15</v>
      </c>
    </row>
    <row r="179" spans="10:13" x14ac:dyDescent="0.25">
      <c r="J179" s="11" t="s">
        <v>114</v>
      </c>
      <c r="K179" s="26" t="s">
        <v>874</v>
      </c>
      <c r="L179" s="28">
        <v>2</v>
      </c>
      <c r="M179" s="16">
        <v>19</v>
      </c>
    </row>
    <row r="180" spans="10:13" x14ac:dyDescent="0.25">
      <c r="J180" s="11" t="s">
        <v>114</v>
      </c>
      <c r="K180" s="26" t="s">
        <v>875</v>
      </c>
      <c r="L180" s="28">
        <v>4</v>
      </c>
      <c r="M180" s="16">
        <v>15</v>
      </c>
    </row>
    <row r="181" spans="10:13" x14ac:dyDescent="0.25">
      <c r="J181" s="11" t="s">
        <v>114</v>
      </c>
      <c r="K181" s="26" t="s">
        <v>877</v>
      </c>
      <c r="L181" s="28">
        <v>1</v>
      </c>
      <c r="M181" s="16">
        <v>21</v>
      </c>
    </row>
    <row r="182" spans="10:13" x14ac:dyDescent="0.25">
      <c r="J182" s="11" t="s">
        <v>114</v>
      </c>
      <c r="K182" s="26" t="s">
        <v>878</v>
      </c>
      <c r="L182" s="28">
        <v>3</v>
      </c>
      <c r="M182" s="16">
        <v>18</v>
      </c>
    </row>
    <row r="183" spans="10:13" x14ac:dyDescent="0.25">
      <c r="J183" s="11" t="s">
        <v>114</v>
      </c>
      <c r="K183" s="26" t="s">
        <v>880</v>
      </c>
      <c r="L183" s="28">
        <v>2</v>
      </c>
      <c r="M183" s="16">
        <v>22</v>
      </c>
    </row>
    <row r="184" spans="10:13" x14ac:dyDescent="0.25">
      <c r="J184" s="11" t="s">
        <v>114</v>
      </c>
      <c r="K184" s="26" t="s">
        <v>882</v>
      </c>
      <c r="L184" s="28">
        <v>2</v>
      </c>
      <c r="M184" s="16">
        <v>19</v>
      </c>
    </row>
    <row r="185" spans="10:13" x14ac:dyDescent="0.25">
      <c r="J185" s="11" t="s">
        <v>114</v>
      </c>
      <c r="K185" s="26" t="s">
        <v>884</v>
      </c>
      <c r="L185" s="28">
        <v>4</v>
      </c>
      <c r="M185" s="16">
        <v>13</v>
      </c>
    </row>
    <row r="186" spans="10:13" x14ac:dyDescent="0.25">
      <c r="J186" s="11" t="s">
        <v>114</v>
      </c>
      <c r="K186" s="26" t="s">
        <v>886</v>
      </c>
      <c r="L186" s="28">
        <v>3</v>
      </c>
      <c r="M186" s="16">
        <v>21</v>
      </c>
    </row>
    <row r="187" spans="10:13" x14ac:dyDescent="0.25">
      <c r="J187" s="11" t="s">
        <v>114</v>
      </c>
      <c r="K187" s="26" t="s">
        <v>888</v>
      </c>
      <c r="L187" s="28">
        <v>2</v>
      </c>
      <c r="M187" s="16">
        <v>21</v>
      </c>
    </row>
    <row r="188" spans="10:13" x14ac:dyDescent="0.25">
      <c r="J188" s="11" t="s">
        <v>114</v>
      </c>
      <c r="K188" s="26" t="s">
        <v>890</v>
      </c>
      <c r="L188" s="28">
        <v>3</v>
      </c>
      <c r="M188" s="16">
        <v>20</v>
      </c>
    </row>
    <row r="189" spans="10:13" x14ac:dyDescent="0.25">
      <c r="J189" s="11" t="s">
        <v>114</v>
      </c>
      <c r="K189" s="26" t="s">
        <v>892</v>
      </c>
      <c r="L189" s="28">
        <v>2</v>
      </c>
      <c r="M189" s="16">
        <v>21</v>
      </c>
    </row>
    <row r="190" spans="10:13" x14ac:dyDescent="0.25">
      <c r="J190" s="11" t="s">
        <v>114</v>
      </c>
      <c r="K190" s="26" t="s">
        <v>894</v>
      </c>
      <c r="L190" s="28">
        <v>3</v>
      </c>
      <c r="M190" s="16">
        <v>16</v>
      </c>
    </row>
    <row r="191" spans="10:13" x14ac:dyDescent="0.25">
      <c r="J191" s="11" t="s">
        <v>114</v>
      </c>
      <c r="K191" s="26" t="s">
        <v>896</v>
      </c>
      <c r="L191" s="28">
        <v>3</v>
      </c>
      <c r="M191" s="16">
        <v>19</v>
      </c>
    </row>
    <row r="192" spans="10:13" x14ac:dyDescent="0.25">
      <c r="J192" s="11" t="s">
        <v>114</v>
      </c>
      <c r="K192" s="26" t="s">
        <v>898</v>
      </c>
      <c r="L192" s="28">
        <v>3</v>
      </c>
      <c r="M192" s="16">
        <v>17</v>
      </c>
    </row>
    <row r="193" spans="10:13" x14ac:dyDescent="0.25">
      <c r="J193" s="11" t="s">
        <v>114</v>
      </c>
      <c r="K193" s="26" t="s">
        <v>900</v>
      </c>
      <c r="L193" s="28">
        <v>2</v>
      </c>
      <c r="M193" s="16">
        <v>20</v>
      </c>
    </row>
    <row r="194" spans="10:13" x14ac:dyDescent="0.25">
      <c r="J194" s="11" t="s">
        <v>114</v>
      </c>
      <c r="K194" s="26" t="s">
        <v>902</v>
      </c>
      <c r="L194" s="28">
        <v>1</v>
      </c>
      <c r="M194" s="16">
        <v>21</v>
      </c>
    </row>
    <row r="195" spans="10:13" x14ac:dyDescent="0.25">
      <c r="J195" s="11" t="s">
        <v>114</v>
      </c>
      <c r="K195" s="26" t="s">
        <v>904</v>
      </c>
      <c r="L195" s="28">
        <v>3</v>
      </c>
      <c r="M195" s="16">
        <v>15</v>
      </c>
    </row>
    <row r="196" spans="10:13" x14ac:dyDescent="0.25">
      <c r="J196" s="11" t="s">
        <v>114</v>
      </c>
      <c r="K196" s="26" t="s">
        <v>906</v>
      </c>
      <c r="L196" s="28">
        <v>2</v>
      </c>
      <c r="M196" s="16">
        <v>18</v>
      </c>
    </row>
    <row r="197" spans="10:13" x14ac:dyDescent="0.25">
      <c r="J197" s="11" t="s">
        <v>114</v>
      </c>
      <c r="K197" s="26" t="s">
        <v>908</v>
      </c>
      <c r="L197" s="28">
        <v>4</v>
      </c>
      <c r="M197" s="16">
        <v>19</v>
      </c>
    </row>
    <row r="198" spans="10:13" x14ac:dyDescent="0.25">
      <c r="J198" s="11" t="s">
        <v>114</v>
      </c>
      <c r="K198" s="45" t="s">
        <v>910</v>
      </c>
      <c r="L198" s="28">
        <v>3</v>
      </c>
      <c r="M198" s="16">
        <v>19</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0"/>
  <sheetViews>
    <sheetView topLeftCell="A73" workbookViewId="0">
      <selection activeCell="B44" sqref="B44"/>
    </sheetView>
  </sheetViews>
  <sheetFormatPr defaultRowHeight="15" x14ac:dyDescent="0.25"/>
  <cols>
    <col min="1" max="1" width="25.42578125" customWidth="1"/>
    <col min="2" max="2" width="36" customWidth="1"/>
    <col min="6" max="14" width="17.42578125" customWidth="1"/>
  </cols>
  <sheetData>
    <row r="2" spans="1:13" x14ac:dyDescent="0.25">
      <c r="A2" s="22" t="s">
        <v>170</v>
      </c>
      <c r="B2" s="17">
        <f>CORREL(Table5789[subjectiveComprehensibility],Table5789[tasksTimeToComplete])</f>
        <v>0.20120018054749989</v>
      </c>
      <c r="J2" t="s">
        <v>578</v>
      </c>
      <c r="K2" t="s">
        <v>577</v>
      </c>
      <c r="L2" t="s">
        <v>140</v>
      </c>
      <c r="M2" t="s">
        <v>998</v>
      </c>
    </row>
    <row r="3" spans="1:13" x14ac:dyDescent="0.25">
      <c r="A3" s="22" t="s">
        <v>168</v>
      </c>
      <c r="B3" t="s">
        <v>999</v>
      </c>
      <c r="J3" s="11" t="s">
        <v>115</v>
      </c>
      <c r="K3" s="31" t="s">
        <v>270</v>
      </c>
      <c r="L3" s="28">
        <v>3</v>
      </c>
      <c r="M3" s="16">
        <v>4.9903333333333331</v>
      </c>
    </row>
    <row r="4" spans="1:13" x14ac:dyDescent="0.25">
      <c r="A4" s="22" t="s">
        <v>167</v>
      </c>
      <c r="B4" t="s">
        <v>140</v>
      </c>
      <c r="J4" s="11" t="s">
        <v>115</v>
      </c>
      <c r="K4" s="31" t="s">
        <v>272</v>
      </c>
      <c r="L4" s="28">
        <v>3</v>
      </c>
      <c r="M4" s="16">
        <v>13.227499999999999</v>
      </c>
    </row>
    <row r="5" spans="1:13" x14ac:dyDescent="0.25">
      <c r="J5" s="11" t="s">
        <v>115</v>
      </c>
      <c r="K5" s="31" t="s">
        <v>274</v>
      </c>
      <c r="L5" s="28">
        <v>3</v>
      </c>
      <c r="M5" s="16">
        <v>5.7291666666666661</v>
      </c>
    </row>
    <row r="6" spans="1:13" x14ac:dyDescent="0.25">
      <c r="J6" s="11" t="s">
        <v>115</v>
      </c>
      <c r="K6" s="31" t="s">
        <v>276</v>
      </c>
      <c r="L6" s="28">
        <v>3</v>
      </c>
      <c r="M6" s="16">
        <v>6.5876666666666672</v>
      </c>
    </row>
    <row r="7" spans="1:13" x14ac:dyDescent="0.25">
      <c r="J7" s="11" t="s">
        <v>115</v>
      </c>
      <c r="K7" s="31" t="s">
        <v>277</v>
      </c>
      <c r="L7" s="28">
        <v>4</v>
      </c>
      <c r="M7" s="16">
        <v>4.9673333333333334</v>
      </c>
    </row>
    <row r="8" spans="1:13" x14ac:dyDescent="0.25">
      <c r="J8" s="11" t="s">
        <v>115</v>
      </c>
      <c r="K8" s="31" t="s">
        <v>280</v>
      </c>
      <c r="L8" s="28">
        <v>2</v>
      </c>
      <c r="M8" s="16">
        <v>15.1585</v>
      </c>
    </row>
    <row r="9" spans="1:13" x14ac:dyDescent="0.25">
      <c r="J9" s="11" t="s">
        <v>115</v>
      </c>
      <c r="K9" s="31" t="s">
        <v>282</v>
      </c>
      <c r="L9" s="28">
        <v>2</v>
      </c>
      <c r="M9" s="16">
        <v>18.985333333333333</v>
      </c>
    </row>
    <row r="10" spans="1:13" x14ac:dyDescent="0.25">
      <c r="J10" s="11" t="s">
        <v>115</v>
      </c>
      <c r="K10" s="31" t="s">
        <v>284</v>
      </c>
      <c r="L10" s="28">
        <v>4</v>
      </c>
      <c r="M10" s="16">
        <v>12.786666666666669</v>
      </c>
    </row>
    <row r="11" spans="1:13" x14ac:dyDescent="0.25">
      <c r="J11" s="11" t="s">
        <v>115</v>
      </c>
      <c r="K11" s="31" t="s">
        <v>287</v>
      </c>
      <c r="L11" s="28">
        <v>2</v>
      </c>
      <c r="M11" s="16">
        <v>7.0658333333333339</v>
      </c>
    </row>
    <row r="12" spans="1:13" x14ac:dyDescent="0.25">
      <c r="J12" s="11" t="s">
        <v>115</v>
      </c>
      <c r="K12" s="31" t="s">
        <v>289</v>
      </c>
      <c r="L12" s="28">
        <v>2</v>
      </c>
      <c r="M12" s="16">
        <v>10.739166666666668</v>
      </c>
    </row>
    <row r="13" spans="1:13" x14ac:dyDescent="0.25">
      <c r="J13" s="11" t="s">
        <v>115</v>
      </c>
      <c r="K13" s="31" t="s">
        <v>291</v>
      </c>
      <c r="L13" s="28">
        <v>3</v>
      </c>
      <c r="M13" s="16">
        <v>14.014333333333333</v>
      </c>
    </row>
    <row r="14" spans="1:13" x14ac:dyDescent="0.25">
      <c r="J14" s="11" t="s">
        <v>115</v>
      </c>
      <c r="K14" s="31" t="s">
        <v>292</v>
      </c>
      <c r="L14" s="28">
        <v>1</v>
      </c>
      <c r="M14" s="16">
        <v>24.321999999999999</v>
      </c>
    </row>
    <row r="15" spans="1:13" x14ac:dyDescent="0.25">
      <c r="J15" s="11" t="s">
        <v>115</v>
      </c>
      <c r="K15" s="31" t="s">
        <v>293</v>
      </c>
      <c r="L15" s="28">
        <v>3</v>
      </c>
      <c r="M15" s="16">
        <v>10.013999999999999</v>
      </c>
    </row>
    <row r="16" spans="1:13" x14ac:dyDescent="0.25">
      <c r="J16" s="11" t="s">
        <v>115</v>
      </c>
      <c r="K16" s="31" t="s">
        <v>295</v>
      </c>
      <c r="L16" s="28">
        <v>3</v>
      </c>
      <c r="M16" s="16">
        <v>10.568999999999999</v>
      </c>
    </row>
    <row r="17" spans="1:13" x14ac:dyDescent="0.25">
      <c r="J17" s="11" t="s">
        <v>115</v>
      </c>
      <c r="K17" s="31" t="s">
        <v>297</v>
      </c>
      <c r="L17" s="28">
        <v>2</v>
      </c>
      <c r="M17" s="16">
        <v>10.939666666666668</v>
      </c>
    </row>
    <row r="18" spans="1:13" x14ac:dyDescent="0.25">
      <c r="J18" s="11" t="s">
        <v>115</v>
      </c>
      <c r="K18" s="31" t="s">
        <v>298</v>
      </c>
      <c r="L18" s="28">
        <v>3</v>
      </c>
      <c r="M18" s="16">
        <v>14.572166666666668</v>
      </c>
    </row>
    <row r="19" spans="1:13" x14ac:dyDescent="0.25">
      <c r="A19" s="22" t="s">
        <v>582</v>
      </c>
      <c r="J19" s="11" t="s">
        <v>115</v>
      </c>
      <c r="K19" s="31" t="s">
        <v>300</v>
      </c>
      <c r="L19" s="28">
        <v>2</v>
      </c>
      <c r="M19" s="16">
        <v>7.4653333333333336</v>
      </c>
    </row>
    <row r="20" spans="1:13" x14ac:dyDescent="0.25">
      <c r="A20" t="s">
        <v>142</v>
      </c>
      <c r="J20" s="11" t="s">
        <v>115</v>
      </c>
      <c r="K20" s="31" t="s">
        <v>302</v>
      </c>
      <c r="L20" s="28">
        <v>3</v>
      </c>
      <c r="M20" s="16">
        <v>10.203833333333332</v>
      </c>
    </row>
    <row r="21" spans="1:13" ht="15.75" thickBot="1" x14ac:dyDescent="0.3">
      <c r="J21" s="11" t="s">
        <v>115</v>
      </c>
      <c r="K21" s="31" t="s">
        <v>303</v>
      </c>
      <c r="L21" s="28">
        <v>4</v>
      </c>
      <c r="M21" s="16">
        <v>7.1503333333333332</v>
      </c>
    </row>
    <row r="22" spans="1:13" x14ac:dyDescent="0.25">
      <c r="A22" s="21" t="s">
        <v>143</v>
      </c>
      <c r="B22" s="21"/>
      <c r="J22" s="11" t="s">
        <v>115</v>
      </c>
      <c r="K22" s="31" t="s">
        <v>305</v>
      </c>
      <c r="L22" s="28">
        <v>2</v>
      </c>
      <c r="M22" s="16">
        <v>11.327666666666667</v>
      </c>
    </row>
    <row r="23" spans="1:13" x14ac:dyDescent="0.25">
      <c r="A23" s="18" t="s">
        <v>144</v>
      </c>
      <c r="B23" s="18">
        <v>0.2012001805475023</v>
      </c>
      <c r="J23" s="11" t="s">
        <v>115</v>
      </c>
      <c r="K23" s="31" t="s">
        <v>306</v>
      </c>
      <c r="L23" s="28">
        <v>2</v>
      </c>
      <c r="M23" s="16">
        <v>7.2023333333333337</v>
      </c>
    </row>
    <row r="24" spans="1:13" x14ac:dyDescent="0.25">
      <c r="A24" s="18" t="s">
        <v>145</v>
      </c>
      <c r="B24" s="18">
        <v>4.0481512652347527E-2</v>
      </c>
      <c r="J24" s="11" t="s">
        <v>115</v>
      </c>
      <c r="K24" s="31" t="s">
        <v>308</v>
      </c>
      <c r="L24" s="28">
        <v>2</v>
      </c>
      <c r="M24" s="16">
        <v>6.9771666666666654</v>
      </c>
    </row>
    <row r="25" spans="1:13" x14ac:dyDescent="0.25">
      <c r="A25" s="18" t="s">
        <v>146</v>
      </c>
      <c r="B25" s="18">
        <v>3.5322811107467676E-2</v>
      </c>
      <c r="J25" s="11" t="s">
        <v>115</v>
      </c>
      <c r="K25" s="31" t="s">
        <v>310</v>
      </c>
      <c r="L25" s="28">
        <v>3</v>
      </c>
      <c r="M25" s="16">
        <v>18.623666666666665</v>
      </c>
    </row>
    <row r="26" spans="1:13" x14ac:dyDescent="0.25">
      <c r="A26" s="18" t="s">
        <v>147</v>
      </c>
      <c r="B26" s="18">
        <v>5.1762417971660479</v>
      </c>
      <c r="J26" s="11" t="s">
        <v>115</v>
      </c>
      <c r="K26" s="31" t="s">
        <v>312</v>
      </c>
      <c r="L26" s="28">
        <v>3</v>
      </c>
      <c r="M26" s="16">
        <v>5.2331666666666665</v>
      </c>
    </row>
    <row r="27" spans="1:13" ht="15.75" thickBot="1" x14ac:dyDescent="0.3">
      <c r="A27" s="19" t="s">
        <v>148</v>
      </c>
      <c r="B27" s="19">
        <v>188</v>
      </c>
      <c r="J27" s="11" t="s">
        <v>115</v>
      </c>
      <c r="K27" s="31" t="s">
        <v>314</v>
      </c>
      <c r="L27" s="28">
        <v>2</v>
      </c>
      <c r="M27" s="16">
        <v>7.6073333333333331</v>
      </c>
    </row>
    <row r="28" spans="1:13" x14ac:dyDescent="0.25">
      <c r="J28" s="11" t="s">
        <v>115</v>
      </c>
      <c r="K28" s="31" t="s">
        <v>316</v>
      </c>
      <c r="L28" s="28">
        <v>3</v>
      </c>
      <c r="M28" s="16">
        <v>8.9115000000000002</v>
      </c>
    </row>
    <row r="29" spans="1:13" ht="15.75" thickBot="1" x14ac:dyDescent="0.3">
      <c r="A29" t="s">
        <v>149</v>
      </c>
      <c r="J29" s="11" t="s">
        <v>115</v>
      </c>
      <c r="K29" s="31" t="s">
        <v>318</v>
      </c>
      <c r="L29" s="28">
        <v>4</v>
      </c>
      <c r="M29" s="16">
        <v>19.855</v>
      </c>
    </row>
    <row r="30" spans="1:13" x14ac:dyDescent="0.25">
      <c r="A30" s="20"/>
      <c r="B30" s="20" t="s">
        <v>153</v>
      </c>
      <c r="C30" s="20" t="s">
        <v>154</v>
      </c>
      <c r="D30" s="20" t="s">
        <v>155</v>
      </c>
      <c r="E30" s="20" t="s">
        <v>156</v>
      </c>
      <c r="F30" s="20" t="s">
        <v>157</v>
      </c>
      <c r="J30" s="11" t="s">
        <v>115</v>
      </c>
      <c r="K30" s="31" t="s">
        <v>320</v>
      </c>
      <c r="L30" s="28">
        <v>4</v>
      </c>
      <c r="M30" s="16">
        <v>11.613499999999998</v>
      </c>
    </row>
    <row r="31" spans="1:13" x14ac:dyDescent="0.25">
      <c r="A31" s="18" t="s">
        <v>150</v>
      </c>
      <c r="B31" s="18">
        <v>1</v>
      </c>
      <c r="C31" s="18">
        <v>210.25456803046109</v>
      </c>
      <c r="D31" s="18">
        <v>210.25456803046109</v>
      </c>
      <c r="E31" s="18">
        <v>7.8472290556383326</v>
      </c>
      <c r="F31" s="33">
        <v>5.6282149275278855E-3</v>
      </c>
      <c r="J31" s="11" t="s">
        <v>115</v>
      </c>
      <c r="K31" s="31" t="s">
        <v>322</v>
      </c>
      <c r="L31" s="28">
        <v>3</v>
      </c>
      <c r="M31" s="16">
        <v>26.09</v>
      </c>
    </row>
    <row r="32" spans="1:13" x14ac:dyDescent="0.25">
      <c r="A32" s="18" t="s">
        <v>151</v>
      </c>
      <c r="B32" s="18">
        <v>186</v>
      </c>
      <c r="C32" s="18">
        <v>4983.5871205475569</v>
      </c>
      <c r="D32" s="18">
        <v>26.793479142728799</v>
      </c>
      <c r="E32" s="18"/>
      <c r="F32" s="18"/>
      <c r="J32" s="11" t="s">
        <v>115</v>
      </c>
      <c r="K32" s="31" t="s">
        <v>324</v>
      </c>
      <c r="L32" s="28">
        <v>4</v>
      </c>
      <c r="M32" s="16">
        <v>8.7328333333333337</v>
      </c>
    </row>
    <row r="33" spans="1:13" ht="15.75" thickBot="1" x14ac:dyDescent="0.3">
      <c r="A33" s="19" t="s">
        <v>128</v>
      </c>
      <c r="B33" s="19">
        <v>187</v>
      </c>
      <c r="C33" s="19">
        <v>5193.841688578018</v>
      </c>
      <c r="D33" s="19"/>
      <c r="E33" s="19"/>
      <c r="F33" s="19"/>
      <c r="J33" s="11" t="s">
        <v>115</v>
      </c>
      <c r="K33" s="31" t="s">
        <v>326</v>
      </c>
      <c r="L33" s="28">
        <v>4</v>
      </c>
      <c r="M33" s="16">
        <v>9.8800000000000008</v>
      </c>
    </row>
    <row r="34" spans="1:13" ht="15.75" thickBot="1" x14ac:dyDescent="0.3">
      <c r="J34" s="11" t="s">
        <v>115</v>
      </c>
      <c r="K34" s="31" t="s">
        <v>329</v>
      </c>
      <c r="L34" s="28">
        <v>2</v>
      </c>
      <c r="M34" s="16">
        <v>7.0748333333333342</v>
      </c>
    </row>
    <row r="35" spans="1:13" x14ac:dyDescent="0.25">
      <c r="A35" s="20"/>
      <c r="B35" s="20" t="s">
        <v>158</v>
      </c>
      <c r="C35" s="20" t="s">
        <v>147</v>
      </c>
      <c r="D35" s="20" t="s">
        <v>159</v>
      </c>
      <c r="E35" s="20" t="s">
        <v>160</v>
      </c>
      <c r="F35" s="20" t="s">
        <v>161</v>
      </c>
      <c r="G35" s="20" t="s">
        <v>162</v>
      </c>
      <c r="H35" s="20" t="s">
        <v>163</v>
      </c>
      <c r="I35" s="20" t="s">
        <v>164</v>
      </c>
      <c r="J35" s="11" t="s">
        <v>115</v>
      </c>
      <c r="K35" s="31" t="s">
        <v>331</v>
      </c>
      <c r="L35" s="28">
        <v>2</v>
      </c>
      <c r="M35" s="16">
        <v>10.463999999999999</v>
      </c>
    </row>
    <row r="36" spans="1:13" x14ac:dyDescent="0.25">
      <c r="A36" s="18" t="s">
        <v>152</v>
      </c>
      <c r="B36" s="18">
        <v>8.5300088534749783</v>
      </c>
      <c r="C36" s="18">
        <v>1.1512780000021903</v>
      </c>
      <c r="D36" s="18">
        <v>7.4091651655453763</v>
      </c>
      <c r="E36" s="18">
        <v>4.3135699974326642E-12</v>
      </c>
      <c r="F36" s="18">
        <v>6.2587674838302139</v>
      </c>
      <c r="G36" s="18">
        <v>10.801250223119743</v>
      </c>
      <c r="H36" s="18">
        <v>6.2587674838302139</v>
      </c>
      <c r="I36" s="18">
        <v>10.801250223119743</v>
      </c>
      <c r="J36" s="11" t="s">
        <v>115</v>
      </c>
      <c r="K36" s="31" t="s">
        <v>333</v>
      </c>
      <c r="L36" s="28">
        <v>1</v>
      </c>
      <c r="M36" s="16">
        <v>8.161999999999999</v>
      </c>
    </row>
    <row r="37" spans="1:13" ht="15.75" thickBot="1" x14ac:dyDescent="0.3">
      <c r="A37" s="19" t="s">
        <v>165</v>
      </c>
      <c r="B37" s="19">
        <v>1.145576671093407</v>
      </c>
      <c r="C37" s="19">
        <v>0.40894602969944549</v>
      </c>
      <c r="D37" s="19">
        <v>2.8012906053528566</v>
      </c>
      <c r="E37" s="19">
        <v>5.6282149275284146E-3</v>
      </c>
      <c r="F37" s="19">
        <v>0.33880789708435777</v>
      </c>
      <c r="G37" s="19">
        <v>1.9523454451024562</v>
      </c>
      <c r="H37" s="19">
        <v>0.33880789708435777</v>
      </c>
      <c r="I37" s="19">
        <v>1.9523454451024562</v>
      </c>
      <c r="J37" s="11" t="s">
        <v>115</v>
      </c>
      <c r="K37" s="31" t="s">
        <v>335</v>
      </c>
      <c r="L37" s="28">
        <v>3</v>
      </c>
      <c r="M37" s="16">
        <v>6.3555000000000001</v>
      </c>
    </row>
    <row r="38" spans="1:13" x14ac:dyDescent="0.25">
      <c r="J38" s="11" t="s">
        <v>115</v>
      </c>
      <c r="K38" s="31" t="s">
        <v>337</v>
      </c>
      <c r="L38" s="28">
        <v>4</v>
      </c>
      <c r="M38" s="16">
        <v>13.399333333333335</v>
      </c>
    </row>
    <row r="39" spans="1:13" x14ac:dyDescent="0.25">
      <c r="J39" s="11" t="s">
        <v>115</v>
      </c>
      <c r="K39" s="31" t="s">
        <v>339</v>
      </c>
      <c r="L39" s="28">
        <v>2</v>
      </c>
      <c r="M39" s="16">
        <v>7.6113333333333335</v>
      </c>
    </row>
    <row r="40" spans="1:13" x14ac:dyDescent="0.25">
      <c r="A40" s="22" t="s">
        <v>993</v>
      </c>
      <c r="J40" s="11" t="s">
        <v>115</v>
      </c>
      <c r="K40" s="31" t="s">
        <v>340</v>
      </c>
      <c r="L40" s="28">
        <v>2</v>
      </c>
      <c r="M40" s="16">
        <v>8.634666666666666</v>
      </c>
    </row>
    <row r="41" spans="1:13" x14ac:dyDescent="0.25">
      <c r="A41" t="s">
        <v>142</v>
      </c>
      <c r="J41" s="11" t="s">
        <v>115</v>
      </c>
      <c r="K41" s="31" t="s">
        <v>342</v>
      </c>
      <c r="L41" s="28">
        <v>5</v>
      </c>
      <c r="M41" s="16">
        <v>20.736333333333331</v>
      </c>
    </row>
    <row r="42" spans="1:13" ht="15.75" thickBot="1" x14ac:dyDescent="0.3">
      <c r="J42" s="11" t="s">
        <v>115</v>
      </c>
      <c r="K42" s="31" t="s">
        <v>344</v>
      </c>
      <c r="L42" s="28">
        <v>4</v>
      </c>
      <c r="M42" s="16">
        <v>5.5265000000000004</v>
      </c>
    </row>
    <row r="43" spans="1:13" x14ac:dyDescent="0.25">
      <c r="A43" s="21" t="s">
        <v>143</v>
      </c>
      <c r="B43" s="21"/>
      <c r="J43" s="11" t="s">
        <v>115</v>
      </c>
      <c r="K43" s="31" t="s">
        <v>346</v>
      </c>
      <c r="L43" s="28">
        <v>2</v>
      </c>
      <c r="M43" s="16">
        <v>8.3993333333333347</v>
      </c>
    </row>
    <row r="44" spans="1:13" x14ac:dyDescent="0.25">
      <c r="A44" s="18" t="s">
        <v>144</v>
      </c>
      <c r="B44" s="18">
        <v>0.17712825446873262</v>
      </c>
      <c r="J44" s="11" t="s">
        <v>115</v>
      </c>
      <c r="K44" s="31" t="s">
        <v>348</v>
      </c>
      <c r="L44" s="28">
        <v>3</v>
      </c>
      <c r="M44" s="16">
        <v>12.382166666666667</v>
      </c>
    </row>
    <row r="45" spans="1:13" x14ac:dyDescent="0.25">
      <c r="A45" s="18" t="s">
        <v>145</v>
      </c>
      <c r="B45" s="18">
        <v>3.1374418531140098E-2</v>
      </c>
      <c r="J45" s="11" t="s">
        <v>115</v>
      </c>
      <c r="K45" s="31" t="s">
        <v>350</v>
      </c>
      <c r="L45" s="28">
        <v>2</v>
      </c>
      <c r="M45" s="16">
        <v>9.9156666666666666</v>
      </c>
    </row>
    <row r="46" spans="1:13" x14ac:dyDescent="0.25">
      <c r="A46" s="18" t="s">
        <v>146</v>
      </c>
      <c r="B46" s="18">
        <v>1.5495310638207969E-2</v>
      </c>
      <c r="J46" s="11" t="s">
        <v>115</v>
      </c>
      <c r="K46" s="31" t="s">
        <v>745</v>
      </c>
      <c r="L46" s="28">
        <v>1</v>
      </c>
      <c r="M46" s="16">
        <v>2.0001666666666669</v>
      </c>
    </row>
    <row r="47" spans="1:13" x14ac:dyDescent="0.25">
      <c r="A47" s="18" t="s">
        <v>147</v>
      </c>
      <c r="B47" s="18">
        <v>4.8155592834273255</v>
      </c>
      <c r="J47" s="11" t="s">
        <v>115</v>
      </c>
      <c r="K47" s="31" t="s">
        <v>748</v>
      </c>
      <c r="L47" s="28">
        <v>4</v>
      </c>
      <c r="M47" s="16">
        <v>8.6120000000000001</v>
      </c>
    </row>
    <row r="48" spans="1:13" ht="15.75" thickBot="1" x14ac:dyDescent="0.3">
      <c r="A48" s="19" t="s">
        <v>148</v>
      </c>
      <c r="B48" s="19">
        <v>63</v>
      </c>
      <c r="J48" s="11" t="s">
        <v>115</v>
      </c>
      <c r="K48" s="31" t="s">
        <v>751</v>
      </c>
      <c r="L48" s="28">
        <v>3</v>
      </c>
      <c r="M48" s="16">
        <v>12.042666666666667</v>
      </c>
    </row>
    <row r="49" spans="1:13" x14ac:dyDescent="0.25">
      <c r="J49" s="11" t="s">
        <v>115</v>
      </c>
      <c r="K49" s="31" t="s">
        <v>754</v>
      </c>
      <c r="L49" s="28">
        <v>4</v>
      </c>
      <c r="M49" s="16">
        <v>13.203833333333332</v>
      </c>
    </row>
    <row r="50" spans="1:13" ht="15.75" thickBot="1" x14ac:dyDescent="0.3">
      <c r="A50" t="s">
        <v>149</v>
      </c>
      <c r="J50" s="11" t="s">
        <v>115</v>
      </c>
      <c r="K50" s="31" t="s">
        <v>757</v>
      </c>
      <c r="L50" s="28">
        <v>1</v>
      </c>
      <c r="M50" s="16">
        <v>4.9995000000000003</v>
      </c>
    </row>
    <row r="51" spans="1:13" x14ac:dyDescent="0.25">
      <c r="A51" s="20"/>
      <c r="B51" s="20" t="s">
        <v>153</v>
      </c>
      <c r="C51" s="20" t="s">
        <v>154</v>
      </c>
      <c r="D51" s="20" t="s">
        <v>155</v>
      </c>
      <c r="E51" s="20" t="s">
        <v>156</v>
      </c>
      <c r="F51" s="20" t="s">
        <v>157</v>
      </c>
      <c r="J51" s="11" t="s">
        <v>115</v>
      </c>
      <c r="K51" s="31" t="s">
        <v>760</v>
      </c>
      <c r="L51" s="28">
        <v>3</v>
      </c>
      <c r="M51" s="16">
        <v>10.041499999999999</v>
      </c>
    </row>
    <row r="52" spans="1:13" x14ac:dyDescent="0.25">
      <c r="A52" s="18" t="s">
        <v>150</v>
      </c>
      <c r="B52" s="18">
        <v>1</v>
      </c>
      <c r="C52" s="18">
        <v>45.818730664958821</v>
      </c>
      <c r="D52" s="18">
        <v>45.818730664958821</v>
      </c>
      <c r="E52" s="18">
        <v>1.9758300493130985</v>
      </c>
      <c r="F52" s="34">
        <v>0.1649034718391453</v>
      </c>
      <c r="J52" s="11" t="s">
        <v>115</v>
      </c>
      <c r="K52" s="31" t="s">
        <v>763</v>
      </c>
      <c r="L52" s="28">
        <v>4</v>
      </c>
      <c r="M52" s="16">
        <v>10.979666666666667</v>
      </c>
    </row>
    <row r="53" spans="1:13" x14ac:dyDescent="0.25">
      <c r="A53" s="18" t="s">
        <v>151</v>
      </c>
      <c r="B53" s="18">
        <v>61</v>
      </c>
      <c r="C53" s="18">
        <v>1414.5662839443887</v>
      </c>
      <c r="D53" s="18">
        <v>23.189611212203094</v>
      </c>
      <c r="E53" s="18"/>
      <c r="F53" s="18"/>
      <c r="J53" s="11" t="s">
        <v>115</v>
      </c>
      <c r="K53" s="31" t="s">
        <v>766</v>
      </c>
      <c r="L53" s="28">
        <v>3</v>
      </c>
      <c r="M53" s="16">
        <v>11.364500000000001</v>
      </c>
    </row>
    <row r="54" spans="1:13" ht="15.75" thickBot="1" x14ac:dyDescent="0.3">
      <c r="A54" s="19" t="s">
        <v>128</v>
      </c>
      <c r="B54" s="19">
        <v>62</v>
      </c>
      <c r="C54" s="19">
        <v>1460.3850146093475</v>
      </c>
      <c r="D54" s="19"/>
      <c r="E54" s="19"/>
      <c r="F54" s="19"/>
      <c r="J54" s="11" t="s">
        <v>115</v>
      </c>
      <c r="K54" s="31" t="s">
        <v>769</v>
      </c>
      <c r="L54" s="28">
        <v>1</v>
      </c>
      <c r="M54" s="16">
        <v>10.5915</v>
      </c>
    </row>
    <row r="55" spans="1:13" ht="15.75" thickBot="1" x14ac:dyDescent="0.3">
      <c r="J55" s="11" t="s">
        <v>115</v>
      </c>
      <c r="K55" s="31" t="s">
        <v>772</v>
      </c>
      <c r="L55" s="28">
        <v>2</v>
      </c>
      <c r="M55" s="16">
        <v>7.1318333333333337</v>
      </c>
    </row>
    <row r="56" spans="1:13" x14ac:dyDescent="0.25">
      <c r="A56" s="20"/>
      <c r="B56" s="20" t="s">
        <v>158</v>
      </c>
      <c r="C56" s="20" t="s">
        <v>147</v>
      </c>
      <c r="D56" s="20" t="s">
        <v>159</v>
      </c>
      <c r="E56" s="20" t="s">
        <v>160</v>
      </c>
      <c r="F56" s="20" t="s">
        <v>161</v>
      </c>
      <c r="G56" s="20" t="s">
        <v>162</v>
      </c>
      <c r="H56" s="20" t="s">
        <v>163</v>
      </c>
      <c r="I56" s="20" t="s">
        <v>164</v>
      </c>
      <c r="J56" s="11" t="s">
        <v>115</v>
      </c>
      <c r="K56" s="31" t="s">
        <v>775</v>
      </c>
      <c r="L56" s="28">
        <v>3</v>
      </c>
      <c r="M56" s="16">
        <v>16.051500000000001</v>
      </c>
    </row>
    <row r="57" spans="1:13" x14ac:dyDescent="0.25">
      <c r="A57" s="18" t="s">
        <v>152</v>
      </c>
      <c r="B57" s="18">
        <v>8.2333749279538928</v>
      </c>
      <c r="C57" s="18">
        <v>1.9310747971438265</v>
      </c>
      <c r="D57" s="18">
        <v>4.2636230042106806</v>
      </c>
      <c r="E57" s="18">
        <v>7.1014366993883316E-5</v>
      </c>
      <c r="F57" s="18">
        <v>4.3719522191957774</v>
      </c>
      <c r="G57" s="18">
        <v>12.094797636712009</v>
      </c>
      <c r="H57" s="18">
        <v>4.3719522191957774</v>
      </c>
      <c r="I57" s="18">
        <v>12.094797636712009</v>
      </c>
      <c r="J57" s="11" t="s">
        <v>115</v>
      </c>
      <c r="K57" s="31" t="s">
        <v>778</v>
      </c>
      <c r="L57" s="28">
        <v>2</v>
      </c>
      <c r="M57" s="16">
        <v>5.9481666666666655</v>
      </c>
    </row>
    <row r="58" spans="1:13" ht="15.75" thickBot="1" x14ac:dyDescent="0.3">
      <c r="A58" s="19" t="s">
        <v>165</v>
      </c>
      <c r="B58" s="19">
        <v>0.91206767531219968</v>
      </c>
      <c r="C58" s="19">
        <v>0.64886189575321773</v>
      </c>
      <c r="D58" s="19">
        <v>1.4056422195256897</v>
      </c>
      <c r="E58" s="19">
        <v>0.16490347183914381</v>
      </c>
      <c r="F58" s="19">
        <v>-0.38541187484046291</v>
      </c>
      <c r="G58" s="19">
        <v>2.2095472254648625</v>
      </c>
      <c r="H58" s="19">
        <v>-0.38541187484046291</v>
      </c>
      <c r="I58" s="19">
        <v>2.2095472254648625</v>
      </c>
      <c r="J58" s="11" t="s">
        <v>115</v>
      </c>
      <c r="K58" s="31" t="s">
        <v>781</v>
      </c>
      <c r="L58" s="28">
        <v>4</v>
      </c>
      <c r="M58" s="16">
        <v>7.3931666666666676</v>
      </c>
    </row>
    <row r="59" spans="1:13" x14ac:dyDescent="0.25">
      <c r="J59" s="11" t="s">
        <v>115</v>
      </c>
      <c r="K59" s="31" t="s">
        <v>785</v>
      </c>
      <c r="L59" s="28">
        <v>3</v>
      </c>
      <c r="M59" s="16">
        <v>9.9878333333333345</v>
      </c>
    </row>
    <row r="60" spans="1:13" x14ac:dyDescent="0.25">
      <c r="J60" s="11" t="s">
        <v>115</v>
      </c>
      <c r="K60" s="31" t="s">
        <v>788</v>
      </c>
      <c r="L60" s="28">
        <v>3</v>
      </c>
      <c r="M60" s="16">
        <v>18.770000000000003</v>
      </c>
    </row>
    <row r="61" spans="1:13" x14ac:dyDescent="0.25">
      <c r="J61" s="11" t="s">
        <v>115</v>
      </c>
      <c r="K61" s="31" t="s">
        <v>791</v>
      </c>
      <c r="L61" s="28">
        <v>4</v>
      </c>
      <c r="M61" s="16">
        <v>8.0373333333333346</v>
      </c>
    </row>
    <row r="62" spans="1:13" x14ac:dyDescent="0.25">
      <c r="A62" s="22" t="s">
        <v>1001</v>
      </c>
      <c r="J62" s="11" t="s">
        <v>115</v>
      </c>
      <c r="K62" s="31" t="s">
        <v>794</v>
      </c>
      <c r="L62" s="28">
        <v>4</v>
      </c>
      <c r="M62" s="16">
        <v>16.510833333333334</v>
      </c>
    </row>
    <row r="63" spans="1:13" x14ac:dyDescent="0.25">
      <c r="A63" t="s">
        <v>142</v>
      </c>
      <c r="J63" s="11" t="s">
        <v>115</v>
      </c>
      <c r="K63" s="31" t="s">
        <v>796</v>
      </c>
      <c r="L63" s="28">
        <v>3</v>
      </c>
      <c r="M63" s="16">
        <v>9.0358333333333345</v>
      </c>
    </row>
    <row r="64" spans="1:13" ht="15.75" thickBot="1" x14ac:dyDescent="0.3">
      <c r="J64" s="11" t="s">
        <v>115</v>
      </c>
      <c r="K64" s="31" t="s">
        <v>799</v>
      </c>
      <c r="L64" s="28">
        <v>3</v>
      </c>
      <c r="M64" s="16">
        <v>10.613333333333333</v>
      </c>
    </row>
    <row r="65" spans="1:13" x14ac:dyDescent="0.25">
      <c r="A65" s="21" t="s">
        <v>143</v>
      </c>
      <c r="B65" s="21"/>
      <c r="J65" s="11" t="s">
        <v>115</v>
      </c>
      <c r="K65" s="31" t="s">
        <v>802</v>
      </c>
      <c r="L65" s="28">
        <v>3</v>
      </c>
      <c r="M65" s="16">
        <v>17.531500000000001</v>
      </c>
    </row>
    <row r="66" spans="1:13" x14ac:dyDescent="0.25">
      <c r="A66" s="18" t="s">
        <v>144</v>
      </c>
      <c r="B66" s="18">
        <v>0.23592635286847363</v>
      </c>
      <c r="J66" s="11" t="s">
        <v>113</v>
      </c>
      <c r="K66" s="31" t="s">
        <v>524</v>
      </c>
      <c r="L66" s="28">
        <v>2</v>
      </c>
      <c r="M66" s="16">
        <v>14.810333333333332</v>
      </c>
    </row>
    <row r="67" spans="1:13" x14ac:dyDescent="0.25">
      <c r="A67" s="18" t="s">
        <v>145</v>
      </c>
      <c r="B67" s="18">
        <v>5.5661243977819533E-2</v>
      </c>
      <c r="J67" s="11" t="s">
        <v>113</v>
      </c>
      <c r="K67" s="31" t="s">
        <v>526</v>
      </c>
      <c r="L67" s="28">
        <v>5</v>
      </c>
      <c r="M67" s="16">
        <v>8.3481666666666658</v>
      </c>
    </row>
    <row r="68" spans="1:13" x14ac:dyDescent="0.25">
      <c r="A68" s="18" t="s">
        <v>146</v>
      </c>
      <c r="B68" s="18">
        <v>4.0671739913975401E-2</v>
      </c>
      <c r="J68" s="11" t="s">
        <v>113</v>
      </c>
      <c r="K68" s="31" t="s">
        <v>528</v>
      </c>
      <c r="L68" s="28">
        <v>2</v>
      </c>
      <c r="M68" s="16">
        <v>10.411166666666668</v>
      </c>
    </row>
    <row r="69" spans="1:13" x14ac:dyDescent="0.25">
      <c r="A69" s="18" t="s">
        <v>147</v>
      </c>
      <c r="B69" s="18">
        <v>5.3757645836363439</v>
      </c>
      <c r="J69" s="11" t="s">
        <v>113</v>
      </c>
      <c r="K69" s="31" t="s">
        <v>530</v>
      </c>
      <c r="L69" s="28">
        <v>2</v>
      </c>
      <c r="M69" s="16">
        <v>12.104999999999999</v>
      </c>
    </row>
    <row r="70" spans="1:13" ht="15.75" thickBot="1" x14ac:dyDescent="0.3">
      <c r="A70" s="19" t="s">
        <v>148</v>
      </c>
      <c r="B70" s="19">
        <v>65</v>
      </c>
      <c r="J70" s="11" t="s">
        <v>113</v>
      </c>
      <c r="K70" s="31" t="s">
        <v>533</v>
      </c>
      <c r="L70" s="28">
        <v>2</v>
      </c>
      <c r="M70" s="16">
        <v>13.229166666666668</v>
      </c>
    </row>
    <row r="71" spans="1:13" x14ac:dyDescent="0.25">
      <c r="J71" s="11" t="s">
        <v>113</v>
      </c>
      <c r="K71" s="31" t="s">
        <v>535</v>
      </c>
      <c r="L71" s="28">
        <v>2</v>
      </c>
      <c r="M71" s="16">
        <v>8.684333333333333</v>
      </c>
    </row>
    <row r="72" spans="1:13" ht="15.75" thickBot="1" x14ac:dyDescent="0.3">
      <c r="A72" t="s">
        <v>149</v>
      </c>
      <c r="J72" s="11" t="s">
        <v>113</v>
      </c>
      <c r="K72" s="31" t="s">
        <v>537</v>
      </c>
      <c r="L72" s="28">
        <v>3</v>
      </c>
      <c r="M72" s="16">
        <v>18.388000000000002</v>
      </c>
    </row>
    <row r="73" spans="1:13" x14ac:dyDescent="0.25">
      <c r="A73" s="20"/>
      <c r="B73" s="20" t="s">
        <v>153</v>
      </c>
      <c r="C73" s="20" t="s">
        <v>154</v>
      </c>
      <c r="D73" s="20" t="s">
        <v>155</v>
      </c>
      <c r="E73" s="20" t="s">
        <v>156</v>
      </c>
      <c r="F73" s="20" t="s">
        <v>157</v>
      </c>
      <c r="J73" s="11" t="s">
        <v>113</v>
      </c>
      <c r="K73" s="31" t="s">
        <v>540</v>
      </c>
      <c r="L73" s="28">
        <v>3</v>
      </c>
      <c r="M73" s="16">
        <v>14.614999999999998</v>
      </c>
    </row>
    <row r="74" spans="1:13" x14ac:dyDescent="0.25">
      <c r="A74" s="18" t="s">
        <v>150</v>
      </c>
      <c r="B74" s="18">
        <v>1</v>
      </c>
      <c r="C74" s="18">
        <v>107.31146591007086</v>
      </c>
      <c r="D74" s="18">
        <v>107.31146591007086</v>
      </c>
      <c r="E74" s="18">
        <v>3.7133479360453854</v>
      </c>
      <c r="F74" s="34">
        <v>5.8491596888257391E-2</v>
      </c>
      <c r="J74" s="11" t="s">
        <v>113</v>
      </c>
      <c r="K74" s="31" t="s">
        <v>542</v>
      </c>
      <c r="L74" s="28">
        <v>1</v>
      </c>
      <c r="M74" s="16">
        <v>12.975833333333334</v>
      </c>
    </row>
    <row r="75" spans="1:13" x14ac:dyDescent="0.25">
      <c r="A75" s="18" t="s">
        <v>151</v>
      </c>
      <c r="B75" s="18">
        <v>63</v>
      </c>
      <c r="C75" s="18">
        <v>1820.6272260967669</v>
      </c>
      <c r="D75" s="18">
        <v>28.898844858678839</v>
      </c>
      <c r="E75" s="18"/>
      <c r="F75" s="18"/>
      <c r="J75" s="11" t="s">
        <v>113</v>
      </c>
      <c r="K75" s="31" t="s">
        <v>544</v>
      </c>
      <c r="L75" s="28">
        <v>3</v>
      </c>
      <c r="M75" s="16">
        <v>26.131166666666669</v>
      </c>
    </row>
    <row r="76" spans="1:13" ht="15.75" thickBot="1" x14ac:dyDescent="0.3">
      <c r="A76" s="19" t="s">
        <v>128</v>
      </c>
      <c r="B76" s="19">
        <v>64</v>
      </c>
      <c r="C76" s="19">
        <v>1927.9386920068378</v>
      </c>
      <c r="D76" s="19"/>
      <c r="E76" s="19"/>
      <c r="F76" s="19"/>
      <c r="J76" s="11" t="s">
        <v>113</v>
      </c>
      <c r="K76" s="31" t="s">
        <v>546</v>
      </c>
      <c r="L76" s="28">
        <v>2</v>
      </c>
      <c r="M76" s="16">
        <v>9.096166666666667</v>
      </c>
    </row>
    <row r="77" spans="1:13" ht="15.75" thickBot="1" x14ac:dyDescent="0.3">
      <c r="J77" s="11" t="s">
        <v>113</v>
      </c>
      <c r="K77" s="31" t="s">
        <v>548</v>
      </c>
      <c r="L77" s="28">
        <v>2</v>
      </c>
      <c r="M77" s="16">
        <v>15.997833333333334</v>
      </c>
    </row>
    <row r="78" spans="1:13" x14ac:dyDescent="0.25">
      <c r="A78" s="20"/>
      <c r="B78" s="20" t="s">
        <v>158</v>
      </c>
      <c r="C78" s="20" t="s">
        <v>147</v>
      </c>
      <c r="D78" s="20" t="s">
        <v>159</v>
      </c>
      <c r="E78" s="20" t="s">
        <v>160</v>
      </c>
      <c r="F78" s="20" t="s">
        <v>161</v>
      </c>
      <c r="G78" s="20" t="s">
        <v>162</v>
      </c>
      <c r="H78" s="20" t="s">
        <v>163</v>
      </c>
      <c r="I78" s="20" t="s">
        <v>164</v>
      </c>
      <c r="J78" s="11" t="s">
        <v>113</v>
      </c>
      <c r="K78" s="31" t="s">
        <v>551</v>
      </c>
      <c r="L78" s="28">
        <v>2</v>
      </c>
      <c r="M78" s="16">
        <v>9.0591666666666661</v>
      </c>
    </row>
    <row r="79" spans="1:13" x14ac:dyDescent="0.25">
      <c r="A79" s="18" t="s">
        <v>152</v>
      </c>
      <c r="B79" s="18">
        <v>9.266525956284152</v>
      </c>
      <c r="C79" s="18">
        <v>2.1373625257903677</v>
      </c>
      <c r="D79" s="18">
        <v>4.3354956608764894</v>
      </c>
      <c r="E79" s="18">
        <v>5.3436806948364162E-5</v>
      </c>
      <c r="F79" s="18">
        <v>4.9953477669327269</v>
      </c>
      <c r="G79" s="18">
        <v>13.537704145635576</v>
      </c>
      <c r="H79" s="18">
        <v>4.9953477669327269</v>
      </c>
      <c r="I79" s="18">
        <v>13.537704145635576</v>
      </c>
      <c r="J79" s="11" t="s">
        <v>113</v>
      </c>
      <c r="K79" s="31" t="s">
        <v>554</v>
      </c>
      <c r="L79" s="28">
        <v>3</v>
      </c>
      <c r="M79" s="16">
        <v>13.668833333333334</v>
      </c>
    </row>
    <row r="80" spans="1:13" ht="15.75" thickBot="1" x14ac:dyDescent="0.3">
      <c r="A80" s="19" t="s">
        <v>165</v>
      </c>
      <c r="B80" s="19">
        <v>1.4289624316939891</v>
      </c>
      <c r="C80" s="19">
        <v>0.7415458164118105</v>
      </c>
      <c r="D80" s="19">
        <v>1.9270049133423042</v>
      </c>
      <c r="E80" s="19">
        <v>5.8491596888257696E-2</v>
      </c>
      <c r="F80" s="19">
        <v>-5.2898637378374191E-2</v>
      </c>
      <c r="G80" s="19">
        <v>2.9108235007663525</v>
      </c>
      <c r="H80" s="19">
        <v>-5.2898637378374191E-2</v>
      </c>
      <c r="I80" s="19">
        <v>2.9108235007663525</v>
      </c>
      <c r="J80" s="11" t="s">
        <v>113</v>
      </c>
      <c r="K80" s="31" t="s">
        <v>555</v>
      </c>
      <c r="L80" s="28">
        <v>4</v>
      </c>
      <c r="M80" s="16">
        <v>11.621500000000001</v>
      </c>
    </row>
    <row r="81" spans="1:13" x14ac:dyDescent="0.25">
      <c r="J81" s="11" t="s">
        <v>113</v>
      </c>
      <c r="K81" s="31" t="s">
        <v>557</v>
      </c>
      <c r="L81" s="28">
        <v>3</v>
      </c>
      <c r="M81" s="16">
        <v>27.094666666666665</v>
      </c>
    </row>
    <row r="82" spans="1:13" x14ac:dyDescent="0.25">
      <c r="J82" s="11" t="s">
        <v>113</v>
      </c>
      <c r="K82" s="31" t="s">
        <v>559</v>
      </c>
      <c r="L82" s="28">
        <v>2</v>
      </c>
      <c r="M82" s="16">
        <v>7.8901666666666666</v>
      </c>
    </row>
    <row r="83" spans="1:13" x14ac:dyDescent="0.25">
      <c r="A83" s="22" t="s">
        <v>1002</v>
      </c>
      <c r="J83" s="11" t="s">
        <v>113</v>
      </c>
      <c r="K83" s="31" t="s">
        <v>561</v>
      </c>
      <c r="L83" s="28">
        <v>2</v>
      </c>
      <c r="M83" s="16">
        <v>6.5274999999999999</v>
      </c>
    </row>
    <row r="84" spans="1:13" x14ac:dyDescent="0.25">
      <c r="A84" t="s">
        <v>142</v>
      </c>
      <c r="J84" s="11" t="s">
        <v>113</v>
      </c>
      <c r="K84" s="31" t="s">
        <v>563</v>
      </c>
      <c r="L84" s="28">
        <v>3</v>
      </c>
      <c r="M84" s="16">
        <v>15.956833333333332</v>
      </c>
    </row>
    <row r="85" spans="1:13" ht="15.75" thickBot="1" x14ac:dyDescent="0.3">
      <c r="J85" s="11" t="s">
        <v>113</v>
      </c>
      <c r="K85" s="31" t="s">
        <v>566</v>
      </c>
      <c r="L85" s="28">
        <v>4</v>
      </c>
      <c r="M85" s="16">
        <v>12.952333333333332</v>
      </c>
    </row>
    <row r="86" spans="1:13" x14ac:dyDescent="0.25">
      <c r="A86" s="21" t="s">
        <v>143</v>
      </c>
      <c r="B86" s="21"/>
      <c r="J86" s="11" t="s">
        <v>113</v>
      </c>
      <c r="K86" s="31" t="s">
        <v>568</v>
      </c>
      <c r="L86" s="28">
        <v>2</v>
      </c>
      <c r="M86" s="16">
        <v>9.9936666666666678</v>
      </c>
    </row>
    <row r="87" spans="1:13" x14ac:dyDescent="0.25">
      <c r="A87" s="18" t="s">
        <v>144</v>
      </c>
      <c r="B87" s="18">
        <v>0.16215472215308066</v>
      </c>
      <c r="J87" s="11" t="s">
        <v>113</v>
      </c>
      <c r="K87" s="31" t="s">
        <v>570</v>
      </c>
      <c r="L87" s="28">
        <v>3</v>
      </c>
      <c r="M87" s="16">
        <v>11.496166666666669</v>
      </c>
    </row>
    <row r="88" spans="1:13" x14ac:dyDescent="0.25">
      <c r="A88" s="18" t="s">
        <v>145</v>
      </c>
      <c r="B88" s="18">
        <v>2.6294153916542787E-2</v>
      </c>
      <c r="J88" s="11" t="s">
        <v>113</v>
      </c>
      <c r="K88" s="31" t="s">
        <v>571</v>
      </c>
      <c r="L88" s="28">
        <v>2</v>
      </c>
      <c r="M88" s="16">
        <v>7.4725000000000001</v>
      </c>
    </row>
    <row r="89" spans="1:13" x14ac:dyDescent="0.25">
      <c r="A89" s="18" t="s">
        <v>146</v>
      </c>
      <c r="B89" s="18">
        <v>9.5061220875176621E-3</v>
      </c>
      <c r="J89" s="11" t="s">
        <v>113</v>
      </c>
      <c r="K89" s="31" t="s">
        <v>573</v>
      </c>
      <c r="L89" s="28">
        <v>3</v>
      </c>
      <c r="M89" s="16">
        <v>7.0421666666666667</v>
      </c>
    </row>
    <row r="90" spans="1:13" x14ac:dyDescent="0.25">
      <c r="A90" s="18" t="s">
        <v>147</v>
      </c>
      <c r="B90" s="18">
        <v>5.1001528294559151</v>
      </c>
      <c r="J90" s="11" t="s">
        <v>113</v>
      </c>
      <c r="K90" s="31" t="s">
        <v>575</v>
      </c>
      <c r="L90" s="28">
        <v>2</v>
      </c>
      <c r="M90" s="16">
        <v>10.976166666666666</v>
      </c>
    </row>
    <row r="91" spans="1:13" ht="15.75" thickBot="1" x14ac:dyDescent="0.3">
      <c r="A91" s="19" t="s">
        <v>148</v>
      </c>
      <c r="B91" s="19">
        <v>60</v>
      </c>
      <c r="J91" s="11" t="s">
        <v>113</v>
      </c>
      <c r="K91" s="31" t="s">
        <v>692</v>
      </c>
      <c r="L91" s="39">
        <v>5</v>
      </c>
      <c r="M91" s="40">
        <v>12.003666666666666</v>
      </c>
    </row>
    <row r="92" spans="1:13" x14ac:dyDescent="0.25">
      <c r="J92" s="11" t="s">
        <v>113</v>
      </c>
      <c r="K92" s="31" t="s">
        <v>693</v>
      </c>
      <c r="L92" s="39">
        <v>3</v>
      </c>
      <c r="M92" s="40">
        <v>11.683166666666667</v>
      </c>
    </row>
    <row r="93" spans="1:13" ht="15.75" thickBot="1" x14ac:dyDescent="0.3">
      <c r="A93" t="s">
        <v>149</v>
      </c>
      <c r="J93" s="11" t="s">
        <v>113</v>
      </c>
      <c r="K93" s="31" t="s">
        <v>694</v>
      </c>
      <c r="L93" s="39">
        <v>4</v>
      </c>
      <c r="M93" s="40">
        <v>7.7138333333333327</v>
      </c>
    </row>
    <row r="94" spans="1:13" x14ac:dyDescent="0.25">
      <c r="A94" s="20"/>
      <c r="B94" s="20" t="s">
        <v>153</v>
      </c>
      <c r="C94" s="20" t="s">
        <v>154</v>
      </c>
      <c r="D94" s="20" t="s">
        <v>155</v>
      </c>
      <c r="E94" s="20" t="s">
        <v>156</v>
      </c>
      <c r="F94" s="20" t="s">
        <v>157</v>
      </c>
      <c r="J94" s="11" t="s">
        <v>113</v>
      </c>
      <c r="K94" s="31" t="s">
        <v>696</v>
      </c>
      <c r="L94" s="39">
        <v>4</v>
      </c>
      <c r="M94" s="40">
        <v>29.299833333333336</v>
      </c>
    </row>
    <row r="95" spans="1:13" x14ac:dyDescent="0.25">
      <c r="A95" s="18" t="s">
        <v>150</v>
      </c>
      <c r="B95" s="18">
        <v>1</v>
      </c>
      <c r="C95" s="18">
        <v>40.740447710942817</v>
      </c>
      <c r="D95" s="18">
        <v>40.740447710942817</v>
      </c>
      <c r="E95" s="18">
        <v>1.5662439876413838</v>
      </c>
      <c r="F95" s="34">
        <v>0.2157774632122984</v>
      </c>
      <c r="J95" s="11" t="s">
        <v>113</v>
      </c>
      <c r="K95" s="31" t="s">
        <v>698</v>
      </c>
      <c r="L95" s="39">
        <v>3</v>
      </c>
      <c r="M95" s="40">
        <v>20.408166666666666</v>
      </c>
    </row>
    <row r="96" spans="1:13" x14ac:dyDescent="0.25">
      <c r="A96" s="18" t="s">
        <v>151</v>
      </c>
      <c r="B96" s="18">
        <v>58</v>
      </c>
      <c r="C96" s="18">
        <v>1508.6704152608163</v>
      </c>
      <c r="D96" s="18">
        <v>26.011558883807176</v>
      </c>
      <c r="E96" s="18"/>
      <c r="F96" s="18"/>
      <c r="J96" s="11" t="s">
        <v>113</v>
      </c>
      <c r="K96" s="31" t="s">
        <v>700</v>
      </c>
      <c r="L96" s="39">
        <v>3</v>
      </c>
      <c r="M96" s="40">
        <v>12.050333333333333</v>
      </c>
    </row>
    <row r="97" spans="1:13" ht="15.75" thickBot="1" x14ac:dyDescent="0.3">
      <c r="A97" s="19" t="s">
        <v>128</v>
      </c>
      <c r="B97" s="19">
        <v>59</v>
      </c>
      <c r="C97" s="19">
        <v>1549.4108629717591</v>
      </c>
      <c r="D97" s="19"/>
      <c r="E97" s="19"/>
      <c r="F97" s="19"/>
      <c r="J97" s="11" t="s">
        <v>113</v>
      </c>
      <c r="K97" s="31" t="s">
        <v>702</v>
      </c>
      <c r="L97" s="39">
        <v>2</v>
      </c>
      <c r="M97" s="40">
        <v>13.195833333333333</v>
      </c>
    </row>
    <row r="98" spans="1:13" ht="15.75" thickBot="1" x14ac:dyDescent="0.3">
      <c r="J98" s="11" t="s">
        <v>113</v>
      </c>
      <c r="K98" s="31" t="s">
        <v>704</v>
      </c>
      <c r="L98" s="39">
        <v>3</v>
      </c>
      <c r="M98" s="40">
        <v>30.003999999999998</v>
      </c>
    </row>
    <row r="99" spans="1:13" x14ac:dyDescent="0.25">
      <c r="A99" s="20"/>
      <c r="B99" s="20" t="s">
        <v>158</v>
      </c>
      <c r="C99" s="20" t="s">
        <v>147</v>
      </c>
      <c r="D99" s="20" t="s">
        <v>159</v>
      </c>
      <c r="E99" s="20" t="s">
        <v>160</v>
      </c>
      <c r="F99" s="20" t="s">
        <v>161</v>
      </c>
      <c r="G99" s="20" t="s">
        <v>162</v>
      </c>
      <c r="H99" s="20" t="s">
        <v>163</v>
      </c>
      <c r="I99" s="20" t="s">
        <v>164</v>
      </c>
      <c r="J99" s="11" t="s">
        <v>113</v>
      </c>
      <c r="K99" s="31" t="s">
        <v>706</v>
      </c>
      <c r="L99" s="39">
        <v>3</v>
      </c>
      <c r="M99" s="40">
        <v>12.353333333333333</v>
      </c>
    </row>
    <row r="100" spans="1:13" x14ac:dyDescent="0.25">
      <c r="A100" s="18" t="s">
        <v>152</v>
      </c>
      <c r="B100" s="18">
        <v>8.3961230842911849</v>
      </c>
      <c r="C100" s="18">
        <v>1.9137782223168462</v>
      </c>
      <c r="D100" s="18">
        <v>4.3871975270607493</v>
      </c>
      <c r="E100" s="18">
        <v>4.9116577143076489E-5</v>
      </c>
      <c r="F100" s="18">
        <v>4.565279755903167</v>
      </c>
      <c r="G100" s="18">
        <v>12.226966412679204</v>
      </c>
      <c r="H100" s="18">
        <v>4.565279755903167</v>
      </c>
      <c r="I100" s="18">
        <v>12.226966412679204</v>
      </c>
      <c r="J100" s="11" t="s">
        <v>113</v>
      </c>
      <c r="K100" s="31" t="s">
        <v>708</v>
      </c>
      <c r="L100" s="39">
        <v>3</v>
      </c>
      <c r="M100" s="40">
        <v>16.712833333333336</v>
      </c>
    </row>
    <row r="101" spans="1:13" ht="15.75" thickBot="1" x14ac:dyDescent="0.3">
      <c r="A101" s="19" t="s">
        <v>165</v>
      </c>
      <c r="B101" s="19">
        <v>0.93703089080459756</v>
      </c>
      <c r="C101" s="19">
        <v>0.74872821601790973</v>
      </c>
      <c r="D101" s="19">
        <v>1.2514966990133889</v>
      </c>
      <c r="E101" s="19">
        <v>0.21577746321229443</v>
      </c>
      <c r="F101" s="19">
        <v>-0.56171147007132294</v>
      </c>
      <c r="G101" s="19">
        <v>2.4357732516805179</v>
      </c>
      <c r="H101" s="19">
        <v>-0.56171147007132294</v>
      </c>
      <c r="I101" s="19">
        <v>2.4357732516805179</v>
      </c>
      <c r="J101" s="11" t="s">
        <v>113</v>
      </c>
      <c r="K101" s="31" t="s">
        <v>709</v>
      </c>
      <c r="L101" s="39">
        <v>1</v>
      </c>
      <c r="M101" s="40">
        <v>5.8731666666666662</v>
      </c>
    </row>
    <row r="102" spans="1:13" x14ac:dyDescent="0.25">
      <c r="J102" s="11" t="s">
        <v>113</v>
      </c>
      <c r="K102" s="31" t="s">
        <v>711</v>
      </c>
      <c r="L102" s="39">
        <v>1</v>
      </c>
      <c r="M102" s="40">
        <v>4.6635</v>
      </c>
    </row>
    <row r="103" spans="1:13" x14ac:dyDescent="0.25">
      <c r="J103" s="11" t="s">
        <v>113</v>
      </c>
      <c r="K103" s="31" t="s">
        <v>713</v>
      </c>
      <c r="L103" s="39">
        <v>3</v>
      </c>
      <c r="M103" s="40">
        <v>12.729833333333334</v>
      </c>
    </row>
    <row r="104" spans="1:13" x14ac:dyDescent="0.25">
      <c r="J104" s="11" t="s">
        <v>113</v>
      </c>
      <c r="K104" s="31" t="s">
        <v>715</v>
      </c>
      <c r="L104" s="39">
        <v>3</v>
      </c>
      <c r="M104" s="40">
        <v>10.209</v>
      </c>
    </row>
    <row r="105" spans="1:13" x14ac:dyDescent="0.25">
      <c r="J105" s="11" t="s">
        <v>113</v>
      </c>
      <c r="K105" s="31" t="s">
        <v>717</v>
      </c>
      <c r="L105" s="39">
        <v>3</v>
      </c>
      <c r="M105" s="40">
        <v>11.7395</v>
      </c>
    </row>
    <row r="106" spans="1:13" x14ac:dyDescent="0.25">
      <c r="J106" s="11" t="s">
        <v>113</v>
      </c>
      <c r="K106" s="31" t="s">
        <v>719</v>
      </c>
      <c r="L106" s="39">
        <v>3</v>
      </c>
      <c r="M106" s="40">
        <v>15.0825</v>
      </c>
    </row>
    <row r="107" spans="1:13" x14ac:dyDescent="0.25">
      <c r="J107" s="11" t="s">
        <v>113</v>
      </c>
      <c r="K107" s="31" t="s">
        <v>721</v>
      </c>
      <c r="L107" s="39">
        <v>3</v>
      </c>
      <c r="M107" s="40">
        <v>12.580166666666667</v>
      </c>
    </row>
    <row r="108" spans="1:13" x14ac:dyDescent="0.25">
      <c r="J108" s="11" t="s">
        <v>113</v>
      </c>
      <c r="K108" s="31" t="s">
        <v>723</v>
      </c>
      <c r="L108" s="39">
        <v>1</v>
      </c>
      <c r="M108" s="40">
        <v>12.0595</v>
      </c>
    </row>
    <row r="109" spans="1:13" x14ac:dyDescent="0.25">
      <c r="J109" s="11" t="s">
        <v>113</v>
      </c>
      <c r="K109" s="31" t="s">
        <v>726</v>
      </c>
      <c r="L109" s="39">
        <v>3</v>
      </c>
      <c r="M109" s="40">
        <v>15.958666666666666</v>
      </c>
    </row>
    <row r="110" spans="1:13" x14ac:dyDescent="0.25">
      <c r="J110" s="11" t="s">
        <v>113</v>
      </c>
      <c r="K110" s="31" t="s">
        <v>729</v>
      </c>
      <c r="L110" s="39">
        <v>4</v>
      </c>
      <c r="M110" s="40">
        <v>10.031166666666666</v>
      </c>
    </row>
    <row r="111" spans="1:13" x14ac:dyDescent="0.25">
      <c r="J111" s="11" t="s">
        <v>113</v>
      </c>
      <c r="K111" s="31" t="s">
        <v>731</v>
      </c>
      <c r="L111" s="39">
        <v>2</v>
      </c>
      <c r="M111" s="40">
        <v>12.9635</v>
      </c>
    </row>
    <row r="112" spans="1:13" x14ac:dyDescent="0.25">
      <c r="J112" s="11" t="s">
        <v>113</v>
      </c>
      <c r="K112" s="31" t="s">
        <v>734</v>
      </c>
      <c r="L112" s="39">
        <v>3</v>
      </c>
      <c r="M112" s="40">
        <v>15.673333333333334</v>
      </c>
    </row>
    <row r="113" spans="10:13" x14ac:dyDescent="0.25">
      <c r="J113" s="11" t="s">
        <v>113</v>
      </c>
      <c r="K113" s="31" t="s">
        <v>735</v>
      </c>
      <c r="L113" s="39">
        <v>2</v>
      </c>
      <c r="M113" s="40">
        <v>9.6290000000000013</v>
      </c>
    </row>
    <row r="114" spans="10:13" x14ac:dyDescent="0.25">
      <c r="J114" s="11" t="s">
        <v>113</v>
      </c>
      <c r="K114" s="31" t="s">
        <v>738</v>
      </c>
      <c r="L114" s="39">
        <v>3</v>
      </c>
      <c r="M114" s="40">
        <v>11.088166666666666</v>
      </c>
    </row>
    <row r="115" spans="10:13" x14ac:dyDescent="0.25">
      <c r="J115" s="11" t="s">
        <v>113</v>
      </c>
      <c r="K115" s="31" t="s">
        <v>945</v>
      </c>
      <c r="L115" s="28">
        <v>3</v>
      </c>
      <c r="M115" s="16">
        <v>21.446500000000004</v>
      </c>
    </row>
    <row r="116" spans="10:13" x14ac:dyDescent="0.25">
      <c r="J116" s="11" t="s">
        <v>113</v>
      </c>
      <c r="K116" s="31" t="s">
        <v>947</v>
      </c>
      <c r="L116" s="28">
        <v>3</v>
      </c>
      <c r="M116" s="16">
        <v>9.9885000000000002</v>
      </c>
    </row>
    <row r="117" spans="10:13" x14ac:dyDescent="0.25">
      <c r="J117" s="11" t="s">
        <v>113</v>
      </c>
      <c r="K117" s="31" t="s">
        <v>949</v>
      </c>
      <c r="L117" s="28">
        <v>4</v>
      </c>
      <c r="M117" s="16">
        <v>13.571499999999999</v>
      </c>
    </row>
    <row r="118" spans="10:13" x14ac:dyDescent="0.25">
      <c r="J118" s="11" t="s">
        <v>113</v>
      </c>
      <c r="K118" s="31" t="s">
        <v>951</v>
      </c>
      <c r="L118" s="28">
        <v>3</v>
      </c>
      <c r="M118" s="16">
        <v>11.695499999999999</v>
      </c>
    </row>
    <row r="119" spans="10:13" x14ac:dyDescent="0.25">
      <c r="J119" s="11" t="s">
        <v>113</v>
      </c>
      <c r="K119" s="31" t="s">
        <v>953</v>
      </c>
      <c r="L119" s="28">
        <v>3</v>
      </c>
      <c r="M119" s="16">
        <v>11.577500000000001</v>
      </c>
    </row>
    <row r="120" spans="10:13" x14ac:dyDescent="0.25">
      <c r="J120" s="11" t="s">
        <v>113</v>
      </c>
      <c r="K120" s="31" t="s">
        <v>955</v>
      </c>
      <c r="L120" s="28">
        <v>3</v>
      </c>
      <c r="M120" s="16">
        <v>11.993166666666665</v>
      </c>
    </row>
    <row r="121" spans="10:13" x14ac:dyDescent="0.25">
      <c r="J121" s="11" t="s">
        <v>113</v>
      </c>
      <c r="K121" s="31" t="s">
        <v>957</v>
      </c>
      <c r="L121" s="28">
        <v>2</v>
      </c>
      <c r="M121" s="16">
        <v>13.180666666666667</v>
      </c>
    </row>
    <row r="122" spans="10:13" x14ac:dyDescent="0.25">
      <c r="J122" s="11" t="s">
        <v>113</v>
      </c>
      <c r="K122" s="31" t="s">
        <v>959</v>
      </c>
      <c r="L122" s="28">
        <v>1</v>
      </c>
      <c r="M122" s="16">
        <v>2.4485000000000001</v>
      </c>
    </row>
    <row r="123" spans="10:13" x14ac:dyDescent="0.25">
      <c r="J123" s="11" t="s">
        <v>113</v>
      </c>
      <c r="K123" s="31" t="s">
        <v>961</v>
      </c>
      <c r="L123" s="28">
        <v>3</v>
      </c>
      <c r="M123" s="16">
        <v>8.9791666666666661</v>
      </c>
    </row>
    <row r="124" spans="10:13" x14ac:dyDescent="0.25">
      <c r="J124" s="11" t="s">
        <v>113</v>
      </c>
      <c r="K124" s="31" t="s">
        <v>963</v>
      </c>
      <c r="L124" s="28">
        <v>3</v>
      </c>
      <c r="M124" s="16">
        <v>15.331166666666668</v>
      </c>
    </row>
    <row r="125" spans="10:13" x14ac:dyDescent="0.25">
      <c r="J125" s="11" t="s">
        <v>113</v>
      </c>
      <c r="K125" s="31" t="s">
        <v>965</v>
      </c>
      <c r="L125" s="28">
        <v>3</v>
      </c>
      <c r="M125" s="16">
        <v>12.313333333333333</v>
      </c>
    </row>
    <row r="126" spans="10:13" x14ac:dyDescent="0.25">
      <c r="J126" s="11" t="s">
        <v>113</v>
      </c>
      <c r="K126" s="31" t="s">
        <v>967</v>
      </c>
      <c r="L126" s="28">
        <v>3</v>
      </c>
      <c r="M126" s="16">
        <v>15.526333333333334</v>
      </c>
    </row>
    <row r="127" spans="10:13" x14ac:dyDescent="0.25">
      <c r="J127" s="11" t="s">
        <v>113</v>
      </c>
      <c r="K127" s="31" t="s">
        <v>969</v>
      </c>
      <c r="L127" s="28">
        <v>1</v>
      </c>
      <c r="M127" s="16">
        <v>24.511833333333332</v>
      </c>
    </row>
    <row r="128" spans="10:13" x14ac:dyDescent="0.25">
      <c r="J128" s="11" t="s">
        <v>113</v>
      </c>
      <c r="K128" s="31" t="s">
        <v>971</v>
      </c>
      <c r="L128" s="28">
        <v>3</v>
      </c>
      <c r="M128" s="16">
        <v>6.4301666666666666</v>
      </c>
    </row>
    <row r="129" spans="10:13" x14ac:dyDescent="0.25">
      <c r="J129" s="11" t="s">
        <v>113</v>
      </c>
      <c r="K129" s="31" t="s">
        <v>973</v>
      </c>
      <c r="L129" s="28">
        <v>4</v>
      </c>
      <c r="M129" s="16">
        <v>17.606499999999997</v>
      </c>
    </row>
    <row r="130" spans="10:13" x14ac:dyDescent="0.25">
      <c r="J130" s="11" t="s">
        <v>113</v>
      </c>
      <c r="K130" s="31" t="s">
        <v>975</v>
      </c>
      <c r="L130" s="28">
        <v>4</v>
      </c>
      <c r="M130" s="16">
        <v>17.829333333333338</v>
      </c>
    </row>
    <row r="131" spans="10:13" x14ac:dyDescent="0.25">
      <c r="J131" s="11" t="s">
        <v>114</v>
      </c>
      <c r="K131" s="31" t="s">
        <v>419</v>
      </c>
      <c r="L131" s="28">
        <v>3</v>
      </c>
      <c r="M131" s="16">
        <v>12.423999999999999</v>
      </c>
    </row>
    <row r="132" spans="10:13" x14ac:dyDescent="0.25">
      <c r="J132" s="11" t="s">
        <v>114</v>
      </c>
      <c r="K132" s="31" t="s">
        <v>420</v>
      </c>
      <c r="L132" s="28">
        <v>3</v>
      </c>
      <c r="M132" s="16">
        <v>8.7526666666666664</v>
      </c>
    </row>
    <row r="133" spans="10:13" x14ac:dyDescent="0.25">
      <c r="J133" s="11" t="s">
        <v>114</v>
      </c>
      <c r="K133" s="31" t="s">
        <v>422</v>
      </c>
      <c r="L133" s="28">
        <v>4</v>
      </c>
      <c r="M133" s="16">
        <v>13.405833333333334</v>
      </c>
    </row>
    <row r="134" spans="10:13" x14ac:dyDescent="0.25">
      <c r="J134" s="11" t="s">
        <v>114</v>
      </c>
      <c r="K134" s="31" t="s">
        <v>424</v>
      </c>
      <c r="L134" s="28">
        <v>2</v>
      </c>
      <c r="M134" s="16">
        <v>12.571833333333334</v>
      </c>
    </row>
    <row r="135" spans="10:13" x14ac:dyDescent="0.25">
      <c r="J135" s="11" t="s">
        <v>114</v>
      </c>
      <c r="K135" s="26" t="s">
        <v>426</v>
      </c>
      <c r="L135" s="28">
        <v>2</v>
      </c>
      <c r="M135" s="16">
        <v>10.817166666666665</v>
      </c>
    </row>
    <row r="136" spans="10:13" x14ac:dyDescent="0.25">
      <c r="J136" s="11" t="s">
        <v>114</v>
      </c>
      <c r="K136" s="26" t="s">
        <v>429</v>
      </c>
      <c r="L136" s="28">
        <v>2</v>
      </c>
      <c r="M136" s="16">
        <v>16.149333333333335</v>
      </c>
    </row>
    <row r="137" spans="10:13" x14ac:dyDescent="0.25">
      <c r="J137" s="11" t="s">
        <v>114</v>
      </c>
      <c r="K137" s="45" t="s">
        <v>431</v>
      </c>
      <c r="L137" s="28">
        <v>2</v>
      </c>
      <c r="M137" s="16">
        <v>14.666166666666665</v>
      </c>
    </row>
    <row r="138" spans="10:13" x14ac:dyDescent="0.25">
      <c r="J138" s="11" t="s">
        <v>114</v>
      </c>
      <c r="K138" s="45" t="s">
        <v>434</v>
      </c>
      <c r="L138" s="28">
        <v>2</v>
      </c>
      <c r="M138" s="16">
        <v>12.779333333333332</v>
      </c>
    </row>
    <row r="139" spans="10:13" x14ac:dyDescent="0.25">
      <c r="J139" s="11" t="s">
        <v>114</v>
      </c>
      <c r="K139" s="26" t="s">
        <v>436</v>
      </c>
      <c r="L139" s="28">
        <v>3</v>
      </c>
      <c r="M139" s="16">
        <v>7.6991666666666667</v>
      </c>
    </row>
    <row r="140" spans="10:13" x14ac:dyDescent="0.25">
      <c r="J140" s="11" t="s">
        <v>114</v>
      </c>
      <c r="K140" s="26" t="s">
        <v>438</v>
      </c>
      <c r="L140" s="28">
        <v>3</v>
      </c>
      <c r="M140" s="16">
        <v>11.767833333333334</v>
      </c>
    </row>
    <row r="141" spans="10:13" x14ac:dyDescent="0.25">
      <c r="J141" s="11" t="s">
        <v>114</v>
      </c>
      <c r="K141" s="26" t="s">
        <v>440</v>
      </c>
      <c r="L141" s="28">
        <v>2</v>
      </c>
      <c r="M141" s="16">
        <v>9.0306666666666668</v>
      </c>
    </row>
    <row r="142" spans="10:13" x14ac:dyDescent="0.25">
      <c r="J142" s="11" t="s">
        <v>114</v>
      </c>
      <c r="K142" s="26" t="s">
        <v>443</v>
      </c>
      <c r="L142" s="28">
        <v>5</v>
      </c>
      <c r="M142" s="16">
        <v>17.038666666666668</v>
      </c>
    </row>
    <row r="143" spans="10:13" x14ac:dyDescent="0.25">
      <c r="J143" s="11" t="s">
        <v>114</v>
      </c>
      <c r="K143" s="45" t="s">
        <v>446</v>
      </c>
      <c r="L143" s="28">
        <v>3</v>
      </c>
      <c r="M143" s="16">
        <v>12.975999999999999</v>
      </c>
    </row>
    <row r="144" spans="10:13" x14ac:dyDescent="0.25">
      <c r="J144" s="11" t="s">
        <v>114</v>
      </c>
      <c r="K144" s="26" t="s">
        <v>448</v>
      </c>
      <c r="L144" s="28">
        <v>3</v>
      </c>
      <c r="M144" s="16">
        <v>8.5824999999999996</v>
      </c>
    </row>
    <row r="145" spans="10:13" x14ac:dyDescent="0.25">
      <c r="J145" s="11" t="s">
        <v>114</v>
      </c>
      <c r="K145" s="26" t="s">
        <v>450</v>
      </c>
      <c r="L145" s="28">
        <v>2</v>
      </c>
      <c r="M145" s="16">
        <v>7.5211666666666668</v>
      </c>
    </row>
    <row r="146" spans="10:13" x14ac:dyDescent="0.25">
      <c r="J146" s="11" t="s">
        <v>114</v>
      </c>
      <c r="K146" s="26" t="s">
        <v>452</v>
      </c>
      <c r="L146" s="28">
        <v>1</v>
      </c>
      <c r="M146" s="16">
        <v>10.557499999999999</v>
      </c>
    </row>
    <row r="147" spans="10:13" x14ac:dyDescent="0.25">
      <c r="J147" s="11" t="s">
        <v>114</v>
      </c>
      <c r="K147" s="26" t="s">
        <v>454</v>
      </c>
      <c r="L147" s="28">
        <v>1</v>
      </c>
      <c r="M147" s="16">
        <v>6.0308333333333337</v>
      </c>
    </row>
    <row r="148" spans="10:13" x14ac:dyDescent="0.25">
      <c r="J148" s="11" t="s">
        <v>114</v>
      </c>
      <c r="K148" s="26" t="s">
        <v>457</v>
      </c>
      <c r="L148" s="28">
        <v>3</v>
      </c>
      <c r="M148" s="16">
        <v>27.297499999999999</v>
      </c>
    </row>
    <row r="149" spans="10:13" x14ac:dyDescent="0.25">
      <c r="J149" s="11" t="s">
        <v>114</v>
      </c>
      <c r="K149" s="26" t="s">
        <v>459</v>
      </c>
      <c r="L149" s="28">
        <v>3</v>
      </c>
      <c r="M149" s="16">
        <v>8.0296666666666656</v>
      </c>
    </row>
    <row r="150" spans="10:13" x14ac:dyDescent="0.25">
      <c r="J150" s="11" t="s">
        <v>114</v>
      </c>
      <c r="K150" s="26" t="s">
        <v>460</v>
      </c>
      <c r="L150" s="28">
        <v>2</v>
      </c>
      <c r="M150" s="16">
        <v>8.8773333333333326</v>
      </c>
    </row>
    <row r="151" spans="10:13" x14ac:dyDescent="0.25">
      <c r="J151" s="11" t="s">
        <v>114</v>
      </c>
      <c r="K151" s="26" t="s">
        <v>462</v>
      </c>
      <c r="L151" s="28">
        <v>3</v>
      </c>
      <c r="M151" s="16">
        <v>8.285166666666667</v>
      </c>
    </row>
    <row r="152" spans="10:13" x14ac:dyDescent="0.25">
      <c r="J152" s="11" t="s">
        <v>114</v>
      </c>
      <c r="K152" s="26" t="s">
        <v>463</v>
      </c>
      <c r="L152" s="28">
        <v>2</v>
      </c>
      <c r="M152" s="16">
        <v>6.226</v>
      </c>
    </row>
    <row r="153" spans="10:13" x14ac:dyDescent="0.25">
      <c r="J153" s="11" t="s">
        <v>114</v>
      </c>
      <c r="K153" s="26" t="s">
        <v>465</v>
      </c>
      <c r="L153" s="28">
        <v>2</v>
      </c>
      <c r="M153" s="16">
        <v>5.738666666666667</v>
      </c>
    </row>
    <row r="154" spans="10:13" x14ac:dyDescent="0.25">
      <c r="J154" s="11" t="s">
        <v>114</v>
      </c>
      <c r="K154" s="26" t="s">
        <v>467</v>
      </c>
      <c r="L154" s="28">
        <v>1</v>
      </c>
      <c r="M154" s="16">
        <v>4.4703333333333335</v>
      </c>
    </row>
    <row r="155" spans="10:13" x14ac:dyDescent="0.25">
      <c r="J155" s="11" t="s">
        <v>114</v>
      </c>
      <c r="K155" s="26" t="s">
        <v>469</v>
      </c>
      <c r="L155" s="28">
        <v>2</v>
      </c>
      <c r="M155" s="16">
        <v>8.5690000000000008</v>
      </c>
    </row>
    <row r="156" spans="10:13" x14ac:dyDescent="0.25">
      <c r="J156" s="11" t="s">
        <v>114</v>
      </c>
      <c r="K156" s="26" t="s">
        <v>471</v>
      </c>
      <c r="L156" s="28">
        <v>1</v>
      </c>
      <c r="M156" s="16">
        <v>10.356</v>
      </c>
    </row>
    <row r="157" spans="10:13" x14ac:dyDescent="0.25">
      <c r="J157" s="11" t="s">
        <v>114</v>
      </c>
      <c r="K157" s="26" t="s">
        <v>473</v>
      </c>
      <c r="L157" s="28">
        <v>2</v>
      </c>
      <c r="M157" s="16">
        <v>6.8585000000000003</v>
      </c>
    </row>
    <row r="158" spans="10:13" x14ac:dyDescent="0.25">
      <c r="J158" s="11" t="s">
        <v>114</v>
      </c>
      <c r="K158" s="26" t="s">
        <v>616</v>
      </c>
      <c r="L158" s="39">
        <v>3</v>
      </c>
      <c r="M158" s="40">
        <v>11.727833333333333</v>
      </c>
    </row>
    <row r="159" spans="10:13" x14ac:dyDescent="0.25">
      <c r="J159" s="11" t="s">
        <v>114</v>
      </c>
      <c r="K159" s="26" t="s">
        <v>619</v>
      </c>
      <c r="L159" s="39">
        <v>2</v>
      </c>
      <c r="M159" s="40">
        <v>7.7676666666666669</v>
      </c>
    </row>
    <row r="160" spans="10:13" x14ac:dyDescent="0.25">
      <c r="J160" s="11" t="s">
        <v>114</v>
      </c>
      <c r="K160" s="26" t="s">
        <v>621</v>
      </c>
      <c r="L160" s="39">
        <v>1</v>
      </c>
      <c r="M160" s="40">
        <v>8.3659999999999997</v>
      </c>
    </row>
    <row r="161" spans="10:13" x14ac:dyDescent="0.25">
      <c r="J161" s="11" t="s">
        <v>114</v>
      </c>
      <c r="K161" s="26" t="s">
        <v>623</v>
      </c>
      <c r="L161" s="39">
        <v>2</v>
      </c>
      <c r="M161" s="40">
        <v>10.050833333333333</v>
      </c>
    </row>
    <row r="162" spans="10:13" x14ac:dyDescent="0.25">
      <c r="J162" s="11" t="s">
        <v>114</v>
      </c>
      <c r="K162" s="26" t="s">
        <v>625</v>
      </c>
      <c r="L162" s="39">
        <v>2</v>
      </c>
      <c r="M162" s="40">
        <v>6.9833333333333334</v>
      </c>
    </row>
    <row r="163" spans="10:13" x14ac:dyDescent="0.25">
      <c r="J163" s="11" t="s">
        <v>114</v>
      </c>
      <c r="K163" s="26" t="s">
        <v>628</v>
      </c>
      <c r="L163" s="39">
        <v>3</v>
      </c>
      <c r="M163" s="40">
        <v>10.141666666666666</v>
      </c>
    </row>
    <row r="164" spans="10:13" x14ac:dyDescent="0.25">
      <c r="J164" s="11" t="s">
        <v>114</v>
      </c>
      <c r="K164" s="26" t="s">
        <v>630</v>
      </c>
      <c r="L164" s="39">
        <v>2</v>
      </c>
      <c r="M164" s="40">
        <v>9.221166666666667</v>
      </c>
    </row>
    <row r="165" spans="10:13" x14ac:dyDescent="0.25">
      <c r="J165" s="11" t="s">
        <v>114</v>
      </c>
      <c r="K165" s="26" t="s">
        <v>632</v>
      </c>
      <c r="L165" s="39">
        <v>2</v>
      </c>
      <c r="M165" s="40">
        <v>5.871833333333333</v>
      </c>
    </row>
    <row r="166" spans="10:13" x14ac:dyDescent="0.25">
      <c r="J166" s="11" t="s">
        <v>114</v>
      </c>
      <c r="K166" s="26" t="s">
        <v>634</v>
      </c>
      <c r="L166" s="39">
        <v>2</v>
      </c>
      <c r="M166" s="40">
        <v>10.259333333333334</v>
      </c>
    </row>
    <row r="167" spans="10:13" x14ac:dyDescent="0.25">
      <c r="J167" s="11" t="s">
        <v>114</v>
      </c>
      <c r="K167" s="26" t="s">
        <v>635</v>
      </c>
      <c r="L167" s="39">
        <v>2</v>
      </c>
      <c r="M167" s="40">
        <v>8.7008333333333336</v>
      </c>
    </row>
    <row r="168" spans="10:13" x14ac:dyDescent="0.25">
      <c r="J168" s="11" t="s">
        <v>114</v>
      </c>
      <c r="K168" s="26" t="s">
        <v>869</v>
      </c>
      <c r="L168" s="28">
        <v>2</v>
      </c>
      <c r="M168" s="16">
        <v>7.6611666666666665</v>
      </c>
    </row>
    <row r="169" spans="10:13" x14ac:dyDescent="0.25">
      <c r="J169" s="11" t="s">
        <v>114</v>
      </c>
      <c r="K169" s="26" t="s">
        <v>870</v>
      </c>
      <c r="L169" s="28">
        <v>4</v>
      </c>
      <c r="M169" s="16">
        <v>12.477</v>
      </c>
    </row>
    <row r="170" spans="10:13" x14ac:dyDescent="0.25">
      <c r="J170" s="11" t="s">
        <v>114</v>
      </c>
      <c r="K170" s="26" t="s">
        <v>872</v>
      </c>
      <c r="L170" s="28">
        <v>1</v>
      </c>
      <c r="M170" s="16">
        <v>6.8403333333333336</v>
      </c>
    </row>
    <row r="171" spans="10:13" x14ac:dyDescent="0.25">
      <c r="J171" s="11" t="s">
        <v>114</v>
      </c>
      <c r="K171" s="26" t="s">
        <v>874</v>
      </c>
      <c r="L171" s="28">
        <v>2</v>
      </c>
      <c r="M171" s="16">
        <v>5.730500000000001</v>
      </c>
    </row>
    <row r="172" spans="10:13" x14ac:dyDescent="0.25">
      <c r="J172" s="11" t="s">
        <v>114</v>
      </c>
      <c r="K172" s="26" t="s">
        <v>875</v>
      </c>
      <c r="L172" s="28">
        <v>4</v>
      </c>
      <c r="M172" s="16">
        <v>8.6174999999999997</v>
      </c>
    </row>
    <row r="173" spans="10:13" x14ac:dyDescent="0.25">
      <c r="J173" s="11" t="s">
        <v>114</v>
      </c>
      <c r="K173" s="26" t="s">
        <v>877</v>
      </c>
      <c r="L173" s="28">
        <v>1</v>
      </c>
      <c r="M173" s="16">
        <v>11.373333333333333</v>
      </c>
    </row>
    <row r="174" spans="10:13" x14ac:dyDescent="0.25">
      <c r="J174" s="11" t="s">
        <v>114</v>
      </c>
      <c r="K174" s="26" t="s">
        <v>878</v>
      </c>
      <c r="L174" s="28">
        <v>3</v>
      </c>
      <c r="M174" s="16">
        <v>8.105833333333333</v>
      </c>
    </row>
    <row r="175" spans="10:13" x14ac:dyDescent="0.25">
      <c r="J175" s="11" t="s">
        <v>114</v>
      </c>
      <c r="K175" s="26" t="s">
        <v>880</v>
      </c>
      <c r="L175" s="28">
        <v>2</v>
      </c>
      <c r="M175" s="16">
        <v>12.0945</v>
      </c>
    </row>
    <row r="176" spans="10:13" x14ac:dyDescent="0.25">
      <c r="J176" s="11" t="s">
        <v>114</v>
      </c>
      <c r="K176" s="26" t="s">
        <v>882</v>
      </c>
      <c r="L176" s="28">
        <v>2</v>
      </c>
      <c r="M176" s="16">
        <v>13.916</v>
      </c>
    </row>
    <row r="177" spans="10:13" x14ac:dyDescent="0.25">
      <c r="J177" s="11" t="s">
        <v>114</v>
      </c>
      <c r="K177" s="26" t="s">
        <v>884</v>
      </c>
      <c r="L177" s="28">
        <v>4</v>
      </c>
      <c r="M177" s="16">
        <v>4.4628333333333332</v>
      </c>
    </row>
    <row r="178" spans="10:13" x14ac:dyDescent="0.25">
      <c r="J178" s="11" t="s">
        <v>114</v>
      </c>
      <c r="K178" s="26" t="s">
        <v>886</v>
      </c>
      <c r="L178" s="28">
        <v>3</v>
      </c>
      <c r="M178" s="16">
        <v>7.53</v>
      </c>
    </row>
    <row r="179" spans="10:13" x14ac:dyDescent="0.25">
      <c r="J179" s="11" t="s">
        <v>114</v>
      </c>
      <c r="K179" s="26" t="s">
        <v>888</v>
      </c>
      <c r="L179" s="28">
        <v>2</v>
      </c>
      <c r="M179" s="16">
        <v>22.336500000000001</v>
      </c>
    </row>
    <row r="180" spans="10:13" x14ac:dyDescent="0.25">
      <c r="J180" s="11" t="s">
        <v>114</v>
      </c>
      <c r="K180" s="26" t="s">
        <v>890</v>
      </c>
      <c r="L180" s="28">
        <v>3</v>
      </c>
      <c r="M180" s="16">
        <v>4.1896666666666667</v>
      </c>
    </row>
    <row r="181" spans="10:13" x14ac:dyDescent="0.25">
      <c r="J181" s="11" t="s">
        <v>114</v>
      </c>
      <c r="K181" s="26" t="s">
        <v>892</v>
      </c>
      <c r="L181" s="28">
        <v>2</v>
      </c>
      <c r="M181" s="16">
        <v>6.0866666666666669</v>
      </c>
    </row>
    <row r="182" spans="10:13" x14ac:dyDescent="0.25">
      <c r="J182" s="11" t="s">
        <v>114</v>
      </c>
      <c r="K182" s="26" t="s">
        <v>894</v>
      </c>
      <c r="L182" s="28">
        <v>3</v>
      </c>
      <c r="M182" s="16">
        <v>14.153499999999999</v>
      </c>
    </row>
    <row r="183" spans="10:13" x14ac:dyDescent="0.25">
      <c r="J183" s="11" t="s">
        <v>114</v>
      </c>
      <c r="K183" s="26" t="s">
        <v>896</v>
      </c>
      <c r="L183" s="28">
        <v>3</v>
      </c>
      <c r="M183" s="16">
        <v>8.2465000000000011</v>
      </c>
    </row>
    <row r="184" spans="10:13" x14ac:dyDescent="0.25">
      <c r="J184" s="11" t="s">
        <v>114</v>
      </c>
      <c r="K184" s="26" t="s">
        <v>898</v>
      </c>
      <c r="L184" s="28">
        <v>3</v>
      </c>
      <c r="M184" s="16">
        <v>9.0060000000000002</v>
      </c>
    </row>
    <row r="185" spans="10:13" x14ac:dyDescent="0.25">
      <c r="J185" s="11" t="s">
        <v>114</v>
      </c>
      <c r="K185" s="26" t="s">
        <v>900</v>
      </c>
      <c r="L185" s="28">
        <v>2</v>
      </c>
      <c r="M185" s="16">
        <v>26.222333333333331</v>
      </c>
    </row>
    <row r="186" spans="10:13" x14ac:dyDescent="0.25">
      <c r="J186" s="11" t="s">
        <v>114</v>
      </c>
      <c r="K186" s="26" t="s">
        <v>902</v>
      </c>
      <c r="L186" s="28">
        <v>1</v>
      </c>
      <c r="M186" s="16">
        <v>6.3571666666666671</v>
      </c>
    </row>
    <row r="187" spans="10:13" x14ac:dyDescent="0.25">
      <c r="J187" s="11" t="s">
        <v>114</v>
      </c>
      <c r="K187" s="26" t="s">
        <v>904</v>
      </c>
      <c r="L187" s="28">
        <v>3</v>
      </c>
      <c r="M187" s="16">
        <v>24.091833333333334</v>
      </c>
    </row>
    <row r="188" spans="10:13" x14ac:dyDescent="0.25">
      <c r="J188" s="11" t="s">
        <v>114</v>
      </c>
      <c r="K188" s="26" t="s">
        <v>906</v>
      </c>
      <c r="L188" s="28">
        <v>2</v>
      </c>
      <c r="M188" s="16">
        <v>22.729833333333335</v>
      </c>
    </row>
    <row r="189" spans="10:13" x14ac:dyDescent="0.25">
      <c r="J189" s="11" t="s">
        <v>114</v>
      </c>
      <c r="K189" s="26" t="s">
        <v>908</v>
      </c>
      <c r="L189" s="28">
        <v>4</v>
      </c>
      <c r="M189" s="16">
        <v>11.358500000000001</v>
      </c>
    </row>
    <row r="190" spans="10:13" x14ac:dyDescent="0.25">
      <c r="J190" s="11" t="s">
        <v>114</v>
      </c>
      <c r="K190" s="45" t="s">
        <v>910</v>
      </c>
      <c r="L190" s="28">
        <v>3</v>
      </c>
      <c r="M190" s="16">
        <v>8.5429999999999993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68"/>
  <sheetViews>
    <sheetView topLeftCell="A25" workbookViewId="0">
      <selection activeCell="L31" sqref="L31"/>
    </sheetView>
  </sheetViews>
  <sheetFormatPr defaultRowHeight="15" x14ac:dyDescent="0.25"/>
  <cols>
    <col min="1" max="1" width="17.42578125" customWidth="1"/>
    <col min="2" max="2" width="19.42578125" customWidth="1"/>
    <col min="3" max="3" width="20.140625" customWidth="1"/>
    <col min="7" max="13" width="17.42578125" customWidth="1"/>
  </cols>
  <sheetData>
    <row r="2" spans="1:14" x14ac:dyDescent="0.25">
      <c r="A2" t="s">
        <v>113</v>
      </c>
      <c r="B2" t="s">
        <v>114</v>
      </c>
      <c r="C2" t="s">
        <v>115</v>
      </c>
      <c r="G2" t="s">
        <v>171</v>
      </c>
    </row>
    <row r="3" spans="1:14" x14ac:dyDescent="0.25">
      <c r="A3" s="16">
        <v>17</v>
      </c>
      <c r="B3" s="16">
        <v>21</v>
      </c>
      <c r="C3" s="16">
        <v>13</v>
      </c>
    </row>
    <row r="4" spans="1:14" ht="15.75" thickBot="1" x14ac:dyDescent="0.3">
      <c r="A4" s="16">
        <v>14</v>
      </c>
      <c r="B4" s="16">
        <v>20</v>
      </c>
      <c r="C4" s="16">
        <v>16</v>
      </c>
      <c r="G4" t="s">
        <v>172</v>
      </c>
    </row>
    <row r="5" spans="1:14" x14ac:dyDescent="0.25">
      <c r="A5" s="16">
        <v>14</v>
      </c>
      <c r="B5" s="16">
        <v>14</v>
      </c>
      <c r="C5" s="16">
        <v>15</v>
      </c>
      <c r="G5" s="20" t="s">
        <v>173</v>
      </c>
      <c r="H5" s="20" t="s">
        <v>174</v>
      </c>
      <c r="I5" s="20" t="s">
        <v>175</v>
      </c>
      <c r="J5" s="20" t="s">
        <v>176</v>
      </c>
      <c r="K5" s="20" t="s">
        <v>166</v>
      </c>
    </row>
    <row r="6" spans="1:14" x14ac:dyDescent="0.25">
      <c r="A6" s="16">
        <v>18</v>
      </c>
      <c r="B6" s="16">
        <v>13</v>
      </c>
      <c r="C6" s="16">
        <v>13</v>
      </c>
      <c r="E6">
        <f>MEDIAN(Table4[Wordcloud])</f>
        <v>15</v>
      </c>
      <c r="G6" s="18" t="s">
        <v>113</v>
      </c>
      <c r="H6" s="18">
        <v>65</v>
      </c>
      <c r="I6" s="18">
        <v>1001</v>
      </c>
      <c r="J6" s="18">
        <v>15.4</v>
      </c>
      <c r="K6" s="18">
        <v>7.1187500000000057</v>
      </c>
    </row>
    <row r="7" spans="1:14" x14ac:dyDescent="0.25">
      <c r="A7" s="16">
        <v>14</v>
      </c>
      <c r="B7" s="16">
        <v>11</v>
      </c>
      <c r="C7" s="16">
        <v>11</v>
      </c>
      <c r="G7" s="18" t="s">
        <v>114</v>
      </c>
      <c r="H7" s="18">
        <v>60</v>
      </c>
      <c r="I7" s="18">
        <v>1092</v>
      </c>
      <c r="J7" s="18">
        <v>18.2</v>
      </c>
      <c r="K7" s="18">
        <v>8.3999999999999755</v>
      </c>
    </row>
    <row r="8" spans="1:14" ht="15.75" thickBot="1" x14ac:dyDescent="0.3">
      <c r="A8" s="16">
        <v>16</v>
      </c>
      <c r="B8" s="16">
        <v>20</v>
      </c>
      <c r="C8" s="16">
        <v>17</v>
      </c>
      <c r="G8" s="19" t="s">
        <v>115</v>
      </c>
      <c r="H8" s="19">
        <v>63</v>
      </c>
      <c r="I8" s="19">
        <v>892</v>
      </c>
      <c r="J8" s="19">
        <v>14.158730158730158</v>
      </c>
      <c r="K8" s="19">
        <v>7.4260112647209331</v>
      </c>
    </row>
    <row r="9" spans="1:14" x14ac:dyDescent="0.25">
      <c r="A9" s="16">
        <v>17</v>
      </c>
      <c r="B9" s="16">
        <v>21</v>
      </c>
      <c r="C9" s="16">
        <v>16</v>
      </c>
    </row>
    <row r="10" spans="1:14" x14ac:dyDescent="0.25">
      <c r="A10" s="16">
        <v>12</v>
      </c>
      <c r="B10" s="16">
        <v>16</v>
      </c>
      <c r="C10" s="16">
        <v>12</v>
      </c>
      <c r="J10" s="23" t="s">
        <v>581</v>
      </c>
      <c r="K10" s="23"/>
    </row>
    <row r="11" spans="1:14" ht="15.75" thickBot="1" x14ac:dyDescent="0.3">
      <c r="A11" s="16">
        <v>13</v>
      </c>
      <c r="B11" s="16">
        <v>20</v>
      </c>
      <c r="C11" s="16">
        <v>15</v>
      </c>
      <c r="G11" t="s">
        <v>149</v>
      </c>
      <c r="J11" s="32" t="s">
        <v>580</v>
      </c>
      <c r="K11" s="23"/>
      <c r="L11" s="23"/>
      <c r="M11" s="23"/>
      <c r="N11" s="23"/>
    </row>
    <row r="12" spans="1:14" x14ac:dyDescent="0.25">
      <c r="A12" s="16">
        <v>16</v>
      </c>
      <c r="B12" s="16">
        <v>14</v>
      </c>
      <c r="C12" s="16">
        <v>15</v>
      </c>
      <c r="G12" s="20" t="s">
        <v>177</v>
      </c>
      <c r="H12" s="20" t="s">
        <v>154</v>
      </c>
      <c r="I12" s="20" t="s">
        <v>153</v>
      </c>
      <c r="J12" s="20" t="s">
        <v>155</v>
      </c>
      <c r="K12" s="20" t="s">
        <v>156</v>
      </c>
      <c r="L12" s="20" t="s">
        <v>160</v>
      </c>
      <c r="M12" s="20" t="s">
        <v>178</v>
      </c>
    </row>
    <row r="13" spans="1:14" x14ac:dyDescent="0.25">
      <c r="A13" s="16">
        <v>17</v>
      </c>
      <c r="B13" s="16">
        <v>20</v>
      </c>
      <c r="C13" s="16">
        <v>15</v>
      </c>
      <c r="G13" s="18" t="s">
        <v>179</v>
      </c>
      <c r="H13" s="18">
        <v>524.57347180006582</v>
      </c>
      <c r="I13" s="18">
        <v>2</v>
      </c>
      <c r="J13" s="18">
        <v>262.28673590003291</v>
      </c>
      <c r="K13" s="33">
        <v>34.374192153462687</v>
      </c>
      <c r="L13" s="56">
        <v>2.023396316774023E-13</v>
      </c>
      <c r="M13" s="33">
        <v>3.0447705656092796</v>
      </c>
    </row>
    <row r="14" spans="1:14" x14ac:dyDescent="0.25">
      <c r="A14" s="16">
        <v>17</v>
      </c>
      <c r="B14" s="16">
        <v>10</v>
      </c>
      <c r="C14" s="16">
        <v>16</v>
      </c>
      <c r="G14" s="18" t="s">
        <v>180</v>
      </c>
      <c r="H14" s="18">
        <v>1411.6126984126988</v>
      </c>
      <c r="I14" s="18">
        <v>185</v>
      </c>
      <c r="J14" s="18">
        <v>7.6303389103389128</v>
      </c>
      <c r="K14" s="18"/>
      <c r="L14" s="18"/>
      <c r="M14" s="18"/>
    </row>
    <row r="15" spans="1:14" x14ac:dyDescent="0.25">
      <c r="A15" s="16">
        <v>16</v>
      </c>
      <c r="B15" s="16">
        <v>20</v>
      </c>
      <c r="C15" s="16">
        <v>19</v>
      </c>
      <c r="G15" s="18"/>
      <c r="H15" s="18"/>
      <c r="I15" s="18"/>
      <c r="J15" s="18"/>
      <c r="K15" s="18"/>
      <c r="L15" s="18"/>
      <c r="M15" s="18"/>
    </row>
    <row r="16" spans="1:14" ht="15.75" thickBot="1" x14ac:dyDescent="0.3">
      <c r="A16" s="16">
        <v>17</v>
      </c>
      <c r="B16" s="16">
        <v>20</v>
      </c>
      <c r="C16" s="16">
        <v>16</v>
      </c>
      <c r="G16" s="19" t="s">
        <v>128</v>
      </c>
      <c r="H16" s="19">
        <v>1936.1861702127646</v>
      </c>
      <c r="I16" s="19">
        <v>187</v>
      </c>
      <c r="J16" s="19"/>
      <c r="K16" s="19"/>
      <c r="L16" s="19"/>
      <c r="M16" s="19"/>
    </row>
    <row r="17" spans="1:14" x14ac:dyDescent="0.25">
      <c r="A17" s="16">
        <v>13</v>
      </c>
      <c r="B17" s="16">
        <v>21</v>
      </c>
      <c r="C17" s="16">
        <v>15</v>
      </c>
    </row>
    <row r="18" spans="1:14" x14ac:dyDescent="0.25">
      <c r="A18" s="16">
        <v>17</v>
      </c>
      <c r="B18" s="16">
        <v>13</v>
      </c>
      <c r="C18" s="16">
        <v>18</v>
      </c>
    </row>
    <row r="19" spans="1:14" x14ac:dyDescent="0.25">
      <c r="A19" s="16">
        <v>14</v>
      </c>
      <c r="B19" s="16">
        <v>20</v>
      </c>
      <c r="C19" s="16">
        <v>13</v>
      </c>
    </row>
    <row r="20" spans="1:14" x14ac:dyDescent="0.25">
      <c r="A20" s="16">
        <v>18</v>
      </c>
      <c r="B20" s="16">
        <v>19</v>
      </c>
      <c r="C20" s="16">
        <v>13</v>
      </c>
      <c r="G20" s="22" t="s">
        <v>979</v>
      </c>
    </row>
    <row r="21" spans="1:14" x14ac:dyDescent="0.25">
      <c r="A21" s="16">
        <v>17</v>
      </c>
      <c r="B21" s="16">
        <v>19</v>
      </c>
      <c r="C21" s="16">
        <v>14</v>
      </c>
      <c r="G21" t="s">
        <v>171</v>
      </c>
    </row>
    <row r="22" spans="1:14" x14ac:dyDescent="0.25">
      <c r="A22" s="16">
        <v>5</v>
      </c>
      <c r="B22" s="16">
        <v>20</v>
      </c>
      <c r="C22" s="16">
        <v>17</v>
      </c>
    </row>
    <row r="23" spans="1:14" ht="15.75" thickBot="1" x14ac:dyDescent="0.3">
      <c r="A23" s="16">
        <v>16</v>
      </c>
      <c r="B23" s="16">
        <v>18</v>
      </c>
      <c r="C23" s="16">
        <v>10</v>
      </c>
      <c r="G23" t="s">
        <v>172</v>
      </c>
    </row>
    <row r="24" spans="1:14" x14ac:dyDescent="0.25">
      <c r="A24" s="16">
        <v>10</v>
      </c>
      <c r="B24" s="16">
        <v>21</v>
      </c>
      <c r="C24" s="16">
        <v>14</v>
      </c>
      <c r="G24" s="20" t="s">
        <v>173</v>
      </c>
      <c r="H24" s="20" t="s">
        <v>174</v>
      </c>
      <c r="I24" s="20" t="s">
        <v>175</v>
      </c>
      <c r="J24" s="20" t="s">
        <v>176</v>
      </c>
      <c r="K24" s="20" t="s">
        <v>166</v>
      </c>
    </row>
    <row r="25" spans="1:14" x14ac:dyDescent="0.25">
      <c r="A25" s="16">
        <v>17</v>
      </c>
      <c r="B25" s="16">
        <v>14</v>
      </c>
      <c r="C25" s="16">
        <v>13</v>
      </c>
      <c r="G25" s="18" t="s">
        <v>113</v>
      </c>
      <c r="H25" s="18">
        <v>65</v>
      </c>
      <c r="I25" s="18">
        <v>1001</v>
      </c>
      <c r="J25" s="18">
        <v>15.4</v>
      </c>
      <c r="K25" s="18">
        <v>7.1187500000000057</v>
      </c>
    </row>
    <row r="26" spans="1:14" ht="15.75" thickBot="1" x14ac:dyDescent="0.3">
      <c r="A26" s="16">
        <v>11</v>
      </c>
      <c r="B26" s="16">
        <v>13</v>
      </c>
      <c r="C26" s="16">
        <v>13</v>
      </c>
      <c r="G26" s="19" t="s">
        <v>114</v>
      </c>
      <c r="H26" s="19">
        <v>60</v>
      </c>
      <c r="I26" s="19">
        <v>1092</v>
      </c>
      <c r="J26" s="19">
        <v>18.2</v>
      </c>
      <c r="K26" s="19">
        <v>8.3999999999999755</v>
      </c>
    </row>
    <row r="27" spans="1:14" x14ac:dyDescent="0.25">
      <c r="A27" s="16">
        <v>15</v>
      </c>
      <c r="B27" s="16">
        <v>21</v>
      </c>
      <c r="C27" s="16">
        <v>15</v>
      </c>
    </row>
    <row r="28" spans="1:14" x14ac:dyDescent="0.25">
      <c r="A28" s="40">
        <v>14</v>
      </c>
      <c r="B28" s="16">
        <v>17</v>
      </c>
      <c r="C28" s="16">
        <v>14</v>
      </c>
      <c r="J28" s="23" t="s">
        <v>581</v>
      </c>
      <c r="K28" s="23"/>
    </row>
    <row r="29" spans="1:14" ht="15.75" thickBot="1" x14ac:dyDescent="0.3">
      <c r="A29" s="40">
        <v>14</v>
      </c>
      <c r="B29" s="16">
        <v>21</v>
      </c>
      <c r="C29" s="16">
        <v>12</v>
      </c>
      <c r="G29" t="s">
        <v>149</v>
      </c>
      <c r="J29" s="32" t="s">
        <v>580</v>
      </c>
      <c r="K29" s="23"/>
      <c r="L29" s="23"/>
      <c r="M29" s="23"/>
      <c r="N29" s="23"/>
    </row>
    <row r="30" spans="1:14" x14ac:dyDescent="0.25">
      <c r="A30" s="40">
        <v>16</v>
      </c>
      <c r="B30" s="16">
        <v>19</v>
      </c>
      <c r="C30" s="16">
        <v>16</v>
      </c>
      <c r="G30" s="20" t="s">
        <v>177</v>
      </c>
      <c r="H30" s="20" t="s">
        <v>154</v>
      </c>
      <c r="I30" s="20" t="s">
        <v>153</v>
      </c>
      <c r="J30" s="20" t="s">
        <v>155</v>
      </c>
      <c r="K30" s="20" t="s">
        <v>156</v>
      </c>
      <c r="L30" s="20" t="s">
        <v>160</v>
      </c>
      <c r="M30" s="20" t="s">
        <v>178</v>
      </c>
    </row>
    <row r="31" spans="1:14" x14ac:dyDescent="0.25">
      <c r="A31" s="40">
        <v>15</v>
      </c>
      <c r="B31" s="16">
        <v>20</v>
      </c>
      <c r="C31" s="16">
        <v>16</v>
      </c>
      <c r="G31" s="18" t="s">
        <v>179</v>
      </c>
      <c r="H31" s="18">
        <v>244.60799999999779</v>
      </c>
      <c r="I31" s="18">
        <v>1</v>
      </c>
      <c r="J31" s="18">
        <v>244.60799999999779</v>
      </c>
      <c r="K31" s="33">
        <v>31.630344827585908</v>
      </c>
      <c r="L31" s="56">
        <v>1.1902335799156682E-7</v>
      </c>
      <c r="M31" s="33">
        <v>3.9181775080439047</v>
      </c>
    </row>
    <row r="32" spans="1:14" x14ac:dyDescent="0.25">
      <c r="A32" s="40">
        <v>18</v>
      </c>
      <c r="B32" s="16">
        <v>21</v>
      </c>
      <c r="C32" s="16">
        <v>14</v>
      </c>
      <c r="G32" s="18" t="s">
        <v>180</v>
      </c>
      <c r="H32" s="18">
        <v>951.20000000000039</v>
      </c>
      <c r="I32" s="18">
        <v>123</v>
      </c>
      <c r="J32" s="18">
        <v>7.7333333333333361</v>
      </c>
      <c r="K32" s="18"/>
      <c r="L32" s="18"/>
      <c r="M32" s="18"/>
    </row>
    <row r="33" spans="1:13" x14ac:dyDescent="0.25">
      <c r="A33" s="40">
        <v>17</v>
      </c>
      <c r="B33" s="16">
        <v>18</v>
      </c>
      <c r="C33" s="16">
        <v>6</v>
      </c>
      <c r="G33" s="18"/>
      <c r="H33" s="18"/>
      <c r="I33" s="18"/>
      <c r="J33" s="18"/>
      <c r="K33" s="18"/>
      <c r="L33" s="18"/>
      <c r="M33" s="18"/>
    </row>
    <row r="34" spans="1:13" ht="15.75" thickBot="1" x14ac:dyDescent="0.3">
      <c r="A34" s="40">
        <v>17</v>
      </c>
      <c r="B34" s="16">
        <v>19</v>
      </c>
      <c r="C34" s="16">
        <v>15</v>
      </c>
      <c r="G34" s="19" t="s">
        <v>128</v>
      </c>
      <c r="H34" s="19">
        <v>1195.8079999999982</v>
      </c>
      <c r="I34" s="19">
        <v>124</v>
      </c>
      <c r="J34" s="19"/>
      <c r="K34" s="19"/>
      <c r="L34" s="19"/>
      <c r="M34" s="19"/>
    </row>
    <row r="35" spans="1:13" x14ac:dyDescent="0.25">
      <c r="A35" s="40">
        <v>17</v>
      </c>
      <c r="B35" s="16">
        <v>15</v>
      </c>
      <c r="C35" s="16">
        <v>18</v>
      </c>
    </row>
    <row r="36" spans="1:13" x14ac:dyDescent="0.25">
      <c r="A36" s="40">
        <v>17</v>
      </c>
      <c r="B36" s="16">
        <v>19</v>
      </c>
      <c r="C36" s="16">
        <v>16</v>
      </c>
    </row>
    <row r="37" spans="1:13" x14ac:dyDescent="0.25">
      <c r="A37" s="40">
        <v>18</v>
      </c>
      <c r="B37" s="16">
        <v>20</v>
      </c>
      <c r="C37" s="16">
        <v>13</v>
      </c>
      <c r="G37" s="22" t="s">
        <v>980</v>
      </c>
    </row>
    <row r="38" spans="1:13" x14ac:dyDescent="0.25">
      <c r="A38" s="40">
        <v>12</v>
      </c>
      <c r="B38" s="16">
        <v>18</v>
      </c>
      <c r="C38" s="16">
        <v>18</v>
      </c>
      <c r="G38" t="s">
        <v>171</v>
      </c>
    </row>
    <row r="39" spans="1:13" x14ac:dyDescent="0.25">
      <c r="A39" s="40">
        <v>12</v>
      </c>
      <c r="B39" s="16">
        <v>18</v>
      </c>
      <c r="C39" s="16">
        <v>14</v>
      </c>
    </row>
    <row r="40" spans="1:13" ht="15.75" thickBot="1" x14ac:dyDescent="0.3">
      <c r="A40" s="40">
        <v>13</v>
      </c>
      <c r="B40" s="16">
        <v>21</v>
      </c>
      <c r="C40" s="16">
        <v>16</v>
      </c>
      <c r="G40" t="s">
        <v>172</v>
      </c>
    </row>
    <row r="41" spans="1:13" x14ac:dyDescent="0.25">
      <c r="A41" s="40">
        <v>14</v>
      </c>
      <c r="B41" s="16">
        <v>18</v>
      </c>
      <c r="C41" s="16">
        <v>11</v>
      </c>
      <c r="G41" s="20" t="s">
        <v>173</v>
      </c>
      <c r="H41" s="20" t="s">
        <v>174</v>
      </c>
      <c r="I41" s="20" t="s">
        <v>175</v>
      </c>
      <c r="J41" s="20" t="s">
        <v>176</v>
      </c>
      <c r="K41" s="20" t="s">
        <v>166</v>
      </c>
    </row>
    <row r="42" spans="1:13" x14ac:dyDescent="0.25">
      <c r="A42" s="40">
        <v>14</v>
      </c>
      <c r="B42" s="16">
        <v>15</v>
      </c>
      <c r="C42" s="16">
        <v>12</v>
      </c>
      <c r="G42" s="18" t="s">
        <v>114</v>
      </c>
      <c r="H42" s="18">
        <v>60</v>
      </c>
      <c r="I42" s="18">
        <v>1092</v>
      </c>
      <c r="J42" s="18">
        <v>18.2</v>
      </c>
      <c r="K42" s="18">
        <v>8.3999999999999755</v>
      </c>
    </row>
    <row r="43" spans="1:13" ht="15.75" thickBot="1" x14ac:dyDescent="0.3">
      <c r="A43" s="40">
        <v>16</v>
      </c>
      <c r="B43" s="16">
        <v>19</v>
      </c>
      <c r="C43" s="16">
        <v>9</v>
      </c>
      <c r="G43" s="19" t="s">
        <v>115</v>
      </c>
      <c r="H43" s="19">
        <v>63</v>
      </c>
      <c r="I43" s="19">
        <v>892</v>
      </c>
      <c r="J43" s="19">
        <v>14.158730158730158</v>
      </c>
      <c r="K43" s="19">
        <v>7.4260112647209331</v>
      </c>
    </row>
    <row r="44" spans="1:13" x14ac:dyDescent="0.25">
      <c r="A44" s="40">
        <v>15</v>
      </c>
      <c r="B44" s="16">
        <v>15</v>
      </c>
      <c r="C44" s="16">
        <v>17</v>
      </c>
    </row>
    <row r="45" spans="1:13" x14ac:dyDescent="0.25">
      <c r="A45" s="40">
        <v>16</v>
      </c>
      <c r="B45" s="16">
        <v>21</v>
      </c>
      <c r="C45" s="16">
        <v>17</v>
      </c>
      <c r="J45" s="23" t="s">
        <v>581</v>
      </c>
      <c r="K45" s="23"/>
    </row>
    <row r="46" spans="1:13" ht="15.75" thickBot="1" x14ac:dyDescent="0.3">
      <c r="A46" s="40">
        <v>19</v>
      </c>
      <c r="B46" s="16">
        <v>18</v>
      </c>
      <c r="C46" s="16">
        <v>8</v>
      </c>
      <c r="G46" t="s">
        <v>149</v>
      </c>
      <c r="J46" s="32" t="s">
        <v>580</v>
      </c>
      <c r="K46" s="23"/>
      <c r="L46" s="23"/>
      <c r="M46" s="23"/>
    </row>
    <row r="47" spans="1:13" x14ac:dyDescent="0.25">
      <c r="A47" s="40">
        <v>17</v>
      </c>
      <c r="B47" s="16">
        <v>22</v>
      </c>
      <c r="C47" s="16">
        <v>11</v>
      </c>
      <c r="G47" s="20" t="s">
        <v>177</v>
      </c>
      <c r="H47" s="20" t="s">
        <v>154</v>
      </c>
      <c r="I47" s="20" t="s">
        <v>153</v>
      </c>
      <c r="J47" s="20" t="s">
        <v>155</v>
      </c>
      <c r="K47" s="20" t="s">
        <v>156</v>
      </c>
      <c r="L47" s="20" t="s">
        <v>160</v>
      </c>
      <c r="M47" s="20" t="s">
        <v>178</v>
      </c>
    </row>
    <row r="48" spans="1:13" x14ac:dyDescent="0.25">
      <c r="A48" s="40">
        <v>19</v>
      </c>
      <c r="B48" s="16">
        <v>19</v>
      </c>
      <c r="C48" s="16">
        <v>9</v>
      </c>
      <c r="G48" s="18" t="s">
        <v>179</v>
      </c>
      <c r="H48" s="18">
        <v>501.90600077429485</v>
      </c>
      <c r="I48" s="18">
        <v>1</v>
      </c>
      <c r="J48" s="18">
        <v>501.90600077429485</v>
      </c>
      <c r="K48" s="33">
        <v>63.524915719762767</v>
      </c>
      <c r="L48" s="56">
        <v>9.9289851453483168E-13</v>
      </c>
      <c r="M48" s="33">
        <v>3.9194645553294851</v>
      </c>
    </row>
    <row r="49" spans="1:13" x14ac:dyDescent="0.25">
      <c r="A49" s="40">
        <v>16</v>
      </c>
      <c r="B49" s="16">
        <v>13</v>
      </c>
      <c r="C49" s="16">
        <v>14</v>
      </c>
      <c r="G49" s="18" t="s">
        <v>180</v>
      </c>
      <c r="H49" s="18">
        <v>956.01269841269891</v>
      </c>
      <c r="I49" s="18">
        <v>121</v>
      </c>
      <c r="J49" s="18">
        <v>7.9009313918404871</v>
      </c>
      <c r="K49" s="18"/>
      <c r="L49" s="18"/>
      <c r="M49" s="18"/>
    </row>
    <row r="50" spans="1:13" x14ac:dyDescent="0.25">
      <c r="A50" s="40">
        <v>13</v>
      </c>
      <c r="B50" s="16">
        <v>21</v>
      </c>
      <c r="C50" s="16">
        <v>11</v>
      </c>
      <c r="G50" s="18"/>
      <c r="H50" s="18"/>
      <c r="I50" s="18"/>
      <c r="J50" s="18"/>
      <c r="K50" s="18"/>
      <c r="L50" s="18"/>
      <c r="M50" s="18"/>
    </row>
    <row r="51" spans="1:13" ht="15.75" thickBot="1" x14ac:dyDescent="0.3">
      <c r="A51" s="40">
        <v>19</v>
      </c>
      <c r="B51" s="16">
        <v>21</v>
      </c>
      <c r="C51" s="16">
        <v>18</v>
      </c>
      <c r="G51" s="19" t="s">
        <v>128</v>
      </c>
      <c r="H51" s="19">
        <v>1457.9186991869938</v>
      </c>
      <c r="I51" s="19">
        <v>122</v>
      </c>
      <c r="J51" s="19"/>
      <c r="K51" s="19"/>
      <c r="L51" s="19"/>
      <c r="M51" s="19"/>
    </row>
    <row r="52" spans="1:13" x14ac:dyDescent="0.25">
      <c r="A52" s="16">
        <v>13</v>
      </c>
      <c r="B52" s="16">
        <v>20</v>
      </c>
      <c r="C52" s="16">
        <v>10</v>
      </c>
    </row>
    <row r="53" spans="1:13" x14ac:dyDescent="0.25">
      <c r="A53" s="16">
        <v>14</v>
      </c>
      <c r="B53" s="16">
        <v>21</v>
      </c>
      <c r="C53" s="16">
        <v>15</v>
      </c>
      <c r="G53" s="22" t="s">
        <v>981</v>
      </c>
    </row>
    <row r="54" spans="1:13" x14ac:dyDescent="0.25">
      <c r="A54" s="16">
        <v>15</v>
      </c>
      <c r="B54" s="16">
        <v>16</v>
      </c>
      <c r="C54" s="16">
        <v>17</v>
      </c>
      <c r="G54" t="s">
        <v>171</v>
      </c>
    </row>
    <row r="55" spans="1:13" x14ac:dyDescent="0.25">
      <c r="A55" s="16">
        <v>15</v>
      </c>
      <c r="B55" s="16">
        <v>19</v>
      </c>
      <c r="C55" s="16">
        <v>18</v>
      </c>
    </row>
    <row r="56" spans="1:13" ht="15.75" thickBot="1" x14ac:dyDescent="0.3">
      <c r="A56" s="16">
        <v>16</v>
      </c>
      <c r="B56" s="16">
        <v>17</v>
      </c>
      <c r="C56" s="16">
        <v>13</v>
      </c>
      <c r="G56" t="s">
        <v>172</v>
      </c>
    </row>
    <row r="57" spans="1:13" x14ac:dyDescent="0.25">
      <c r="A57" s="16">
        <v>21</v>
      </c>
      <c r="B57" s="16">
        <v>20</v>
      </c>
      <c r="C57" s="16">
        <v>12</v>
      </c>
      <c r="G57" s="20" t="s">
        <v>173</v>
      </c>
      <c r="H57" s="20" t="s">
        <v>174</v>
      </c>
      <c r="I57" s="20" t="s">
        <v>175</v>
      </c>
      <c r="J57" s="20" t="s">
        <v>176</v>
      </c>
      <c r="K57" s="20" t="s">
        <v>166</v>
      </c>
    </row>
    <row r="58" spans="1:13" x14ac:dyDescent="0.25">
      <c r="A58" s="16">
        <v>16</v>
      </c>
      <c r="B58" s="16">
        <v>21</v>
      </c>
      <c r="C58" s="16">
        <v>15</v>
      </c>
      <c r="G58" s="18" t="s">
        <v>115</v>
      </c>
      <c r="H58" s="18">
        <v>63</v>
      </c>
      <c r="I58" s="18">
        <v>892</v>
      </c>
      <c r="J58" s="18">
        <v>14.158730158730158</v>
      </c>
      <c r="K58" s="18">
        <v>7.4260112647209331</v>
      </c>
    </row>
    <row r="59" spans="1:13" ht="15.75" thickBot="1" x14ac:dyDescent="0.3">
      <c r="A59" s="16">
        <v>9</v>
      </c>
      <c r="B59" s="16">
        <v>15</v>
      </c>
      <c r="C59" s="16">
        <v>11</v>
      </c>
      <c r="G59" s="19" t="s">
        <v>113</v>
      </c>
      <c r="H59" s="19">
        <v>65</v>
      </c>
      <c r="I59" s="19">
        <v>1001</v>
      </c>
      <c r="J59" s="19">
        <v>15.4</v>
      </c>
      <c r="K59" s="19">
        <v>7.1187500000000057</v>
      </c>
    </row>
    <row r="60" spans="1:13" x14ac:dyDescent="0.25">
      <c r="A60" s="16">
        <v>15</v>
      </c>
      <c r="B60" s="16">
        <v>18</v>
      </c>
      <c r="C60" s="16">
        <v>13</v>
      </c>
    </row>
    <row r="61" spans="1:13" x14ac:dyDescent="0.25">
      <c r="A61" s="16">
        <v>17</v>
      </c>
      <c r="B61" s="16">
        <v>19</v>
      </c>
      <c r="C61" s="16">
        <v>16</v>
      </c>
      <c r="J61" s="23" t="s">
        <v>581</v>
      </c>
      <c r="K61" s="23"/>
    </row>
    <row r="62" spans="1:13" ht="15.75" thickBot="1" x14ac:dyDescent="0.3">
      <c r="A62" s="16">
        <v>14</v>
      </c>
      <c r="B62" s="16">
        <v>19</v>
      </c>
      <c r="C62" s="16">
        <v>17</v>
      </c>
      <c r="G62" t="s">
        <v>149</v>
      </c>
      <c r="J62" s="32" t="s">
        <v>580</v>
      </c>
      <c r="K62" s="23"/>
      <c r="L62" s="23"/>
      <c r="M62" s="23"/>
    </row>
    <row r="63" spans="1:13" x14ac:dyDescent="0.25">
      <c r="A63" s="16">
        <v>17</v>
      </c>
      <c r="B63" s="16"/>
      <c r="C63" s="16">
        <v>15</v>
      </c>
      <c r="G63" s="20" t="s">
        <v>177</v>
      </c>
      <c r="H63" s="20" t="s">
        <v>154</v>
      </c>
      <c r="I63" s="20" t="s">
        <v>153</v>
      </c>
      <c r="J63" s="20" t="s">
        <v>155</v>
      </c>
      <c r="K63" s="20" t="s">
        <v>156</v>
      </c>
      <c r="L63" s="20" t="s">
        <v>160</v>
      </c>
      <c r="M63" s="20" t="s">
        <v>178</v>
      </c>
    </row>
    <row r="64" spans="1:13" x14ac:dyDescent="0.25">
      <c r="A64" s="16">
        <v>19</v>
      </c>
      <c r="B64" s="16"/>
      <c r="C64" s="16">
        <v>16</v>
      </c>
      <c r="G64" s="18" t="s">
        <v>179</v>
      </c>
      <c r="H64" s="18">
        <v>49.291989087301545</v>
      </c>
      <c r="I64" s="18">
        <v>1</v>
      </c>
      <c r="J64" s="18">
        <v>49.291989087301545</v>
      </c>
      <c r="K64" s="33">
        <v>6.7802451164293771</v>
      </c>
      <c r="L64" s="33">
        <v>1.0324284950216474E-2</v>
      </c>
      <c r="M64" s="33">
        <v>3.916324643543144</v>
      </c>
    </row>
    <row r="65" spans="1:13" x14ac:dyDescent="0.25">
      <c r="A65" s="16">
        <v>18</v>
      </c>
      <c r="B65" s="16"/>
      <c r="C65" s="16">
        <v>15</v>
      </c>
      <c r="G65" s="18" t="s">
        <v>180</v>
      </c>
      <c r="H65" s="18">
        <v>916.01269841269846</v>
      </c>
      <c r="I65" s="18">
        <v>126</v>
      </c>
      <c r="J65" s="18">
        <v>7.2699420508944321</v>
      </c>
      <c r="K65" s="18"/>
      <c r="L65" s="18"/>
      <c r="M65" s="18"/>
    </row>
    <row r="66" spans="1:13" x14ac:dyDescent="0.25">
      <c r="A66" s="16">
        <v>19</v>
      </c>
      <c r="B66" s="16"/>
      <c r="C66" s="16"/>
      <c r="G66" s="18"/>
      <c r="H66" s="18"/>
      <c r="I66" s="18"/>
      <c r="J66" s="18"/>
      <c r="K66" s="18"/>
      <c r="L66" s="18"/>
      <c r="M66" s="18"/>
    </row>
    <row r="67" spans="1:13" ht="15.75" thickBot="1" x14ac:dyDescent="0.3">
      <c r="A67" s="16">
        <v>14</v>
      </c>
      <c r="B67" s="16"/>
      <c r="C67" s="16"/>
      <c r="G67" s="19" t="s">
        <v>128</v>
      </c>
      <c r="H67" s="19">
        <v>965.3046875</v>
      </c>
      <c r="I67" s="19">
        <v>127</v>
      </c>
      <c r="J67" s="19"/>
      <c r="K67" s="19"/>
      <c r="L67" s="19"/>
      <c r="M67" s="19"/>
    </row>
    <row r="68" spans="1:13" ht="15.75" thickBot="1" x14ac:dyDescent="0.3">
      <c r="A68">
        <f>SUBTOTAL(101,Table4[Z-score charts])</f>
        <v>15.4</v>
      </c>
      <c r="B68">
        <f>SUBTOTAL(101,Table4[Z-score wordcloud])</f>
        <v>18.2</v>
      </c>
      <c r="C68">
        <f>SUBTOTAL(101,Table4[Wordcloud])</f>
        <v>14.158730158730158</v>
      </c>
      <c r="G68" s="19"/>
      <c r="H68" s="19"/>
      <c r="I68" s="19"/>
      <c r="J68" s="19"/>
      <c r="K68" s="19"/>
      <c r="L68" s="19"/>
      <c r="M68" s="19"/>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8"/>
  <sheetViews>
    <sheetView topLeftCell="A37" workbookViewId="0">
      <selection activeCell="G19" sqref="G19"/>
    </sheetView>
  </sheetViews>
  <sheetFormatPr defaultRowHeight="15" x14ac:dyDescent="0.25"/>
  <cols>
    <col min="1" max="3" width="17" customWidth="1"/>
    <col min="7" max="13" width="17.7109375" customWidth="1"/>
  </cols>
  <sheetData>
    <row r="2" spans="1:15" x14ac:dyDescent="0.25">
      <c r="A2" t="s">
        <v>113</v>
      </c>
      <c r="B2" t="s">
        <v>114</v>
      </c>
      <c r="C2" t="s">
        <v>115</v>
      </c>
      <c r="D2" t="s">
        <v>997</v>
      </c>
      <c r="G2" t="s">
        <v>171</v>
      </c>
    </row>
    <row r="3" spans="1:15" x14ac:dyDescent="0.25">
      <c r="A3" s="16">
        <v>14.810333333333332</v>
      </c>
      <c r="B3" s="16">
        <v>12.423999999999999</v>
      </c>
      <c r="C3" s="16">
        <v>4.9903333333333331</v>
      </c>
    </row>
    <row r="4" spans="1:15" ht="15.75" thickBot="1" x14ac:dyDescent="0.3">
      <c r="A4" s="16">
        <v>8.3481666666666658</v>
      </c>
      <c r="B4" s="16">
        <v>8.7526666666666664</v>
      </c>
      <c r="C4" s="16">
        <v>13.227499999999999</v>
      </c>
      <c r="G4" t="s">
        <v>172</v>
      </c>
    </row>
    <row r="5" spans="1:15" x14ac:dyDescent="0.25">
      <c r="A5" s="16">
        <v>10.411166666666668</v>
      </c>
      <c r="B5" s="16">
        <v>13.405833333333334</v>
      </c>
      <c r="C5" s="16">
        <v>5.7291666666666661</v>
      </c>
      <c r="G5" s="20" t="s">
        <v>173</v>
      </c>
      <c r="H5" s="20" t="s">
        <v>174</v>
      </c>
      <c r="I5" s="20" t="s">
        <v>175</v>
      </c>
      <c r="J5" s="20" t="s">
        <v>176</v>
      </c>
      <c r="K5" s="20" t="s">
        <v>166</v>
      </c>
    </row>
    <row r="6" spans="1:15" x14ac:dyDescent="0.25">
      <c r="A6" s="16">
        <v>12.104999999999999</v>
      </c>
      <c r="B6" s="16">
        <v>12.571833333333334</v>
      </c>
      <c r="C6" s="16">
        <v>6.5876666666666672</v>
      </c>
      <c r="G6" s="18" t="s">
        <v>113</v>
      </c>
      <c r="H6" s="18">
        <v>65</v>
      </c>
      <c r="I6" s="18">
        <v>856.67949999999996</v>
      </c>
      <c r="J6" s="18">
        <v>13.179684615384614</v>
      </c>
      <c r="K6" s="18">
        <v>30.124042062606804</v>
      </c>
    </row>
    <row r="7" spans="1:15" x14ac:dyDescent="0.25">
      <c r="A7" s="16">
        <v>13.229166666666668</v>
      </c>
      <c r="B7" s="16">
        <v>10.817166666666665</v>
      </c>
      <c r="C7" s="16">
        <v>4.9673333333333334</v>
      </c>
      <c r="G7" s="18" t="s">
        <v>114</v>
      </c>
      <c r="H7" s="18">
        <v>60</v>
      </c>
      <c r="I7" s="18">
        <v>638.69983333333312</v>
      </c>
      <c r="J7" s="18">
        <v>10.644997222222219</v>
      </c>
      <c r="K7" s="18">
        <v>26.261201067318034</v>
      </c>
    </row>
    <row r="8" spans="1:15" ht="15.75" thickBot="1" x14ac:dyDescent="0.3">
      <c r="A8" s="16">
        <v>8.684333333333333</v>
      </c>
      <c r="B8" s="16">
        <v>16.149333333333335</v>
      </c>
      <c r="C8" s="16">
        <v>15.1585</v>
      </c>
      <c r="G8" s="19" t="s">
        <v>115</v>
      </c>
      <c r="H8" s="19">
        <v>63</v>
      </c>
      <c r="I8" s="19">
        <v>681.05066666666676</v>
      </c>
      <c r="J8" s="19">
        <v>10.810328042328043</v>
      </c>
      <c r="K8" s="19">
        <v>23.554597009828168</v>
      </c>
    </row>
    <row r="9" spans="1:15" x14ac:dyDescent="0.25">
      <c r="A9" s="16">
        <v>18.388000000000002</v>
      </c>
      <c r="B9" s="16">
        <v>14.666166666666665</v>
      </c>
      <c r="C9" s="16">
        <v>18.985333333333333</v>
      </c>
    </row>
    <row r="10" spans="1:15" x14ac:dyDescent="0.25">
      <c r="A10" s="16">
        <v>14.614999999999998</v>
      </c>
      <c r="B10" s="16">
        <v>12.779333333333332</v>
      </c>
      <c r="C10" s="16">
        <v>12.786666666666669</v>
      </c>
    </row>
    <row r="11" spans="1:15" ht="15.75" thickBot="1" x14ac:dyDescent="0.3">
      <c r="A11" s="16">
        <v>12.975833333333334</v>
      </c>
      <c r="B11" s="16">
        <v>7.6991666666666667</v>
      </c>
      <c r="C11" s="16">
        <v>7.0658333333333339</v>
      </c>
      <c r="G11" t="s">
        <v>149</v>
      </c>
      <c r="N11" s="23"/>
      <c r="O11" s="23"/>
    </row>
    <row r="12" spans="1:15" x14ac:dyDescent="0.25">
      <c r="A12" s="16">
        <v>26.131166666666669</v>
      </c>
      <c r="B12" s="16">
        <v>11.767833333333334</v>
      </c>
      <c r="C12" s="16">
        <v>10.739166666666668</v>
      </c>
      <c r="G12" s="20" t="s">
        <v>177</v>
      </c>
      <c r="H12" s="20" t="s">
        <v>154</v>
      </c>
      <c r="I12" s="20" t="s">
        <v>153</v>
      </c>
      <c r="J12" s="20" t="s">
        <v>155</v>
      </c>
      <c r="K12" s="20" t="s">
        <v>156</v>
      </c>
      <c r="L12" s="20" t="s">
        <v>160</v>
      </c>
      <c r="M12" s="20" t="s">
        <v>178</v>
      </c>
    </row>
    <row r="13" spans="1:15" x14ac:dyDescent="0.25">
      <c r="A13" s="16">
        <v>9.096166666666667</v>
      </c>
      <c r="B13" s="16">
        <v>9.0306666666666668</v>
      </c>
      <c r="C13" s="16">
        <v>14.014333333333333</v>
      </c>
      <c r="G13" s="18" t="s">
        <v>179</v>
      </c>
      <c r="H13" s="18">
        <v>256.10711899006765</v>
      </c>
      <c r="I13" s="18">
        <v>2</v>
      </c>
      <c r="J13" s="18">
        <v>128.05355949503382</v>
      </c>
      <c r="K13" s="18">
        <v>4.7977282238883472</v>
      </c>
      <c r="L13" s="33">
        <v>9.3027320592163898E-3</v>
      </c>
      <c r="M13" s="18">
        <v>3.0447705656092796</v>
      </c>
    </row>
    <row r="14" spans="1:15" x14ac:dyDescent="0.25">
      <c r="A14" s="16">
        <v>15.997833333333334</v>
      </c>
      <c r="B14" s="16">
        <v>17.038666666666668</v>
      </c>
      <c r="C14" s="16">
        <v>24.321999999999999</v>
      </c>
      <c r="G14" s="18" t="s">
        <v>180</v>
      </c>
      <c r="H14" s="18">
        <v>4937.734569587944</v>
      </c>
      <c r="I14" s="18">
        <v>185</v>
      </c>
      <c r="J14" s="18">
        <v>26.690457132907806</v>
      </c>
      <c r="K14" s="18"/>
      <c r="L14" s="18"/>
      <c r="M14" s="18"/>
    </row>
    <row r="15" spans="1:15" x14ac:dyDescent="0.25">
      <c r="A15" s="16">
        <v>9.0591666666666661</v>
      </c>
      <c r="B15" s="16">
        <v>12.975999999999999</v>
      </c>
      <c r="C15" s="16">
        <v>10.013999999999999</v>
      </c>
      <c r="G15" s="18"/>
      <c r="H15" s="18"/>
      <c r="I15" s="18"/>
      <c r="J15" s="18"/>
      <c r="K15" s="18"/>
      <c r="L15" s="18"/>
      <c r="M15" s="18"/>
    </row>
    <row r="16" spans="1:15" ht="15.75" thickBot="1" x14ac:dyDescent="0.3">
      <c r="A16" s="16">
        <v>13.668833333333334</v>
      </c>
      <c r="B16" s="16">
        <v>8.5824999999999996</v>
      </c>
      <c r="C16" s="16">
        <v>10.568999999999999</v>
      </c>
      <c r="G16" s="19" t="s">
        <v>128</v>
      </c>
      <c r="H16" s="19">
        <v>5193.8416885780116</v>
      </c>
      <c r="I16" s="19">
        <v>187</v>
      </c>
      <c r="J16" s="19"/>
      <c r="K16" s="19"/>
      <c r="L16" s="19"/>
      <c r="M16" s="19"/>
    </row>
    <row r="17" spans="1:13" x14ac:dyDescent="0.25">
      <c r="A17" s="16">
        <v>11.621500000000001</v>
      </c>
      <c r="B17" s="16">
        <v>7.5211666666666668</v>
      </c>
      <c r="C17" s="16">
        <v>10.939666666666668</v>
      </c>
    </row>
    <row r="18" spans="1:13" x14ac:dyDescent="0.25">
      <c r="A18" s="16">
        <v>27.094666666666665</v>
      </c>
      <c r="B18" s="16">
        <v>10.557499999999999</v>
      </c>
      <c r="C18" s="16">
        <v>14.572166666666668</v>
      </c>
    </row>
    <row r="19" spans="1:13" x14ac:dyDescent="0.25">
      <c r="A19" s="16">
        <v>7.8901666666666666</v>
      </c>
      <c r="B19" s="16">
        <v>6.0308333333333337</v>
      </c>
      <c r="C19" s="16">
        <v>7.4653333333333336</v>
      </c>
      <c r="G19" s="22" t="s">
        <v>979</v>
      </c>
    </row>
    <row r="20" spans="1:13" x14ac:dyDescent="0.25">
      <c r="A20" s="16">
        <v>6.5274999999999999</v>
      </c>
      <c r="B20" s="16">
        <v>27.297499999999999</v>
      </c>
      <c r="C20" s="16">
        <v>10.203833333333332</v>
      </c>
      <c r="G20" t="s">
        <v>171</v>
      </c>
    </row>
    <row r="21" spans="1:13" x14ac:dyDescent="0.25">
      <c r="A21" s="16">
        <v>15.956833333333332</v>
      </c>
      <c r="B21" s="16">
        <v>8.0296666666666656</v>
      </c>
      <c r="C21" s="16">
        <v>7.1503333333333332</v>
      </c>
    </row>
    <row r="22" spans="1:13" ht="15.75" thickBot="1" x14ac:dyDescent="0.3">
      <c r="A22" s="16">
        <v>12.952333333333332</v>
      </c>
      <c r="B22" s="16">
        <v>8.8773333333333326</v>
      </c>
      <c r="C22" s="16">
        <v>11.327666666666667</v>
      </c>
      <c r="G22" t="s">
        <v>172</v>
      </c>
    </row>
    <row r="23" spans="1:13" x14ac:dyDescent="0.25">
      <c r="A23" s="16">
        <v>9.9936666666666678</v>
      </c>
      <c r="B23" s="16">
        <v>8.285166666666667</v>
      </c>
      <c r="C23" s="16">
        <v>7.2023333333333337</v>
      </c>
      <c r="G23" s="20" t="s">
        <v>173</v>
      </c>
      <c r="H23" s="20" t="s">
        <v>174</v>
      </c>
      <c r="I23" s="20" t="s">
        <v>175</v>
      </c>
      <c r="J23" s="20" t="s">
        <v>176</v>
      </c>
      <c r="K23" s="20" t="s">
        <v>166</v>
      </c>
    </row>
    <row r="24" spans="1:13" x14ac:dyDescent="0.25">
      <c r="A24" s="16">
        <v>11.496166666666669</v>
      </c>
      <c r="B24" s="16">
        <v>6.226</v>
      </c>
      <c r="C24" s="16">
        <v>6.9771666666666654</v>
      </c>
      <c r="G24" s="18" t="s">
        <v>113</v>
      </c>
      <c r="H24" s="18">
        <v>65</v>
      </c>
      <c r="I24" s="18">
        <v>856.67949999999996</v>
      </c>
      <c r="J24" s="18">
        <v>13.179684615384614</v>
      </c>
      <c r="K24" s="18">
        <v>30.124042062606804</v>
      </c>
    </row>
    <row r="25" spans="1:13" ht="15.75" thickBot="1" x14ac:dyDescent="0.3">
      <c r="A25" s="16">
        <v>7.4725000000000001</v>
      </c>
      <c r="B25" s="16">
        <v>5.738666666666667</v>
      </c>
      <c r="C25" s="16">
        <v>18.623666666666665</v>
      </c>
      <c r="G25" s="19" t="s">
        <v>114</v>
      </c>
      <c r="H25" s="19">
        <v>60</v>
      </c>
      <c r="I25" s="19">
        <v>638.69983333333312</v>
      </c>
      <c r="J25" s="19">
        <v>10.644997222222219</v>
      </c>
      <c r="K25" s="19">
        <v>26.261201067318034</v>
      </c>
    </row>
    <row r="26" spans="1:13" x14ac:dyDescent="0.25">
      <c r="A26" s="16">
        <v>7.0421666666666667</v>
      </c>
      <c r="B26" s="16">
        <v>4.4703333333333335</v>
      </c>
      <c r="C26" s="16">
        <v>5.2331666666666665</v>
      </c>
    </row>
    <row r="27" spans="1:13" x14ac:dyDescent="0.25">
      <c r="A27" s="16">
        <v>10.976166666666666</v>
      </c>
      <c r="B27" s="16">
        <v>8.5690000000000008</v>
      </c>
      <c r="C27" s="16">
        <v>7.6073333333333331</v>
      </c>
    </row>
    <row r="28" spans="1:13" ht="15.75" thickBot="1" x14ac:dyDescent="0.3">
      <c r="A28" s="40">
        <v>12.003666666666666</v>
      </c>
      <c r="B28" s="16">
        <v>10.356</v>
      </c>
      <c r="C28" s="16">
        <v>8.9115000000000002</v>
      </c>
      <c r="G28" t="s">
        <v>149</v>
      </c>
    </row>
    <row r="29" spans="1:13" x14ac:dyDescent="0.25">
      <c r="A29" s="40">
        <v>11.683166666666667</v>
      </c>
      <c r="B29" s="16">
        <v>6.8585000000000003</v>
      </c>
      <c r="C29" s="16">
        <v>19.855</v>
      </c>
      <c r="G29" s="20" t="s">
        <v>177</v>
      </c>
      <c r="H29" s="20" t="s">
        <v>154</v>
      </c>
      <c r="I29" s="20" t="s">
        <v>153</v>
      </c>
      <c r="J29" s="20" t="s">
        <v>155</v>
      </c>
      <c r="K29" s="20" t="s">
        <v>156</v>
      </c>
      <c r="L29" s="20" t="s">
        <v>160</v>
      </c>
      <c r="M29" s="20" t="s">
        <v>178</v>
      </c>
    </row>
    <row r="30" spans="1:13" x14ac:dyDescent="0.25">
      <c r="A30" s="40">
        <v>7.7138333333333327</v>
      </c>
      <c r="B30" s="40">
        <v>11.727833333333333</v>
      </c>
      <c r="C30" s="16">
        <v>11.613499999999998</v>
      </c>
      <c r="G30" s="18" t="s">
        <v>179</v>
      </c>
      <c r="H30" s="18">
        <v>200.44877364896229</v>
      </c>
      <c r="I30" s="18">
        <v>1</v>
      </c>
      <c r="J30" s="18">
        <v>200.44877364896229</v>
      </c>
      <c r="K30" s="18">
        <v>7.090227418616279</v>
      </c>
      <c r="L30" s="33">
        <v>8.7872352555856785E-3</v>
      </c>
      <c r="M30" s="18">
        <v>3.9181775080439047</v>
      </c>
    </row>
    <row r="31" spans="1:13" x14ac:dyDescent="0.25">
      <c r="A31" s="40">
        <v>29.299833333333336</v>
      </c>
      <c r="B31" s="40">
        <v>7.7676666666666669</v>
      </c>
      <c r="C31" s="16">
        <v>26.09</v>
      </c>
      <c r="G31" s="18" t="s">
        <v>180</v>
      </c>
      <c r="H31" s="18">
        <v>3477.3495549785966</v>
      </c>
      <c r="I31" s="18">
        <v>123</v>
      </c>
      <c r="J31" s="18">
        <v>28.271134593321925</v>
      </c>
      <c r="K31" s="18"/>
      <c r="L31" s="18"/>
      <c r="M31" s="18"/>
    </row>
    <row r="32" spans="1:13" x14ac:dyDescent="0.25">
      <c r="A32" s="40">
        <v>20.408166666666666</v>
      </c>
      <c r="B32" s="40">
        <v>8.3659999999999997</v>
      </c>
      <c r="C32" s="16">
        <v>8.7328333333333337</v>
      </c>
      <c r="G32" s="18"/>
      <c r="H32" s="18"/>
      <c r="I32" s="18"/>
      <c r="J32" s="18"/>
      <c r="K32" s="18"/>
      <c r="L32" s="18"/>
      <c r="M32" s="18"/>
    </row>
    <row r="33" spans="1:13" ht="15.75" thickBot="1" x14ac:dyDescent="0.3">
      <c r="A33" s="40">
        <v>12.050333333333333</v>
      </c>
      <c r="B33" s="40">
        <v>10.050833333333333</v>
      </c>
      <c r="C33" s="16">
        <v>9.8800000000000008</v>
      </c>
      <c r="G33" s="19" t="s">
        <v>128</v>
      </c>
      <c r="H33" s="19">
        <v>3677.7983286275589</v>
      </c>
      <c r="I33" s="19">
        <v>124</v>
      </c>
      <c r="J33" s="19"/>
      <c r="K33" s="19"/>
      <c r="L33" s="19"/>
      <c r="M33" s="19"/>
    </row>
    <row r="34" spans="1:13" x14ac:dyDescent="0.25">
      <c r="A34" s="40">
        <v>13.195833333333333</v>
      </c>
      <c r="B34" s="40">
        <v>6.9833333333333334</v>
      </c>
      <c r="C34" s="16">
        <v>7.0748333333333342</v>
      </c>
    </row>
    <row r="35" spans="1:13" x14ac:dyDescent="0.25">
      <c r="A35" s="40">
        <v>30.003999999999998</v>
      </c>
      <c r="B35" s="40">
        <v>10.141666666666666</v>
      </c>
      <c r="C35" s="16">
        <v>10.463999999999999</v>
      </c>
    </row>
    <row r="36" spans="1:13" x14ac:dyDescent="0.25">
      <c r="A36" s="40">
        <v>12.353333333333333</v>
      </c>
      <c r="B36" s="40">
        <v>9.221166666666667</v>
      </c>
      <c r="C36" s="16">
        <v>8.161999999999999</v>
      </c>
      <c r="G36" s="22" t="s">
        <v>980</v>
      </c>
    </row>
    <row r="37" spans="1:13" x14ac:dyDescent="0.25">
      <c r="A37" s="40">
        <v>16.712833333333336</v>
      </c>
      <c r="B37" s="40">
        <v>5.871833333333333</v>
      </c>
      <c r="C37" s="16">
        <v>6.3555000000000001</v>
      </c>
      <c r="G37" t="s">
        <v>171</v>
      </c>
    </row>
    <row r="38" spans="1:13" x14ac:dyDescent="0.25">
      <c r="A38" s="40">
        <v>5.8731666666666662</v>
      </c>
      <c r="B38" s="40">
        <v>10.259333333333334</v>
      </c>
      <c r="C38" s="16">
        <v>13.399333333333335</v>
      </c>
    </row>
    <row r="39" spans="1:13" ht="15.75" thickBot="1" x14ac:dyDescent="0.3">
      <c r="A39" s="40">
        <v>4.6635</v>
      </c>
      <c r="B39" s="40">
        <v>8.7008333333333336</v>
      </c>
      <c r="C39" s="16">
        <v>7.6113333333333335</v>
      </c>
      <c r="G39" t="s">
        <v>172</v>
      </c>
    </row>
    <row r="40" spans="1:13" x14ac:dyDescent="0.25">
      <c r="A40" s="40">
        <v>12.729833333333334</v>
      </c>
      <c r="B40" s="16">
        <v>7.6611666666666665</v>
      </c>
      <c r="C40" s="16">
        <v>8.634666666666666</v>
      </c>
      <c r="G40" s="20" t="s">
        <v>173</v>
      </c>
      <c r="H40" s="20" t="s">
        <v>174</v>
      </c>
      <c r="I40" s="20" t="s">
        <v>175</v>
      </c>
      <c r="J40" s="20" t="s">
        <v>176</v>
      </c>
      <c r="K40" s="20" t="s">
        <v>166</v>
      </c>
    </row>
    <row r="41" spans="1:13" x14ac:dyDescent="0.25">
      <c r="A41" s="40">
        <v>10.209</v>
      </c>
      <c r="B41" s="16">
        <v>12.477</v>
      </c>
      <c r="C41" s="16">
        <v>20.736333333333331</v>
      </c>
      <c r="G41" s="18" t="s">
        <v>114</v>
      </c>
      <c r="H41" s="18">
        <v>60</v>
      </c>
      <c r="I41" s="18">
        <v>638.69983333333312</v>
      </c>
      <c r="J41" s="18">
        <v>10.644997222222219</v>
      </c>
      <c r="K41" s="18">
        <v>26.261201067318034</v>
      </c>
    </row>
    <row r="42" spans="1:13" ht="15.75" thickBot="1" x14ac:dyDescent="0.3">
      <c r="A42" s="40">
        <v>11.7395</v>
      </c>
      <c r="B42" s="16">
        <v>6.8403333333333336</v>
      </c>
      <c r="C42" s="16">
        <v>5.5265000000000004</v>
      </c>
      <c r="G42" s="19" t="s">
        <v>115</v>
      </c>
      <c r="H42" s="19">
        <v>63</v>
      </c>
      <c r="I42" s="19">
        <v>681.05066666666676</v>
      </c>
      <c r="J42" s="19">
        <v>10.810328042328043</v>
      </c>
      <c r="K42" s="19">
        <v>23.554597009828168</v>
      </c>
    </row>
    <row r="43" spans="1:13" x14ac:dyDescent="0.25">
      <c r="A43" s="40">
        <v>15.0825</v>
      </c>
      <c r="B43" s="16">
        <v>5.730500000000001</v>
      </c>
      <c r="C43" s="16">
        <v>8.3993333333333347</v>
      </c>
    </row>
    <row r="44" spans="1:13" x14ac:dyDescent="0.25">
      <c r="A44" s="40">
        <v>12.580166666666667</v>
      </c>
      <c r="B44" s="16">
        <v>8.6174999999999997</v>
      </c>
      <c r="C44" s="16">
        <v>12.382166666666667</v>
      </c>
    </row>
    <row r="45" spans="1:13" ht="15.75" thickBot="1" x14ac:dyDescent="0.3">
      <c r="A45" s="40">
        <v>12.0595</v>
      </c>
      <c r="B45" s="16">
        <v>11.373333333333333</v>
      </c>
      <c r="C45" s="16">
        <v>9.9156666666666666</v>
      </c>
      <c r="G45" t="s">
        <v>149</v>
      </c>
    </row>
    <row r="46" spans="1:13" x14ac:dyDescent="0.25">
      <c r="A46" s="40">
        <v>15.958666666666666</v>
      </c>
      <c r="B46" s="16">
        <v>8.105833333333333</v>
      </c>
      <c r="C46" s="16">
        <v>2.0001666666666669</v>
      </c>
      <c r="G46" s="20" t="s">
        <v>177</v>
      </c>
      <c r="H46" s="20" t="s">
        <v>154</v>
      </c>
      <c r="I46" s="20" t="s">
        <v>153</v>
      </c>
      <c r="J46" s="20" t="s">
        <v>155</v>
      </c>
      <c r="K46" s="20" t="s">
        <v>156</v>
      </c>
      <c r="L46" s="20" t="s">
        <v>160</v>
      </c>
      <c r="M46" s="20" t="s">
        <v>178</v>
      </c>
    </row>
    <row r="47" spans="1:13" x14ac:dyDescent="0.25">
      <c r="A47" s="40">
        <v>10.031166666666666</v>
      </c>
      <c r="B47" s="16">
        <v>12.0945</v>
      </c>
      <c r="C47" s="16">
        <v>8.6120000000000001</v>
      </c>
      <c r="G47" s="18" t="s">
        <v>179</v>
      </c>
      <c r="H47" s="18">
        <v>0.84002909504488343</v>
      </c>
      <c r="I47" s="18">
        <v>1</v>
      </c>
      <c r="J47" s="18">
        <v>0.84002909504488343</v>
      </c>
      <c r="K47" s="18">
        <v>3.3770901627428337E-2</v>
      </c>
      <c r="L47" s="34">
        <v>0.85450258770406085</v>
      </c>
      <c r="M47" s="18">
        <v>3.9194645553294851</v>
      </c>
    </row>
    <row r="48" spans="1:13" x14ac:dyDescent="0.25">
      <c r="A48" s="40">
        <v>12.9635</v>
      </c>
      <c r="B48" s="16">
        <v>13.916</v>
      </c>
      <c r="C48" s="16">
        <v>12.042666666666667</v>
      </c>
      <c r="G48" s="18" t="s">
        <v>180</v>
      </c>
      <c r="H48" s="18">
        <v>3009.7958775811067</v>
      </c>
      <c r="I48" s="18">
        <v>121</v>
      </c>
      <c r="J48" s="18">
        <v>24.874346095711626</v>
      </c>
      <c r="K48" s="18"/>
      <c r="L48" s="18"/>
      <c r="M48" s="18"/>
    </row>
    <row r="49" spans="1:13" x14ac:dyDescent="0.25">
      <c r="A49" s="40">
        <v>15.673333333333334</v>
      </c>
      <c r="B49" s="16">
        <v>4.4628333333333332</v>
      </c>
      <c r="C49" s="16">
        <v>13.203833333333332</v>
      </c>
      <c r="G49" s="18"/>
      <c r="H49" s="18"/>
      <c r="I49" s="18"/>
      <c r="J49" s="18"/>
      <c r="K49" s="18"/>
      <c r="L49" s="18"/>
      <c r="M49" s="18"/>
    </row>
    <row r="50" spans="1:13" ht="15.75" thickBot="1" x14ac:dyDescent="0.3">
      <c r="A50" s="40">
        <v>9.6290000000000013</v>
      </c>
      <c r="B50" s="16">
        <v>7.53</v>
      </c>
      <c r="C50" s="16">
        <v>4.9995000000000003</v>
      </c>
      <c r="G50" s="19" t="s">
        <v>128</v>
      </c>
      <c r="H50" s="19">
        <v>3010.6359066761515</v>
      </c>
      <c r="I50" s="19">
        <v>122</v>
      </c>
      <c r="J50" s="19"/>
      <c r="K50" s="19"/>
      <c r="L50" s="19"/>
      <c r="M50" s="19"/>
    </row>
    <row r="51" spans="1:13" x14ac:dyDescent="0.25">
      <c r="A51" s="40">
        <v>11.088166666666666</v>
      </c>
      <c r="B51" s="16">
        <v>22.336500000000001</v>
      </c>
      <c r="C51" s="16">
        <v>10.041499999999999</v>
      </c>
    </row>
    <row r="52" spans="1:13" x14ac:dyDescent="0.25">
      <c r="A52" s="16">
        <v>21.446500000000004</v>
      </c>
      <c r="B52" s="16">
        <v>4.1896666666666667</v>
      </c>
      <c r="C52" s="16">
        <v>10.979666666666667</v>
      </c>
    </row>
    <row r="53" spans="1:13" x14ac:dyDescent="0.25">
      <c r="A53" s="16">
        <v>9.9885000000000002</v>
      </c>
      <c r="B53" s="16">
        <v>6.0866666666666669</v>
      </c>
      <c r="C53" s="16">
        <v>11.364500000000001</v>
      </c>
      <c r="G53" s="22" t="s">
        <v>982</v>
      </c>
    </row>
    <row r="54" spans="1:13" x14ac:dyDescent="0.25">
      <c r="A54" s="16">
        <v>13.571499999999999</v>
      </c>
      <c r="B54" s="16">
        <v>14.153499999999999</v>
      </c>
      <c r="C54" s="16">
        <v>10.5915</v>
      </c>
      <c r="G54" t="s">
        <v>171</v>
      </c>
    </row>
    <row r="55" spans="1:13" x14ac:dyDescent="0.25">
      <c r="A55" s="16">
        <v>11.695499999999999</v>
      </c>
      <c r="B55" s="16">
        <v>8.2465000000000011</v>
      </c>
      <c r="C55" s="16">
        <v>7.1318333333333337</v>
      </c>
    </row>
    <row r="56" spans="1:13" ht="15.75" thickBot="1" x14ac:dyDescent="0.3">
      <c r="A56" s="16">
        <v>11.577500000000001</v>
      </c>
      <c r="B56" s="16">
        <v>9.0060000000000002</v>
      </c>
      <c r="C56" s="16">
        <v>16.051500000000001</v>
      </c>
      <c r="G56" t="s">
        <v>172</v>
      </c>
    </row>
    <row r="57" spans="1:13" x14ac:dyDescent="0.25">
      <c r="A57" s="16">
        <v>11.993166666666665</v>
      </c>
      <c r="B57" s="16">
        <v>26.222333333333331</v>
      </c>
      <c r="C57" s="16">
        <v>5.9481666666666655</v>
      </c>
      <c r="G57" s="20" t="s">
        <v>173</v>
      </c>
      <c r="H57" s="20" t="s">
        <v>174</v>
      </c>
      <c r="I57" s="20" t="s">
        <v>175</v>
      </c>
      <c r="J57" s="20" t="s">
        <v>176</v>
      </c>
      <c r="K57" s="20" t="s">
        <v>166</v>
      </c>
    </row>
    <row r="58" spans="1:13" x14ac:dyDescent="0.25">
      <c r="A58" s="16">
        <v>13.180666666666667</v>
      </c>
      <c r="B58" s="16">
        <v>6.3571666666666671</v>
      </c>
      <c r="C58" s="16">
        <v>7.3931666666666676</v>
      </c>
      <c r="G58" s="18" t="s">
        <v>115</v>
      </c>
      <c r="H58" s="18">
        <v>63</v>
      </c>
      <c r="I58" s="18">
        <v>681.05066666666676</v>
      </c>
      <c r="J58" s="18">
        <v>10.810328042328043</v>
      </c>
      <c r="K58" s="18">
        <v>23.554597009828168</v>
      </c>
    </row>
    <row r="59" spans="1:13" ht="15.75" thickBot="1" x14ac:dyDescent="0.3">
      <c r="A59" s="16">
        <v>2.4485000000000001</v>
      </c>
      <c r="B59" s="16">
        <v>24.091833333333334</v>
      </c>
      <c r="C59" s="16">
        <v>9.9878333333333345</v>
      </c>
      <c r="G59" s="19" t="s">
        <v>1004</v>
      </c>
      <c r="H59" s="19">
        <v>65</v>
      </c>
      <c r="I59" s="19">
        <v>856.67949999999996</v>
      </c>
      <c r="J59" s="19">
        <v>13.179684615384614</v>
      </c>
      <c r="K59" s="19">
        <v>30.124042062606804</v>
      </c>
    </row>
    <row r="60" spans="1:13" x14ac:dyDescent="0.25">
      <c r="A60" s="16">
        <v>8.9791666666666661</v>
      </c>
      <c r="B60" s="16">
        <v>22.729833333333335</v>
      </c>
      <c r="C60" s="16">
        <v>18.770000000000003</v>
      </c>
    </row>
    <row r="61" spans="1:13" x14ac:dyDescent="0.25">
      <c r="A61" s="16">
        <v>15.331166666666668</v>
      </c>
      <c r="B61" s="16">
        <v>11.358500000000001</v>
      </c>
      <c r="C61" s="16">
        <v>8.0373333333333346</v>
      </c>
    </row>
    <row r="62" spans="1:13" ht="15.75" thickBot="1" x14ac:dyDescent="0.3">
      <c r="A62" s="16">
        <v>12.313333333333333</v>
      </c>
      <c r="B62" s="16">
        <v>8.5429999999999993</v>
      </c>
      <c r="C62" s="16">
        <v>16.510833333333334</v>
      </c>
      <c r="G62" t="s">
        <v>149</v>
      </c>
    </row>
    <row r="63" spans="1:13" x14ac:dyDescent="0.25">
      <c r="A63" s="16">
        <v>15.526333333333334</v>
      </c>
      <c r="B63" s="16"/>
      <c r="C63" s="16">
        <v>9.0358333333333345</v>
      </c>
      <c r="G63" s="20" t="s">
        <v>177</v>
      </c>
      <c r="H63" s="20" t="s">
        <v>154</v>
      </c>
      <c r="I63" s="20" t="s">
        <v>153</v>
      </c>
      <c r="J63" s="20" t="s">
        <v>155</v>
      </c>
      <c r="K63" s="20" t="s">
        <v>156</v>
      </c>
      <c r="L63" s="20" t="s">
        <v>160</v>
      </c>
      <c r="M63" s="20" t="s">
        <v>178</v>
      </c>
    </row>
    <row r="64" spans="1:13" x14ac:dyDescent="0.25">
      <c r="A64" s="16">
        <v>24.511833333333332</v>
      </c>
      <c r="B64" s="16"/>
      <c r="C64" s="16">
        <v>10.613333333333333</v>
      </c>
      <c r="G64" s="18" t="s">
        <v>179</v>
      </c>
      <c r="H64" s="18">
        <v>179.59936004158362</v>
      </c>
      <c r="I64" s="18">
        <v>1</v>
      </c>
      <c r="J64" s="18">
        <v>179.59936004158362</v>
      </c>
      <c r="K64" s="18">
        <v>6.6786769283738057</v>
      </c>
      <c r="L64" s="33">
        <v>1.0897054354562502E-2</v>
      </c>
      <c r="M64" s="18">
        <v>3.916324643543144</v>
      </c>
    </row>
    <row r="65" spans="1:13" x14ac:dyDescent="0.25">
      <c r="A65" s="16">
        <v>6.4301666666666666</v>
      </c>
      <c r="B65" s="16"/>
      <c r="C65" s="16">
        <v>17.531500000000001</v>
      </c>
      <c r="G65" s="18" t="s">
        <v>180</v>
      </c>
      <c r="H65" s="18">
        <v>3388.3237066161855</v>
      </c>
      <c r="I65" s="18">
        <v>126</v>
      </c>
      <c r="J65" s="18">
        <v>26.891457989017347</v>
      </c>
      <c r="K65" s="18"/>
      <c r="L65" s="18"/>
      <c r="M65" s="18"/>
    </row>
    <row r="66" spans="1:13" x14ac:dyDescent="0.25">
      <c r="A66" s="16">
        <v>17.606499999999997</v>
      </c>
      <c r="B66" s="16"/>
      <c r="C66" s="16"/>
      <c r="G66" s="18"/>
      <c r="H66" s="18"/>
      <c r="I66" s="18"/>
      <c r="J66" s="18"/>
      <c r="K66" s="18"/>
      <c r="L66" s="18"/>
      <c r="M66" s="18"/>
    </row>
    <row r="67" spans="1:13" ht="15.75" thickBot="1" x14ac:dyDescent="0.3">
      <c r="A67" s="16">
        <v>17.829333333333338</v>
      </c>
      <c r="B67" s="16"/>
      <c r="C67" s="16"/>
      <c r="G67" s="19" t="s">
        <v>128</v>
      </c>
      <c r="H67" s="19">
        <v>3567.9230666577691</v>
      </c>
      <c r="I67" s="19">
        <v>127</v>
      </c>
      <c r="J67" s="19"/>
      <c r="K67" s="19"/>
      <c r="L67" s="19"/>
      <c r="M67" s="19"/>
    </row>
    <row r="68" spans="1:13" x14ac:dyDescent="0.25">
      <c r="A68">
        <f>SUBTOTAL(101,Table410[Z-score charts])</f>
        <v>13.179684615384614</v>
      </c>
      <c r="B68">
        <f>SUBTOTAL(101,Table410[Z-score wordcloud])</f>
        <v>10.644997222222219</v>
      </c>
      <c r="C68">
        <f>SUBTOTAL(101,Table410[Wordcloud])</f>
        <v>10.810328042328043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E4" sqref="E4"/>
    </sheetView>
  </sheetViews>
  <sheetFormatPr defaultRowHeight="15" x14ac:dyDescent="0.25"/>
  <cols>
    <col min="1" max="1" width="18.28515625" customWidth="1"/>
    <col min="2" max="2" width="15.28515625" customWidth="1"/>
    <col min="3" max="3" width="19.7109375" customWidth="1"/>
    <col min="7" max="13" width="16" customWidth="1"/>
  </cols>
  <sheetData>
    <row r="2" spans="1:13" x14ac:dyDescent="0.25">
      <c r="A2" t="s">
        <v>988</v>
      </c>
      <c r="B2" t="s">
        <v>113</v>
      </c>
      <c r="C2" t="s">
        <v>114</v>
      </c>
      <c r="G2" t="s">
        <v>171</v>
      </c>
    </row>
    <row r="3" spans="1:13" x14ac:dyDescent="0.25">
      <c r="A3" s="53">
        <v>3</v>
      </c>
      <c r="B3" s="53">
        <v>2</v>
      </c>
      <c r="C3" s="53">
        <v>3</v>
      </c>
    </row>
    <row r="4" spans="1:13" ht="15.75" thickBot="1" x14ac:dyDescent="0.3">
      <c r="A4" s="53">
        <v>3</v>
      </c>
      <c r="B4" s="53">
        <v>5</v>
      </c>
      <c r="C4" s="53">
        <v>3</v>
      </c>
      <c r="E4" s="57"/>
      <c r="G4" t="s">
        <v>172</v>
      </c>
    </row>
    <row r="5" spans="1:13" x14ac:dyDescent="0.25">
      <c r="A5" s="53">
        <v>3</v>
      </c>
      <c r="B5" s="53">
        <v>2</v>
      </c>
      <c r="C5" s="53">
        <v>4</v>
      </c>
      <c r="G5" s="20" t="s">
        <v>173</v>
      </c>
      <c r="H5" s="20" t="s">
        <v>174</v>
      </c>
      <c r="I5" s="20" t="s">
        <v>175</v>
      </c>
      <c r="J5" s="20" t="s">
        <v>176</v>
      </c>
      <c r="K5" s="20" t="s">
        <v>166</v>
      </c>
    </row>
    <row r="6" spans="1:13" x14ac:dyDescent="0.25">
      <c r="A6" s="53">
        <v>3</v>
      </c>
      <c r="B6" s="53">
        <v>2</v>
      </c>
      <c r="C6" s="53">
        <v>2</v>
      </c>
      <c r="G6" s="18" t="s">
        <v>988</v>
      </c>
      <c r="H6" s="18">
        <v>63</v>
      </c>
      <c r="I6" s="18">
        <v>178</v>
      </c>
      <c r="J6" s="18">
        <v>2.8253968253968256</v>
      </c>
      <c r="K6" s="18">
        <v>0.88837685611879136</v>
      </c>
    </row>
    <row r="7" spans="1:13" x14ac:dyDescent="0.25">
      <c r="A7" s="53">
        <v>4</v>
      </c>
      <c r="B7" s="53">
        <v>2</v>
      </c>
      <c r="C7" s="53">
        <v>2</v>
      </c>
      <c r="G7" s="18" t="s">
        <v>113</v>
      </c>
      <c r="H7" s="18">
        <v>65</v>
      </c>
      <c r="I7" s="18">
        <v>178</v>
      </c>
      <c r="J7" s="18">
        <v>2.7384615384615385</v>
      </c>
      <c r="K7" s="18">
        <v>0.82115384615384635</v>
      </c>
    </row>
    <row r="8" spans="1:13" ht="15.75" thickBot="1" x14ac:dyDescent="0.3">
      <c r="A8" s="53">
        <v>2</v>
      </c>
      <c r="B8" s="53">
        <v>2</v>
      </c>
      <c r="C8" s="53">
        <v>2</v>
      </c>
      <c r="G8" s="19" t="s">
        <v>114</v>
      </c>
      <c r="H8" s="19">
        <v>60</v>
      </c>
      <c r="I8" s="19">
        <v>144</v>
      </c>
      <c r="J8" s="19">
        <v>2.4</v>
      </c>
      <c r="K8" s="19">
        <v>0.78644067796610129</v>
      </c>
    </row>
    <row r="9" spans="1:13" x14ac:dyDescent="0.25">
      <c r="A9" s="53">
        <v>2</v>
      </c>
      <c r="B9" s="53">
        <v>3</v>
      </c>
      <c r="C9" s="53">
        <v>2</v>
      </c>
    </row>
    <row r="10" spans="1:13" x14ac:dyDescent="0.25">
      <c r="A10" s="53">
        <v>4</v>
      </c>
      <c r="B10" s="53">
        <v>3</v>
      </c>
      <c r="C10" s="53">
        <v>2</v>
      </c>
    </row>
    <row r="11" spans="1:13" ht="15.75" thickBot="1" x14ac:dyDescent="0.3">
      <c r="A11" s="53">
        <v>2</v>
      </c>
      <c r="B11" s="53">
        <v>1</v>
      </c>
      <c r="C11" s="53">
        <v>3</v>
      </c>
      <c r="G11" t="s">
        <v>149</v>
      </c>
    </row>
    <row r="12" spans="1:13" x14ac:dyDescent="0.25">
      <c r="A12" s="53">
        <v>2</v>
      </c>
      <c r="B12" s="53">
        <v>3</v>
      </c>
      <c r="C12" s="53">
        <v>3</v>
      </c>
      <c r="G12" s="20" t="s">
        <v>177</v>
      </c>
      <c r="H12" s="20" t="s">
        <v>154</v>
      </c>
      <c r="I12" s="20" t="s">
        <v>153</v>
      </c>
      <c r="J12" s="20" t="s">
        <v>155</v>
      </c>
      <c r="K12" s="20" t="s">
        <v>156</v>
      </c>
      <c r="L12" s="20" t="s">
        <v>160</v>
      </c>
      <c r="M12" s="20" t="s">
        <v>178</v>
      </c>
    </row>
    <row r="13" spans="1:13" x14ac:dyDescent="0.25">
      <c r="A13" s="53">
        <v>3</v>
      </c>
      <c r="B13" s="53">
        <v>2</v>
      </c>
      <c r="C13" s="53">
        <v>2</v>
      </c>
      <c r="G13" s="18" t="s">
        <v>179</v>
      </c>
      <c r="H13" s="18">
        <v>6.1795547242356292</v>
      </c>
      <c r="I13" s="18">
        <v>2</v>
      </c>
      <c r="J13" s="18">
        <v>3.0897773621178146</v>
      </c>
      <c r="K13" s="33">
        <v>3.7109452397662586</v>
      </c>
      <c r="L13" s="33">
        <v>2.6293339126541748E-2</v>
      </c>
      <c r="M13" s="33">
        <v>3.0447705656092796</v>
      </c>
    </row>
    <row r="14" spans="1:13" x14ac:dyDescent="0.25">
      <c r="A14" s="53">
        <v>1</v>
      </c>
      <c r="B14" s="53">
        <v>2</v>
      </c>
      <c r="C14" s="53">
        <v>5</v>
      </c>
      <c r="G14" s="18" t="s">
        <v>180</v>
      </c>
      <c r="H14" s="18">
        <v>154.0332112332112</v>
      </c>
      <c r="I14" s="18">
        <v>185</v>
      </c>
      <c r="J14" s="18">
        <v>0.83261195261195242</v>
      </c>
      <c r="K14" s="18"/>
      <c r="L14" s="18"/>
      <c r="M14" s="18"/>
    </row>
    <row r="15" spans="1:13" x14ac:dyDescent="0.25">
      <c r="A15" s="53">
        <v>3</v>
      </c>
      <c r="B15" s="53">
        <v>2</v>
      </c>
      <c r="C15" s="53">
        <v>3</v>
      </c>
      <c r="G15" s="18"/>
      <c r="H15" s="18"/>
      <c r="I15" s="18"/>
      <c r="J15" s="18"/>
      <c r="K15" s="18"/>
      <c r="L15" s="18"/>
      <c r="M15" s="18"/>
    </row>
    <row r="16" spans="1:13" ht="15.75" thickBot="1" x14ac:dyDescent="0.3">
      <c r="A16" s="53">
        <v>3</v>
      </c>
      <c r="B16" s="53">
        <v>3</v>
      </c>
      <c r="C16" s="53">
        <v>3</v>
      </c>
      <c r="G16" s="19" t="s">
        <v>128</v>
      </c>
      <c r="H16" s="19">
        <v>160.21276595744683</v>
      </c>
      <c r="I16" s="19">
        <v>187</v>
      </c>
      <c r="J16" s="19"/>
      <c r="K16" s="19"/>
      <c r="L16" s="19"/>
      <c r="M16" s="19"/>
    </row>
    <row r="17" spans="1:13" x14ac:dyDescent="0.25">
      <c r="A17" s="53">
        <v>2</v>
      </c>
      <c r="B17" s="53">
        <v>4</v>
      </c>
      <c r="C17" s="53">
        <v>2</v>
      </c>
    </row>
    <row r="18" spans="1:13" x14ac:dyDescent="0.25">
      <c r="A18" s="53">
        <v>3</v>
      </c>
      <c r="B18" s="53">
        <v>3</v>
      </c>
      <c r="C18" s="53">
        <v>1</v>
      </c>
    </row>
    <row r="19" spans="1:13" x14ac:dyDescent="0.25">
      <c r="A19" s="53">
        <v>2</v>
      </c>
      <c r="B19" s="53">
        <v>2</v>
      </c>
      <c r="C19" s="53">
        <v>1</v>
      </c>
      <c r="G19" s="22" t="s">
        <v>989</v>
      </c>
    </row>
    <row r="20" spans="1:13" x14ac:dyDescent="0.25">
      <c r="A20" s="53">
        <v>3</v>
      </c>
      <c r="B20" s="53">
        <v>2</v>
      </c>
      <c r="C20" s="53">
        <v>3</v>
      </c>
      <c r="G20" t="s">
        <v>171</v>
      </c>
    </row>
    <row r="21" spans="1:13" x14ac:dyDescent="0.25">
      <c r="A21" s="53">
        <v>4</v>
      </c>
      <c r="B21" s="53">
        <v>3</v>
      </c>
      <c r="C21" s="53">
        <v>3</v>
      </c>
    </row>
    <row r="22" spans="1:13" ht="15.75" thickBot="1" x14ac:dyDescent="0.3">
      <c r="A22" s="53">
        <v>2</v>
      </c>
      <c r="B22" s="53">
        <v>4</v>
      </c>
      <c r="C22" s="53">
        <v>2</v>
      </c>
      <c r="G22" t="s">
        <v>172</v>
      </c>
    </row>
    <row r="23" spans="1:13" x14ac:dyDescent="0.25">
      <c r="A23" s="53">
        <v>2</v>
      </c>
      <c r="B23" s="53">
        <v>2</v>
      </c>
      <c r="C23" s="53">
        <v>3</v>
      </c>
      <c r="G23" s="20" t="s">
        <v>173</v>
      </c>
      <c r="H23" s="20" t="s">
        <v>174</v>
      </c>
      <c r="I23" s="20" t="s">
        <v>175</v>
      </c>
      <c r="J23" s="20" t="s">
        <v>176</v>
      </c>
      <c r="K23" s="20" t="s">
        <v>166</v>
      </c>
    </row>
    <row r="24" spans="1:13" x14ac:dyDescent="0.25">
      <c r="A24" s="53">
        <v>2</v>
      </c>
      <c r="B24" s="53">
        <v>3</v>
      </c>
      <c r="C24" s="53">
        <v>2</v>
      </c>
      <c r="G24" s="18" t="s">
        <v>988</v>
      </c>
      <c r="H24" s="18">
        <v>63</v>
      </c>
      <c r="I24" s="18">
        <v>178</v>
      </c>
      <c r="J24" s="18">
        <v>2.8253968253968256</v>
      </c>
      <c r="K24" s="18">
        <v>0.88837685611879136</v>
      </c>
    </row>
    <row r="25" spans="1:13" ht="15.75" thickBot="1" x14ac:dyDescent="0.3">
      <c r="A25" s="53">
        <v>3</v>
      </c>
      <c r="B25" s="53">
        <v>2</v>
      </c>
      <c r="C25" s="53">
        <v>2</v>
      </c>
      <c r="G25" s="19" t="s">
        <v>113</v>
      </c>
      <c r="H25" s="19">
        <v>65</v>
      </c>
      <c r="I25" s="19">
        <v>178</v>
      </c>
      <c r="J25" s="19">
        <v>2.7384615384615385</v>
      </c>
      <c r="K25" s="19">
        <v>0.82115384615384635</v>
      </c>
    </row>
    <row r="26" spans="1:13" x14ac:dyDescent="0.25">
      <c r="A26" s="53">
        <v>3</v>
      </c>
      <c r="B26" s="53">
        <v>3</v>
      </c>
      <c r="C26" s="53">
        <v>1</v>
      </c>
    </row>
    <row r="27" spans="1:13" x14ac:dyDescent="0.25">
      <c r="A27" s="53">
        <v>2</v>
      </c>
      <c r="B27" s="53">
        <v>2</v>
      </c>
      <c r="C27" s="53">
        <v>2</v>
      </c>
    </row>
    <row r="28" spans="1:13" ht="15.75" thickBot="1" x14ac:dyDescent="0.3">
      <c r="A28" s="53">
        <v>3</v>
      </c>
      <c r="B28" s="53">
        <v>5</v>
      </c>
      <c r="C28" s="53">
        <v>1</v>
      </c>
      <c r="G28" t="s">
        <v>149</v>
      </c>
    </row>
    <row r="29" spans="1:13" x14ac:dyDescent="0.25">
      <c r="A29" s="53">
        <v>4</v>
      </c>
      <c r="B29" s="53">
        <v>3</v>
      </c>
      <c r="C29" s="53">
        <v>2</v>
      </c>
      <c r="G29" s="20" t="s">
        <v>177</v>
      </c>
      <c r="H29" s="20" t="s">
        <v>154</v>
      </c>
      <c r="I29" s="20" t="s">
        <v>153</v>
      </c>
      <c r="J29" s="20" t="s">
        <v>155</v>
      </c>
      <c r="K29" s="20" t="s">
        <v>156</v>
      </c>
      <c r="L29" s="20" t="s">
        <v>160</v>
      </c>
      <c r="M29" s="20" t="s">
        <v>178</v>
      </c>
    </row>
    <row r="30" spans="1:13" x14ac:dyDescent="0.25">
      <c r="A30" s="53">
        <v>4</v>
      </c>
      <c r="B30" s="53">
        <v>4</v>
      </c>
      <c r="C30" s="53">
        <v>3</v>
      </c>
      <c r="G30" s="18" t="s">
        <v>179</v>
      </c>
      <c r="H30" s="18">
        <v>0.24178876678877259</v>
      </c>
      <c r="I30" s="18">
        <v>1</v>
      </c>
      <c r="J30" s="18">
        <v>0.24178876678877259</v>
      </c>
      <c r="K30" s="34">
        <v>0.28304818063427778</v>
      </c>
      <c r="L30" s="34">
        <v>0.59564709806073735</v>
      </c>
      <c r="M30" s="34">
        <v>3.916324643543144</v>
      </c>
    </row>
    <row r="31" spans="1:13" x14ac:dyDescent="0.25">
      <c r="A31" s="53">
        <v>3</v>
      </c>
      <c r="B31" s="53">
        <v>4</v>
      </c>
      <c r="C31" s="53">
        <v>2</v>
      </c>
      <c r="G31" s="18" t="s">
        <v>180</v>
      </c>
      <c r="H31" s="18">
        <v>107.63321123321123</v>
      </c>
      <c r="I31" s="18">
        <v>126</v>
      </c>
      <c r="J31" s="18">
        <v>0.85423183518421608</v>
      </c>
      <c r="K31" s="18"/>
      <c r="L31" s="18"/>
      <c r="M31" s="18"/>
    </row>
    <row r="32" spans="1:13" x14ac:dyDescent="0.25">
      <c r="A32" s="53">
        <v>4</v>
      </c>
      <c r="B32" s="53">
        <v>3</v>
      </c>
      <c r="C32" s="53">
        <v>1</v>
      </c>
      <c r="G32" s="18"/>
      <c r="H32" s="18"/>
      <c r="I32" s="18"/>
      <c r="J32" s="18"/>
      <c r="K32" s="18"/>
      <c r="L32" s="18"/>
      <c r="M32" s="18"/>
    </row>
    <row r="33" spans="1:13" ht="15.75" thickBot="1" x14ac:dyDescent="0.3">
      <c r="A33" s="53">
        <v>4</v>
      </c>
      <c r="B33" s="53">
        <v>3</v>
      </c>
      <c r="C33" s="53">
        <v>2</v>
      </c>
      <c r="G33" s="19" t="s">
        <v>128</v>
      </c>
      <c r="H33" s="19">
        <v>107.875</v>
      </c>
      <c r="I33" s="19">
        <v>127</v>
      </c>
      <c r="J33" s="19"/>
      <c r="K33" s="19"/>
      <c r="L33" s="19"/>
      <c r="M33" s="19"/>
    </row>
    <row r="34" spans="1:13" x14ac:dyDescent="0.25">
      <c r="A34" s="53">
        <v>2</v>
      </c>
      <c r="B34" s="53">
        <v>2</v>
      </c>
      <c r="C34" s="53">
        <v>2</v>
      </c>
    </row>
    <row r="35" spans="1:13" x14ac:dyDescent="0.25">
      <c r="A35" s="53">
        <v>2</v>
      </c>
      <c r="B35" s="53">
        <v>3</v>
      </c>
      <c r="C35" s="53">
        <v>3</v>
      </c>
    </row>
    <row r="36" spans="1:13" x14ac:dyDescent="0.25">
      <c r="A36" s="53">
        <v>1</v>
      </c>
      <c r="B36" s="53">
        <v>3</v>
      </c>
      <c r="C36" s="53">
        <v>2</v>
      </c>
      <c r="G36" s="22" t="s">
        <v>990</v>
      </c>
    </row>
    <row r="37" spans="1:13" x14ac:dyDescent="0.25">
      <c r="A37" s="53">
        <v>3</v>
      </c>
      <c r="B37" s="53">
        <v>3</v>
      </c>
      <c r="C37" s="53">
        <v>2</v>
      </c>
      <c r="G37" t="s">
        <v>171</v>
      </c>
    </row>
    <row r="38" spans="1:13" x14ac:dyDescent="0.25">
      <c r="A38" s="53">
        <v>4</v>
      </c>
      <c r="B38" s="53">
        <v>1</v>
      </c>
      <c r="C38" s="53">
        <v>2</v>
      </c>
    </row>
    <row r="39" spans="1:13" ht="15.75" thickBot="1" x14ac:dyDescent="0.3">
      <c r="A39" s="53">
        <v>2</v>
      </c>
      <c r="B39" s="53">
        <v>1</v>
      </c>
      <c r="C39" s="53">
        <v>2</v>
      </c>
      <c r="G39" t="s">
        <v>172</v>
      </c>
    </row>
    <row r="40" spans="1:13" x14ac:dyDescent="0.25">
      <c r="A40" s="53">
        <v>2</v>
      </c>
      <c r="B40" s="53">
        <v>3</v>
      </c>
      <c r="C40" s="53">
        <v>2</v>
      </c>
      <c r="G40" s="20" t="s">
        <v>173</v>
      </c>
      <c r="H40" s="20" t="s">
        <v>174</v>
      </c>
      <c r="I40" s="20" t="s">
        <v>175</v>
      </c>
      <c r="J40" s="20" t="s">
        <v>176</v>
      </c>
      <c r="K40" s="20" t="s">
        <v>166</v>
      </c>
    </row>
    <row r="41" spans="1:13" x14ac:dyDescent="0.25">
      <c r="A41" s="53">
        <v>5</v>
      </c>
      <c r="B41" s="53">
        <v>3</v>
      </c>
      <c r="C41" s="53">
        <v>4</v>
      </c>
      <c r="G41" s="18" t="s">
        <v>114</v>
      </c>
      <c r="H41" s="18">
        <v>60</v>
      </c>
      <c r="I41" s="18">
        <v>144</v>
      </c>
      <c r="J41" s="18">
        <v>2.4</v>
      </c>
      <c r="K41" s="18">
        <v>0.78644067796610129</v>
      </c>
    </row>
    <row r="42" spans="1:13" ht="15.75" thickBot="1" x14ac:dyDescent="0.3">
      <c r="A42" s="53">
        <v>4</v>
      </c>
      <c r="B42" s="53">
        <v>3</v>
      </c>
      <c r="C42" s="53">
        <v>1</v>
      </c>
      <c r="G42" s="19" t="s">
        <v>991</v>
      </c>
      <c r="H42" s="19">
        <v>63</v>
      </c>
      <c r="I42" s="19">
        <v>178</v>
      </c>
      <c r="J42" s="19">
        <v>2.8253968253968256</v>
      </c>
      <c r="K42" s="19">
        <v>0.88837685611879136</v>
      </c>
    </row>
    <row r="43" spans="1:13" x14ac:dyDescent="0.25">
      <c r="A43" s="53">
        <v>2</v>
      </c>
      <c r="B43" s="53">
        <v>3</v>
      </c>
      <c r="C43" s="53">
        <v>2</v>
      </c>
    </row>
    <row r="44" spans="1:13" x14ac:dyDescent="0.25">
      <c r="A44" s="53">
        <v>3</v>
      </c>
      <c r="B44" s="53">
        <v>3</v>
      </c>
      <c r="C44" s="53">
        <v>4</v>
      </c>
    </row>
    <row r="45" spans="1:13" ht="15.75" thickBot="1" x14ac:dyDescent="0.3">
      <c r="A45" s="53">
        <v>2</v>
      </c>
      <c r="B45" s="53">
        <v>1</v>
      </c>
      <c r="C45" s="53">
        <v>1</v>
      </c>
      <c r="G45" t="s">
        <v>149</v>
      </c>
    </row>
    <row r="46" spans="1:13" x14ac:dyDescent="0.25">
      <c r="A46" s="53">
        <v>1</v>
      </c>
      <c r="B46" s="53">
        <v>3</v>
      </c>
      <c r="C46" s="53">
        <v>3</v>
      </c>
      <c r="G46" s="20" t="s">
        <v>177</v>
      </c>
      <c r="H46" s="20" t="s">
        <v>154</v>
      </c>
      <c r="I46" s="20" t="s">
        <v>153</v>
      </c>
      <c r="J46" s="20" t="s">
        <v>155</v>
      </c>
      <c r="K46" s="20" t="s">
        <v>156</v>
      </c>
      <c r="L46" s="20" t="s">
        <v>160</v>
      </c>
      <c r="M46" s="20" t="s">
        <v>178</v>
      </c>
    </row>
    <row r="47" spans="1:13" x14ac:dyDescent="0.25">
      <c r="A47" s="53">
        <v>4</v>
      </c>
      <c r="B47" s="53">
        <v>4</v>
      </c>
      <c r="C47" s="53">
        <v>2</v>
      </c>
      <c r="G47" s="18" t="s">
        <v>179</v>
      </c>
      <c r="H47" s="18">
        <v>5.5612853271392169</v>
      </c>
      <c r="I47" s="18">
        <v>1</v>
      </c>
      <c r="J47" s="18">
        <v>5.5612853271392169</v>
      </c>
      <c r="K47" s="33">
        <v>6.6310576939220214</v>
      </c>
      <c r="L47" s="33">
        <v>1.1225698909071746E-2</v>
      </c>
      <c r="M47" s="33">
        <v>3.9194645553294851</v>
      </c>
    </row>
    <row r="48" spans="1:13" x14ac:dyDescent="0.25">
      <c r="A48" s="53">
        <v>3</v>
      </c>
      <c r="B48" s="53">
        <v>2</v>
      </c>
      <c r="C48" s="53">
        <v>2</v>
      </c>
      <c r="G48" s="18" t="s">
        <v>180</v>
      </c>
      <c r="H48" s="18">
        <v>101.47936507936504</v>
      </c>
      <c r="I48" s="18">
        <v>121</v>
      </c>
      <c r="J48" s="18">
        <v>0.83867243867243835</v>
      </c>
      <c r="K48" s="18"/>
      <c r="L48" s="18"/>
      <c r="M48" s="18"/>
    </row>
    <row r="49" spans="1:13" x14ac:dyDescent="0.25">
      <c r="A49" s="53">
        <v>4</v>
      </c>
      <c r="B49" s="53">
        <v>3</v>
      </c>
      <c r="C49" s="53">
        <v>4</v>
      </c>
      <c r="G49" s="18"/>
      <c r="H49" s="18"/>
      <c r="I49" s="18"/>
      <c r="J49" s="18"/>
      <c r="K49" s="18"/>
      <c r="L49" s="18"/>
      <c r="M49" s="18"/>
    </row>
    <row r="50" spans="1:13" ht="15.75" thickBot="1" x14ac:dyDescent="0.3">
      <c r="A50" s="53">
        <v>1</v>
      </c>
      <c r="B50" s="53">
        <v>2</v>
      </c>
      <c r="C50" s="53">
        <v>3</v>
      </c>
      <c r="G50" s="19" t="s">
        <v>128</v>
      </c>
      <c r="H50" s="19">
        <v>107.04065040650426</v>
      </c>
      <c r="I50" s="19">
        <v>122</v>
      </c>
      <c r="J50" s="19"/>
      <c r="K50" s="19"/>
      <c r="L50" s="19"/>
      <c r="M50" s="19"/>
    </row>
    <row r="51" spans="1:13" x14ac:dyDescent="0.25">
      <c r="A51" s="53">
        <v>3</v>
      </c>
      <c r="B51" s="53">
        <v>3</v>
      </c>
      <c r="C51" s="53">
        <v>2</v>
      </c>
    </row>
    <row r="52" spans="1:13" x14ac:dyDescent="0.25">
      <c r="A52" s="53">
        <v>4</v>
      </c>
      <c r="B52" s="53">
        <v>3</v>
      </c>
      <c r="C52" s="53">
        <v>3</v>
      </c>
    </row>
    <row r="53" spans="1:13" x14ac:dyDescent="0.25">
      <c r="A53" s="53">
        <v>3</v>
      </c>
      <c r="B53" s="53">
        <v>3</v>
      </c>
      <c r="C53" s="53">
        <v>2</v>
      </c>
      <c r="G53" s="22" t="s">
        <v>992</v>
      </c>
    </row>
    <row r="54" spans="1:13" x14ac:dyDescent="0.25">
      <c r="A54" s="53">
        <v>1</v>
      </c>
      <c r="B54" s="53">
        <v>4</v>
      </c>
      <c r="C54" s="53">
        <v>3</v>
      </c>
      <c r="G54" t="s">
        <v>171</v>
      </c>
    </row>
    <row r="55" spans="1:13" x14ac:dyDescent="0.25">
      <c r="A55" s="53">
        <v>2</v>
      </c>
      <c r="B55" s="53">
        <v>3</v>
      </c>
      <c r="C55" s="53">
        <v>3</v>
      </c>
    </row>
    <row r="56" spans="1:13" ht="15.75" thickBot="1" x14ac:dyDescent="0.3">
      <c r="A56" s="53">
        <v>3</v>
      </c>
      <c r="B56" s="53">
        <v>3</v>
      </c>
      <c r="C56" s="53">
        <v>3</v>
      </c>
      <c r="G56" t="s">
        <v>172</v>
      </c>
    </row>
    <row r="57" spans="1:13" x14ac:dyDescent="0.25">
      <c r="A57" s="53">
        <v>2</v>
      </c>
      <c r="B57" s="53">
        <v>3</v>
      </c>
      <c r="C57" s="53">
        <v>2</v>
      </c>
      <c r="G57" s="20" t="s">
        <v>173</v>
      </c>
      <c r="H57" s="20" t="s">
        <v>174</v>
      </c>
      <c r="I57" s="20" t="s">
        <v>175</v>
      </c>
      <c r="J57" s="20" t="s">
        <v>176</v>
      </c>
      <c r="K57" s="20" t="s">
        <v>166</v>
      </c>
    </row>
    <row r="58" spans="1:13" x14ac:dyDescent="0.25">
      <c r="A58" s="53">
        <v>4</v>
      </c>
      <c r="B58" s="53">
        <v>2</v>
      </c>
      <c r="C58" s="53">
        <v>1</v>
      </c>
      <c r="G58" s="18" t="s">
        <v>113</v>
      </c>
      <c r="H58" s="18">
        <v>65</v>
      </c>
      <c r="I58" s="18">
        <v>178</v>
      </c>
      <c r="J58" s="18">
        <v>2.7384615384615385</v>
      </c>
      <c r="K58" s="18">
        <v>0.82115384615384635</v>
      </c>
    </row>
    <row r="59" spans="1:13" ht="15.75" thickBot="1" x14ac:dyDescent="0.3">
      <c r="A59" s="53">
        <v>3</v>
      </c>
      <c r="B59" s="53">
        <v>1</v>
      </c>
      <c r="C59" s="53">
        <v>3</v>
      </c>
      <c r="G59" s="19" t="s">
        <v>114</v>
      </c>
      <c r="H59" s="19">
        <v>60</v>
      </c>
      <c r="I59" s="19">
        <v>144</v>
      </c>
      <c r="J59" s="19">
        <v>2.4</v>
      </c>
      <c r="K59" s="19">
        <v>0.78644067796610129</v>
      </c>
    </row>
    <row r="60" spans="1:13" x14ac:dyDescent="0.25">
      <c r="A60" s="53">
        <v>3</v>
      </c>
      <c r="B60" s="53">
        <v>3</v>
      </c>
      <c r="C60" s="53">
        <v>2</v>
      </c>
    </row>
    <row r="61" spans="1:13" x14ac:dyDescent="0.25">
      <c r="A61" s="53">
        <v>4</v>
      </c>
      <c r="B61" s="53">
        <v>3</v>
      </c>
      <c r="C61" s="53">
        <v>4</v>
      </c>
    </row>
    <row r="62" spans="1:13" ht="15.75" thickBot="1" x14ac:dyDescent="0.3">
      <c r="A62" s="53">
        <v>4</v>
      </c>
      <c r="B62" s="53">
        <v>3</v>
      </c>
      <c r="C62" s="53">
        <v>3</v>
      </c>
      <c r="G62" t="s">
        <v>149</v>
      </c>
    </row>
    <row r="63" spans="1:13" x14ac:dyDescent="0.25">
      <c r="A63" s="53">
        <v>3</v>
      </c>
      <c r="B63" s="53">
        <v>3</v>
      </c>
      <c r="C63" s="53"/>
      <c r="G63" s="20" t="s">
        <v>177</v>
      </c>
      <c r="H63" s="20" t="s">
        <v>154</v>
      </c>
      <c r="I63" s="20" t="s">
        <v>153</v>
      </c>
      <c r="J63" s="20" t="s">
        <v>155</v>
      </c>
      <c r="K63" s="20" t="s">
        <v>156</v>
      </c>
      <c r="L63" s="20" t="s">
        <v>160</v>
      </c>
      <c r="M63" s="20" t="s">
        <v>178</v>
      </c>
    </row>
    <row r="64" spans="1:13" x14ac:dyDescent="0.25">
      <c r="A64" s="53">
        <v>3</v>
      </c>
      <c r="B64" s="53">
        <v>1</v>
      </c>
      <c r="C64" s="53"/>
      <c r="G64" s="18" t="s">
        <v>179</v>
      </c>
      <c r="H64" s="18">
        <v>3.5741538461539903</v>
      </c>
      <c r="I64" s="18">
        <v>1</v>
      </c>
      <c r="J64" s="18">
        <v>3.5741538461539903</v>
      </c>
      <c r="K64" s="33">
        <v>4.4426865671643592</v>
      </c>
      <c r="L64" s="33">
        <v>3.7081131974971232E-2</v>
      </c>
      <c r="M64" s="33">
        <v>3.9181775080439047</v>
      </c>
    </row>
    <row r="65" spans="1:13" x14ac:dyDescent="0.25">
      <c r="A65" s="53">
        <v>3</v>
      </c>
      <c r="B65" s="53">
        <v>3</v>
      </c>
      <c r="C65" s="53"/>
      <c r="G65" s="18" t="s">
        <v>180</v>
      </c>
      <c r="H65" s="18">
        <v>98.953846153846143</v>
      </c>
      <c r="I65" s="18">
        <v>123</v>
      </c>
      <c r="J65" s="18">
        <v>0.80450281425891168</v>
      </c>
      <c r="K65" s="18"/>
      <c r="L65" s="18"/>
      <c r="M65" s="18"/>
    </row>
    <row r="66" spans="1:13" x14ac:dyDescent="0.25">
      <c r="A66" s="53"/>
      <c r="B66" s="53">
        <v>4</v>
      </c>
      <c r="C66" s="53"/>
      <c r="G66" s="18"/>
      <c r="H66" s="18"/>
      <c r="I66" s="18"/>
      <c r="J66" s="18"/>
      <c r="K66" s="18"/>
      <c r="L66" s="18"/>
      <c r="M66" s="18"/>
    </row>
    <row r="67" spans="1:13" ht="15.75" thickBot="1" x14ac:dyDescent="0.3">
      <c r="A67" s="53"/>
      <c r="B67" s="53">
        <v>4</v>
      </c>
      <c r="C67" s="53"/>
      <c r="G67" s="19" t="s">
        <v>128</v>
      </c>
      <c r="H67" s="19">
        <v>102.52800000000013</v>
      </c>
      <c r="I67" s="19">
        <v>124</v>
      </c>
      <c r="J67" s="19"/>
      <c r="K67" s="19"/>
      <c r="L67" s="19"/>
      <c r="M67" s="19"/>
    </row>
    <row r="68" spans="1:13" x14ac:dyDescent="0.25">
      <c r="A68" s="58">
        <f>SUBTOTAL(101,Table10[Word cloud])</f>
        <v>2.8253968253968256</v>
      </c>
      <c r="B68" s="58">
        <f>SUBTOTAL(101,Table10[Z-score charts])</f>
        <v>2.7384615384615385</v>
      </c>
      <c r="C68" s="59">
        <f>SUBTOTAL(101,Table10[Z-score wordcloud])</f>
        <v>2.4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3"/>
  <sheetViews>
    <sheetView zoomScale="50" zoomScaleNormal="50" workbookViewId="0"/>
  </sheetViews>
  <sheetFormatPr defaultRowHeight="15" x14ac:dyDescent="0.25"/>
  <cols>
    <col min="1" max="1" width="21.28515625" customWidth="1"/>
    <col min="2" max="2" width="29.42578125" customWidth="1"/>
    <col min="3" max="3" width="15.42578125" customWidth="1"/>
    <col min="4" max="4" width="13" customWidth="1"/>
    <col min="5" max="5" width="17.42578125" customWidth="1"/>
    <col min="6" max="7" width="18.85546875" customWidth="1"/>
    <col min="14" max="14" width="18.85546875" customWidth="1"/>
    <col min="15" max="15" width="20.42578125" customWidth="1"/>
    <col min="22" max="22" width="12.5703125" customWidth="1"/>
    <col min="23" max="25" width="12.140625" customWidth="1"/>
    <col min="34" max="34" width="12" customWidth="1"/>
    <col min="35" max="35" width="16.140625" customWidth="1"/>
    <col min="36" max="36" width="19.5703125" customWidth="1"/>
    <col min="37" max="37" width="26" customWidth="1"/>
  </cols>
  <sheetData>
    <row r="1" spans="1:37" x14ac:dyDescent="0.25">
      <c r="A1" s="4" t="s">
        <v>740</v>
      </c>
      <c r="B1" s="4" t="s">
        <v>8</v>
      </c>
      <c r="C1" s="4" t="s">
        <v>13</v>
      </c>
      <c r="D1" s="4" t="s">
        <v>14</v>
      </c>
      <c r="E1" s="4" t="s">
        <v>15</v>
      </c>
      <c r="F1" s="4" t="s">
        <v>118</v>
      </c>
      <c r="G1" s="4" t="s">
        <v>119</v>
      </c>
      <c r="H1" s="4" t="s">
        <v>16</v>
      </c>
      <c r="I1" s="4" t="s">
        <v>17</v>
      </c>
      <c r="J1" s="4" t="s">
        <v>18</v>
      </c>
      <c r="K1" s="4" t="s">
        <v>19</v>
      </c>
      <c r="L1" s="4" t="s">
        <v>20</v>
      </c>
      <c r="M1" s="4" t="s">
        <v>21</v>
      </c>
      <c r="N1" s="4" t="s">
        <v>120</v>
      </c>
      <c r="O1" s="4" t="s">
        <v>121</v>
      </c>
      <c r="P1" s="4" t="s">
        <v>22</v>
      </c>
      <c r="Q1" s="4" t="s">
        <v>23</v>
      </c>
      <c r="R1" s="4" t="s">
        <v>24</v>
      </c>
      <c r="S1" s="4" t="s">
        <v>25</v>
      </c>
      <c r="T1" s="4" t="s">
        <v>26</v>
      </c>
      <c r="U1" s="4" t="s">
        <v>27</v>
      </c>
      <c r="V1" s="4" t="s">
        <v>28</v>
      </c>
      <c r="W1" s="4" t="s">
        <v>29</v>
      </c>
      <c r="X1" s="4" t="s">
        <v>122</v>
      </c>
      <c r="Y1" s="4" t="s">
        <v>123</v>
      </c>
      <c r="Z1" s="4" t="s">
        <v>30</v>
      </c>
      <c r="AA1" s="4" t="s">
        <v>31</v>
      </c>
      <c r="AB1" s="4" t="s">
        <v>32</v>
      </c>
      <c r="AC1" s="4" t="s">
        <v>33</v>
      </c>
      <c r="AD1" s="4" t="s">
        <v>34</v>
      </c>
      <c r="AE1" s="4" t="s">
        <v>35</v>
      </c>
      <c r="AF1" s="4" t="s">
        <v>36</v>
      </c>
      <c r="AG1" s="4" t="s">
        <v>37</v>
      </c>
      <c r="AH1" s="4" t="s">
        <v>125</v>
      </c>
      <c r="AI1" s="4" t="s">
        <v>126</v>
      </c>
      <c r="AJ1" s="8" t="s">
        <v>124</v>
      </c>
      <c r="AK1" s="8" t="s">
        <v>137</v>
      </c>
    </row>
    <row r="2" spans="1:37" x14ac:dyDescent="0.25">
      <c r="A2">
        <f t="shared" ref="A2:A33" si="0">COUNTIF(B:B,B2)</f>
        <v>1</v>
      </c>
      <c r="B2" s="5" t="s">
        <v>1217</v>
      </c>
      <c r="C2" s="5" t="e">
        <f>IF(VLOOKUP($B2,Table2[[prolific]:[feedbackTime]],6,FALSE)=VLOOKUP(C$1,Table1[],2,FALSE),1,0)</f>
        <v>#N/A</v>
      </c>
      <c r="D2" s="5" t="e">
        <f>IF(VLOOKUP($B2,Table2[[prolific]:[feedbackTime]],7,FALSE)=VLOOKUP(D$1,Table1[],2,FALSE),1,0)</f>
        <v>#N/A</v>
      </c>
      <c r="E2" s="5" t="e">
        <f>IF(VLOOKUP($B2,Table2[[prolific]:[feedbackTime]],8,FALSE)=VLOOKUP(E$1,Table1[],2,FALSE),1,0)</f>
        <v>#N/A</v>
      </c>
      <c r="F2" s="5" t="e">
        <f>SUM(C2:E2)</f>
        <v>#N/A</v>
      </c>
      <c r="G2" s="7" t="e">
        <f>F2/3</f>
        <v>#N/A</v>
      </c>
      <c r="H2" s="5" t="e">
        <f>IF(VLOOKUP($B2,Table2[[prolific]:[feedbackTime]],9,FALSE)=VLOOKUP(H$1,Table1[],2,FALSE),1,0)</f>
        <v>#N/A</v>
      </c>
      <c r="I2" s="5" t="e">
        <f>IF(VLOOKUP($B2,Table2[[prolific]:[feedbackTime]],10,FALSE)=VLOOKUP(I$1,Table1[],2,FALSE),1,0)</f>
        <v>#N/A</v>
      </c>
      <c r="J2" s="5" t="e">
        <f>IF(VLOOKUP($B2,Table2[[prolific]:[feedbackTime]],11,FALSE)=VLOOKUP(J$1,Table1[],2,FALSE),1,0)</f>
        <v>#N/A</v>
      </c>
      <c r="K2" s="5" t="e">
        <f>IF(VLOOKUP($B2,Table2[[prolific]:[feedbackTime]],12,FALSE)=VLOOKUP(K$1,Table1[],2,FALSE),1,0)</f>
        <v>#N/A</v>
      </c>
      <c r="L2" s="5" t="e">
        <f>IF(VLOOKUP($B2,Table2[[prolific]:[feedbackTime]],13,FALSE)=VLOOKUP(L$1,Table1[],2,FALSE),1,0)</f>
        <v>#N/A</v>
      </c>
      <c r="M2" s="5" t="e">
        <f>IF(VLOOKUP($B2,Table2[[prolific]:[feedbackTime]],14,FALSE)=VLOOKUP(M$1,Table1[],2,FALSE),1,0)</f>
        <v>#N/A</v>
      </c>
      <c r="N2" s="5" t="e">
        <f>SUM(H2:M2)</f>
        <v>#N/A</v>
      </c>
      <c r="O2" s="7" t="e">
        <f>N2/6</f>
        <v>#N/A</v>
      </c>
      <c r="P2" s="5" t="e">
        <f>IF(VLOOKUP($B2,Table2[[prolific]:[feedbackTime]],15,FALSE)=VLOOKUP(P$1,Table1[],2,FALSE),1,0)</f>
        <v>#N/A</v>
      </c>
      <c r="Q2" s="5" t="e">
        <f>IF(VLOOKUP($B2,Table2[[prolific]:[feedbackTime]],16,FALSE)=VLOOKUP(Q$1,Table1[],2,FALSE),1,0)</f>
        <v>#N/A</v>
      </c>
      <c r="R2" s="5" t="e">
        <f>IF(VLOOKUP($B2,Table2[[prolific]:[feedbackTime]],17,FALSE)=VLOOKUP(R$1,Table1[],2,FALSE),1,0)</f>
        <v>#N/A</v>
      </c>
      <c r="S2" s="5" t="e">
        <f>IF(VLOOKUP($B2,Table2[[prolific]:[feedbackTime]],18,FALSE)=VLOOKUP(S$1,Table1[],2,FALSE),1,0)</f>
        <v>#N/A</v>
      </c>
      <c r="T2" s="5" t="e">
        <f>IF(VLOOKUP($B2,Table2[[prolific]:[feedbackTime]],19,FALSE)=VLOOKUP(T$1,Table1[],2,FALSE),1,0)</f>
        <v>#N/A</v>
      </c>
      <c r="U2" s="5" t="e">
        <f>IF(VLOOKUP($B2,Table2[[prolific]:[feedbackTime]],20,FALSE)=VLOOKUP(U$1,Table1[],2,FALSE),1,0)</f>
        <v>#N/A</v>
      </c>
      <c r="V2" s="5" t="e">
        <f>IF(VLOOKUP($B2,Table2[[prolific]:[feedbackTime]],21,FALSE)=VLOOKUP(V$1,Table1[],2,FALSE),1,0)</f>
        <v>#N/A</v>
      </c>
      <c r="W2" s="5" t="e">
        <f>IF(VLOOKUP($B2,Table2[[prolific]:[feedbackTime]],22,FALSE)=VLOOKUP(W$1,Table1[],2,FALSE),1,0)</f>
        <v>#N/A</v>
      </c>
      <c r="X2" s="5" t="e">
        <f>SUM(P2:W2)</f>
        <v>#N/A</v>
      </c>
      <c r="Y2" s="7" t="e">
        <f>X2/8</f>
        <v>#N/A</v>
      </c>
      <c r="Z2" s="5" t="e">
        <f>IF(VLOOKUP($B2,Table2[[prolific]:[feedbackTime]],23,FALSE)=VLOOKUP(Z$1,Table1[],2,FALSE),1,0)</f>
        <v>#N/A</v>
      </c>
      <c r="AA2" s="5" t="e">
        <f>IF(VLOOKUP($B2,Table2[[prolific]:[feedbackTime]],24,FALSE)=VLOOKUP(AA$1,Table1[],2,FALSE),1,0)</f>
        <v>#N/A</v>
      </c>
      <c r="AB2" s="5" t="e">
        <f>IF(VLOOKUP($B2,Table2[[prolific]:[feedbackTime]],25,FALSE)=VLOOKUP(AB$1,Table1[],2,FALSE),1,0)</f>
        <v>#N/A</v>
      </c>
      <c r="AC2" s="5" t="e">
        <f>IF(VLOOKUP($B2,Table2[[prolific]:[feedbackTime]],26,FALSE)=VLOOKUP(AC$1,Table1[],2,FALSE),1,0)</f>
        <v>#N/A</v>
      </c>
      <c r="AD2" s="5" t="e">
        <f>IF(VLOOKUP($B2,Table2[[prolific]:[feedbackTime]],27,FALSE)=VLOOKUP(AD$1,Table1[],2,FALSE),1,0)</f>
        <v>#N/A</v>
      </c>
      <c r="AE2" s="5" t="e">
        <f>IF(VLOOKUP($B2,Table2[[prolific]:[feedbackTime]],28,FALSE)=VLOOKUP(AE$1,Table1[],2,FALSE),1,0)</f>
        <v>#N/A</v>
      </c>
      <c r="AF2" s="5" t="e">
        <f>IF(VLOOKUP($B2,Table2[[prolific]:[feedbackTime]],29,FALSE)=VLOOKUP(AF$1,Table1[],2,FALSE),1,0)</f>
        <v>#N/A</v>
      </c>
      <c r="AG2" s="5" t="e">
        <f>IF(VLOOKUP($B2,Table2[[prolific]:[feedbackTime]],30,FALSE)=VLOOKUP(AG$1,Table1[],2,FALSE),1,0)</f>
        <v>#N/A</v>
      </c>
      <c r="AH2" s="5" t="e">
        <f>SUM(Z2:AG2)</f>
        <v>#N/A</v>
      </c>
      <c r="AI2" s="7" t="e">
        <f>AH2/8</f>
        <v>#N/A</v>
      </c>
      <c r="AJ2" s="7" t="e">
        <f>(N2+X2+AH2)/22</f>
        <v>#N/A</v>
      </c>
      <c r="AK2" s="5" t="e">
        <f>(N2+X2+AH2)</f>
        <v>#N/A</v>
      </c>
    </row>
    <row r="3" spans="1:37" x14ac:dyDescent="0.25">
      <c r="A3">
        <f t="shared" si="0"/>
        <v>1</v>
      </c>
      <c r="B3" s="6" t="s">
        <v>1218</v>
      </c>
      <c r="C3" s="5" t="e">
        <f>IF(VLOOKUP($B3,Table2[[prolific]:[feedbackTime]],6,FALSE)=VLOOKUP(C$1,Table1[],2,FALSE),1,0)</f>
        <v>#N/A</v>
      </c>
      <c r="D3" s="5" t="e">
        <f>IF(VLOOKUP($B3,Table2[[prolific]:[feedbackTime]],7,FALSE)=VLOOKUP(D$1,Table1[],2,FALSE),1,0)</f>
        <v>#N/A</v>
      </c>
      <c r="E3" s="5" t="e">
        <f>IF(VLOOKUP($B3,Table2[[prolific]:[feedbackTime]],8,FALSE)=VLOOKUP(E$1,Table1[],2,FALSE),1,0)</f>
        <v>#N/A</v>
      </c>
      <c r="F3" s="5" t="e">
        <f t="shared" ref="F3:F16" si="1">SUM(C3:E3)</f>
        <v>#N/A</v>
      </c>
      <c r="G3" s="7" t="e">
        <f t="shared" ref="G3:G16" si="2">F3/3</f>
        <v>#N/A</v>
      </c>
      <c r="H3" s="5" t="e">
        <f>IF(VLOOKUP($B3,Table2[[prolific]:[feedbackTime]],9,FALSE)=VLOOKUP(H$1,Table1[],2,FALSE),1,0)</f>
        <v>#N/A</v>
      </c>
      <c r="I3" s="5" t="e">
        <f>IF(VLOOKUP($B3,Table2[[prolific]:[feedbackTime]],10,FALSE)=VLOOKUP(I$1,Table1[],2,FALSE),1,0)</f>
        <v>#N/A</v>
      </c>
      <c r="J3" s="5" t="e">
        <f>IF(VLOOKUP($B3,Table2[[prolific]:[feedbackTime]],11,FALSE)=VLOOKUP(J$1,Table1[],2,FALSE),1,0)</f>
        <v>#N/A</v>
      </c>
      <c r="K3" s="5" t="e">
        <f>IF(VLOOKUP($B3,Table2[[prolific]:[feedbackTime]],12,FALSE)=VLOOKUP(K$1,Table1[],2,FALSE),1,0)</f>
        <v>#N/A</v>
      </c>
      <c r="L3" s="5" t="e">
        <f>IF(VLOOKUP($B3,Table2[[prolific]:[feedbackTime]],13,FALSE)=VLOOKUP(L$1,Table1[],2,FALSE),1,0)</f>
        <v>#N/A</v>
      </c>
      <c r="M3" s="5" t="e">
        <f>IF(VLOOKUP($B3,Table2[[prolific]:[feedbackTime]],14,FALSE)=VLOOKUP(M$1,Table1[],2,FALSE),1,0)</f>
        <v>#N/A</v>
      </c>
      <c r="N3" s="5" t="e">
        <f t="shared" ref="N3:N16" si="3">SUM(H3:M3)</f>
        <v>#N/A</v>
      </c>
      <c r="O3" s="7" t="e">
        <f t="shared" ref="O3:O16" si="4">N3/6</f>
        <v>#N/A</v>
      </c>
      <c r="P3" s="5" t="e">
        <f>IF(VLOOKUP($B3,Table2[[prolific]:[feedbackTime]],15,FALSE)=VLOOKUP(P$1,Table1[],2,FALSE),1,0)</f>
        <v>#N/A</v>
      </c>
      <c r="Q3" s="5" t="e">
        <f>IF(VLOOKUP($B3,Table2[[prolific]:[feedbackTime]],16,FALSE)=VLOOKUP(Q$1,Table1[],2,FALSE),1,0)</f>
        <v>#N/A</v>
      </c>
      <c r="R3" s="5" t="e">
        <f>IF(VLOOKUP($B3,Table2[[prolific]:[feedbackTime]],17,FALSE)=VLOOKUP(R$1,Table1[],2,FALSE),1,0)</f>
        <v>#N/A</v>
      </c>
      <c r="S3" s="5" t="e">
        <f>IF(VLOOKUP($B3,Table2[[prolific]:[feedbackTime]],18,FALSE)=VLOOKUP(S$1,Table1[],2,FALSE),1,0)</f>
        <v>#N/A</v>
      </c>
      <c r="T3" s="5" t="e">
        <f>IF(VLOOKUP($B3,Table2[[prolific]:[feedbackTime]],19,FALSE)=VLOOKUP(T$1,Table1[],2,FALSE),1,0)</f>
        <v>#N/A</v>
      </c>
      <c r="U3" s="5" t="e">
        <f>IF(VLOOKUP($B3,Table2[[prolific]:[feedbackTime]],20,FALSE)=VLOOKUP(U$1,Table1[],2,FALSE),1,0)</f>
        <v>#N/A</v>
      </c>
      <c r="V3" s="5" t="e">
        <f>IF(VLOOKUP($B3,Table2[[prolific]:[feedbackTime]],21,FALSE)=VLOOKUP(V$1,Table1[],2,FALSE),1,0)</f>
        <v>#N/A</v>
      </c>
      <c r="W3" s="5" t="e">
        <f>IF(VLOOKUP($B3,Table2[[prolific]:[feedbackTime]],22,FALSE)=VLOOKUP(W$1,Table1[],2,FALSE),1,0)</f>
        <v>#N/A</v>
      </c>
      <c r="X3" s="5" t="e">
        <f t="shared" ref="X3:X16" si="5">SUM(P3:W3)</f>
        <v>#N/A</v>
      </c>
      <c r="Y3" s="7" t="e">
        <f t="shared" ref="Y3:Y16" si="6">X3/8</f>
        <v>#N/A</v>
      </c>
      <c r="Z3" s="5" t="e">
        <f>IF(VLOOKUP($B3,Table2[[prolific]:[feedbackTime]],23,FALSE)=VLOOKUP(Z$1,Table1[],2,FALSE),1,0)</f>
        <v>#N/A</v>
      </c>
      <c r="AA3" s="5" t="e">
        <f>IF(VLOOKUP($B3,Table2[[prolific]:[feedbackTime]],24,FALSE)=VLOOKUP(AA$1,Table1[],2,FALSE),1,0)</f>
        <v>#N/A</v>
      </c>
      <c r="AB3" s="5" t="e">
        <f>IF(VLOOKUP($B3,Table2[[prolific]:[feedbackTime]],25,FALSE)=VLOOKUP(AB$1,Table1[],2,FALSE),1,0)</f>
        <v>#N/A</v>
      </c>
      <c r="AC3" s="5" t="e">
        <f>IF(VLOOKUP($B3,Table2[[prolific]:[feedbackTime]],26,FALSE)=VLOOKUP(AC$1,Table1[],2,FALSE),1,0)</f>
        <v>#N/A</v>
      </c>
      <c r="AD3" s="5" t="e">
        <f>IF(VLOOKUP($B3,Table2[[prolific]:[feedbackTime]],27,FALSE)=VLOOKUP(AD$1,Table1[],2,FALSE),1,0)</f>
        <v>#N/A</v>
      </c>
      <c r="AE3" s="5" t="e">
        <f>IF(VLOOKUP($B3,Table2[[prolific]:[feedbackTime]],28,FALSE)=VLOOKUP(AE$1,Table1[],2,FALSE),1,0)</f>
        <v>#N/A</v>
      </c>
      <c r="AF3" s="5" t="e">
        <f>IF(VLOOKUP($B3,Table2[[prolific]:[feedbackTime]],29,FALSE)=VLOOKUP(AF$1,Table1[],2,FALSE),1,0)</f>
        <v>#N/A</v>
      </c>
      <c r="AG3" s="5" t="e">
        <f>IF(VLOOKUP($B3,Table2[[prolific]:[feedbackTime]],30,FALSE)=VLOOKUP(AG$1,Table1[],2,FALSE),1,0)</f>
        <v>#N/A</v>
      </c>
      <c r="AH3" s="5" t="e">
        <f t="shared" ref="AH3:AH16" si="7">SUM(Z3:AG3)</f>
        <v>#N/A</v>
      </c>
      <c r="AI3" s="7" t="e">
        <f t="shared" ref="AI3:AI16" si="8">AH3/8</f>
        <v>#N/A</v>
      </c>
      <c r="AJ3" s="7" t="e">
        <f t="shared" ref="AJ3:AJ16" si="9">(N3+X3+AH3)/22</f>
        <v>#N/A</v>
      </c>
      <c r="AK3" s="5" t="e">
        <f t="shared" ref="AK3:AK16" si="10">(N3+X3+AH3)</f>
        <v>#N/A</v>
      </c>
    </row>
    <row r="4" spans="1:37" x14ac:dyDescent="0.25">
      <c r="A4">
        <f t="shared" si="0"/>
        <v>1</v>
      </c>
      <c r="B4" s="5" t="s">
        <v>1219</v>
      </c>
      <c r="C4" s="5" t="e">
        <f>IF(VLOOKUP($B4,Table2[[prolific]:[feedbackTime]],6,FALSE)=VLOOKUP(C$1,Table1[],2,FALSE),1,0)</f>
        <v>#N/A</v>
      </c>
      <c r="D4" s="5" t="e">
        <f>IF(VLOOKUP($B4,Table2[[prolific]:[feedbackTime]],7,FALSE)=VLOOKUP(D$1,Table1[],2,FALSE),1,0)</f>
        <v>#N/A</v>
      </c>
      <c r="E4" s="5" t="e">
        <f>IF(VLOOKUP($B4,Table2[[prolific]:[feedbackTime]],8,FALSE)=VLOOKUP(E$1,Table1[],2,FALSE),1,0)</f>
        <v>#N/A</v>
      </c>
      <c r="F4" s="5" t="e">
        <f t="shared" si="1"/>
        <v>#N/A</v>
      </c>
      <c r="G4" s="7" t="e">
        <f t="shared" si="2"/>
        <v>#N/A</v>
      </c>
      <c r="H4" s="5" t="e">
        <f>IF(VLOOKUP($B4,Table2[[prolific]:[feedbackTime]],9,FALSE)=VLOOKUP(H$1,Table1[],2,FALSE),1,0)</f>
        <v>#N/A</v>
      </c>
      <c r="I4" s="5" t="e">
        <f>IF(VLOOKUP($B4,Table2[[prolific]:[feedbackTime]],10,FALSE)=VLOOKUP(I$1,Table1[],2,FALSE),1,0)</f>
        <v>#N/A</v>
      </c>
      <c r="J4" s="5" t="e">
        <f>IF(VLOOKUP($B4,Table2[[prolific]:[feedbackTime]],11,FALSE)=VLOOKUP(J$1,Table1[],2,FALSE),1,0)</f>
        <v>#N/A</v>
      </c>
      <c r="K4" s="5" t="e">
        <f>IF(VLOOKUP($B4,Table2[[prolific]:[feedbackTime]],12,FALSE)=VLOOKUP(K$1,Table1[],2,FALSE),1,0)</f>
        <v>#N/A</v>
      </c>
      <c r="L4" s="5" t="e">
        <f>IF(VLOOKUP($B4,Table2[[prolific]:[feedbackTime]],13,FALSE)=VLOOKUP(L$1,Table1[],2,FALSE),1,0)</f>
        <v>#N/A</v>
      </c>
      <c r="M4" s="5" t="e">
        <f>IF(VLOOKUP($B4,Table2[[prolific]:[feedbackTime]],14,FALSE)=VLOOKUP(M$1,Table1[],2,FALSE),1,0)</f>
        <v>#N/A</v>
      </c>
      <c r="N4" s="5" t="e">
        <f t="shared" si="3"/>
        <v>#N/A</v>
      </c>
      <c r="O4" s="7" t="e">
        <f t="shared" si="4"/>
        <v>#N/A</v>
      </c>
      <c r="P4" s="5" t="e">
        <f>IF(VLOOKUP($B4,Table2[[prolific]:[feedbackTime]],15,FALSE)=VLOOKUP(P$1,Table1[],2,FALSE),1,0)</f>
        <v>#N/A</v>
      </c>
      <c r="Q4" s="5" t="e">
        <f>IF(VLOOKUP($B4,Table2[[prolific]:[feedbackTime]],16,FALSE)=VLOOKUP(Q$1,Table1[],2,FALSE),1,0)</f>
        <v>#N/A</v>
      </c>
      <c r="R4" s="5" t="e">
        <f>IF(VLOOKUP($B4,Table2[[prolific]:[feedbackTime]],17,FALSE)=VLOOKUP(R$1,Table1[],2,FALSE),1,0)</f>
        <v>#N/A</v>
      </c>
      <c r="S4" s="5" t="e">
        <f>IF(VLOOKUP($B4,Table2[[prolific]:[feedbackTime]],18,FALSE)=VLOOKUP(S$1,Table1[],2,FALSE),1,0)</f>
        <v>#N/A</v>
      </c>
      <c r="T4" s="5" t="e">
        <f>IF(VLOOKUP($B4,Table2[[prolific]:[feedbackTime]],19,FALSE)=VLOOKUP(T$1,Table1[],2,FALSE),1,0)</f>
        <v>#N/A</v>
      </c>
      <c r="U4" s="5" t="e">
        <f>IF(VLOOKUP($B4,Table2[[prolific]:[feedbackTime]],20,FALSE)=VLOOKUP(U$1,Table1[],2,FALSE),1,0)</f>
        <v>#N/A</v>
      </c>
      <c r="V4" s="5" t="e">
        <f>IF(VLOOKUP($B4,Table2[[prolific]:[feedbackTime]],21,FALSE)=VLOOKUP(V$1,Table1[],2,FALSE),1,0)</f>
        <v>#N/A</v>
      </c>
      <c r="W4" s="5" t="e">
        <f>IF(VLOOKUP($B4,Table2[[prolific]:[feedbackTime]],22,FALSE)=VLOOKUP(W$1,Table1[],2,FALSE),1,0)</f>
        <v>#N/A</v>
      </c>
      <c r="X4" s="5" t="e">
        <f t="shared" si="5"/>
        <v>#N/A</v>
      </c>
      <c r="Y4" s="7" t="e">
        <f t="shared" si="6"/>
        <v>#N/A</v>
      </c>
      <c r="Z4" s="5" t="e">
        <f>IF(VLOOKUP($B4,Table2[[prolific]:[feedbackTime]],23,FALSE)=VLOOKUP(Z$1,Table1[],2,FALSE),1,0)</f>
        <v>#N/A</v>
      </c>
      <c r="AA4" s="5" t="e">
        <f>IF(VLOOKUP($B4,Table2[[prolific]:[feedbackTime]],24,FALSE)=VLOOKUP(AA$1,Table1[],2,FALSE),1,0)</f>
        <v>#N/A</v>
      </c>
      <c r="AB4" s="5" t="e">
        <f>IF(VLOOKUP($B4,Table2[[prolific]:[feedbackTime]],25,FALSE)=VLOOKUP(AB$1,Table1[],2,FALSE),1,0)</f>
        <v>#N/A</v>
      </c>
      <c r="AC4" s="5" t="e">
        <f>IF(VLOOKUP($B4,Table2[[prolific]:[feedbackTime]],26,FALSE)=VLOOKUP(AC$1,Table1[],2,FALSE),1,0)</f>
        <v>#N/A</v>
      </c>
      <c r="AD4" s="5" t="e">
        <f>IF(VLOOKUP($B4,Table2[[prolific]:[feedbackTime]],27,FALSE)=VLOOKUP(AD$1,Table1[],2,FALSE),1,0)</f>
        <v>#N/A</v>
      </c>
      <c r="AE4" s="5" t="e">
        <f>IF(VLOOKUP($B4,Table2[[prolific]:[feedbackTime]],28,FALSE)=VLOOKUP(AE$1,Table1[],2,FALSE),1,0)</f>
        <v>#N/A</v>
      </c>
      <c r="AF4" s="5" t="e">
        <f>IF(VLOOKUP($B4,Table2[[prolific]:[feedbackTime]],29,FALSE)=VLOOKUP(AF$1,Table1[],2,FALSE),1,0)</f>
        <v>#N/A</v>
      </c>
      <c r="AG4" s="5" t="e">
        <f>IF(VLOOKUP($B4,Table2[[prolific]:[feedbackTime]],30,FALSE)=VLOOKUP(AG$1,Table1[],2,FALSE),1,0)</f>
        <v>#N/A</v>
      </c>
      <c r="AH4" s="5" t="e">
        <f t="shared" si="7"/>
        <v>#N/A</v>
      </c>
      <c r="AI4" s="7" t="e">
        <f t="shared" si="8"/>
        <v>#N/A</v>
      </c>
      <c r="AJ4" s="7" t="e">
        <f t="shared" si="9"/>
        <v>#N/A</v>
      </c>
      <c r="AK4" s="5" t="e">
        <f t="shared" si="10"/>
        <v>#N/A</v>
      </c>
    </row>
    <row r="5" spans="1:37" x14ac:dyDescent="0.25">
      <c r="A5">
        <f t="shared" si="0"/>
        <v>1</v>
      </c>
      <c r="B5" s="6" t="s">
        <v>1220</v>
      </c>
      <c r="C5" s="5" t="e">
        <f>IF(VLOOKUP($B5,Table2[[prolific]:[feedbackTime]],6,FALSE)=VLOOKUP(C$1,Table1[],2,FALSE),1,0)</f>
        <v>#N/A</v>
      </c>
      <c r="D5" s="5" t="e">
        <f>IF(VLOOKUP($B5,Table2[[prolific]:[feedbackTime]],7,FALSE)=VLOOKUP(D$1,Table1[],2,FALSE),1,0)</f>
        <v>#N/A</v>
      </c>
      <c r="E5" s="5" t="e">
        <f>IF(VLOOKUP($B5,Table2[[prolific]:[feedbackTime]],8,FALSE)=VLOOKUP(E$1,Table1[],2,FALSE),1,0)</f>
        <v>#N/A</v>
      </c>
      <c r="F5" s="5" t="e">
        <f t="shared" si="1"/>
        <v>#N/A</v>
      </c>
      <c r="G5" s="7" t="e">
        <f t="shared" si="2"/>
        <v>#N/A</v>
      </c>
      <c r="H5" s="5" t="e">
        <f>IF(VLOOKUP($B5,Table2[[prolific]:[feedbackTime]],9,FALSE)=VLOOKUP(H$1,Table1[],2,FALSE),1,0)</f>
        <v>#N/A</v>
      </c>
      <c r="I5" s="5" t="e">
        <f>IF(VLOOKUP($B5,Table2[[prolific]:[feedbackTime]],10,FALSE)=VLOOKUP(I$1,Table1[],2,FALSE),1,0)</f>
        <v>#N/A</v>
      </c>
      <c r="J5" s="5" t="e">
        <f>IF(VLOOKUP($B5,Table2[[prolific]:[feedbackTime]],11,FALSE)=VLOOKUP(J$1,Table1[],2,FALSE),1,0)</f>
        <v>#N/A</v>
      </c>
      <c r="K5" s="5" t="e">
        <f>IF(VLOOKUP($B5,Table2[[prolific]:[feedbackTime]],12,FALSE)=VLOOKUP(K$1,Table1[],2,FALSE),1,0)</f>
        <v>#N/A</v>
      </c>
      <c r="L5" s="5" t="e">
        <f>IF(VLOOKUP($B5,Table2[[prolific]:[feedbackTime]],13,FALSE)=VLOOKUP(L$1,Table1[],2,FALSE),1,0)</f>
        <v>#N/A</v>
      </c>
      <c r="M5" s="5" t="e">
        <f>IF(VLOOKUP($B5,Table2[[prolific]:[feedbackTime]],14,FALSE)=VLOOKUP(M$1,Table1[],2,FALSE),1,0)</f>
        <v>#N/A</v>
      </c>
      <c r="N5" s="5" t="e">
        <f t="shared" si="3"/>
        <v>#N/A</v>
      </c>
      <c r="O5" s="7" t="e">
        <f t="shared" si="4"/>
        <v>#N/A</v>
      </c>
      <c r="P5" s="5" t="e">
        <f>IF(VLOOKUP($B5,Table2[[prolific]:[feedbackTime]],15,FALSE)=VLOOKUP(P$1,Table1[],2,FALSE),1,0)</f>
        <v>#N/A</v>
      </c>
      <c r="Q5" s="5" t="e">
        <f>IF(VLOOKUP($B5,Table2[[prolific]:[feedbackTime]],16,FALSE)=VLOOKUP(Q$1,Table1[],2,FALSE),1,0)</f>
        <v>#N/A</v>
      </c>
      <c r="R5" s="5" t="e">
        <f>IF(VLOOKUP($B5,Table2[[prolific]:[feedbackTime]],17,FALSE)=VLOOKUP(R$1,Table1[],2,FALSE),1,0)</f>
        <v>#N/A</v>
      </c>
      <c r="S5" s="5" t="e">
        <f>IF(VLOOKUP($B5,Table2[[prolific]:[feedbackTime]],18,FALSE)=VLOOKUP(S$1,Table1[],2,FALSE),1,0)</f>
        <v>#N/A</v>
      </c>
      <c r="T5" s="5" t="e">
        <f>IF(VLOOKUP($B5,Table2[[prolific]:[feedbackTime]],19,FALSE)=VLOOKUP(T$1,Table1[],2,FALSE),1,0)</f>
        <v>#N/A</v>
      </c>
      <c r="U5" s="5" t="e">
        <f>IF(VLOOKUP($B5,Table2[[prolific]:[feedbackTime]],20,FALSE)=VLOOKUP(U$1,Table1[],2,FALSE),1,0)</f>
        <v>#N/A</v>
      </c>
      <c r="V5" s="5" t="e">
        <f>IF(VLOOKUP($B5,Table2[[prolific]:[feedbackTime]],21,FALSE)=VLOOKUP(V$1,Table1[],2,FALSE),1,0)</f>
        <v>#N/A</v>
      </c>
      <c r="W5" s="5" t="e">
        <f>IF(VLOOKUP($B5,Table2[[prolific]:[feedbackTime]],22,FALSE)=VLOOKUP(W$1,Table1[],2,FALSE),1,0)</f>
        <v>#N/A</v>
      </c>
      <c r="X5" s="5" t="e">
        <f t="shared" si="5"/>
        <v>#N/A</v>
      </c>
      <c r="Y5" s="7" t="e">
        <f t="shared" si="6"/>
        <v>#N/A</v>
      </c>
      <c r="Z5" s="5" t="e">
        <f>IF(VLOOKUP($B5,Table2[[prolific]:[feedbackTime]],23,FALSE)=VLOOKUP(Z$1,Table1[],2,FALSE),1,0)</f>
        <v>#N/A</v>
      </c>
      <c r="AA5" s="5" t="e">
        <f>IF(VLOOKUP($B5,Table2[[prolific]:[feedbackTime]],24,FALSE)=VLOOKUP(AA$1,Table1[],2,FALSE),1,0)</f>
        <v>#N/A</v>
      </c>
      <c r="AB5" s="5" t="e">
        <f>IF(VLOOKUP($B5,Table2[[prolific]:[feedbackTime]],25,FALSE)=VLOOKUP(AB$1,Table1[],2,FALSE),1,0)</f>
        <v>#N/A</v>
      </c>
      <c r="AC5" s="5" t="e">
        <f>IF(VLOOKUP($B5,Table2[[prolific]:[feedbackTime]],26,FALSE)=VLOOKUP(AC$1,Table1[],2,FALSE),1,0)</f>
        <v>#N/A</v>
      </c>
      <c r="AD5" s="5" t="e">
        <f>IF(VLOOKUP($B5,Table2[[prolific]:[feedbackTime]],27,FALSE)=VLOOKUP(AD$1,Table1[],2,FALSE),1,0)</f>
        <v>#N/A</v>
      </c>
      <c r="AE5" s="5" t="e">
        <f>IF(VLOOKUP($B5,Table2[[prolific]:[feedbackTime]],28,FALSE)=VLOOKUP(AE$1,Table1[],2,FALSE),1,0)</f>
        <v>#N/A</v>
      </c>
      <c r="AF5" s="5" t="e">
        <f>IF(VLOOKUP($B5,Table2[[prolific]:[feedbackTime]],29,FALSE)=VLOOKUP(AF$1,Table1[],2,FALSE),1,0)</f>
        <v>#N/A</v>
      </c>
      <c r="AG5" s="5" t="e">
        <f>IF(VLOOKUP($B5,Table2[[prolific]:[feedbackTime]],30,FALSE)=VLOOKUP(AG$1,Table1[],2,FALSE),1,0)</f>
        <v>#N/A</v>
      </c>
      <c r="AH5" s="5" t="e">
        <f t="shared" si="7"/>
        <v>#N/A</v>
      </c>
      <c r="AI5" s="7" t="e">
        <f t="shared" si="8"/>
        <v>#N/A</v>
      </c>
      <c r="AJ5" s="7" t="e">
        <f t="shared" si="9"/>
        <v>#N/A</v>
      </c>
      <c r="AK5" s="5" t="e">
        <f t="shared" si="10"/>
        <v>#N/A</v>
      </c>
    </row>
    <row r="6" spans="1:37" x14ac:dyDescent="0.25">
      <c r="A6">
        <f t="shared" si="0"/>
        <v>1</v>
      </c>
      <c r="B6" s="5" t="s">
        <v>1221</v>
      </c>
      <c r="C6" s="5" t="e">
        <f>IF(VLOOKUP($B6,Table2[[prolific]:[feedbackTime]],6,FALSE)=VLOOKUP(C$1,Table1[],2,FALSE),1,0)</f>
        <v>#N/A</v>
      </c>
      <c r="D6" s="5" t="e">
        <f>IF(VLOOKUP($B6,Table2[[prolific]:[feedbackTime]],7,FALSE)=VLOOKUP(D$1,Table1[],2,FALSE),1,0)</f>
        <v>#N/A</v>
      </c>
      <c r="E6" s="5" t="e">
        <f>IF(VLOOKUP($B6,Table2[[prolific]:[feedbackTime]],8,FALSE)=VLOOKUP(E$1,Table1[],2,FALSE),1,0)</f>
        <v>#N/A</v>
      </c>
      <c r="F6" s="5" t="e">
        <f t="shared" si="1"/>
        <v>#N/A</v>
      </c>
      <c r="G6" s="7" t="e">
        <f t="shared" si="2"/>
        <v>#N/A</v>
      </c>
      <c r="H6" s="5" t="e">
        <f>IF(VLOOKUP($B6,Table2[[prolific]:[feedbackTime]],9,FALSE)=VLOOKUP(H$1,Table1[],2,FALSE),1,0)</f>
        <v>#N/A</v>
      </c>
      <c r="I6" s="5" t="e">
        <f>IF(VLOOKUP($B6,Table2[[prolific]:[feedbackTime]],10,FALSE)=VLOOKUP(I$1,Table1[],2,FALSE),1,0)</f>
        <v>#N/A</v>
      </c>
      <c r="J6" s="5" t="e">
        <f>IF(VLOOKUP($B6,Table2[[prolific]:[feedbackTime]],11,FALSE)=VLOOKUP(J$1,Table1[],2,FALSE),1,0)</f>
        <v>#N/A</v>
      </c>
      <c r="K6" s="5" t="e">
        <f>IF(VLOOKUP($B6,Table2[[prolific]:[feedbackTime]],12,FALSE)=VLOOKUP(K$1,Table1[],2,FALSE),1,0)</f>
        <v>#N/A</v>
      </c>
      <c r="L6" s="5" t="e">
        <f>IF(VLOOKUP($B6,Table2[[prolific]:[feedbackTime]],13,FALSE)=VLOOKUP(L$1,Table1[],2,FALSE),1,0)</f>
        <v>#N/A</v>
      </c>
      <c r="M6" s="5" t="e">
        <f>IF(VLOOKUP($B6,Table2[[prolific]:[feedbackTime]],14,FALSE)=VLOOKUP(M$1,Table1[],2,FALSE),1,0)</f>
        <v>#N/A</v>
      </c>
      <c r="N6" s="5" t="e">
        <f t="shared" si="3"/>
        <v>#N/A</v>
      </c>
      <c r="O6" s="7" t="e">
        <f t="shared" si="4"/>
        <v>#N/A</v>
      </c>
      <c r="P6" s="5" t="e">
        <f>IF(VLOOKUP($B6,Table2[[prolific]:[feedbackTime]],15,FALSE)=VLOOKUP(P$1,Table1[],2,FALSE),1,0)</f>
        <v>#N/A</v>
      </c>
      <c r="Q6" s="5" t="e">
        <f>IF(VLOOKUP($B6,Table2[[prolific]:[feedbackTime]],16,FALSE)=VLOOKUP(Q$1,Table1[],2,FALSE),1,0)</f>
        <v>#N/A</v>
      </c>
      <c r="R6" s="5" t="e">
        <f>IF(VLOOKUP($B6,Table2[[prolific]:[feedbackTime]],17,FALSE)=VLOOKUP(R$1,Table1[],2,FALSE),1,0)</f>
        <v>#N/A</v>
      </c>
      <c r="S6" s="5" t="e">
        <f>IF(VLOOKUP($B6,Table2[[prolific]:[feedbackTime]],18,FALSE)=VLOOKUP(S$1,Table1[],2,FALSE),1,0)</f>
        <v>#N/A</v>
      </c>
      <c r="T6" s="5" t="e">
        <f>IF(VLOOKUP($B6,Table2[[prolific]:[feedbackTime]],19,FALSE)=VLOOKUP(T$1,Table1[],2,FALSE),1,0)</f>
        <v>#N/A</v>
      </c>
      <c r="U6" s="5" t="e">
        <f>IF(VLOOKUP($B6,Table2[[prolific]:[feedbackTime]],20,FALSE)=VLOOKUP(U$1,Table1[],2,FALSE),1,0)</f>
        <v>#N/A</v>
      </c>
      <c r="V6" s="5" t="e">
        <f>IF(VLOOKUP($B6,Table2[[prolific]:[feedbackTime]],21,FALSE)=VLOOKUP(V$1,Table1[],2,FALSE),1,0)</f>
        <v>#N/A</v>
      </c>
      <c r="W6" s="5" t="e">
        <f>IF(VLOOKUP($B6,Table2[[prolific]:[feedbackTime]],22,FALSE)=VLOOKUP(W$1,Table1[],2,FALSE),1,0)</f>
        <v>#N/A</v>
      </c>
      <c r="X6" s="5" t="e">
        <f t="shared" si="5"/>
        <v>#N/A</v>
      </c>
      <c r="Y6" s="7" t="e">
        <f t="shared" si="6"/>
        <v>#N/A</v>
      </c>
      <c r="Z6" s="5" t="e">
        <f>IF(VLOOKUP($B6,Table2[[prolific]:[feedbackTime]],23,FALSE)=VLOOKUP(Z$1,Table1[],2,FALSE),1,0)</f>
        <v>#N/A</v>
      </c>
      <c r="AA6" s="5" t="e">
        <f>IF(VLOOKUP($B6,Table2[[prolific]:[feedbackTime]],24,FALSE)=VLOOKUP(AA$1,Table1[],2,FALSE),1,0)</f>
        <v>#N/A</v>
      </c>
      <c r="AB6" s="5" t="e">
        <f>IF(VLOOKUP($B6,Table2[[prolific]:[feedbackTime]],25,FALSE)=VLOOKUP(AB$1,Table1[],2,FALSE),1,0)</f>
        <v>#N/A</v>
      </c>
      <c r="AC6" s="5" t="e">
        <f>IF(VLOOKUP($B6,Table2[[prolific]:[feedbackTime]],26,FALSE)=VLOOKUP(AC$1,Table1[],2,FALSE),1,0)</f>
        <v>#N/A</v>
      </c>
      <c r="AD6" s="5" t="e">
        <f>IF(VLOOKUP($B6,Table2[[prolific]:[feedbackTime]],27,FALSE)=VLOOKUP(AD$1,Table1[],2,FALSE),1,0)</f>
        <v>#N/A</v>
      </c>
      <c r="AE6" s="5" t="e">
        <f>IF(VLOOKUP($B6,Table2[[prolific]:[feedbackTime]],28,FALSE)=VLOOKUP(AE$1,Table1[],2,FALSE),1,0)</f>
        <v>#N/A</v>
      </c>
      <c r="AF6" s="5" t="e">
        <f>IF(VLOOKUP($B6,Table2[[prolific]:[feedbackTime]],29,FALSE)=VLOOKUP(AF$1,Table1[],2,FALSE),1,0)</f>
        <v>#N/A</v>
      </c>
      <c r="AG6" s="5" t="e">
        <f>IF(VLOOKUP($B6,Table2[[prolific]:[feedbackTime]],30,FALSE)=VLOOKUP(AG$1,Table1[],2,FALSE),1,0)</f>
        <v>#N/A</v>
      </c>
      <c r="AH6" s="5" t="e">
        <f t="shared" si="7"/>
        <v>#N/A</v>
      </c>
      <c r="AI6" s="7" t="e">
        <f t="shared" si="8"/>
        <v>#N/A</v>
      </c>
      <c r="AJ6" s="7" t="e">
        <f t="shared" si="9"/>
        <v>#N/A</v>
      </c>
      <c r="AK6" s="5" t="e">
        <f t="shared" si="10"/>
        <v>#N/A</v>
      </c>
    </row>
    <row r="7" spans="1:37" x14ac:dyDescent="0.25">
      <c r="A7">
        <f t="shared" si="0"/>
        <v>1</v>
      </c>
      <c r="B7" s="6" t="s">
        <v>1222</v>
      </c>
      <c r="C7" s="5" t="e">
        <f>IF(VLOOKUP($B7,Table2[[prolific]:[feedbackTime]],6,FALSE)=VLOOKUP(C$1,Table1[],2,FALSE),1,0)</f>
        <v>#N/A</v>
      </c>
      <c r="D7" s="5" t="e">
        <f>IF(VLOOKUP($B7,Table2[[prolific]:[feedbackTime]],7,FALSE)=VLOOKUP(D$1,Table1[],2,FALSE),1,0)</f>
        <v>#N/A</v>
      </c>
      <c r="E7" s="5" t="e">
        <f>IF(VLOOKUP($B7,Table2[[prolific]:[feedbackTime]],8,FALSE)=VLOOKUP(E$1,Table1[],2,FALSE),1,0)</f>
        <v>#N/A</v>
      </c>
      <c r="F7" s="5" t="e">
        <f t="shared" si="1"/>
        <v>#N/A</v>
      </c>
      <c r="G7" s="7" t="e">
        <f t="shared" si="2"/>
        <v>#N/A</v>
      </c>
      <c r="H7" s="5" t="e">
        <f>IF(VLOOKUP($B7,Table2[[prolific]:[feedbackTime]],9,FALSE)=VLOOKUP(H$1,Table1[],2,FALSE),1,0)</f>
        <v>#N/A</v>
      </c>
      <c r="I7" s="5" t="e">
        <f>IF(VLOOKUP($B7,Table2[[prolific]:[feedbackTime]],10,FALSE)=VLOOKUP(I$1,Table1[],2,FALSE),1,0)</f>
        <v>#N/A</v>
      </c>
      <c r="J7" s="5" t="e">
        <f>IF(VLOOKUP($B7,Table2[[prolific]:[feedbackTime]],11,FALSE)=VLOOKUP(J$1,Table1[],2,FALSE),1,0)</f>
        <v>#N/A</v>
      </c>
      <c r="K7" s="5" t="e">
        <f>IF(VLOOKUP($B7,Table2[[prolific]:[feedbackTime]],12,FALSE)=VLOOKUP(K$1,Table1[],2,FALSE),1,0)</f>
        <v>#N/A</v>
      </c>
      <c r="L7" s="5" t="e">
        <f>IF(VLOOKUP($B7,Table2[[prolific]:[feedbackTime]],13,FALSE)=VLOOKUP(L$1,Table1[],2,FALSE),1,0)</f>
        <v>#N/A</v>
      </c>
      <c r="M7" s="5" t="e">
        <f>IF(VLOOKUP($B7,Table2[[prolific]:[feedbackTime]],14,FALSE)=VLOOKUP(M$1,Table1[],2,FALSE),1,0)</f>
        <v>#N/A</v>
      </c>
      <c r="N7" s="5" t="e">
        <f t="shared" si="3"/>
        <v>#N/A</v>
      </c>
      <c r="O7" s="7" t="e">
        <f t="shared" si="4"/>
        <v>#N/A</v>
      </c>
      <c r="P7" s="5" t="e">
        <f>IF(VLOOKUP($B7,Table2[[prolific]:[feedbackTime]],15,FALSE)=VLOOKUP(P$1,Table1[],2,FALSE),1,0)</f>
        <v>#N/A</v>
      </c>
      <c r="Q7" s="5" t="e">
        <f>IF(VLOOKUP($B7,Table2[[prolific]:[feedbackTime]],16,FALSE)=VLOOKUP(Q$1,Table1[],2,FALSE),1,0)</f>
        <v>#N/A</v>
      </c>
      <c r="R7" s="5" t="e">
        <f>IF(VLOOKUP($B7,Table2[[prolific]:[feedbackTime]],17,FALSE)=VLOOKUP(R$1,Table1[],2,FALSE),1,0)</f>
        <v>#N/A</v>
      </c>
      <c r="S7" s="5" t="e">
        <f>IF(VLOOKUP($B7,Table2[[prolific]:[feedbackTime]],18,FALSE)=VLOOKUP(S$1,Table1[],2,FALSE),1,0)</f>
        <v>#N/A</v>
      </c>
      <c r="T7" s="5" t="e">
        <f>IF(VLOOKUP($B7,Table2[[prolific]:[feedbackTime]],19,FALSE)=VLOOKUP(T$1,Table1[],2,FALSE),1,0)</f>
        <v>#N/A</v>
      </c>
      <c r="U7" s="5" t="e">
        <f>IF(VLOOKUP($B7,Table2[[prolific]:[feedbackTime]],20,FALSE)=VLOOKUP(U$1,Table1[],2,FALSE),1,0)</f>
        <v>#N/A</v>
      </c>
      <c r="V7" s="5" t="e">
        <f>IF(VLOOKUP($B7,Table2[[prolific]:[feedbackTime]],21,FALSE)=VLOOKUP(V$1,Table1[],2,FALSE),1,0)</f>
        <v>#N/A</v>
      </c>
      <c r="W7" s="5" t="e">
        <f>IF(VLOOKUP($B7,Table2[[prolific]:[feedbackTime]],22,FALSE)=VLOOKUP(W$1,Table1[],2,FALSE),1,0)</f>
        <v>#N/A</v>
      </c>
      <c r="X7" s="5" t="e">
        <f t="shared" si="5"/>
        <v>#N/A</v>
      </c>
      <c r="Y7" s="7" t="e">
        <f t="shared" si="6"/>
        <v>#N/A</v>
      </c>
      <c r="Z7" s="5" t="e">
        <f>IF(VLOOKUP($B7,Table2[[prolific]:[feedbackTime]],23,FALSE)=VLOOKUP(Z$1,Table1[],2,FALSE),1,0)</f>
        <v>#N/A</v>
      </c>
      <c r="AA7" s="5" t="e">
        <f>IF(VLOOKUP($B7,Table2[[prolific]:[feedbackTime]],24,FALSE)=VLOOKUP(AA$1,Table1[],2,FALSE),1,0)</f>
        <v>#N/A</v>
      </c>
      <c r="AB7" s="5" t="e">
        <f>IF(VLOOKUP($B7,Table2[[prolific]:[feedbackTime]],25,FALSE)=VLOOKUP(AB$1,Table1[],2,FALSE),1,0)</f>
        <v>#N/A</v>
      </c>
      <c r="AC7" s="5" t="e">
        <f>IF(VLOOKUP($B7,Table2[[prolific]:[feedbackTime]],26,FALSE)=VLOOKUP(AC$1,Table1[],2,FALSE),1,0)</f>
        <v>#N/A</v>
      </c>
      <c r="AD7" s="5" t="e">
        <f>IF(VLOOKUP($B7,Table2[[prolific]:[feedbackTime]],27,FALSE)=VLOOKUP(AD$1,Table1[],2,FALSE),1,0)</f>
        <v>#N/A</v>
      </c>
      <c r="AE7" s="5" t="e">
        <f>IF(VLOOKUP($B7,Table2[[prolific]:[feedbackTime]],28,FALSE)=VLOOKUP(AE$1,Table1[],2,FALSE),1,0)</f>
        <v>#N/A</v>
      </c>
      <c r="AF7" s="5" t="e">
        <f>IF(VLOOKUP($B7,Table2[[prolific]:[feedbackTime]],29,FALSE)=VLOOKUP(AF$1,Table1[],2,FALSE),1,0)</f>
        <v>#N/A</v>
      </c>
      <c r="AG7" s="5" t="e">
        <f>IF(VLOOKUP($B7,Table2[[prolific]:[feedbackTime]],30,FALSE)=VLOOKUP(AG$1,Table1[],2,FALSE),1,0)</f>
        <v>#N/A</v>
      </c>
      <c r="AH7" s="5" t="e">
        <f t="shared" si="7"/>
        <v>#N/A</v>
      </c>
      <c r="AI7" s="7" t="e">
        <f t="shared" si="8"/>
        <v>#N/A</v>
      </c>
      <c r="AJ7" s="7" t="e">
        <f t="shared" si="9"/>
        <v>#N/A</v>
      </c>
      <c r="AK7" s="5" t="e">
        <f t="shared" si="10"/>
        <v>#N/A</v>
      </c>
    </row>
    <row r="8" spans="1:37" x14ac:dyDescent="0.25">
      <c r="A8">
        <f t="shared" si="0"/>
        <v>1</v>
      </c>
      <c r="B8" s="5" t="s">
        <v>1223</v>
      </c>
      <c r="C8" s="5" t="e">
        <f>IF(VLOOKUP($B8,Table2[[prolific]:[feedbackTime]],6,FALSE)=VLOOKUP(C$1,Table1[],2,FALSE),1,0)</f>
        <v>#N/A</v>
      </c>
      <c r="D8" s="5" t="e">
        <f>IF(VLOOKUP($B8,Table2[[prolific]:[feedbackTime]],7,FALSE)=VLOOKUP(D$1,Table1[],2,FALSE),1,0)</f>
        <v>#N/A</v>
      </c>
      <c r="E8" s="5" t="e">
        <f>IF(VLOOKUP($B8,Table2[[prolific]:[feedbackTime]],8,FALSE)=VLOOKUP(E$1,Table1[],2,FALSE),1,0)</f>
        <v>#N/A</v>
      </c>
      <c r="F8" s="5" t="e">
        <f t="shared" si="1"/>
        <v>#N/A</v>
      </c>
      <c r="G8" s="7" t="e">
        <f t="shared" si="2"/>
        <v>#N/A</v>
      </c>
      <c r="H8" s="5" t="e">
        <f>IF(VLOOKUP($B8,Table2[[prolific]:[feedbackTime]],9,FALSE)=VLOOKUP(H$1,Table1[],2,FALSE),1,0)</f>
        <v>#N/A</v>
      </c>
      <c r="I8" s="5" t="e">
        <f>IF(VLOOKUP($B8,Table2[[prolific]:[feedbackTime]],10,FALSE)=VLOOKUP(I$1,Table1[],2,FALSE),1,0)</f>
        <v>#N/A</v>
      </c>
      <c r="J8" s="5" t="e">
        <f>IF(VLOOKUP($B8,Table2[[prolific]:[feedbackTime]],11,FALSE)=VLOOKUP(J$1,Table1[],2,FALSE),1,0)</f>
        <v>#N/A</v>
      </c>
      <c r="K8" s="5" t="e">
        <f>IF(VLOOKUP($B8,Table2[[prolific]:[feedbackTime]],12,FALSE)=VLOOKUP(K$1,Table1[],2,FALSE),1,0)</f>
        <v>#N/A</v>
      </c>
      <c r="L8" s="5" t="e">
        <f>IF(VLOOKUP($B8,Table2[[prolific]:[feedbackTime]],13,FALSE)=VLOOKUP(L$1,Table1[],2,FALSE),1,0)</f>
        <v>#N/A</v>
      </c>
      <c r="M8" s="5" t="e">
        <f>IF(VLOOKUP($B8,Table2[[prolific]:[feedbackTime]],14,FALSE)=VLOOKUP(M$1,Table1[],2,FALSE),1,0)</f>
        <v>#N/A</v>
      </c>
      <c r="N8" s="5" t="e">
        <f t="shared" si="3"/>
        <v>#N/A</v>
      </c>
      <c r="O8" s="7" t="e">
        <f t="shared" si="4"/>
        <v>#N/A</v>
      </c>
      <c r="P8" s="5" t="e">
        <f>IF(VLOOKUP($B8,Table2[[prolific]:[feedbackTime]],15,FALSE)=VLOOKUP(P$1,Table1[],2,FALSE),1,0)</f>
        <v>#N/A</v>
      </c>
      <c r="Q8" s="5" t="e">
        <f>IF(VLOOKUP($B8,Table2[[prolific]:[feedbackTime]],16,FALSE)=VLOOKUP(Q$1,Table1[],2,FALSE),1,0)</f>
        <v>#N/A</v>
      </c>
      <c r="R8" s="5" t="e">
        <f>IF(VLOOKUP($B8,Table2[[prolific]:[feedbackTime]],17,FALSE)=VLOOKUP(R$1,Table1[],2,FALSE),1,0)</f>
        <v>#N/A</v>
      </c>
      <c r="S8" s="5" t="e">
        <f>IF(VLOOKUP($B8,Table2[[prolific]:[feedbackTime]],18,FALSE)=VLOOKUP(S$1,Table1[],2,FALSE),1,0)</f>
        <v>#N/A</v>
      </c>
      <c r="T8" s="5" t="e">
        <f>IF(VLOOKUP($B8,Table2[[prolific]:[feedbackTime]],19,FALSE)=VLOOKUP(T$1,Table1[],2,FALSE),1,0)</f>
        <v>#N/A</v>
      </c>
      <c r="U8" s="5" t="e">
        <f>IF(VLOOKUP($B8,Table2[[prolific]:[feedbackTime]],20,FALSE)=VLOOKUP(U$1,Table1[],2,FALSE),1,0)</f>
        <v>#N/A</v>
      </c>
      <c r="V8" s="5" t="e">
        <f>IF(VLOOKUP($B8,Table2[[prolific]:[feedbackTime]],21,FALSE)=VLOOKUP(V$1,Table1[],2,FALSE),1,0)</f>
        <v>#N/A</v>
      </c>
      <c r="W8" s="5" t="e">
        <f>IF(VLOOKUP($B8,Table2[[prolific]:[feedbackTime]],22,FALSE)=VLOOKUP(W$1,Table1[],2,FALSE),1,0)</f>
        <v>#N/A</v>
      </c>
      <c r="X8" s="5" t="e">
        <f t="shared" si="5"/>
        <v>#N/A</v>
      </c>
      <c r="Y8" s="7" t="e">
        <f t="shared" si="6"/>
        <v>#N/A</v>
      </c>
      <c r="Z8" s="5" t="e">
        <f>IF(VLOOKUP($B8,Table2[[prolific]:[feedbackTime]],23,FALSE)=VLOOKUP(Z$1,Table1[],2,FALSE),1,0)</f>
        <v>#N/A</v>
      </c>
      <c r="AA8" s="5" t="e">
        <f>IF(VLOOKUP($B8,Table2[[prolific]:[feedbackTime]],24,FALSE)=VLOOKUP(AA$1,Table1[],2,FALSE),1,0)</f>
        <v>#N/A</v>
      </c>
      <c r="AB8" s="5" t="e">
        <f>IF(VLOOKUP($B8,Table2[[prolific]:[feedbackTime]],25,FALSE)=VLOOKUP(AB$1,Table1[],2,FALSE),1,0)</f>
        <v>#N/A</v>
      </c>
      <c r="AC8" s="5" t="e">
        <f>IF(VLOOKUP($B8,Table2[[prolific]:[feedbackTime]],26,FALSE)=VLOOKUP(AC$1,Table1[],2,FALSE),1,0)</f>
        <v>#N/A</v>
      </c>
      <c r="AD8" s="5" t="e">
        <f>IF(VLOOKUP($B8,Table2[[prolific]:[feedbackTime]],27,FALSE)=VLOOKUP(AD$1,Table1[],2,FALSE),1,0)</f>
        <v>#N/A</v>
      </c>
      <c r="AE8" s="5" t="e">
        <f>IF(VLOOKUP($B8,Table2[[prolific]:[feedbackTime]],28,FALSE)=VLOOKUP(AE$1,Table1[],2,FALSE),1,0)</f>
        <v>#N/A</v>
      </c>
      <c r="AF8" s="5" t="e">
        <f>IF(VLOOKUP($B8,Table2[[prolific]:[feedbackTime]],29,FALSE)=VLOOKUP(AF$1,Table1[],2,FALSE),1,0)</f>
        <v>#N/A</v>
      </c>
      <c r="AG8" s="5" t="e">
        <f>IF(VLOOKUP($B8,Table2[[prolific]:[feedbackTime]],30,FALSE)=VLOOKUP(AG$1,Table1[],2,FALSE),1,0)</f>
        <v>#N/A</v>
      </c>
      <c r="AH8" s="5" t="e">
        <f t="shared" si="7"/>
        <v>#N/A</v>
      </c>
      <c r="AI8" s="7" t="e">
        <f t="shared" si="8"/>
        <v>#N/A</v>
      </c>
      <c r="AJ8" s="7" t="e">
        <f t="shared" si="9"/>
        <v>#N/A</v>
      </c>
      <c r="AK8" s="5" t="e">
        <f t="shared" si="10"/>
        <v>#N/A</v>
      </c>
    </row>
    <row r="9" spans="1:37" x14ac:dyDescent="0.25">
      <c r="A9">
        <f t="shared" si="0"/>
        <v>1</v>
      </c>
      <c r="B9" s="6" t="s">
        <v>1224</v>
      </c>
      <c r="C9" s="5" t="e">
        <f>IF(VLOOKUP($B9,Table2[[prolific]:[feedbackTime]],6,FALSE)=VLOOKUP(C$1,Table1[],2,FALSE),1,0)</f>
        <v>#N/A</v>
      </c>
      <c r="D9" s="5" t="e">
        <f>IF(VLOOKUP($B9,Table2[[prolific]:[feedbackTime]],7,FALSE)=VLOOKUP(D$1,Table1[],2,FALSE),1,0)</f>
        <v>#N/A</v>
      </c>
      <c r="E9" s="5" t="e">
        <f>IF(VLOOKUP($B9,Table2[[prolific]:[feedbackTime]],8,FALSE)=VLOOKUP(E$1,Table1[],2,FALSE),1,0)</f>
        <v>#N/A</v>
      </c>
      <c r="F9" s="5" t="e">
        <f t="shared" si="1"/>
        <v>#N/A</v>
      </c>
      <c r="G9" s="7" t="e">
        <f t="shared" si="2"/>
        <v>#N/A</v>
      </c>
      <c r="H9" s="5" t="e">
        <f>IF(VLOOKUP($B9,Table2[[prolific]:[feedbackTime]],9,FALSE)=VLOOKUP(H$1,Table1[],2,FALSE),1,0)</f>
        <v>#N/A</v>
      </c>
      <c r="I9" s="5" t="e">
        <f>IF(VLOOKUP($B9,Table2[[prolific]:[feedbackTime]],10,FALSE)=VLOOKUP(I$1,Table1[],2,FALSE),1,0)</f>
        <v>#N/A</v>
      </c>
      <c r="J9" s="5" t="e">
        <f>IF(VLOOKUP($B9,Table2[[prolific]:[feedbackTime]],11,FALSE)=VLOOKUP(J$1,Table1[],2,FALSE),1,0)</f>
        <v>#N/A</v>
      </c>
      <c r="K9" s="5" t="e">
        <f>IF(VLOOKUP($B9,Table2[[prolific]:[feedbackTime]],12,FALSE)=VLOOKUP(K$1,Table1[],2,FALSE),1,0)</f>
        <v>#N/A</v>
      </c>
      <c r="L9" s="5" t="e">
        <f>IF(VLOOKUP($B9,Table2[[prolific]:[feedbackTime]],13,FALSE)=VLOOKUP(L$1,Table1[],2,FALSE),1,0)</f>
        <v>#N/A</v>
      </c>
      <c r="M9" s="5" t="e">
        <f>IF(VLOOKUP($B9,Table2[[prolific]:[feedbackTime]],14,FALSE)=VLOOKUP(M$1,Table1[],2,FALSE),1,0)</f>
        <v>#N/A</v>
      </c>
      <c r="N9" s="5" t="e">
        <f t="shared" si="3"/>
        <v>#N/A</v>
      </c>
      <c r="O9" s="7" t="e">
        <f t="shared" si="4"/>
        <v>#N/A</v>
      </c>
      <c r="P9" s="5" t="e">
        <f>IF(VLOOKUP($B9,Table2[[prolific]:[feedbackTime]],15,FALSE)=VLOOKUP(P$1,Table1[],2,FALSE),1,0)</f>
        <v>#N/A</v>
      </c>
      <c r="Q9" s="5" t="e">
        <f>IF(VLOOKUP($B9,Table2[[prolific]:[feedbackTime]],16,FALSE)=VLOOKUP(Q$1,Table1[],2,FALSE),1,0)</f>
        <v>#N/A</v>
      </c>
      <c r="R9" s="5" t="e">
        <f>IF(VLOOKUP($B9,Table2[[prolific]:[feedbackTime]],17,FALSE)=VLOOKUP(R$1,Table1[],2,FALSE),1,0)</f>
        <v>#N/A</v>
      </c>
      <c r="S9" s="5" t="e">
        <f>IF(VLOOKUP($B9,Table2[[prolific]:[feedbackTime]],18,FALSE)=VLOOKUP(S$1,Table1[],2,FALSE),1,0)</f>
        <v>#N/A</v>
      </c>
      <c r="T9" s="5" t="e">
        <f>IF(VLOOKUP($B9,Table2[[prolific]:[feedbackTime]],19,FALSE)=VLOOKUP(T$1,Table1[],2,FALSE),1,0)</f>
        <v>#N/A</v>
      </c>
      <c r="U9" s="5" t="e">
        <f>IF(VLOOKUP($B9,Table2[[prolific]:[feedbackTime]],20,FALSE)=VLOOKUP(U$1,Table1[],2,FALSE),1,0)</f>
        <v>#N/A</v>
      </c>
      <c r="V9" s="5" t="e">
        <f>IF(VLOOKUP($B9,Table2[[prolific]:[feedbackTime]],21,FALSE)=VLOOKUP(V$1,Table1[],2,FALSE),1,0)</f>
        <v>#N/A</v>
      </c>
      <c r="W9" s="5" t="e">
        <f>IF(VLOOKUP($B9,Table2[[prolific]:[feedbackTime]],22,FALSE)=VLOOKUP(W$1,Table1[],2,FALSE),1,0)</f>
        <v>#N/A</v>
      </c>
      <c r="X9" s="5" t="e">
        <f t="shared" si="5"/>
        <v>#N/A</v>
      </c>
      <c r="Y9" s="7" t="e">
        <f t="shared" si="6"/>
        <v>#N/A</v>
      </c>
      <c r="Z9" s="5" t="e">
        <f>IF(VLOOKUP($B9,Table2[[prolific]:[feedbackTime]],23,FALSE)=VLOOKUP(Z$1,Table1[],2,FALSE),1,0)</f>
        <v>#N/A</v>
      </c>
      <c r="AA9" s="5" t="e">
        <f>IF(VLOOKUP($B9,Table2[[prolific]:[feedbackTime]],24,FALSE)=VLOOKUP(AA$1,Table1[],2,FALSE),1,0)</f>
        <v>#N/A</v>
      </c>
      <c r="AB9" s="5" t="e">
        <f>IF(VLOOKUP($B9,Table2[[prolific]:[feedbackTime]],25,FALSE)=VLOOKUP(AB$1,Table1[],2,FALSE),1,0)</f>
        <v>#N/A</v>
      </c>
      <c r="AC9" s="5" t="e">
        <f>IF(VLOOKUP($B9,Table2[[prolific]:[feedbackTime]],26,FALSE)=VLOOKUP(AC$1,Table1[],2,FALSE),1,0)</f>
        <v>#N/A</v>
      </c>
      <c r="AD9" s="5" t="e">
        <f>IF(VLOOKUP($B9,Table2[[prolific]:[feedbackTime]],27,FALSE)=VLOOKUP(AD$1,Table1[],2,FALSE),1,0)</f>
        <v>#N/A</v>
      </c>
      <c r="AE9" s="5" t="e">
        <f>IF(VLOOKUP($B9,Table2[[prolific]:[feedbackTime]],28,FALSE)=VLOOKUP(AE$1,Table1[],2,FALSE),1,0)</f>
        <v>#N/A</v>
      </c>
      <c r="AF9" s="5" t="e">
        <f>IF(VLOOKUP($B9,Table2[[prolific]:[feedbackTime]],29,FALSE)=VLOOKUP(AF$1,Table1[],2,FALSE),1,0)</f>
        <v>#N/A</v>
      </c>
      <c r="AG9" s="5" t="e">
        <f>IF(VLOOKUP($B9,Table2[[prolific]:[feedbackTime]],30,FALSE)=VLOOKUP(AG$1,Table1[],2,FALSE),1,0)</f>
        <v>#N/A</v>
      </c>
      <c r="AH9" s="5" t="e">
        <f t="shared" si="7"/>
        <v>#N/A</v>
      </c>
      <c r="AI9" s="7" t="e">
        <f t="shared" si="8"/>
        <v>#N/A</v>
      </c>
      <c r="AJ9" s="7" t="e">
        <f t="shared" si="9"/>
        <v>#N/A</v>
      </c>
      <c r="AK9" s="5" t="e">
        <f t="shared" si="10"/>
        <v>#N/A</v>
      </c>
    </row>
    <row r="10" spans="1:37" x14ac:dyDescent="0.25">
      <c r="A10">
        <f t="shared" si="0"/>
        <v>1</v>
      </c>
      <c r="B10" s="5" t="s">
        <v>1225</v>
      </c>
      <c r="C10" s="5" t="e">
        <f>IF(VLOOKUP($B10,Table2[[prolific]:[feedbackTime]],6,FALSE)=VLOOKUP(C$1,Table1[],2,FALSE),1,0)</f>
        <v>#N/A</v>
      </c>
      <c r="D10" s="5" t="e">
        <f>IF(VLOOKUP($B10,Table2[[prolific]:[feedbackTime]],7,FALSE)=VLOOKUP(D$1,Table1[],2,FALSE),1,0)</f>
        <v>#N/A</v>
      </c>
      <c r="E10" s="5" t="e">
        <f>IF(VLOOKUP($B10,Table2[[prolific]:[feedbackTime]],8,FALSE)=VLOOKUP(E$1,Table1[],2,FALSE),1,0)</f>
        <v>#N/A</v>
      </c>
      <c r="F10" s="5" t="e">
        <f t="shared" si="1"/>
        <v>#N/A</v>
      </c>
      <c r="G10" s="7" t="e">
        <f t="shared" si="2"/>
        <v>#N/A</v>
      </c>
      <c r="H10" s="5" t="e">
        <f>IF(VLOOKUP($B10,Table2[[prolific]:[feedbackTime]],9,FALSE)=VLOOKUP(H$1,Table1[],2,FALSE),1,0)</f>
        <v>#N/A</v>
      </c>
      <c r="I10" s="5" t="e">
        <f>IF(VLOOKUP($B10,Table2[[prolific]:[feedbackTime]],10,FALSE)=VLOOKUP(I$1,Table1[],2,FALSE),1,0)</f>
        <v>#N/A</v>
      </c>
      <c r="J10" s="5" t="e">
        <f>IF(VLOOKUP($B10,Table2[[prolific]:[feedbackTime]],11,FALSE)=VLOOKUP(J$1,Table1[],2,FALSE),1,0)</f>
        <v>#N/A</v>
      </c>
      <c r="K10" s="5" t="e">
        <f>IF(VLOOKUP($B10,Table2[[prolific]:[feedbackTime]],12,FALSE)=VLOOKUP(K$1,Table1[],2,FALSE),1,0)</f>
        <v>#N/A</v>
      </c>
      <c r="L10" s="5" t="e">
        <f>IF(VLOOKUP($B10,Table2[[prolific]:[feedbackTime]],13,FALSE)=VLOOKUP(L$1,Table1[],2,FALSE),1,0)</f>
        <v>#N/A</v>
      </c>
      <c r="M10" s="5" t="e">
        <f>IF(VLOOKUP($B10,Table2[[prolific]:[feedbackTime]],14,FALSE)=VLOOKUP(M$1,Table1[],2,FALSE),1,0)</f>
        <v>#N/A</v>
      </c>
      <c r="N10" s="5" t="e">
        <f t="shared" si="3"/>
        <v>#N/A</v>
      </c>
      <c r="O10" s="7" t="e">
        <f t="shared" si="4"/>
        <v>#N/A</v>
      </c>
      <c r="P10" s="5" t="e">
        <f>IF(VLOOKUP($B10,Table2[[prolific]:[feedbackTime]],15,FALSE)=VLOOKUP(P$1,Table1[],2,FALSE),1,0)</f>
        <v>#N/A</v>
      </c>
      <c r="Q10" s="5" t="e">
        <f>IF(VLOOKUP($B10,Table2[[prolific]:[feedbackTime]],16,FALSE)=VLOOKUP(Q$1,Table1[],2,FALSE),1,0)</f>
        <v>#N/A</v>
      </c>
      <c r="R10" s="5" t="e">
        <f>IF(VLOOKUP($B10,Table2[[prolific]:[feedbackTime]],17,FALSE)=VLOOKUP(R$1,Table1[],2,FALSE),1,0)</f>
        <v>#N/A</v>
      </c>
      <c r="S10" s="5" t="e">
        <f>IF(VLOOKUP($B10,Table2[[prolific]:[feedbackTime]],18,FALSE)=VLOOKUP(S$1,Table1[],2,FALSE),1,0)</f>
        <v>#N/A</v>
      </c>
      <c r="T10" s="5" t="e">
        <f>IF(VLOOKUP($B10,Table2[[prolific]:[feedbackTime]],19,FALSE)=VLOOKUP(T$1,Table1[],2,FALSE),1,0)</f>
        <v>#N/A</v>
      </c>
      <c r="U10" s="5" t="e">
        <f>IF(VLOOKUP($B10,Table2[[prolific]:[feedbackTime]],20,FALSE)=VLOOKUP(U$1,Table1[],2,FALSE),1,0)</f>
        <v>#N/A</v>
      </c>
      <c r="V10" s="5" t="e">
        <f>IF(VLOOKUP($B10,Table2[[prolific]:[feedbackTime]],21,FALSE)=VLOOKUP(V$1,Table1[],2,FALSE),1,0)</f>
        <v>#N/A</v>
      </c>
      <c r="W10" s="5" t="e">
        <f>IF(VLOOKUP($B10,Table2[[prolific]:[feedbackTime]],22,FALSE)=VLOOKUP(W$1,Table1[],2,FALSE),1,0)</f>
        <v>#N/A</v>
      </c>
      <c r="X10" s="5" t="e">
        <f t="shared" si="5"/>
        <v>#N/A</v>
      </c>
      <c r="Y10" s="7" t="e">
        <f t="shared" si="6"/>
        <v>#N/A</v>
      </c>
      <c r="Z10" s="5" t="e">
        <f>IF(VLOOKUP($B10,Table2[[prolific]:[feedbackTime]],23,FALSE)=VLOOKUP(Z$1,Table1[],2,FALSE),1,0)</f>
        <v>#N/A</v>
      </c>
      <c r="AA10" s="5" t="e">
        <f>IF(VLOOKUP($B10,Table2[[prolific]:[feedbackTime]],24,FALSE)=VLOOKUP(AA$1,Table1[],2,FALSE),1,0)</f>
        <v>#N/A</v>
      </c>
      <c r="AB10" s="5" t="e">
        <f>IF(VLOOKUP($B10,Table2[[prolific]:[feedbackTime]],25,FALSE)=VLOOKUP(AB$1,Table1[],2,FALSE),1,0)</f>
        <v>#N/A</v>
      </c>
      <c r="AC10" s="5" t="e">
        <f>IF(VLOOKUP($B10,Table2[[prolific]:[feedbackTime]],26,FALSE)=VLOOKUP(AC$1,Table1[],2,FALSE),1,0)</f>
        <v>#N/A</v>
      </c>
      <c r="AD10" s="5" t="e">
        <f>IF(VLOOKUP($B10,Table2[[prolific]:[feedbackTime]],27,FALSE)=VLOOKUP(AD$1,Table1[],2,FALSE),1,0)</f>
        <v>#N/A</v>
      </c>
      <c r="AE10" s="5" t="e">
        <f>IF(VLOOKUP($B10,Table2[[prolific]:[feedbackTime]],28,FALSE)=VLOOKUP(AE$1,Table1[],2,FALSE),1,0)</f>
        <v>#N/A</v>
      </c>
      <c r="AF10" s="5" t="e">
        <f>IF(VLOOKUP($B10,Table2[[prolific]:[feedbackTime]],29,FALSE)=VLOOKUP(AF$1,Table1[],2,FALSE),1,0)</f>
        <v>#N/A</v>
      </c>
      <c r="AG10" s="5" t="e">
        <f>IF(VLOOKUP($B10,Table2[[prolific]:[feedbackTime]],30,FALSE)=VLOOKUP(AG$1,Table1[],2,FALSE),1,0)</f>
        <v>#N/A</v>
      </c>
      <c r="AH10" s="5" t="e">
        <f t="shared" si="7"/>
        <v>#N/A</v>
      </c>
      <c r="AI10" s="7" t="e">
        <f t="shared" si="8"/>
        <v>#N/A</v>
      </c>
      <c r="AJ10" s="7" t="e">
        <f t="shared" si="9"/>
        <v>#N/A</v>
      </c>
      <c r="AK10" s="5" t="e">
        <f t="shared" si="10"/>
        <v>#N/A</v>
      </c>
    </row>
    <row r="11" spans="1:37" x14ac:dyDescent="0.25">
      <c r="A11">
        <f t="shared" si="0"/>
        <v>1</v>
      </c>
      <c r="B11" s="6" t="s">
        <v>1226</v>
      </c>
      <c r="C11" s="5" t="e">
        <f>IF(VLOOKUP($B11,Table2[[prolific]:[feedbackTime]],6,FALSE)=VLOOKUP(C$1,Table1[],2,FALSE),1,0)</f>
        <v>#N/A</v>
      </c>
      <c r="D11" s="5" t="e">
        <f>IF(VLOOKUP($B11,Table2[[prolific]:[feedbackTime]],7,FALSE)=VLOOKUP(D$1,Table1[],2,FALSE),1,0)</f>
        <v>#N/A</v>
      </c>
      <c r="E11" s="5" t="e">
        <f>IF(VLOOKUP($B11,Table2[[prolific]:[feedbackTime]],8,FALSE)=VLOOKUP(E$1,Table1[],2,FALSE),1,0)</f>
        <v>#N/A</v>
      </c>
      <c r="F11" s="5" t="e">
        <f t="shared" si="1"/>
        <v>#N/A</v>
      </c>
      <c r="G11" s="7" t="e">
        <f t="shared" si="2"/>
        <v>#N/A</v>
      </c>
      <c r="H11" s="5" t="e">
        <f>IF(VLOOKUP($B11,Table2[[prolific]:[feedbackTime]],9,FALSE)=VLOOKUP(H$1,Table1[],2,FALSE),1,0)</f>
        <v>#N/A</v>
      </c>
      <c r="I11" s="5" t="e">
        <f>IF(VLOOKUP($B11,Table2[[prolific]:[feedbackTime]],10,FALSE)=VLOOKUP(I$1,Table1[],2,FALSE),1,0)</f>
        <v>#N/A</v>
      </c>
      <c r="J11" s="5" t="e">
        <f>IF(VLOOKUP($B11,Table2[[prolific]:[feedbackTime]],11,FALSE)=VLOOKUP(J$1,Table1[],2,FALSE),1,0)</f>
        <v>#N/A</v>
      </c>
      <c r="K11" s="5" t="e">
        <f>IF(VLOOKUP($B11,Table2[[prolific]:[feedbackTime]],12,FALSE)=VLOOKUP(K$1,Table1[],2,FALSE),1,0)</f>
        <v>#N/A</v>
      </c>
      <c r="L11" s="5" t="e">
        <f>IF(VLOOKUP($B11,Table2[[prolific]:[feedbackTime]],13,FALSE)=VLOOKUP(L$1,Table1[],2,FALSE),1,0)</f>
        <v>#N/A</v>
      </c>
      <c r="M11" s="5" t="e">
        <f>IF(VLOOKUP($B11,Table2[[prolific]:[feedbackTime]],14,FALSE)=VLOOKUP(M$1,Table1[],2,FALSE),1,0)</f>
        <v>#N/A</v>
      </c>
      <c r="N11" s="5" t="e">
        <f t="shared" si="3"/>
        <v>#N/A</v>
      </c>
      <c r="O11" s="7" t="e">
        <f t="shared" si="4"/>
        <v>#N/A</v>
      </c>
      <c r="P11" s="5" t="e">
        <f>IF(VLOOKUP($B11,Table2[[prolific]:[feedbackTime]],15,FALSE)=VLOOKUP(P$1,Table1[],2,FALSE),1,0)</f>
        <v>#N/A</v>
      </c>
      <c r="Q11" s="5" t="e">
        <f>IF(VLOOKUP($B11,Table2[[prolific]:[feedbackTime]],16,FALSE)=VLOOKUP(Q$1,Table1[],2,FALSE),1,0)</f>
        <v>#N/A</v>
      </c>
      <c r="R11" s="5" t="e">
        <f>IF(VLOOKUP($B11,Table2[[prolific]:[feedbackTime]],17,FALSE)=VLOOKUP(R$1,Table1[],2,FALSE),1,0)</f>
        <v>#N/A</v>
      </c>
      <c r="S11" s="5" t="e">
        <f>IF(VLOOKUP($B11,Table2[[prolific]:[feedbackTime]],18,FALSE)=VLOOKUP(S$1,Table1[],2,FALSE),1,0)</f>
        <v>#N/A</v>
      </c>
      <c r="T11" s="5" t="e">
        <f>IF(VLOOKUP($B11,Table2[[prolific]:[feedbackTime]],19,FALSE)=VLOOKUP(T$1,Table1[],2,FALSE),1,0)</f>
        <v>#N/A</v>
      </c>
      <c r="U11" s="5" t="e">
        <f>IF(VLOOKUP($B11,Table2[[prolific]:[feedbackTime]],20,FALSE)=VLOOKUP(U$1,Table1[],2,FALSE),1,0)</f>
        <v>#N/A</v>
      </c>
      <c r="V11" s="5" t="e">
        <f>IF(VLOOKUP($B11,Table2[[prolific]:[feedbackTime]],21,FALSE)=VLOOKUP(V$1,Table1[],2,FALSE),1,0)</f>
        <v>#N/A</v>
      </c>
      <c r="W11" s="5" t="e">
        <f>IF(VLOOKUP($B11,Table2[[prolific]:[feedbackTime]],22,FALSE)=VLOOKUP(W$1,Table1[],2,FALSE),1,0)</f>
        <v>#N/A</v>
      </c>
      <c r="X11" s="5" t="e">
        <f t="shared" si="5"/>
        <v>#N/A</v>
      </c>
      <c r="Y11" s="7" t="e">
        <f t="shared" si="6"/>
        <v>#N/A</v>
      </c>
      <c r="Z11" s="5" t="e">
        <f>IF(VLOOKUP($B11,Table2[[prolific]:[feedbackTime]],23,FALSE)=VLOOKUP(Z$1,Table1[],2,FALSE),1,0)</f>
        <v>#N/A</v>
      </c>
      <c r="AA11" s="5" t="e">
        <f>IF(VLOOKUP($B11,Table2[[prolific]:[feedbackTime]],24,FALSE)=VLOOKUP(AA$1,Table1[],2,FALSE),1,0)</f>
        <v>#N/A</v>
      </c>
      <c r="AB11" s="5" t="e">
        <f>IF(VLOOKUP($B11,Table2[[prolific]:[feedbackTime]],25,FALSE)=VLOOKUP(AB$1,Table1[],2,FALSE),1,0)</f>
        <v>#N/A</v>
      </c>
      <c r="AC11" s="5" t="e">
        <f>IF(VLOOKUP($B11,Table2[[prolific]:[feedbackTime]],26,FALSE)=VLOOKUP(AC$1,Table1[],2,FALSE),1,0)</f>
        <v>#N/A</v>
      </c>
      <c r="AD11" s="5" t="e">
        <f>IF(VLOOKUP($B11,Table2[[prolific]:[feedbackTime]],27,FALSE)=VLOOKUP(AD$1,Table1[],2,FALSE),1,0)</f>
        <v>#N/A</v>
      </c>
      <c r="AE11" s="5" t="e">
        <f>IF(VLOOKUP($B11,Table2[[prolific]:[feedbackTime]],28,FALSE)=VLOOKUP(AE$1,Table1[],2,FALSE),1,0)</f>
        <v>#N/A</v>
      </c>
      <c r="AF11" s="5" t="e">
        <f>IF(VLOOKUP($B11,Table2[[prolific]:[feedbackTime]],29,FALSE)=VLOOKUP(AF$1,Table1[],2,FALSE),1,0)</f>
        <v>#N/A</v>
      </c>
      <c r="AG11" s="5" t="e">
        <f>IF(VLOOKUP($B11,Table2[[prolific]:[feedbackTime]],30,FALSE)=VLOOKUP(AG$1,Table1[],2,FALSE),1,0)</f>
        <v>#N/A</v>
      </c>
      <c r="AH11" s="5" t="e">
        <f t="shared" si="7"/>
        <v>#N/A</v>
      </c>
      <c r="AI11" s="7" t="e">
        <f t="shared" si="8"/>
        <v>#N/A</v>
      </c>
      <c r="AJ11" s="7" t="e">
        <f t="shared" si="9"/>
        <v>#N/A</v>
      </c>
      <c r="AK11" s="5" t="e">
        <f t="shared" si="10"/>
        <v>#N/A</v>
      </c>
    </row>
    <row r="12" spans="1:37" x14ac:dyDescent="0.25">
      <c r="A12">
        <f t="shared" si="0"/>
        <v>1</v>
      </c>
      <c r="B12" s="5" t="s">
        <v>1227</v>
      </c>
      <c r="C12" s="5" t="e">
        <f>IF(VLOOKUP($B12,Table2[[prolific]:[feedbackTime]],6,FALSE)=VLOOKUP(C$1,Table1[],2,FALSE),1,0)</f>
        <v>#N/A</v>
      </c>
      <c r="D12" s="5" t="e">
        <f>IF(VLOOKUP($B12,Table2[[prolific]:[feedbackTime]],7,FALSE)=VLOOKUP(D$1,Table1[],2,FALSE),1,0)</f>
        <v>#N/A</v>
      </c>
      <c r="E12" s="5" t="e">
        <f>IF(VLOOKUP($B12,Table2[[prolific]:[feedbackTime]],8,FALSE)=VLOOKUP(E$1,Table1[],2,FALSE),1,0)</f>
        <v>#N/A</v>
      </c>
      <c r="F12" s="5" t="e">
        <f t="shared" si="1"/>
        <v>#N/A</v>
      </c>
      <c r="G12" s="7" t="e">
        <f t="shared" si="2"/>
        <v>#N/A</v>
      </c>
      <c r="H12" s="5" t="e">
        <f>IF(VLOOKUP($B12,Table2[[prolific]:[feedbackTime]],9,FALSE)=VLOOKUP(H$1,Table1[],2,FALSE),1,0)</f>
        <v>#N/A</v>
      </c>
      <c r="I12" s="5" t="e">
        <f>IF(VLOOKUP($B12,Table2[[prolific]:[feedbackTime]],10,FALSE)=VLOOKUP(I$1,Table1[],2,FALSE),1,0)</f>
        <v>#N/A</v>
      </c>
      <c r="J12" s="5" t="e">
        <f>IF(VLOOKUP($B12,Table2[[prolific]:[feedbackTime]],11,FALSE)=VLOOKUP(J$1,Table1[],2,FALSE),1,0)</f>
        <v>#N/A</v>
      </c>
      <c r="K12" s="5" t="e">
        <f>IF(VLOOKUP($B12,Table2[[prolific]:[feedbackTime]],12,FALSE)=VLOOKUP(K$1,Table1[],2,FALSE),1,0)</f>
        <v>#N/A</v>
      </c>
      <c r="L12" s="5" t="e">
        <f>IF(VLOOKUP($B12,Table2[[prolific]:[feedbackTime]],13,FALSE)=VLOOKUP(L$1,Table1[],2,FALSE),1,0)</f>
        <v>#N/A</v>
      </c>
      <c r="M12" s="5" t="e">
        <f>IF(VLOOKUP($B12,Table2[[prolific]:[feedbackTime]],14,FALSE)=VLOOKUP(M$1,Table1[],2,FALSE),1,0)</f>
        <v>#N/A</v>
      </c>
      <c r="N12" s="5" t="e">
        <f t="shared" si="3"/>
        <v>#N/A</v>
      </c>
      <c r="O12" s="7" t="e">
        <f t="shared" si="4"/>
        <v>#N/A</v>
      </c>
      <c r="P12" s="5" t="e">
        <f>IF(VLOOKUP($B12,Table2[[prolific]:[feedbackTime]],15,FALSE)=VLOOKUP(P$1,Table1[],2,FALSE),1,0)</f>
        <v>#N/A</v>
      </c>
      <c r="Q12" s="5" t="e">
        <f>IF(VLOOKUP($B12,Table2[[prolific]:[feedbackTime]],16,FALSE)=VLOOKUP(Q$1,Table1[],2,FALSE),1,0)</f>
        <v>#N/A</v>
      </c>
      <c r="R12" s="5" t="e">
        <f>IF(VLOOKUP($B12,Table2[[prolific]:[feedbackTime]],17,FALSE)=VLOOKUP(R$1,Table1[],2,FALSE),1,0)</f>
        <v>#N/A</v>
      </c>
      <c r="S12" s="5" t="e">
        <f>IF(VLOOKUP($B12,Table2[[prolific]:[feedbackTime]],18,FALSE)=VLOOKUP(S$1,Table1[],2,FALSE),1,0)</f>
        <v>#N/A</v>
      </c>
      <c r="T12" s="5" t="e">
        <f>IF(VLOOKUP($B12,Table2[[prolific]:[feedbackTime]],19,FALSE)=VLOOKUP(T$1,Table1[],2,FALSE),1,0)</f>
        <v>#N/A</v>
      </c>
      <c r="U12" s="5" t="e">
        <f>IF(VLOOKUP($B12,Table2[[prolific]:[feedbackTime]],20,FALSE)=VLOOKUP(U$1,Table1[],2,FALSE),1,0)</f>
        <v>#N/A</v>
      </c>
      <c r="V12" s="5" t="e">
        <f>IF(VLOOKUP($B12,Table2[[prolific]:[feedbackTime]],21,FALSE)=VLOOKUP(V$1,Table1[],2,FALSE),1,0)</f>
        <v>#N/A</v>
      </c>
      <c r="W12" s="5" t="e">
        <f>IF(VLOOKUP($B12,Table2[[prolific]:[feedbackTime]],22,FALSE)=VLOOKUP(W$1,Table1[],2,FALSE),1,0)</f>
        <v>#N/A</v>
      </c>
      <c r="X12" s="5" t="e">
        <f t="shared" si="5"/>
        <v>#N/A</v>
      </c>
      <c r="Y12" s="7" t="e">
        <f t="shared" si="6"/>
        <v>#N/A</v>
      </c>
      <c r="Z12" s="5" t="e">
        <f>IF(VLOOKUP($B12,Table2[[prolific]:[feedbackTime]],23,FALSE)=VLOOKUP(Z$1,Table1[],2,FALSE),1,0)</f>
        <v>#N/A</v>
      </c>
      <c r="AA12" s="5" t="e">
        <f>IF(VLOOKUP($B12,Table2[[prolific]:[feedbackTime]],24,FALSE)=VLOOKUP(AA$1,Table1[],2,FALSE),1,0)</f>
        <v>#N/A</v>
      </c>
      <c r="AB12" s="5" t="e">
        <f>IF(VLOOKUP($B12,Table2[[prolific]:[feedbackTime]],25,FALSE)=VLOOKUP(AB$1,Table1[],2,FALSE),1,0)</f>
        <v>#N/A</v>
      </c>
      <c r="AC12" s="5" t="e">
        <f>IF(VLOOKUP($B12,Table2[[prolific]:[feedbackTime]],26,FALSE)=VLOOKUP(AC$1,Table1[],2,FALSE),1,0)</f>
        <v>#N/A</v>
      </c>
      <c r="AD12" s="5" t="e">
        <f>IF(VLOOKUP($B12,Table2[[prolific]:[feedbackTime]],27,FALSE)=VLOOKUP(AD$1,Table1[],2,FALSE),1,0)</f>
        <v>#N/A</v>
      </c>
      <c r="AE12" s="5" t="e">
        <f>IF(VLOOKUP($B12,Table2[[prolific]:[feedbackTime]],28,FALSE)=VLOOKUP(AE$1,Table1[],2,FALSE),1,0)</f>
        <v>#N/A</v>
      </c>
      <c r="AF12" s="5" t="e">
        <f>IF(VLOOKUP($B12,Table2[[prolific]:[feedbackTime]],29,FALSE)=VLOOKUP(AF$1,Table1[],2,FALSE),1,0)</f>
        <v>#N/A</v>
      </c>
      <c r="AG12" s="5" t="e">
        <f>IF(VLOOKUP($B12,Table2[[prolific]:[feedbackTime]],30,FALSE)=VLOOKUP(AG$1,Table1[],2,FALSE),1,0)</f>
        <v>#N/A</v>
      </c>
      <c r="AH12" s="5" t="e">
        <f t="shared" si="7"/>
        <v>#N/A</v>
      </c>
      <c r="AI12" s="7" t="e">
        <f t="shared" si="8"/>
        <v>#N/A</v>
      </c>
      <c r="AJ12" s="7" t="e">
        <f t="shared" si="9"/>
        <v>#N/A</v>
      </c>
      <c r="AK12" s="5" t="e">
        <f t="shared" si="10"/>
        <v>#N/A</v>
      </c>
    </row>
    <row r="13" spans="1:37" x14ac:dyDescent="0.25">
      <c r="A13">
        <f t="shared" si="0"/>
        <v>1</v>
      </c>
      <c r="B13" s="6" t="s">
        <v>1228</v>
      </c>
      <c r="C13" s="5" t="e">
        <f>IF(VLOOKUP($B13,Table2[[prolific]:[feedbackTime]],6,FALSE)=VLOOKUP(C$1,Table1[],2,FALSE),1,0)</f>
        <v>#N/A</v>
      </c>
      <c r="D13" s="5" t="e">
        <f>IF(VLOOKUP($B13,Table2[[prolific]:[feedbackTime]],7,FALSE)=VLOOKUP(D$1,Table1[],2,FALSE),1,0)</f>
        <v>#N/A</v>
      </c>
      <c r="E13" s="5" t="e">
        <f>IF(VLOOKUP($B13,Table2[[prolific]:[feedbackTime]],8,FALSE)=VLOOKUP(E$1,Table1[],2,FALSE),1,0)</f>
        <v>#N/A</v>
      </c>
      <c r="F13" s="5" t="e">
        <f t="shared" si="1"/>
        <v>#N/A</v>
      </c>
      <c r="G13" s="7" t="e">
        <f t="shared" si="2"/>
        <v>#N/A</v>
      </c>
      <c r="H13" s="5" t="e">
        <f>IF(VLOOKUP($B13,Table2[[prolific]:[feedbackTime]],9,FALSE)=VLOOKUP(H$1,Table1[],2,FALSE),1,0)</f>
        <v>#N/A</v>
      </c>
      <c r="I13" s="5" t="e">
        <f>IF(VLOOKUP($B13,Table2[[prolific]:[feedbackTime]],10,FALSE)=VLOOKUP(I$1,Table1[],2,FALSE),1,0)</f>
        <v>#N/A</v>
      </c>
      <c r="J13" s="5" t="e">
        <f>IF(VLOOKUP($B13,Table2[[prolific]:[feedbackTime]],11,FALSE)=VLOOKUP(J$1,Table1[],2,FALSE),1,0)</f>
        <v>#N/A</v>
      </c>
      <c r="K13" s="5" t="e">
        <f>IF(VLOOKUP($B13,Table2[[prolific]:[feedbackTime]],12,FALSE)=VLOOKUP(K$1,Table1[],2,FALSE),1,0)</f>
        <v>#N/A</v>
      </c>
      <c r="L13" s="5" t="e">
        <f>IF(VLOOKUP($B13,Table2[[prolific]:[feedbackTime]],13,FALSE)=VLOOKUP(L$1,Table1[],2,FALSE),1,0)</f>
        <v>#N/A</v>
      </c>
      <c r="M13" s="5" t="e">
        <f>IF(VLOOKUP($B13,Table2[[prolific]:[feedbackTime]],14,FALSE)=VLOOKUP(M$1,Table1[],2,FALSE),1,0)</f>
        <v>#N/A</v>
      </c>
      <c r="N13" s="5" t="e">
        <f t="shared" si="3"/>
        <v>#N/A</v>
      </c>
      <c r="O13" s="7" t="e">
        <f t="shared" si="4"/>
        <v>#N/A</v>
      </c>
      <c r="P13" s="5" t="e">
        <f>IF(VLOOKUP($B13,Table2[[prolific]:[feedbackTime]],15,FALSE)=VLOOKUP(P$1,Table1[],2,FALSE),1,0)</f>
        <v>#N/A</v>
      </c>
      <c r="Q13" s="5" t="e">
        <f>IF(VLOOKUP($B13,Table2[[prolific]:[feedbackTime]],16,FALSE)=VLOOKUP(Q$1,Table1[],2,FALSE),1,0)</f>
        <v>#N/A</v>
      </c>
      <c r="R13" s="5" t="e">
        <f>IF(VLOOKUP($B13,Table2[[prolific]:[feedbackTime]],17,FALSE)=VLOOKUP(R$1,Table1[],2,FALSE),1,0)</f>
        <v>#N/A</v>
      </c>
      <c r="S13" s="5" t="e">
        <f>IF(VLOOKUP($B13,Table2[[prolific]:[feedbackTime]],18,FALSE)=VLOOKUP(S$1,Table1[],2,FALSE),1,0)</f>
        <v>#N/A</v>
      </c>
      <c r="T13" s="5" t="e">
        <f>IF(VLOOKUP($B13,Table2[[prolific]:[feedbackTime]],19,FALSE)=VLOOKUP(T$1,Table1[],2,FALSE),1,0)</f>
        <v>#N/A</v>
      </c>
      <c r="U13" s="5" t="e">
        <f>IF(VLOOKUP($B13,Table2[[prolific]:[feedbackTime]],20,FALSE)=VLOOKUP(U$1,Table1[],2,FALSE),1,0)</f>
        <v>#N/A</v>
      </c>
      <c r="V13" s="5" t="e">
        <f>IF(VLOOKUP($B13,Table2[[prolific]:[feedbackTime]],21,FALSE)=VLOOKUP(V$1,Table1[],2,FALSE),1,0)</f>
        <v>#N/A</v>
      </c>
      <c r="W13" s="5" t="e">
        <f>IF(VLOOKUP($B13,Table2[[prolific]:[feedbackTime]],22,FALSE)=VLOOKUP(W$1,Table1[],2,FALSE),1,0)</f>
        <v>#N/A</v>
      </c>
      <c r="X13" s="5" t="e">
        <f t="shared" si="5"/>
        <v>#N/A</v>
      </c>
      <c r="Y13" s="7" t="e">
        <f t="shared" si="6"/>
        <v>#N/A</v>
      </c>
      <c r="Z13" s="5" t="e">
        <f>IF(VLOOKUP($B13,Table2[[prolific]:[feedbackTime]],23,FALSE)=VLOOKUP(Z$1,Table1[],2,FALSE),1,0)</f>
        <v>#N/A</v>
      </c>
      <c r="AA13" s="5" t="e">
        <f>IF(VLOOKUP($B13,Table2[[prolific]:[feedbackTime]],24,FALSE)=VLOOKUP(AA$1,Table1[],2,FALSE),1,0)</f>
        <v>#N/A</v>
      </c>
      <c r="AB13" s="5" t="e">
        <f>IF(VLOOKUP($B13,Table2[[prolific]:[feedbackTime]],25,FALSE)=VLOOKUP(AB$1,Table1[],2,FALSE),1,0)</f>
        <v>#N/A</v>
      </c>
      <c r="AC13" s="5" t="e">
        <f>IF(VLOOKUP($B13,Table2[[prolific]:[feedbackTime]],26,FALSE)=VLOOKUP(AC$1,Table1[],2,FALSE),1,0)</f>
        <v>#N/A</v>
      </c>
      <c r="AD13" s="5" t="e">
        <f>IF(VLOOKUP($B13,Table2[[prolific]:[feedbackTime]],27,FALSE)=VLOOKUP(AD$1,Table1[],2,FALSE),1,0)</f>
        <v>#N/A</v>
      </c>
      <c r="AE13" s="5" t="e">
        <f>IF(VLOOKUP($B13,Table2[[prolific]:[feedbackTime]],28,FALSE)=VLOOKUP(AE$1,Table1[],2,FALSE),1,0)</f>
        <v>#N/A</v>
      </c>
      <c r="AF13" s="5" t="e">
        <f>IF(VLOOKUP($B13,Table2[[prolific]:[feedbackTime]],29,FALSE)=VLOOKUP(AF$1,Table1[],2,FALSE),1,0)</f>
        <v>#N/A</v>
      </c>
      <c r="AG13" s="5" t="e">
        <f>IF(VLOOKUP($B13,Table2[[prolific]:[feedbackTime]],30,FALSE)=VLOOKUP(AG$1,Table1[],2,FALSE),1,0)</f>
        <v>#N/A</v>
      </c>
      <c r="AH13" s="5" t="e">
        <f t="shared" si="7"/>
        <v>#N/A</v>
      </c>
      <c r="AI13" s="7" t="e">
        <f t="shared" si="8"/>
        <v>#N/A</v>
      </c>
      <c r="AJ13" s="7" t="e">
        <f t="shared" si="9"/>
        <v>#N/A</v>
      </c>
      <c r="AK13" s="5" t="e">
        <f t="shared" si="10"/>
        <v>#N/A</v>
      </c>
    </row>
    <row r="14" spans="1:37" x14ac:dyDescent="0.25">
      <c r="A14">
        <f t="shared" si="0"/>
        <v>1</v>
      </c>
      <c r="B14" s="5" t="s">
        <v>1229</v>
      </c>
      <c r="C14" s="5" t="e">
        <f>IF(VLOOKUP($B14,Table2[[prolific]:[feedbackTime]],6,FALSE)=VLOOKUP(C$1,Table1[],2,FALSE),1,0)</f>
        <v>#N/A</v>
      </c>
      <c r="D14" s="5" t="e">
        <f>IF(VLOOKUP($B14,Table2[[prolific]:[feedbackTime]],7,FALSE)=VLOOKUP(D$1,Table1[],2,FALSE),1,0)</f>
        <v>#N/A</v>
      </c>
      <c r="E14" s="5" t="e">
        <f>IF(VLOOKUP($B14,Table2[[prolific]:[feedbackTime]],8,FALSE)=VLOOKUP(E$1,Table1[],2,FALSE),1,0)</f>
        <v>#N/A</v>
      </c>
      <c r="F14" s="5" t="e">
        <f t="shared" si="1"/>
        <v>#N/A</v>
      </c>
      <c r="G14" s="7" t="e">
        <f t="shared" si="2"/>
        <v>#N/A</v>
      </c>
      <c r="H14" s="5" t="e">
        <f>IF(VLOOKUP($B14,Table2[[prolific]:[feedbackTime]],9,FALSE)=VLOOKUP(H$1,Table1[],2,FALSE),1,0)</f>
        <v>#N/A</v>
      </c>
      <c r="I14" s="5" t="e">
        <f>IF(VLOOKUP($B14,Table2[[prolific]:[feedbackTime]],10,FALSE)=VLOOKUP(I$1,Table1[],2,FALSE),1,0)</f>
        <v>#N/A</v>
      </c>
      <c r="J14" s="5" t="e">
        <f>IF(VLOOKUP($B14,Table2[[prolific]:[feedbackTime]],11,FALSE)=VLOOKUP(J$1,Table1[],2,FALSE),1,0)</f>
        <v>#N/A</v>
      </c>
      <c r="K14" s="5" t="e">
        <f>IF(VLOOKUP($B14,Table2[[prolific]:[feedbackTime]],12,FALSE)=VLOOKUP(K$1,Table1[],2,FALSE),1,0)</f>
        <v>#N/A</v>
      </c>
      <c r="L14" s="5" t="e">
        <f>IF(VLOOKUP($B14,Table2[[prolific]:[feedbackTime]],13,FALSE)=VLOOKUP(L$1,Table1[],2,FALSE),1,0)</f>
        <v>#N/A</v>
      </c>
      <c r="M14" s="5" t="e">
        <f>IF(VLOOKUP($B14,Table2[[prolific]:[feedbackTime]],14,FALSE)=VLOOKUP(M$1,Table1[],2,FALSE),1,0)</f>
        <v>#N/A</v>
      </c>
      <c r="N14" s="5" t="e">
        <f t="shared" si="3"/>
        <v>#N/A</v>
      </c>
      <c r="O14" s="7" t="e">
        <f t="shared" si="4"/>
        <v>#N/A</v>
      </c>
      <c r="P14" s="5" t="e">
        <f>IF(VLOOKUP($B14,Table2[[prolific]:[feedbackTime]],15,FALSE)=VLOOKUP(P$1,Table1[],2,FALSE),1,0)</f>
        <v>#N/A</v>
      </c>
      <c r="Q14" s="5" t="e">
        <f>IF(VLOOKUP($B14,Table2[[prolific]:[feedbackTime]],16,FALSE)=VLOOKUP(Q$1,Table1[],2,FALSE),1,0)</f>
        <v>#N/A</v>
      </c>
      <c r="R14" s="5" t="e">
        <f>IF(VLOOKUP($B14,Table2[[prolific]:[feedbackTime]],17,FALSE)=VLOOKUP(R$1,Table1[],2,FALSE),1,0)</f>
        <v>#N/A</v>
      </c>
      <c r="S14" s="5" t="e">
        <f>IF(VLOOKUP($B14,Table2[[prolific]:[feedbackTime]],18,FALSE)=VLOOKUP(S$1,Table1[],2,FALSE),1,0)</f>
        <v>#N/A</v>
      </c>
      <c r="T14" s="5" t="e">
        <f>IF(VLOOKUP($B14,Table2[[prolific]:[feedbackTime]],19,FALSE)=VLOOKUP(T$1,Table1[],2,FALSE),1,0)</f>
        <v>#N/A</v>
      </c>
      <c r="U14" s="5" t="e">
        <f>IF(VLOOKUP($B14,Table2[[prolific]:[feedbackTime]],20,FALSE)=VLOOKUP(U$1,Table1[],2,FALSE),1,0)</f>
        <v>#N/A</v>
      </c>
      <c r="V14" s="5" t="e">
        <f>IF(VLOOKUP($B14,Table2[[prolific]:[feedbackTime]],21,FALSE)=VLOOKUP(V$1,Table1[],2,FALSE),1,0)</f>
        <v>#N/A</v>
      </c>
      <c r="W14" s="5" t="e">
        <f>IF(VLOOKUP($B14,Table2[[prolific]:[feedbackTime]],22,FALSE)=VLOOKUP(W$1,Table1[],2,FALSE),1,0)</f>
        <v>#N/A</v>
      </c>
      <c r="X14" s="5" t="e">
        <f t="shared" si="5"/>
        <v>#N/A</v>
      </c>
      <c r="Y14" s="7" t="e">
        <f t="shared" si="6"/>
        <v>#N/A</v>
      </c>
      <c r="Z14" s="5" t="e">
        <f>IF(VLOOKUP($B14,Table2[[prolific]:[feedbackTime]],23,FALSE)=VLOOKUP(Z$1,Table1[],2,FALSE),1,0)</f>
        <v>#N/A</v>
      </c>
      <c r="AA14" s="5" t="e">
        <f>IF(VLOOKUP($B14,Table2[[prolific]:[feedbackTime]],24,FALSE)=VLOOKUP(AA$1,Table1[],2,FALSE),1,0)</f>
        <v>#N/A</v>
      </c>
      <c r="AB14" s="5" t="e">
        <f>IF(VLOOKUP($B14,Table2[[prolific]:[feedbackTime]],25,FALSE)=VLOOKUP(AB$1,Table1[],2,FALSE),1,0)</f>
        <v>#N/A</v>
      </c>
      <c r="AC14" s="5" t="e">
        <f>IF(VLOOKUP($B14,Table2[[prolific]:[feedbackTime]],26,FALSE)=VLOOKUP(AC$1,Table1[],2,FALSE),1,0)</f>
        <v>#N/A</v>
      </c>
      <c r="AD14" s="5" t="e">
        <f>IF(VLOOKUP($B14,Table2[[prolific]:[feedbackTime]],27,FALSE)=VLOOKUP(AD$1,Table1[],2,FALSE),1,0)</f>
        <v>#N/A</v>
      </c>
      <c r="AE14" s="5" t="e">
        <f>IF(VLOOKUP($B14,Table2[[prolific]:[feedbackTime]],28,FALSE)=VLOOKUP(AE$1,Table1[],2,FALSE),1,0)</f>
        <v>#N/A</v>
      </c>
      <c r="AF14" s="5" t="e">
        <f>IF(VLOOKUP($B14,Table2[[prolific]:[feedbackTime]],29,FALSE)=VLOOKUP(AF$1,Table1[],2,FALSE),1,0)</f>
        <v>#N/A</v>
      </c>
      <c r="AG14" s="5" t="e">
        <f>IF(VLOOKUP($B14,Table2[[prolific]:[feedbackTime]],30,FALSE)=VLOOKUP(AG$1,Table1[],2,FALSE),1,0)</f>
        <v>#N/A</v>
      </c>
      <c r="AH14" s="5" t="e">
        <f t="shared" si="7"/>
        <v>#N/A</v>
      </c>
      <c r="AI14" s="7" t="e">
        <f t="shared" si="8"/>
        <v>#N/A</v>
      </c>
      <c r="AJ14" s="7" t="e">
        <f t="shared" si="9"/>
        <v>#N/A</v>
      </c>
      <c r="AK14" s="5" t="e">
        <f t="shared" si="10"/>
        <v>#N/A</v>
      </c>
    </row>
    <row r="15" spans="1:37" x14ac:dyDescent="0.25">
      <c r="A15">
        <f t="shared" si="0"/>
        <v>1</v>
      </c>
      <c r="B15" s="6" t="s">
        <v>1230</v>
      </c>
      <c r="C15" s="5" t="e">
        <f>IF(VLOOKUP($B15,Table2[[prolific]:[feedbackTime]],6,FALSE)=VLOOKUP(C$1,Table1[],2,FALSE),1,0)</f>
        <v>#N/A</v>
      </c>
      <c r="D15" s="5" t="e">
        <f>IF(VLOOKUP($B15,Table2[[prolific]:[feedbackTime]],7,FALSE)=VLOOKUP(D$1,Table1[],2,FALSE),1,0)</f>
        <v>#N/A</v>
      </c>
      <c r="E15" s="5" t="e">
        <f>IF(VLOOKUP($B15,Table2[[prolific]:[feedbackTime]],8,FALSE)=VLOOKUP(E$1,Table1[],2,FALSE),1,0)</f>
        <v>#N/A</v>
      </c>
      <c r="F15" s="5" t="e">
        <f t="shared" si="1"/>
        <v>#N/A</v>
      </c>
      <c r="G15" s="7" t="e">
        <f t="shared" si="2"/>
        <v>#N/A</v>
      </c>
      <c r="H15" s="5" t="e">
        <f>IF(VLOOKUP($B15,Table2[[prolific]:[feedbackTime]],9,FALSE)=VLOOKUP(H$1,Table1[],2,FALSE),1,0)</f>
        <v>#N/A</v>
      </c>
      <c r="I15" s="5" t="e">
        <f>IF(VLOOKUP($B15,Table2[[prolific]:[feedbackTime]],10,FALSE)=VLOOKUP(I$1,Table1[],2,FALSE),1,0)</f>
        <v>#N/A</v>
      </c>
      <c r="J15" s="5" t="e">
        <f>IF(VLOOKUP($B15,Table2[[prolific]:[feedbackTime]],11,FALSE)=VLOOKUP(J$1,Table1[],2,FALSE),1,0)</f>
        <v>#N/A</v>
      </c>
      <c r="K15" s="5" t="e">
        <f>IF(VLOOKUP($B15,Table2[[prolific]:[feedbackTime]],12,FALSE)=VLOOKUP(K$1,Table1[],2,FALSE),1,0)</f>
        <v>#N/A</v>
      </c>
      <c r="L15" s="5" t="e">
        <f>IF(VLOOKUP($B15,Table2[[prolific]:[feedbackTime]],13,FALSE)=VLOOKUP(L$1,Table1[],2,FALSE),1,0)</f>
        <v>#N/A</v>
      </c>
      <c r="M15" s="5" t="e">
        <f>IF(VLOOKUP($B15,Table2[[prolific]:[feedbackTime]],14,FALSE)=VLOOKUP(M$1,Table1[],2,FALSE),1,0)</f>
        <v>#N/A</v>
      </c>
      <c r="N15" s="5" t="e">
        <f t="shared" si="3"/>
        <v>#N/A</v>
      </c>
      <c r="O15" s="7" t="e">
        <f t="shared" si="4"/>
        <v>#N/A</v>
      </c>
      <c r="P15" s="5" t="e">
        <f>IF(VLOOKUP($B15,Table2[[prolific]:[feedbackTime]],15,FALSE)=VLOOKUP(P$1,Table1[],2,FALSE),1,0)</f>
        <v>#N/A</v>
      </c>
      <c r="Q15" s="5" t="e">
        <f>IF(VLOOKUP($B15,Table2[[prolific]:[feedbackTime]],16,FALSE)=VLOOKUP(Q$1,Table1[],2,FALSE),1,0)</f>
        <v>#N/A</v>
      </c>
      <c r="R15" s="5" t="e">
        <f>IF(VLOOKUP($B15,Table2[[prolific]:[feedbackTime]],17,FALSE)=VLOOKUP(R$1,Table1[],2,FALSE),1,0)</f>
        <v>#N/A</v>
      </c>
      <c r="S15" s="5" t="e">
        <f>IF(VLOOKUP($B15,Table2[[prolific]:[feedbackTime]],18,FALSE)=VLOOKUP(S$1,Table1[],2,FALSE),1,0)</f>
        <v>#N/A</v>
      </c>
      <c r="T15" s="5" t="e">
        <f>IF(VLOOKUP($B15,Table2[[prolific]:[feedbackTime]],19,FALSE)=VLOOKUP(T$1,Table1[],2,FALSE),1,0)</f>
        <v>#N/A</v>
      </c>
      <c r="U15" s="5" t="e">
        <f>IF(VLOOKUP($B15,Table2[[prolific]:[feedbackTime]],20,FALSE)=VLOOKUP(U$1,Table1[],2,FALSE),1,0)</f>
        <v>#N/A</v>
      </c>
      <c r="V15" s="5" t="e">
        <f>IF(VLOOKUP($B15,Table2[[prolific]:[feedbackTime]],21,FALSE)=VLOOKUP(V$1,Table1[],2,FALSE),1,0)</f>
        <v>#N/A</v>
      </c>
      <c r="W15" s="5" t="e">
        <f>IF(VLOOKUP($B15,Table2[[prolific]:[feedbackTime]],22,FALSE)=VLOOKUP(W$1,Table1[],2,FALSE),1,0)</f>
        <v>#N/A</v>
      </c>
      <c r="X15" s="5" t="e">
        <f t="shared" si="5"/>
        <v>#N/A</v>
      </c>
      <c r="Y15" s="7" t="e">
        <f t="shared" si="6"/>
        <v>#N/A</v>
      </c>
      <c r="Z15" s="5" t="e">
        <f>IF(VLOOKUP($B15,Table2[[prolific]:[feedbackTime]],23,FALSE)=VLOOKUP(Z$1,Table1[],2,FALSE),1,0)</f>
        <v>#N/A</v>
      </c>
      <c r="AA15" s="5" t="e">
        <f>IF(VLOOKUP($B15,Table2[[prolific]:[feedbackTime]],24,FALSE)=VLOOKUP(AA$1,Table1[],2,FALSE),1,0)</f>
        <v>#N/A</v>
      </c>
      <c r="AB15" s="5" t="e">
        <f>IF(VLOOKUP($B15,Table2[[prolific]:[feedbackTime]],25,FALSE)=VLOOKUP(AB$1,Table1[],2,FALSE),1,0)</f>
        <v>#N/A</v>
      </c>
      <c r="AC15" s="5" t="e">
        <f>IF(VLOOKUP($B15,Table2[[prolific]:[feedbackTime]],26,FALSE)=VLOOKUP(AC$1,Table1[],2,FALSE),1,0)</f>
        <v>#N/A</v>
      </c>
      <c r="AD15" s="5" t="e">
        <f>IF(VLOOKUP($B15,Table2[[prolific]:[feedbackTime]],27,FALSE)=VLOOKUP(AD$1,Table1[],2,FALSE),1,0)</f>
        <v>#N/A</v>
      </c>
      <c r="AE15" s="5" t="e">
        <f>IF(VLOOKUP($B15,Table2[[prolific]:[feedbackTime]],28,FALSE)=VLOOKUP(AE$1,Table1[],2,FALSE),1,0)</f>
        <v>#N/A</v>
      </c>
      <c r="AF15" s="5" t="e">
        <f>IF(VLOOKUP($B15,Table2[[prolific]:[feedbackTime]],29,FALSE)=VLOOKUP(AF$1,Table1[],2,FALSE),1,0)</f>
        <v>#N/A</v>
      </c>
      <c r="AG15" s="5" t="e">
        <f>IF(VLOOKUP($B15,Table2[[prolific]:[feedbackTime]],30,FALSE)=VLOOKUP(AG$1,Table1[],2,FALSE),1,0)</f>
        <v>#N/A</v>
      </c>
      <c r="AH15" s="5" t="e">
        <f t="shared" si="7"/>
        <v>#N/A</v>
      </c>
      <c r="AI15" s="7" t="e">
        <f t="shared" si="8"/>
        <v>#N/A</v>
      </c>
      <c r="AJ15" s="7" t="e">
        <f t="shared" si="9"/>
        <v>#N/A</v>
      </c>
      <c r="AK15" s="5" t="e">
        <f t="shared" si="10"/>
        <v>#N/A</v>
      </c>
    </row>
    <row r="16" spans="1:37" x14ac:dyDescent="0.25">
      <c r="A16">
        <f t="shared" si="0"/>
        <v>1</v>
      </c>
      <c r="B16" s="5" t="s">
        <v>1231</v>
      </c>
      <c r="C16" s="5" t="e">
        <f>IF(VLOOKUP($B16,Table2[[prolific]:[feedbackTime]],6,FALSE)=VLOOKUP(C$1,Table1[],2,FALSE),1,0)</f>
        <v>#N/A</v>
      </c>
      <c r="D16" s="5" t="e">
        <f>IF(VLOOKUP($B16,Table2[[prolific]:[feedbackTime]],7,FALSE)=VLOOKUP(D$1,Table1[],2,FALSE),1,0)</f>
        <v>#N/A</v>
      </c>
      <c r="E16" s="5" t="e">
        <f>IF(VLOOKUP($B16,Table2[[prolific]:[feedbackTime]],8,FALSE)=VLOOKUP(E$1,Table1[],2,FALSE),1,0)</f>
        <v>#N/A</v>
      </c>
      <c r="F16" s="5" t="e">
        <f t="shared" si="1"/>
        <v>#N/A</v>
      </c>
      <c r="G16" s="7" t="e">
        <f t="shared" si="2"/>
        <v>#N/A</v>
      </c>
      <c r="H16" s="5" t="e">
        <f>IF(VLOOKUP($B16,Table2[[prolific]:[feedbackTime]],9,FALSE)=VLOOKUP(H$1,Table1[],2,FALSE),1,0)</f>
        <v>#N/A</v>
      </c>
      <c r="I16" s="5" t="e">
        <f>IF(VLOOKUP($B16,Table2[[prolific]:[feedbackTime]],10,FALSE)=VLOOKUP(I$1,Table1[],2,FALSE),1,0)</f>
        <v>#N/A</v>
      </c>
      <c r="J16" s="5" t="e">
        <f>IF(VLOOKUP($B16,Table2[[prolific]:[feedbackTime]],11,FALSE)=VLOOKUP(J$1,Table1[],2,FALSE),1,0)</f>
        <v>#N/A</v>
      </c>
      <c r="K16" s="5" t="e">
        <f>IF(VLOOKUP($B16,Table2[[prolific]:[feedbackTime]],12,FALSE)=VLOOKUP(K$1,Table1[],2,FALSE),1,0)</f>
        <v>#N/A</v>
      </c>
      <c r="L16" s="5" t="e">
        <f>IF(VLOOKUP($B16,Table2[[prolific]:[feedbackTime]],13,FALSE)=VLOOKUP(L$1,Table1[],2,FALSE),1,0)</f>
        <v>#N/A</v>
      </c>
      <c r="M16" s="5" t="e">
        <f>IF(VLOOKUP($B16,Table2[[prolific]:[feedbackTime]],14,FALSE)=VLOOKUP(M$1,Table1[],2,FALSE),1,0)</f>
        <v>#N/A</v>
      </c>
      <c r="N16" s="5" t="e">
        <f t="shared" si="3"/>
        <v>#N/A</v>
      </c>
      <c r="O16" s="7" t="e">
        <f t="shared" si="4"/>
        <v>#N/A</v>
      </c>
      <c r="P16" s="5" t="e">
        <f>IF(VLOOKUP($B16,Table2[[prolific]:[feedbackTime]],15,FALSE)=VLOOKUP(P$1,Table1[],2,FALSE),1,0)</f>
        <v>#N/A</v>
      </c>
      <c r="Q16" s="5" t="e">
        <f>IF(VLOOKUP($B16,Table2[[prolific]:[feedbackTime]],16,FALSE)=VLOOKUP(Q$1,Table1[],2,FALSE),1,0)</f>
        <v>#N/A</v>
      </c>
      <c r="R16" s="5" t="e">
        <f>IF(VLOOKUP($B16,Table2[[prolific]:[feedbackTime]],17,FALSE)=VLOOKUP(R$1,Table1[],2,FALSE),1,0)</f>
        <v>#N/A</v>
      </c>
      <c r="S16" s="5" t="e">
        <f>IF(VLOOKUP($B16,Table2[[prolific]:[feedbackTime]],18,FALSE)=VLOOKUP(S$1,Table1[],2,FALSE),1,0)</f>
        <v>#N/A</v>
      </c>
      <c r="T16" s="5" t="e">
        <f>IF(VLOOKUP($B16,Table2[[prolific]:[feedbackTime]],19,FALSE)=VLOOKUP(T$1,Table1[],2,FALSE),1,0)</f>
        <v>#N/A</v>
      </c>
      <c r="U16" s="5" t="e">
        <f>IF(VLOOKUP($B16,Table2[[prolific]:[feedbackTime]],20,FALSE)=VLOOKUP(U$1,Table1[],2,FALSE),1,0)</f>
        <v>#N/A</v>
      </c>
      <c r="V16" s="5" t="e">
        <f>IF(VLOOKUP($B16,Table2[[prolific]:[feedbackTime]],21,FALSE)=VLOOKUP(V$1,Table1[],2,FALSE),1,0)</f>
        <v>#N/A</v>
      </c>
      <c r="W16" s="5" t="e">
        <f>IF(VLOOKUP($B16,Table2[[prolific]:[feedbackTime]],22,FALSE)=VLOOKUP(W$1,Table1[],2,FALSE),1,0)</f>
        <v>#N/A</v>
      </c>
      <c r="X16" s="5" t="e">
        <f t="shared" si="5"/>
        <v>#N/A</v>
      </c>
      <c r="Y16" s="7" t="e">
        <f t="shared" si="6"/>
        <v>#N/A</v>
      </c>
      <c r="Z16" s="5" t="e">
        <f>IF(VLOOKUP($B16,Table2[[prolific]:[feedbackTime]],23,FALSE)=VLOOKUP(Z$1,Table1[],2,FALSE),1,0)</f>
        <v>#N/A</v>
      </c>
      <c r="AA16" s="5" t="e">
        <f>IF(VLOOKUP($B16,Table2[[prolific]:[feedbackTime]],24,FALSE)=VLOOKUP(AA$1,Table1[],2,FALSE),1,0)</f>
        <v>#N/A</v>
      </c>
      <c r="AB16" s="5" t="e">
        <f>IF(VLOOKUP($B16,Table2[[prolific]:[feedbackTime]],25,FALSE)=VLOOKUP(AB$1,Table1[],2,FALSE),1,0)</f>
        <v>#N/A</v>
      </c>
      <c r="AC16" s="5" t="e">
        <f>IF(VLOOKUP($B16,Table2[[prolific]:[feedbackTime]],26,FALSE)=VLOOKUP(AC$1,Table1[],2,FALSE),1,0)</f>
        <v>#N/A</v>
      </c>
      <c r="AD16" s="5" t="e">
        <f>IF(VLOOKUP($B16,Table2[[prolific]:[feedbackTime]],27,FALSE)=VLOOKUP(AD$1,Table1[],2,FALSE),1,0)</f>
        <v>#N/A</v>
      </c>
      <c r="AE16" s="5" t="e">
        <f>IF(VLOOKUP($B16,Table2[[prolific]:[feedbackTime]],28,FALSE)=VLOOKUP(AE$1,Table1[],2,FALSE),1,0)</f>
        <v>#N/A</v>
      </c>
      <c r="AF16" s="5" t="e">
        <f>IF(VLOOKUP($B16,Table2[[prolific]:[feedbackTime]],29,FALSE)=VLOOKUP(AF$1,Table1[],2,FALSE),1,0)</f>
        <v>#N/A</v>
      </c>
      <c r="AG16" s="5" t="e">
        <f>IF(VLOOKUP($B16,Table2[[prolific]:[feedbackTime]],30,FALSE)=VLOOKUP(AG$1,Table1[],2,FALSE),1,0)</f>
        <v>#N/A</v>
      </c>
      <c r="AH16" s="5" t="e">
        <f t="shared" si="7"/>
        <v>#N/A</v>
      </c>
      <c r="AI16" s="7" t="e">
        <f t="shared" si="8"/>
        <v>#N/A</v>
      </c>
      <c r="AJ16" s="7" t="e">
        <f t="shared" si="9"/>
        <v>#N/A</v>
      </c>
      <c r="AK16" s="5" t="e">
        <f t="shared" si="10"/>
        <v>#N/A</v>
      </c>
    </row>
    <row r="17" spans="1:37" x14ac:dyDescent="0.25">
      <c r="A17">
        <f t="shared" si="0"/>
        <v>1</v>
      </c>
      <c r="B17" s="25" t="s">
        <v>1016</v>
      </c>
      <c r="C17" s="5">
        <f>IF(VLOOKUP($B17,Table2[[prolific]:[feedbackTime]],6,FALSE)=VLOOKUP(C$1,Table1[],2,FALSE),1,0)</f>
        <v>1</v>
      </c>
      <c r="D17" s="5">
        <f>IF(VLOOKUP($B17,Table2[[prolific]:[feedbackTime]],7,FALSE)=VLOOKUP(D$1,Table1[],2,FALSE),1,0)</f>
        <v>1</v>
      </c>
      <c r="E17" s="5">
        <f>IF(VLOOKUP($B17,Table2[[prolific]:[feedbackTime]],8,FALSE)=VLOOKUP(E$1,Table1[],2,FALSE),1,0)</f>
        <v>1</v>
      </c>
      <c r="F17" s="5">
        <f t="shared" ref="F17:F53" si="11">SUM(C17:E17)</f>
        <v>3</v>
      </c>
      <c r="G17" s="7">
        <f t="shared" ref="G17:G53" si="12">F17/3</f>
        <v>1</v>
      </c>
      <c r="H17" s="5">
        <f>IF(VLOOKUP($B17,Table2[[prolific]:[feedbackTime]],9,FALSE)=VLOOKUP(H$1,Table1[],2,FALSE),1,0)</f>
        <v>1</v>
      </c>
      <c r="I17" s="5">
        <f>IF(VLOOKUP($B17,Table2[[prolific]:[feedbackTime]],10,FALSE)=VLOOKUP(I$1,Table1[],2,FALSE),1,0)</f>
        <v>0</v>
      </c>
      <c r="J17" s="5">
        <f>IF(VLOOKUP($B17,Table2[[prolific]:[feedbackTime]],11,FALSE)=VLOOKUP(J$1,Table1[],2,FALSE),1,0)</f>
        <v>1</v>
      </c>
      <c r="K17" s="5">
        <f>IF(VLOOKUP($B17,Table2[[prolific]:[feedbackTime]],12,FALSE)=VLOOKUP(K$1,Table1[],2,FALSE),1,0)</f>
        <v>1</v>
      </c>
      <c r="L17" s="5">
        <f>IF(VLOOKUP($B17,Table2[[prolific]:[feedbackTime]],13,FALSE)=VLOOKUP(L$1,Table1[],2,FALSE),1,0)</f>
        <v>0</v>
      </c>
      <c r="M17" s="5">
        <f>IF(VLOOKUP($B17,Table2[[prolific]:[feedbackTime]],14,FALSE)=VLOOKUP(M$1,Table1[],2,FALSE),1,0)</f>
        <v>1</v>
      </c>
      <c r="N17" s="5">
        <f t="shared" ref="N17:N53" si="13">SUM(H17:M17)</f>
        <v>4</v>
      </c>
      <c r="O17" s="7">
        <f t="shared" ref="O17:O53" si="14">N17/6</f>
        <v>0.66666666666666663</v>
      </c>
      <c r="P17" s="5">
        <f>IF(VLOOKUP($B17,Table2[[prolific]:[feedbackTime]],15,FALSE)=VLOOKUP(P$1,Table1[],2,FALSE),1,0)</f>
        <v>1</v>
      </c>
      <c r="Q17" s="5">
        <f>IF(VLOOKUP($B17,Table2[[prolific]:[feedbackTime]],16,FALSE)=VLOOKUP(Q$1,Table1[],2,FALSE),1,0)</f>
        <v>1</v>
      </c>
      <c r="R17" s="5">
        <f>IF(VLOOKUP($B17,Table2[[prolific]:[feedbackTime]],17,FALSE)=VLOOKUP(R$1,Table1[],2,FALSE),1,0)</f>
        <v>0</v>
      </c>
      <c r="S17" s="5">
        <f>IF(VLOOKUP($B17,Table2[[prolific]:[feedbackTime]],18,FALSE)=VLOOKUP(S$1,Table1[],2,FALSE),1,0)</f>
        <v>1</v>
      </c>
      <c r="T17" s="5">
        <f>IF(VLOOKUP($B17,Table2[[prolific]:[feedbackTime]],19,FALSE)=VLOOKUP(T$1,Table1[],2,FALSE),1,0)</f>
        <v>1</v>
      </c>
      <c r="U17" s="5">
        <f>IF(VLOOKUP($B17,Table2[[prolific]:[feedbackTime]],20,FALSE)=VLOOKUP(U$1,Table1[],2,FALSE),1,0)</f>
        <v>1</v>
      </c>
      <c r="V17" s="5">
        <f>IF(VLOOKUP($B17,Table2[[prolific]:[feedbackTime]],21,FALSE)=VLOOKUP(V$1,Table1[],2,FALSE),1,0)</f>
        <v>0</v>
      </c>
      <c r="W17" s="5">
        <f>IF(VLOOKUP($B17,Table2[[prolific]:[feedbackTime]],22,FALSE)=VLOOKUP(W$1,Table1[],2,FALSE),1,0)</f>
        <v>1</v>
      </c>
      <c r="X17" s="5">
        <f t="shared" ref="X17:X53" si="15">SUM(P17:W17)</f>
        <v>6</v>
      </c>
      <c r="Y17" s="7">
        <f t="shared" ref="Y17:Y53" si="16">X17/8</f>
        <v>0.75</v>
      </c>
      <c r="Z17" s="5">
        <f>IF(VLOOKUP($B17,Table2[[prolific]:[feedbackTime]],23,FALSE)=VLOOKUP(Z$1,Table1[],2,FALSE),1,0)</f>
        <v>0</v>
      </c>
      <c r="AA17" s="5">
        <f>IF(VLOOKUP($B17,Table2[[prolific]:[feedbackTime]],24,FALSE)=VLOOKUP(AA$1,Table1[],2,FALSE),1,0)</f>
        <v>1</v>
      </c>
      <c r="AB17" s="5">
        <f>IF(VLOOKUP($B17,Table2[[prolific]:[feedbackTime]],25,FALSE)=VLOOKUP(AB$1,Table1[],2,FALSE),1,0)</f>
        <v>1</v>
      </c>
      <c r="AC17" s="5">
        <f>IF(VLOOKUP($B17,Table2[[prolific]:[feedbackTime]],26,FALSE)=VLOOKUP(AC$1,Table1[],2,FALSE),1,0)</f>
        <v>1</v>
      </c>
      <c r="AD17" s="5">
        <f>IF(VLOOKUP($B17,Table2[[prolific]:[feedbackTime]],27,FALSE)=VLOOKUP(AD$1,Table1[],2,FALSE),1,0)</f>
        <v>0</v>
      </c>
      <c r="AE17" s="5">
        <f>IF(VLOOKUP($B17,Table2[[prolific]:[feedbackTime]],28,FALSE)=VLOOKUP(AE$1,Table1[],2,FALSE),1,0)</f>
        <v>0</v>
      </c>
      <c r="AF17" s="5">
        <f>IF(VLOOKUP($B17,Table2[[prolific]:[feedbackTime]],29,FALSE)=VLOOKUP(AF$1,Table1[],2,FALSE),1,0)</f>
        <v>0</v>
      </c>
      <c r="AG17" s="5">
        <f>IF(VLOOKUP($B17,Table2[[prolific]:[feedbackTime]],30,FALSE)=VLOOKUP(AG$1,Table1[],2,FALSE),1,0)</f>
        <v>0</v>
      </c>
      <c r="AH17" s="5">
        <f t="shared" ref="AH17:AH53" si="17">SUM(Z17:AG17)</f>
        <v>3</v>
      </c>
      <c r="AI17" s="7">
        <f t="shared" ref="AI17:AI53" si="18">AH17/8</f>
        <v>0.375</v>
      </c>
      <c r="AJ17" s="7">
        <f t="shared" ref="AJ17:AJ53" si="19">(N17+X17+AH17)/22</f>
        <v>0.59090909090909094</v>
      </c>
      <c r="AK17" s="5">
        <f t="shared" ref="AK17:AK53" si="20">(N17+X17+AH17)</f>
        <v>13</v>
      </c>
    </row>
    <row r="18" spans="1:37" x14ac:dyDescent="0.25">
      <c r="A18">
        <f t="shared" si="0"/>
        <v>1</v>
      </c>
      <c r="B18" s="26" t="s">
        <v>1017</v>
      </c>
      <c r="C18" s="5">
        <f>IF(VLOOKUP($B18,Table2[[prolific]:[feedbackTime]],6,FALSE)=VLOOKUP(C$1,Table1[],2,FALSE),1,0)</f>
        <v>1</v>
      </c>
      <c r="D18" s="5">
        <f>IF(VLOOKUP($B18,Table2[[prolific]:[feedbackTime]],7,FALSE)=VLOOKUP(D$1,Table1[],2,FALSE),1,0)</f>
        <v>1</v>
      </c>
      <c r="E18" s="5">
        <f>IF(VLOOKUP($B18,Table2[[prolific]:[feedbackTime]],8,FALSE)=VLOOKUP(E$1,Table1[],2,FALSE),1,0)</f>
        <v>1</v>
      </c>
      <c r="F18" s="5">
        <f t="shared" si="11"/>
        <v>3</v>
      </c>
      <c r="G18" s="7">
        <f t="shared" si="12"/>
        <v>1</v>
      </c>
      <c r="H18" s="5">
        <f>IF(VLOOKUP($B18,Table2[[prolific]:[feedbackTime]],9,FALSE)=VLOOKUP(H$1,Table1[],2,FALSE),1,0)</f>
        <v>1</v>
      </c>
      <c r="I18" s="5">
        <f>IF(VLOOKUP($B18,Table2[[prolific]:[feedbackTime]],10,FALSE)=VLOOKUP(I$1,Table1[],2,FALSE),1,0)</f>
        <v>0</v>
      </c>
      <c r="J18" s="5">
        <f>IF(VLOOKUP($B18,Table2[[prolific]:[feedbackTime]],11,FALSE)=VLOOKUP(J$1,Table1[],2,FALSE),1,0)</f>
        <v>1</v>
      </c>
      <c r="K18" s="5">
        <f>IF(VLOOKUP($B18,Table2[[prolific]:[feedbackTime]],12,FALSE)=VLOOKUP(K$1,Table1[],2,FALSE),1,0)</f>
        <v>1</v>
      </c>
      <c r="L18" s="5">
        <f>IF(VLOOKUP($B18,Table2[[prolific]:[feedbackTime]],13,FALSE)=VLOOKUP(L$1,Table1[],2,FALSE),1,0)</f>
        <v>0</v>
      </c>
      <c r="M18" s="5">
        <f>IF(VLOOKUP($B18,Table2[[prolific]:[feedbackTime]],14,FALSE)=VLOOKUP(M$1,Table1[],2,FALSE),1,0)</f>
        <v>1</v>
      </c>
      <c r="N18" s="5">
        <f t="shared" si="13"/>
        <v>4</v>
      </c>
      <c r="O18" s="7">
        <f t="shared" si="14"/>
        <v>0.66666666666666663</v>
      </c>
      <c r="P18" s="5">
        <f>IF(VLOOKUP($B18,Table2[[prolific]:[feedbackTime]],15,FALSE)=VLOOKUP(P$1,Table1[],2,FALSE),1,0)</f>
        <v>1</v>
      </c>
      <c r="Q18" s="5">
        <f>IF(VLOOKUP($B18,Table2[[prolific]:[feedbackTime]],16,FALSE)=VLOOKUP(Q$1,Table1[],2,FALSE),1,0)</f>
        <v>1</v>
      </c>
      <c r="R18" s="5">
        <f>IF(VLOOKUP($B18,Table2[[prolific]:[feedbackTime]],17,FALSE)=VLOOKUP(R$1,Table1[],2,FALSE),1,0)</f>
        <v>1</v>
      </c>
      <c r="S18" s="5">
        <f>IF(VLOOKUP($B18,Table2[[prolific]:[feedbackTime]],18,FALSE)=VLOOKUP(S$1,Table1[],2,FALSE),1,0)</f>
        <v>1</v>
      </c>
      <c r="T18" s="5">
        <f>IF(VLOOKUP($B18,Table2[[prolific]:[feedbackTime]],19,FALSE)=VLOOKUP(T$1,Table1[],2,FALSE),1,0)</f>
        <v>1</v>
      </c>
      <c r="U18" s="5">
        <f>IF(VLOOKUP($B18,Table2[[prolific]:[feedbackTime]],20,FALSE)=VLOOKUP(U$1,Table1[],2,FALSE),1,0)</f>
        <v>1</v>
      </c>
      <c r="V18" s="5">
        <f>IF(VLOOKUP($B18,Table2[[prolific]:[feedbackTime]],21,FALSE)=VLOOKUP(V$1,Table1[],2,FALSE),1,0)</f>
        <v>1</v>
      </c>
      <c r="W18" s="5">
        <f>IF(VLOOKUP($B18,Table2[[prolific]:[feedbackTime]],22,FALSE)=VLOOKUP(W$1,Table1[],2,FALSE),1,0)</f>
        <v>1</v>
      </c>
      <c r="X18" s="5">
        <f t="shared" si="15"/>
        <v>8</v>
      </c>
      <c r="Y18" s="7">
        <f t="shared" si="16"/>
        <v>1</v>
      </c>
      <c r="Z18" s="5">
        <f>IF(VLOOKUP($B18,Table2[[prolific]:[feedbackTime]],23,FALSE)=VLOOKUP(Z$1,Table1[],2,FALSE),1,0)</f>
        <v>1</v>
      </c>
      <c r="AA18" s="5">
        <f>IF(VLOOKUP($B18,Table2[[prolific]:[feedbackTime]],24,FALSE)=VLOOKUP(AA$1,Table1[],2,FALSE),1,0)</f>
        <v>1</v>
      </c>
      <c r="AB18" s="5">
        <f>IF(VLOOKUP($B18,Table2[[prolific]:[feedbackTime]],25,FALSE)=VLOOKUP(AB$1,Table1[],2,FALSE),1,0)</f>
        <v>0</v>
      </c>
      <c r="AC18" s="5">
        <f>IF(VLOOKUP($B18,Table2[[prolific]:[feedbackTime]],26,FALSE)=VLOOKUP(AC$1,Table1[],2,FALSE),1,0)</f>
        <v>1</v>
      </c>
      <c r="AD18" s="5">
        <f>IF(VLOOKUP($B18,Table2[[prolific]:[feedbackTime]],27,FALSE)=VLOOKUP(AD$1,Table1[],2,FALSE),1,0)</f>
        <v>0</v>
      </c>
      <c r="AE18" s="5">
        <f>IF(VLOOKUP($B18,Table2[[prolific]:[feedbackTime]],28,FALSE)=VLOOKUP(AE$1,Table1[],2,FALSE),1,0)</f>
        <v>1</v>
      </c>
      <c r="AF18" s="5">
        <f>IF(VLOOKUP($B18,Table2[[prolific]:[feedbackTime]],29,FALSE)=VLOOKUP(AF$1,Table1[],2,FALSE),1,0)</f>
        <v>0</v>
      </c>
      <c r="AG18" s="5">
        <f>IF(VLOOKUP($B18,Table2[[prolific]:[feedbackTime]],30,FALSE)=VLOOKUP(AG$1,Table1[],2,FALSE),1,0)</f>
        <v>0</v>
      </c>
      <c r="AH18" s="5">
        <f t="shared" si="17"/>
        <v>4</v>
      </c>
      <c r="AI18" s="7">
        <f t="shared" si="18"/>
        <v>0.5</v>
      </c>
      <c r="AJ18" s="7">
        <f t="shared" si="19"/>
        <v>0.72727272727272729</v>
      </c>
      <c r="AK18" s="5">
        <f t="shared" si="20"/>
        <v>16</v>
      </c>
    </row>
    <row r="19" spans="1:37" x14ac:dyDescent="0.25">
      <c r="A19">
        <f t="shared" si="0"/>
        <v>1</v>
      </c>
      <c r="B19" s="25" t="s">
        <v>1018</v>
      </c>
      <c r="C19" s="5">
        <f>IF(VLOOKUP($B19,Table2[[prolific]:[feedbackTime]],6,FALSE)=VLOOKUP(C$1,Table1[],2,FALSE),1,0)</f>
        <v>1</v>
      </c>
      <c r="D19" s="5">
        <f>IF(VLOOKUP($B19,Table2[[prolific]:[feedbackTime]],7,FALSE)=VLOOKUP(D$1,Table1[],2,FALSE),1,0)</f>
        <v>1</v>
      </c>
      <c r="E19" s="5">
        <f>IF(VLOOKUP($B19,Table2[[prolific]:[feedbackTime]],8,FALSE)=VLOOKUP(E$1,Table1[],2,FALSE),1,0)</f>
        <v>1</v>
      </c>
      <c r="F19" s="5">
        <f t="shared" si="11"/>
        <v>3</v>
      </c>
      <c r="G19" s="7">
        <f t="shared" si="12"/>
        <v>1</v>
      </c>
      <c r="H19" s="5">
        <f>IF(VLOOKUP($B19,Table2[[prolific]:[feedbackTime]],9,FALSE)=VLOOKUP(H$1,Table1[],2,FALSE),1,0)</f>
        <v>1</v>
      </c>
      <c r="I19" s="5">
        <f>IF(VLOOKUP($B19,Table2[[prolific]:[feedbackTime]],10,FALSE)=VLOOKUP(I$1,Table1[],2,FALSE),1,0)</f>
        <v>0</v>
      </c>
      <c r="J19" s="5">
        <f>IF(VLOOKUP($B19,Table2[[prolific]:[feedbackTime]],11,FALSE)=VLOOKUP(J$1,Table1[],2,FALSE),1,0)</f>
        <v>0</v>
      </c>
      <c r="K19" s="5">
        <f>IF(VLOOKUP($B19,Table2[[prolific]:[feedbackTime]],12,FALSE)=VLOOKUP(K$1,Table1[],2,FALSE),1,0)</f>
        <v>1</v>
      </c>
      <c r="L19" s="5">
        <f>IF(VLOOKUP($B19,Table2[[prolific]:[feedbackTime]],13,FALSE)=VLOOKUP(L$1,Table1[],2,FALSE),1,0)</f>
        <v>1</v>
      </c>
      <c r="M19" s="5">
        <f>IF(VLOOKUP($B19,Table2[[prolific]:[feedbackTime]],14,FALSE)=VLOOKUP(M$1,Table1[],2,FALSE),1,0)</f>
        <v>0</v>
      </c>
      <c r="N19" s="5">
        <f t="shared" si="13"/>
        <v>3</v>
      </c>
      <c r="O19" s="7">
        <f t="shared" si="14"/>
        <v>0.5</v>
      </c>
      <c r="P19" s="5">
        <f>IF(VLOOKUP($B19,Table2[[prolific]:[feedbackTime]],15,FALSE)=VLOOKUP(P$1,Table1[],2,FALSE),1,0)</f>
        <v>1</v>
      </c>
      <c r="Q19" s="5">
        <f>IF(VLOOKUP($B19,Table2[[prolific]:[feedbackTime]],16,FALSE)=VLOOKUP(Q$1,Table1[],2,FALSE),1,0)</f>
        <v>1</v>
      </c>
      <c r="R19" s="5">
        <f>IF(VLOOKUP($B19,Table2[[prolific]:[feedbackTime]],17,FALSE)=VLOOKUP(R$1,Table1[],2,FALSE),1,0)</f>
        <v>1</v>
      </c>
      <c r="S19" s="5">
        <f>IF(VLOOKUP($B19,Table2[[prolific]:[feedbackTime]],18,FALSE)=VLOOKUP(S$1,Table1[],2,FALSE),1,0)</f>
        <v>1</v>
      </c>
      <c r="T19" s="5">
        <f>IF(VLOOKUP($B19,Table2[[prolific]:[feedbackTime]],19,FALSE)=VLOOKUP(T$1,Table1[],2,FALSE),1,0)</f>
        <v>1</v>
      </c>
      <c r="U19" s="5">
        <f>IF(VLOOKUP($B19,Table2[[prolific]:[feedbackTime]],20,FALSE)=VLOOKUP(U$1,Table1[],2,FALSE),1,0)</f>
        <v>0</v>
      </c>
      <c r="V19" s="5">
        <f>IF(VLOOKUP($B19,Table2[[prolific]:[feedbackTime]],21,FALSE)=VLOOKUP(V$1,Table1[],2,FALSE),1,0)</f>
        <v>0</v>
      </c>
      <c r="W19" s="5">
        <f>IF(VLOOKUP($B19,Table2[[prolific]:[feedbackTime]],22,FALSE)=VLOOKUP(W$1,Table1[],2,FALSE),1,0)</f>
        <v>1</v>
      </c>
      <c r="X19" s="5">
        <f t="shared" si="15"/>
        <v>6</v>
      </c>
      <c r="Y19" s="7">
        <f t="shared" si="16"/>
        <v>0.75</v>
      </c>
      <c r="Z19" s="5">
        <f>IF(VLOOKUP($B19,Table2[[prolific]:[feedbackTime]],23,FALSE)=VLOOKUP(Z$1,Table1[],2,FALSE),1,0)</f>
        <v>1</v>
      </c>
      <c r="AA19" s="5">
        <f>IF(VLOOKUP($B19,Table2[[prolific]:[feedbackTime]],24,FALSE)=VLOOKUP(AA$1,Table1[],2,FALSE),1,0)</f>
        <v>1</v>
      </c>
      <c r="AB19" s="5">
        <f>IF(VLOOKUP($B19,Table2[[prolific]:[feedbackTime]],25,FALSE)=VLOOKUP(AB$1,Table1[],2,FALSE),1,0)</f>
        <v>1</v>
      </c>
      <c r="AC19" s="5">
        <f>IF(VLOOKUP($B19,Table2[[prolific]:[feedbackTime]],26,FALSE)=VLOOKUP(AC$1,Table1[],2,FALSE),1,0)</f>
        <v>1</v>
      </c>
      <c r="AD19" s="5">
        <f>IF(VLOOKUP($B19,Table2[[prolific]:[feedbackTime]],27,FALSE)=VLOOKUP(AD$1,Table1[],2,FALSE),1,0)</f>
        <v>1</v>
      </c>
      <c r="AE19" s="5">
        <f>IF(VLOOKUP($B19,Table2[[prolific]:[feedbackTime]],28,FALSE)=VLOOKUP(AE$1,Table1[],2,FALSE),1,0)</f>
        <v>0</v>
      </c>
      <c r="AF19" s="5">
        <f>IF(VLOOKUP($B19,Table2[[prolific]:[feedbackTime]],29,FALSE)=VLOOKUP(AF$1,Table1[],2,FALSE),1,0)</f>
        <v>0</v>
      </c>
      <c r="AG19" s="5">
        <f>IF(VLOOKUP($B19,Table2[[prolific]:[feedbackTime]],30,FALSE)=VLOOKUP(AG$1,Table1[],2,FALSE),1,0)</f>
        <v>1</v>
      </c>
      <c r="AH19" s="5">
        <f t="shared" si="17"/>
        <v>6</v>
      </c>
      <c r="AI19" s="7">
        <f t="shared" si="18"/>
        <v>0.75</v>
      </c>
      <c r="AJ19" s="7">
        <f t="shared" si="19"/>
        <v>0.68181818181818177</v>
      </c>
      <c r="AK19" s="5">
        <f t="shared" si="20"/>
        <v>15</v>
      </c>
    </row>
    <row r="20" spans="1:37" x14ac:dyDescent="0.25">
      <c r="A20">
        <f t="shared" si="0"/>
        <v>1</v>
      </c>
      <c r="B20" s="26" t="s">
        <v>1019</v>
      </c>
      <c r="C20" s="5">
        <f>IF(VLOOKUP($B20,Table2[[prolific]:[feedbackTime]],6,FALSE)=VLOOKUP(C$1,Table1[],2,FALSE),1,0)</f>
        <v>1</v>
      </c>
      <c r="D20" s="5">
        <f>IF(VLOOKUP($B20,Table2[[prolific]:[feedbackTime]],7,FALSE)=VLOOKUP(D$1,Table1[],2,FALSE),1,0)</f>
        <v>1</v>
      </c>
      <c r="E20" s="5">
        <f>IF(VLOOKUP($B20,Table2[[prolific]:[feedbackTime]],8,FALSE)=VLOOKUP(E$1,Table1[],2,FALSE),1,0)</f>
        <v>1</v>
      </c>
      <c r="F20" s="5">
        <f t="shared" si="11"/>
        <v>3</v>
      </c>
      <c r="G20" s="7">
        <f t="shared" si="12"/>
        <v>1</v>
      </c>
      <c r="H20" s="5">
        <f>IF(VLOOKUP($B20,Table2[[prolific]:[feedbackTime]],9,FALSE)=VLOOKUP(H$1,Table1[],2,FALSE),1,0)</f>
        <v>1</v>
      </c>
      <c r="I20" s="5">
        <f>IF(VLOOKUP($B20,Table2[[prolific]:[feedbackTime]],10,FALSE)=VLOOKUP(I$1,Table1[],2,FALSE),1,0)</f>
        <v>0</v>
      </c>
      <c r="J20" s="5">
        <f>IF(VLOOKUP($B20,Table2[[prolific]:[feedbackTime]],11,FALSE)=VLOOKUP(J$1,Table1[],2,FALSE),1,0)</f>
        <v>0</v>
      </c>
      <c r="K20" s="5">
        <f>IF(VLOOKUP($B20,Table2[[prolific]:[feedbackTime]],12,FALSE)=VLOOKUP(K$1,Table1[],2,FALSE),1,0)</f>
        <v>1</v>
      </c>
      <c r="L20" s="5">
        <f>IF(VLOOKUP($B20,Table2[[prolific]:[feedbackTime]],13,FALSE)=VLOOKUP(L$1,Table1[],2,FALSE),1,0)</f>
        <v>1</v>
      </c>
      <c r="M20" s="5">
        <f>IF(VLOOKUP($B20,Table2[[prolific]:[feedbackTime]],14,FALSE)=VLOOKUP(M$1,Table1[],2,FALSE),1,0)</f>
        <v>0</v>
      </c>
      <c r="N20" s="5">
        <f t="shared" si="13"/>
        <v>3</v>
      </c>
      <c r="O20" s="7">
        <f t="shared" si="14"/>
        <v>0.5</v>
      </c>
      <c r="P20" s="5">
        <f>IF(VLOOKUP($B20,Table2[[prolific]:[feedbackTime]],15,FALSE)=VLOOKUP(P$1,Table1[],2,FALSE),1,0)</f>
        <v>1</v>
      </c>
      <c r="Q20" s="5">
        <f>IF(VLOOKUP($B20,Table2[[prolific]:[feedbackTime]],16,FALSE)=VLOOKUP(Q$1,Table1[],2,FALSE),1,0)</f>
        <v>1</v>
      </c>
      <c r="R20" s="5">
        <f>IF(VLOOKUP($B20,Table2[[prolific]:[feedbackTime]],17,FALSE)=VLOOKUP(R$1,Table1[],2,FALSE),1,0)</f>
        <v>0</v>
      </c>
      <c r="S20" s="5">
        <f>IF(VLOOKUP($B20,Table2[[prolific]:[feedbackTime]],18,FALSE)=VLOOKUP(S$1,Table1[],2,FALSE),1,0)</f>
        <v>1</v>
      </c>
      <c r="T20" s="5">
        <f>IF(VLOOKUP($B20,Table2[[prolific]:[feedbackTime]],19,FALSE)=VLOOKUP(T$1,Table1[],2,FALSE),1,0)</f>
        <v>1</v>
      </c>
      <c r="U20" s="5">
        <f>IF(VLOOKUP($B20,Table2[[prolific]:[feedbackTime]],20,FALSE)=VLOOKUP(U$1,Table1[],2,FALSE),1,0)</f>
        <v>1</v>
      </c>
      <c r="V20" s="5">
        <f>IF(VLOOKUP($B20,Table2[[prolific]:[feedbackTime]],21,FALSE)=VLOOKUP(V$1,Table1[],2,FALSE),1,0)</f>
        <v>1</v>
      </c>
      <c r="W20" s="5">
        <f>IF(VLOOKUP($B20,Table2[[prolific]:[feedbackTime]],22,FALSE)=VLOOKUP(W$1,Table1[],2,FALSE),1,0)</f>
        <v>1</v>
      </c>
      <c r="X20" s="5">
        <f t="shared" si="15"/>
        <v>7</v>
      </c>
      <c r="Y20" s="7">
        <f t="shared" si="16"/>
        <v>0.875</v>
      </c>
      <c r="Z20" s="5">
        <f>IF(VLOOKUP($B20,Table2[[prolific]:[feedbackTime]],23,FALSE)=VLOOKUP(Z$1,Table1[],2,FALSE),1,0)</f>
        <v>1</v>
      </c>
      <c r="AA20" s="5">
        <f>IF(VLOOKUP($B20,Table2[[prolific]:[feedbackTime]],24,FALSE)=VLOOKUP(AA$1,Table1[],2,FALSE),1,0)</f>
        <v>1</v>
      </c>
      <c r="AB20" s="5">
        <f>IF(VLOOKUP($B20,Table2[[prolific]:[feedbackTime]],25,FALSE)=VLOOKUP(AB$1,Table1[],2,FALSE),1,0)</f>
        <v>0</v>
      </c>
      <c r="AC20" s="5">
        <f>IF(VLOOKUP($B20,Table2[[prolific]:[feedbackTime]],26,FALSE)=VLOOKUP(AC$1,Table1[],2,FALSE),1,0)</f>
        <v>1</v>
      </c>
      <c r="AD20" s="5">
        <f>IF(VLOOKUP($B20,Table2[[prolific]:[feedbackTime]],27,FALSE)=VLOOKUP(AD$1,Table1[],2,FALSE),1,0)</f>
        <v>0</v>
      </c>
      <c r="AE20" s="5">
        <f>IF(VLOOKUP($B20,Table2[[prolific]:[feedbackTime]],28,FALSE)=VLOOKUP(AE$1,Table1[],2,FALSE),1,0)</f>
        <v>0</v>
      </c>
      <c r="AF20" s="5">
        <f>IF(VLOOKUP($B20,Table2[[prolific]:[feedbackTime]],29,FALSE)=VLOOKUP(AF$1,Table1[],2,FALSE),1,0)</f>
        <v>0</v>
      </c>
      <c r="AG20" s="5">
        <f>IF(VLOOKUP($B20,Table2[[prolific]:[feedbackTime]],30,FALSE)=VLOOKUP(AG$1,Table1[],2,FALSE),1,0)</f>
        <v>0</v>
      </c>
      <c r="AH20" s="5">
        <f t="shared" si="17"/>
        <v>3</v>
      </c>
      <c r="AI20" s="7">
        <f t="shared" si="18"/>
        <v>0.375</v>
      </c>
      <c r="AJ20" s="7">
        <f t="shared" si="19"/>
        <v>0.59090909090909094</v>
      </c>
      <c r="AK20" s="5">
        <f t="shared" si="20"/>
        <v>13</v>
      </c>
    </row>
    <row r="21" spans="1:37" x14ac:dyDescent="0.25">
      <c r="A21">
        <f t="shared" si="0"/>
        <v>1</v>
      </c>
      <c r="B21" s="25" t="s">
        <v>1020</v>
      </c>
      <c r="C21" s="5">
        <f>IF(VLOOKUP($B21,Table2[[prolific]:[feedbackTime]],6,FALSE)=VLOOKUP(C$1,Table1[],2,FALSE),1,0)</f>
        <v>1</v>
      </c>
      <c r="D21" s="5">
        <f>IF(VLOOKUP($B21,Table2[[prolific]:[feedbackTime]],7,FALSE)=VLOOKUP(D$1,Table1[],2,FALSE),1,0)</f>
        <v>1</v>
      </c>
      <c r="E21" s="5">
        <f>IF(VLOOKUP($B21,Table2[[prolific]:[feedbackTime]],8,FALSE)=VLOOKUP(E$1,Table1[],2,FALSE),1,0)</f>
        <v>1</v>
      </c>
      <c r="F21" s="5">
        <f t="shared" si="11"/>
        <v>3</v>
      </c>
      <c r="G21" s="7">
        <f t="shared" si="12"/>
        <v>1</v>
      </c>
      <c r="H21" s="5">
        <f>IF(VLOOKUP($B21,Table2[[prolific]:[feedbackTime]],9,FALSE)=VLOOKUP(H$1,Table1[],2,FALSE),1,0)</f>
        <v>1</v>
      </c>
      <c r="I21" s="5">
        <f>IF(VLOOKUP($B21,Table2[[prolific]:[feedbackTime]],10,FALSE)=VLOOKUP(I$1,Table1[],2,FALSE),1,0)</f>
        <v>0</v>
      </c>
      <c r="J21" s="5">
        <f>IF(VLOOKUP($B21,Table2[[prolific]:[feedbackTime]],11,FALSE)=VLOOKUP(J$1,Table1[],2,FALSE),1,0)</f>
        <v>0</v>
      </c>
      <c r="K21" s="5">
        <f>IF(VLOOKUP($B21,Table2[[prolific]:[feedbackTime]],12,FALSE)=VLOOKUP(K$1,Table1[],2,FALSE),1,0)</f>
        <v>0</v>
      </c>
      <c r="L21" s="5">
        <f>IF(VLOOKUP($B21,Table2[[prolific]:[feedbackTime]],13,FALSE)=VLOOKUP(L$1,Table1[],2,FALSE),1,0)</f>
        <v>1</v>
      </c>
      <c r="M21" s="5">
        <f>IF(VLOOKUP($B21,Table2[[prolific]:[feedbackTime]],14,FALSE)=VLOOKUP(M$1,Table1[],2,FALSE),1,0)</f>
        <v>1</v>
      </c>
      <c r="N21" s="5">
        <f t="shared" si="13"/>
        <v>3</v>
      </c>
      <c r="O21" s="7">
        <f t="shared" si="14"/>
        <v>0.5</v>
      </c>
      <c r="P21" s="5">
        <f>IF(VLOOKUP($B21,Table2[[prolific]:[feedbackTime]],15,FALSE)=VLOOKUP(P$1,Table1[],2,FALSE),1,0)</f>
        <v>1</v>
      </c>
      <c r="Q21" s="5">
        <f>IF(VLOOKUP($B21,Table2[[prolific]:[feedbackTime]],16,FALSE)=VLOOKUP(Q$1,Table1[],2,FALSE),1,0)</f>
        <v>1</v>
      </c>
      <c r="R21" s="5">
        <f>IF(VLOOKUP($B21,Table2[[prolific]:[feedbackTime]],17,FALSE)=VLOOKUP(R$1,Table1[],2,FALSE),1,0)</f>
        <v>0</v>
      </c>
      <c r="S21" s="5">
        <f>IF(VLOOKUP($B21,Table2[[prolific]:[feedbackTime]],18,FALSE)=VLOOKUP(S$1,Table1[],2,FALSE),1,0)</f>
        <v>0</v>
      </c>
      <c r="T21" s="5">
        <f>IF(VLOOKUP($B21,Table2[[prolific]:[feedbackTime]],19,FALSE)=VLOOKUP(T$1,Table1[],2,FALSE),1,0)</f>
        <v>1</v>
      </c>
      <c r="U21" s="5">
        <f>IF(VLOOKUP($B21,Table2[[prolific]:[feedbackTime]],20,FALSE)=VLOOKUP(U$1,Table1[],2,FALSE),1,0)</f>
        <v>1</v>
      </c>
      <c r="V21" s="5">
        <f>IF(VLOOKUP($B21,Table2[[prolific]:[feedbackTime]],21,FALSE)=VLOOKUP(V$1,Table1[],2,FALSE),1,0)</f>
        <v>0</v>
      </c>
      <c r="W21" s="5">
        <f>IF(VLOOKUP($B21,Table2[[prolific]:[feedbackTime]],22,FALSE)=VLOOKUP(W$1,Table1[],2,FALSE),1,0)</f>
        <v>0</v>
      </c>
      <c r="X21" s="5">
        <f t="shared" si="15"/>
        <v>4</v>
      </c>
      <c r="Y21" s="7">
        <f t="shared" si="16"/>
        <v>0.5</v>
      </c>
      <c r="Z21" s="5">
        <f>IF(VLOOKUP($B21,Table2[[prolific]:[feedbackTime]],23,FALSE)=VLOOKUP(Z$1,Table1[],2,FALSE),1,0)</f>
        <v>1</v>
      </c>
      <c r="AA21" s="5">
        <f>IF(VLOOKUP($B21,Table2[[prolific]:[feedbackTime]],24,FALSE)=VLOOKUP(AA$1,Table1[],2,FALSE),1,0)</f>
        <v>1</v>
      </c>
      <c r="AB21" s="5">
        <f>IF(VLOOKUP($B21,Table2[[prolific]:[feedbackTime]],25,FALSE)=VLOOKUP(AB$1,Table1[],2,FALSE),1,0)</f>
        <v>1</v>
      </c>
      <c r="AC21" s="5">
        <f>IF(VLOOKUP($B21,Table2[[prolific]:[feedbackTime]],26,FALSE)=VLOOKUP(AC$1,Table1[],2,FALSE),1,0)</f>
        <v>1</v>
      </c>
      <c r="AD21" s="5">
        <f>IF(VLOOKUP($B21,Table2[[prolific]:[feedbackTime]],27,FALSE)=VLOOKUP(AD$1,Table1[],2,FALSE),1,0)</f>
        <v>0</v>
      </c>
      <c r="AE21" s="5">
        <f>IF(VLOOKUP($B21,Table2[[prolific]:[feedbackTime]],28,FALSE)=VLOOKUP(AE$1,Table1[],2,FALSE),1,0)</f>
        <v>0</v>
      </c>
      <c r="AF21" s="5">
        <f>IF(VLOOKUP($B21,Table2[[prolific]:[feedbackTime]],29,FALSE)=VLOOKUP(AF$1,Table1[],2,FALSE),1,0)</f>
        <v>0</v>
      </c>
      <c r="AG21" s="5">
        <f>IF(VLOOKUP($B21,Table2[[prolific]:[feedbackTime]],30,FALSE)=VLOOKUP(AG$1,Table1[],2,FALSE),1,0)</f>
        <v>0</v>
      </c>
      <c r="AH21" s="5">
        <f t="shared" si="17"/>
        <v>4</v>
      </c>
      <c r="AI21" s="7">
        <f t="shared" si="18"/>
        <v>0.5</v>
      </c>
      <c r="AJ21" s="7">
        <f t="shared" si="19"/>
        <v>0.5</v>
      </c>
      <c r="AK21" s="5">
        <f t="shared" si="20"/>
        <v>11</v>
      </c>
    </row>
    <row r="22" spans="1:37" x14ac:dyDescent="0.25">
      <c r="A22">
        <f t="shared" si="0"/>
        <v>1</v>
      </c>
      <c r="B22" s="26" t="s">
        <v>1021</v>
      </c>
      <c r="C22" s="5">
        <f>IF(VLOOKUP($B22,Table2[[prolific]:[feedbackTime]],6,FALSE)=VLOOKUP(C$1,Table1[],2,FALSE),1,0)</f>
        <v>1</v>
      </c>
      <c r="D22" s="5">
        <f>IF(VLOOKUP($B22,Table2[[prolific]:[feedbackTime]],7,FALSE)=VLOOKUP(D$1,Table1[],2,FALSE),1,0)</f>
        <v>1</v>
      </c>
      <c r="E22" s="5">
        <f>IF(VLOOKUP($B22,Table2[[prolific]:[feedbackTime]],8,FALSE)=VLOOKUP(E$1,Table1[],2,FALSE),1,0)</f>
        <v>1</v>
      </c>
      <c r="F22" s="5">
        <f t="shared" si="11"/>
        <v>3</v>
      </c>
      <c r="G22" s="7">
        <f t="shared" si="12"/>
        <v>1</v>
      </c>
      <c r="H22" s="5">
        <f>IF(VLOOKUP($B22,Table2[[prolific]:[feedbackTime]],9,FALSE)=VLOOKUP(H$1,Table1[],2,FALSE),1,0)</f>
        <v>1</v>
      </c>
      <c r="I22" s="5">
        <f>IF(VLOOKUP($B22,Table2[[prolific]:[feedbackTime]],10,FALSE)=VLOOKUP(I$1,Table1[],2,FALSE),1,0)</f>
        <v>1</v>
      </c>
      <c r="J22" s="5">
        <f>IF(VLOOKUP($B22,Table2[[prolific]:[feedbackTime]],11,FALSE)=VLOOKUP(J$1,Table1[],2,FALSE),1,0)</f>
        <v>1</v>
      </c>
      <c r="K22" s="5">
        <f>IF(VLOOKUP($B22,Table2[[prolific]:[feedbackTime]],12,FALSE)=VLOOKUP(K$1,Table1[],2,FALSE),1,0)</f>
        <v>1</v>
      </c>
      <c r="L22" s="5">
        <f>IF(VLOOKUP($B22,Table2[[prolific]:[feedbackTime]],13,FALSE)=VLOOKUP(L$1,Table1[],2,FALSE),1,0)</f>
        <v>1</v>
      </c>
      <c r="M22" s="5">
        <f>IF(VLOOKUP($B22,Table2[[prolific]:[feedbackTime]],14,FALSE)=VLOOKUP(M$1,Table1[],2,FALSE),1,0)</f>
        <v>1</v>
      </c>
      <c r="N22" s="5">
        <f t="shared" si="13"/>
        <v>6</v>
      </c>
      <c r="O22" s="7">
        <f t="shared" si="14"/>
        <v>1</v>
      </c>
      <c r="P22" s="5">
        <f>IF(VLOOKUP($B22,Table2[[prolific]:[feedbackTime]],15,FALSE)=VLOOKUP(P$1,Table1[],2,FALSE),1,0)</f>
        <v>1</v>
      </c>
      <c r="Q22" s="5">
        <f>IF(VLOOKUP($B22,Table2[[prolific]:[feedbackTime]],16,FALSE)=VLOOKUP(Q$1,Table1[],2,FALSE),1,0)</f>
        <v>1</v>
      </c>
      <c r="R22" s="5">
        <f>IF(VLOOKUP($B22,Table2[[prolific]:[feedbackTime]],17,FALSE)=VLOOKUP(R$1,Table1[],2,FALSE),1,0)</f>
        <v>1</v>
      </c>
      <c r="S22" s="5">
        <f>IF(VLOOKUP($B22,Table2[[prolific]:[feedbackTime]],18,FALSE)=VLOOKUP(S$1,Table1[],2,FALSE),1,0)</f>
        <v>0</v>
      </c>
      <c r="T22" s="5">
        <f>IF(VLOOKUP($B22,Table2[[prolific]:[feedbackTime]],19,FALSE)=VLOOKUP(T$1,Table1[],2,FALSE),1,0)</f>
        <v>1</v>
      </c>
      <c r="U22" s="5">
        <f>IF(VLOOKUP($B22,Table2[[prolific]:[feedbackTime]],20,FALSE)=VLOOKUP(U$1,Table1[],2,FALSE),1,0)</f>
        <v>1</v>
      </c>
      <c r="V22" s="5">
        <f>IF(VLOOKUP($B22,Table2[[prolific]:[feedbackTime]],21,FALSE)=VLOOKUP(V$1,Table1[],2,FALSE),1,0)</f>
        <v>1</v>
      </c>
      <c r="W22" s="5">
        <f>IF(VLOOKUP($B22,Table2[[prolific]:[feedbackTime]],22,FALSE)=VLOOKUP(W$1,Table1[],2,FALSE),1,0)</f>
        <v>1</v>
      </c>
      <c r="X22" s="5">
        <f t="shared" si="15"/>
        <v>7</v>
      </c>
      <c r="Y22" s="7">
        <f t="shared" si="16"/>
        <v>0.875</v>
      </c>
      <c r="Z22" s="5">
        <f>IF(VLOOKUP($B22,Table2[[prolific]:[feedbackTime]],23,FALSE)=VLOOKUP(Z$1,Table1[],2,FALSE),1,0)</f>
        <v>1</v>
      </c>
      <c r="AA22" s="5">
        <f>IF(VLOOKUP($B22,Table2[[prolific]:[feedbackTime]],24,FALSE)=VLOOKUP(AA$1,Table1[],2,FALSE),1,0)</f>
        <v>1</v>
      </c>
      <c r="AB22" s="5">
        <f>IF(VLOOKUP($B22,Table2[[prolific]:[feedbackTime]],25,FALSE)=VLOOKUP(AB$1,Table1[],2,FALSE),1,0)</f>
        <v>1</v>
      </c>
      <c r="AC22" s="5">
        <f>IF(VLOOKUP($B22,Table2[[prolific]:[feedbackTime]],26,FALSE)=VLOOKUP(AC$1,Table1[],2,FALSE),1,0)</f>
        <v>1</v>
      </c>
      <c r="AD22" s="5">
        <f>IF(VLOOKUP($B22,Table2[[prolific]:[feedbackTime]],27,FALSE)=VLOOKUP(AD$1,Table1[],2,FALSE),1,0)</f>
        <v>0</v>
      </c>
      <c r="AE22" s="5">
        <f>IF(VLOOKUP($B22,Table2[[prolific]:[feedbackTime]],28,FALSE)=VLOOKUP(AE$1,Table1[],2,FALSE),1,0)</f>
        <v>0</v>
      </c>
      <c r="AF22" s="5">
        <f>IF(VLOOKUP($B22,Table2[[prolific]:[feedbackTime]],29,FALSE)=VLOOKUP(AF$1,Table1[],2,FALSE),1,0)</f>
        <v>0</v>
      </c>
      <c r="AG22" s="5">
        <f>IF(VLOOKUP($B22,Table2[[prolific]:[feedbackTime]],30,FALSE)=VLOOKUP(AG$1,Table1[],2,FALSE),1,0)</f>
        <v>0</v>
      </c>
      <c r="AH22" s="5">
        <f t="shared" si="17"/>
        <v>4</v>
      </c>
      <c r="AI22" s="7">
        <f t="shared" si="18"/>
        <v>0.5</v>
      </c>
      <c r="AJ22" s="7">
        <f t="shared" si="19"/>
        <v>0.77272727272727271</v>
      </c>
      <c r="AK22" s="5">
        <f t="shared" si="20"/>
        <v>17</v>
      </c>
    </row>
    <row r="23" spans="1:37" x14ac:dyDescent="0.25">
      <c r="A23">
        <f t="shared" si="0"/>
        <v>1</v>
      </c>
      <c r="B23" s="25" t="s">
        <v>1022</v>
      </c>
      <c r="C23" s="5">
        <f>IF(VLOOKUP($B23,Table2[[prolific]:[feedbackTime]],6,FALSE)=VLOOKUP(C$1,Table1[],2,FALSE),1,0)</f>
        <v>1</v>
      </c>
      <c r="D23" s="5">
        <f>IF(VLOOKUP($B23,Table2[[prolific]:[feedbackTime]],7,FALSE)=VLOOKUP(D$1,Table1[],2,FALSE),1,0)</f>
        <v>1</v>
      </c>
      <c r="E23" s="5">
        <f>IF(VLOOKUP($B23,Table2[[prolific]:[feedbackTime]],8,FALSE)=VLOOKUP(E$1,Table1[],2,FALSE),1,0)</f>
        <v>1</v>
      </c>
      <c r="F23" s="5">
        <f t="shared" si="11"/>
        <v>3</v>
      </c>
      <c r="G23" s="7">
        <f t="shared" si="12"/>
        <v>1</v>
      </c>
      <c r="H23" s="5">
        <f>IF(VLOOKUP($B23,Table2[[prolific]:[feedbackTime]],9,FALSE)=VLOOKUP(H$1,Table1[],2,FALSE),1,0)</f>
        <v>1</v>
      </c>
      <c r="I23" s="5">
        <f>IF(VLOOKUP($B23,Table2[[prolific]:[feedbackTime]],10,FALSE)=VLOOKUP(I$1,Table1[],2,FALSE),1,0)</f>
        <v>1</v>
      </c>
      <c r="J23" s="5">
        <f>IF(VLOOKUP($B23,Table2[[prolific]:[feedbackTime]],11,FALSE)=VLOOKUP(J$1,Table1[],2,FALSE),1,0)</f>
        <v>1</v>
      </c>
      <c r="K23" s="5">
        <f>IF(VLOOKUP($B23,Table2[[prolific]:[feedbackTime]],12,FALSE)=VLOOKUP(K$1,Table1[],2,FALSE),1,0)</f>
        <v>1</v>
      </c>
      <c r="L23" s="5">
        <f>IF(VLOOKUP($B23,Table2[[prolific]:[feedbackTime]],13,FALSE)=VLOOKUP(L$1,Table1[],2,FALSE),1,0)</f>
        <v>1</v>
      </c>
      <c r="M23" s="5">
        <f>IF(VLOOKUP($B23,Table2[[prolific]:[feedbackTime]],14,FALSE)=VLOOKUP(M$1,Table1[],2,FALSE),1,0)</f>
        <v>1</v>
      </c>
      <c r="N23" s="5">
        <f t="shared" si="13"/>
        <v>6</v>
      </c>
      <c r="O23" s="7">
        <f t="shared" si="14"/>
        <v>1</v>
      </c>
      <c r="P23" s="5">
        <f>IF(VLOOKUP($B23,Table2[[prolific]:[feedbackTime]],15,FALSE)=VLOOKUP(P$1,Table1[],2,FALSE),1,0)</f>
        <v>1</v>
      </c>
      <c r="Q23" s="5">
        <f>IF(VLOOKUP($B23,Table2[[prolific]:[feedbackTime]],16,FALSE)=VLOOKUP(Q$1,Table1[],2,FALSE),1,0)</f>
        <v>1</v>
      </c>
      <c r="R23" s="5">
        <f>IF(VLOOKUP($B23,Table2[[prolific]:[feedbackTime]],17,FALSE)=VLOOKUP(R$1,Table1[],2,FALSE),1,0)</f>
        <v>0</v>
      </c>
      <c r="S23" s="5">
        <f>IF(VLOOKUP($B23,Table2[[prolific]:[feedbackTime]],18,FALSE)=VLOOKUP(S$1,Table1[],2,FALSE),1,0)</f>
        <v>0</v>
      </c>
      <c r="T23" s="5">
        <f>IF(VLOOKUP($B23,Table2[[prolific]:[feedbackTime]],19,FALSE)=VLOOKUP(T$1,Table1[],2,FALSE),1,0)</f>
        <v>1</v>
      </c>
      <c r="U23" s="5">
        <f>IF(VLOOKUP($B23,Table2[[prolific]:[feedbackTime]],20,FALSE)=VLOOKUP(U$1,Table1[],2,FALSE),1,0)</f>
        <v>1</v>
      </c>
      <c r="V23" s="5">
        <f>IF(VLOOKUP($B23,Table2[[prolific]:[feedbackTime]],21,FALSE)=VLOOKUP(V$1,Table1[],2,FALSE),1,0)</f>
        <v>0</v>
      </c>
      <c r="W23" s="5">
        <f>IF(VLOOKUP($B23,Table2[[prolific]:[feedbackTime]],22,FALSE)=VLOOKUP(W$1,Table1[],2,FALSE),1,0)</f>
        <v>1</v>
      </c>
      <c r="X23" s="5">
        <f t="shared" si="15"/>
        <v>5</v>
      </c>
      <c r="Y23" s="7">
        <f t="shared" si="16"/>
        <v>0.625</v>
      </c>
      <c r="Z23" s="5">
        <f>IF(VLOOKUP($B23,Table2[[prolific]:[feedbackTime]],23,FALSE)=VLOOKUP(Z$1,Table1[],2,FALSE),1,0)</f>
        <v>1</v>
      </c>
      <c r="AA23" s="5">
        <f>IF(VLOOKUP($B23,Table2[[prolific]:[feedbackTime]],24,FALSE)=VLOOKUP(AA$1,Table1[],2,FALSE),1,0)</f>
        <v>1</v>
      </c>
      <c r="AB23" s="5">
        <f>IF(VLOOKUP($B23,Table2[[prolific]:[feedbackTime]],25,FALSE)=VLOOKUP(AB$1,Table1[],2,FALSE),1,0)</f>
        <v>0</v>
      </c>
      <c r="AC23" s="5">
        <f>IF(VLOOKUP($B23,Table2[[prolific]:[feedbackTime]],26,FALSE)=VLOOKUP(AC$1,Table1[],2,FALSE),1,0)</f>
        <v>1</v>
      </c>
      <c r="AD23" s="5">
        <f>IF(VLOOKUP($B23,Table2[[prolific]:[feedbackTime]],27,FALSE)=VLOOKUP(AD$1,Table1[],2,FALSE),1,0)</f>
        <v>1</v>
      </c>
      <c r="AE23" s="5">
        <f>IF(VLOOKUP($B23,Table2[[prolific]:[feedbackTime]],28,FALSE)=VLOOKUP(AE$1,Table1[],2,FALSE),1,0)</f>
        <v>0</v>
      </c>
      <c r="AF23" s="5">
        <f>IF(VLOOKUP($B23,Table2[[prolific]:[feedbackTime]],29,FALSE)=VLOOKUP(AF$1,Table1[],2,FALSE),1,0)</f>
        <v>1</v>
      </c>
      <c r="AG23" s="5">
        <f>IF(VLOOKUP($B23,Table2[[prolific]:[feedbackTime]],30,FALSE)=VLOOKUP(AG$1,Table1[],2,FALSE),1,0)</f>
        <v>0</v>
      </c>
      <c r="AH23" s="5">
        <f t="shared" si="17"/>
        <v>5</v>
      </c>
      <c r="AI23" s="7">
        <f t="shared" si="18"/>
        <v>0.625</v>
      </c>
      <c r="AJ23" s="7">
        <f t="shared" si="19"/>
        <v>0.72727272727272729</v>
      </c>
      <c r="AK23" s="5">
        <f t="shared" si="20"/>
        <v>16</v>
      </c>
    </row>
    <row r="24" spans="1:37" x14ac:dyDescent="0.25">
      <c r="A24">
        <f t="shared" si="0"/>
        <v>2</v>
      </c>
      <c r="B24" s="26" t="s">
        <v>1023</v>
      </c>
      <c r="C24" s="5">
        <f>IF(VLOOKUP($B24,Table2[[prolific]:[feedbackTime]],6,FALSE)=VLOOKUP(C$1,Table1[],2,FALSE),1,0)</f>
        <v>1</v>
      </c>
      <c r="D24" s="5">
        <f>IF(VLOOKUP($B24,Table2[[prolific]:[feedbackTime]],7,FALSE)=VLOOKUP(D$1,Table1[],2,FALSE),1,0)</f>
        <v>1</v>
      </c>
      <c r="E24" s="5">
        <f>IF(VLOOKUP($B24,Table2[[prolific]:[feedbackTime]],8,FALSE)=VLOOKUP(E$1,Table1[],2,FALSE),1,0)</f>
        <v>1</v>
      </c>
      <c r="F24" s="5">
        <f t="shared" si="11"/>
        <v>3</v>
      </c>
      <c r="G24" s="7">
        <f t="shared" si="12"/>
        <v>1</v>
      </c>
      <c r="H24" s="5">
        <f>IF(VLOOKUP($B24,Table2[[prolific]:[feedbackTime]],9,FALSE)=VLOOKUP(H$1,Table1[],2,FALSE),1,0)</f>
        <v>1</v>
      </c>
      <c r="I24" s="5">
        <f>IF(VLOOKUP($B24,Table2[[prolific]:[feedbackTime]],10,FALSE)=VLOOKUP(I$1,Table1[],2,FALSE),1,0)</f>
        <v>0</v>
      </c>
      <c r="J24" s="5">
        <f>IF(VLOOKUP($B24,Table2[[prolific]:[feedbackTime]],11,FALSE)=VLOOKUP(J$1,Table1[],2,FALSE),1,0)</f>
        <v>1</v>
      </c>
      <c r="K24" s="5">
        <f>IF(VLOOKUP($B24,Table2[[prolific]:[feedbackTime]],12,FALSE)=VLOOKUP(K$1,Table1[],2,FALSE),1,0)</f>
        <v>1</v>
      </c>
      <c r="L24" s="5">
        <f>IF(VLOOKUP($B24,Table2[[prolific]:[feedbackTime]],13,FALSE)=VLOOKUP(L$1,Table1[],2,FALSE),1,0)</f>
        <v>0</v>
      </c>
      <c r="M24" s="5">
        <f>IF(VLOOKUP($B24,Table2[[prolific]:[feedbackTime]],14,FALSE)=VLOOKUP(M$1,Table1[],2,FALSE),1,0)</f>
        <v>0</v>
      </c>
      <c r="N24" s="5">
        <f t="shared" si="13"/>
        <v>3</v>
      </c>
      <c r="O24" s="7">
        <f t="shared" si="14"/>
        <v>0.5</v>
      </c>
      <c r="P24" s="5">
        <f>IF(VLOOKUP($B24,Table2[[prolific]:[feedbackTime]],15,FALSE)=VLOOKUP(P$1,Table1[],2,FALSE),1,0)</f>
        <v>1</v>
      </c>
      <c r="Q24" s="5">
        <f>IF(VLOOKUP($B24,Table2[[prolific]:[feedbackTime]],16,FALSE)=VLOOKUP(Q$1,Table1[],2,FALSE),1,0)</f>
        <v>1</v>
      </c>
      <c r="R24" s="5">
        <f>IF(VLOOKUP($B24,Table2[[prolific]:[feedbackTime]],17,FALSE)=VLOOKUP(R$1,Table1[],2,FALSE),1,0)</f>
        <v>0</v>
      </c>
      <c r="S24" s="5">
        <f>IF(VLOOKUP($B24,Table2[[prolific]:[feedbackTime]],18,FALSE)=VLOOKUP(S$1,Table1[],2,FALSE),1,0)</f>
        <v>0</v>
      </c>
      <c r="T24" s="5">
        <f>IF(VLOOKUP($B24,Table2[[prolific]:[feedbackTime]],19,FALSE)=VLOOKUP(T$1,Table1[],2,FALSE),1,0)</f>
        <v>0</v>
      </c>
      <c r="U24" s="5">
        <f>IF(VLOOKUP($B24,Table2[[prolific]:[feedbackTime]],20,FALSE)=VLOOKUP(U$1,Table1[],2,FALSE),1,0)</f>
        <v>1</v>
      </c>
      <c r="V24" s="5">
        <f>IF(VLOOKUP($B24,Table2[[prolific]:[feedbackTime]],21,FALSE)=VLOOKUP(V$1,Table1[],2,FALSE),1,0)</f>
        <v>0</v>
      </c>
      <c r="W24" s="5">
        <f>IF(VLOOKUP($B24,Table2[[prolific]:[feedbackTime]],22,FALSE)=VLOOKUP(W$1,Table1[],2,FALSE),1,0)</f>
        <v>0</v>
      </c>
      <c r="X24" s="5">
        <f t="shared" si="15"/>
        <v>3</v>
      </c>
      <c r="Y24" s="7">
        <f t="shared" si="16"/>
        <v>0.375</v>
      </c>
      <c r="Z24" s="5">
        <f>IF(VLOOKUP($B24,Table2[[prolific]:[feedbackTime]],23,FALSE)=VLOOKUP(Z$1,Table1[],2,FALSE),1,0)</f>
        <v>1</v>
      </c>
      <c r="AA24" s="5">
        <f>IF(VLOOKUP($B24,Table2[[prolific]:[feedbackTime]],24,FALSE)=VLOOKUP(AA$1,Table1[],2,FALSE),1,0)</f>
        <v>1</v>
      </c>
      <c r="AB24" s="5">
        <f>IF(VLOOKUP($B24,Table2[[prolific]:[feedbackTime]],25,FALSE)=VLOOKUP(AB$1,Table1[],2,FALSE),1,0)</f>
        <v>1</v>
      </c>
      <c r="AC24" s="5">
        <f>IF(VLOOKUP($B24,Table2[[prolific]:[feedbackTime]],26,FALSE)=VLOOKUP(AC$1,Table1[],2,FALSE),1,0)</f>
        <v>1</v>
      </c>
      <c r="AD24" s="5">
        <f>IF(VLOOKUP($B24,Table2[[prolific]:[feedbackTime]],27,FALSE)=VLOOKUP(AD$1,Table1[],2,FALSE),1,0)</f>
        <v>1</v>
      </c>
      <c r="AE24" s="5">
        <f>IF(VLOOKUP($B24,Table2[[prolific]:[feedbackTime]],28,FALSE)=VLOOKUP(AE$1,Table1[],2,FALSE),1,0)</f>
        <v>0</v>
      </c>
      <c r="AF24" s="5">
        <f>IF(VLOOKUP($B24,Table2[[prolific]:[feedbackTime]],29,FALSE)=VLOOKUP(AF$1,Table1[],2,FALSE),1,0)</f>
        <v>1</v>
      </c>
      <c r="AG24" s="5">
        <f>IF(VLOOKUP($B24,Table2[[prolific]:[feedbackTime]],30,FALSE)=VLOOKUP(AG$1,Table1[],2,FALSE),1,0)</f>
        <v>0</v>
      </c>
      <c r="AH24" s="5">
        <f t="shared" si="17"/>
        <v>6</v>
      </c>
      <c r="AI24" s="7">
        <f t="shared" si="18"/>
        <v>0.75</v>
      </c>
      <c r="AJ24" s="7">
        <f t="shared" si="19"/>
        <v>0.54545454545454541</v>
      </c>
      <c r="AK24" s="5">
        <f t="shared" si="20"/>
        <v>12</v>
      </c>
    </row>
    <row r="25" spans="1:37" x14ac:dyDescent="0.25">
      <c r="A25">
        <f t="shared" si="0"/>
        <v>1</v>
      </c>
      <c r="B25" s="25" t="s">
        <v>1024</v>
      </c>
      <c r="C25" s="5">
        <f>IF(VLOOKUP($B25,Table2[[prolific]:[feedbackTime]],6,FALSE)=VLOOKUP(C$1,Table1[],2,FALSE),1,0)</f>
        <v>1</v>
      </c>
      <c r="D25" s="5">
        <f>IF(VLOOKUP($B25,Table2[[prolific]:[feedbackTime]],7,FALSE)=VLOOKUP(D$1,Table1[],2,FALSE),1,0)</f>
        <v>1</v>
      </c>
      <c r="E25" s="5">
        <f>IF(VLOOKUP($B25,Table2[[prolific]:[feedbackTime]],8,FALSE)=VLOOKUP(E$1,Table1[],2,FALSE),1,0)</f>
        <v>1</v>
      </c>
      <c r="F25" s="5">
        <f t="shared" si="11"/>
        <v>3</v>
      </c>
      <c r="G25" s="7">
        <f t="shared" si="12"/>
        <v>1</v>
      </c>
      <c r="H25" s="5">
        <f>IF(VLOOKUP($B25,Table2[[prolific]:[feedbackTime]],9,FALSE)=VLOOKUP(H$1,Table1[],2,FALSE),1,0)</f>
        <v>1</v>
      </c>
      <c r="I25" s="5">
        <f>IF(VLOOKUP($B25,Table2[[prolific]:[feedbackTime]],10,FALSE)=VLOOKUP(I$1,Table1[],2,FALSE),1,0)</f>
        <v>1</v>
      </c>
      <c r="J25" s="5">
        <f>IF(VLOOKUP($B25,Table2[[prolific]:[feedbackTime]],11,FALSE)=VLOOKUP(J$1,Table1[],2,FALSE),1,0)</f>
        <v>1</v>
      </c>
      <c r="K25" s="5">
        <f>IF(VLOOKUP($B25,Table2[[prolific]:[feedbackTime]],12,FALSE)=VLOOKUP(K$1,Table1[],2,FALSE),1,0)</f>
        <v>1</v>
      </c>
      <c r="L25" s="5">
        <f>IF(VLOOKUP($B25,Table2[[prolific]:[feedbackTime]],13,FALSE)=VLOOKUP(L$1,Table1[],2,FALSE),1,0)</f>
        <v>0</v>
      </c>
      <c r="M25" s="5">
        <f>IF(VLOOKUP($B25,Table2[[prolific]:[feedbackTime]],14,FALSE)=VLOOKUP(M$1,Table1[],2,FALSE),1,0)</f>
        <v>1</v>
      </c>
      <c r="N25" s="5">
        <f t="shared" si="13"/>
        <v>5</v>
      </c>
      <c r="O25" s="7">
        <f t="shared" si="14"/>
        <v>0.83333333333333337</v>
      </c>
      <c r="P25" s="5">
        <f>IF(VLOOKUP($B25,Table2[[prolific]:[feedbackTime]],15,FALSE)=VLOOKUP(P$1,Table1[],2,FALSE),1,0)</f>
        <v>1</v>
      </c>
      <c r="Q25" s="5">
        <f>IF(VLOOKUP($B25,Table2[[prolific]:[feedbackTime]],16,FALSE)=VLOOKUP(Q$1,Table1[],2,FALSE),1,0)</f>
        <v>0</v>
      </c>
      <c r="R25" s="5">
        <f>IF(VLOOKUP($B25,Table2[[prolific]:[feedbackTime]],17,FALSE)=VLOOKUP(R$1,Table1[],2,FALSE),1,0)</f>
        <v>1</v>
      </c>
      <c r="S25" s="5">
        <f>IF(VLOOKUP($B25,Table2[[prolific]:[feedbackTime]],18,FALSE)=VLOOKUP(S$1,Table1[],2,FALSE),1,0)</f>
        <v>1</v>
      </c>
      <c r="T25" s="5">
        <f>IF(VLOOKUP($B25,Table2[[prolific]:[feedbackTime]],19,FALSE)=VLOOKUP(T$1,Table1[],2,FALSE),1,0)</f>
        <v>1</v>
      </c>
      <c r="U25" s="5">
        <f>IF(VLOOKUP($B25,Table2[[prolific]:[feedbackTime]],20,FALSE)=VLOOKUP(U$1,Table1[],2,FALSE),1,0)</f>
        <v>1</v>
      </c>
      <c r="V25" s="5">
        <f>IF(VLOOKUP($B25,Table2[[prolific]:[feedbackTime]],21,FALSE)=VLOOKUP(V$1,Table1[],2,FALSE),1,0)</f>
        <v>0</v>
      </c>
      <c r="W25" s="5">
        <f>IF(VLOOKUP($B25,Table2[[prolific]:[feedbackTime]],22,FALSE)=VLOOKUP(W$1,Table1[],2,FALSE),1,0)</f>
        <v>1</v>
      </c>
      <c r="X25" s="5">
        <f t="shared" si="15"/>
        <v>6</v>
      </c>
      <c r="Y25" s="7">
        <f t="shared" si="16"/>
        <v>0.75</v>
      </c>
      <c r="Z25" s="5">
        <f>IF(VLOOKUP($B25,Table2[[prolific]:[feedbackTime]],23,FALSE)=VLOOKUP(Z$1,Table1[],2,FALSE),1,0)</f>
        <v>1</v>
      </c>
      <c r="AA25" s="5">
        <f>IF(VLOOKUP($B25,Table2[[prolific]:[feedbackTime]],24,FALSE)=VLOOKUP(AA$1,Table1[],2,FALSE),1,0)</f>
        <v>0</v>
      </c>
      <c r="AB25" s="5">
        <f>IF(VLOOKUP($B25,Table2[[prolific]:[feedbackTime]],25,FALSE)=VLOOKUP(AB$1,Table1[],2,FALSE),1,0)</f>
        <v>1</v>
      </c>
      <c r="AC25" s="5">
        <f>IF(VLOOKUP($B25,Table2[[prolific]:[feedbackTime]],26,FALSE)=VLOOKUP(AC$1,Table1[],2,FALSE),1,0)</f>
        <v>1</v>
      </c>
      <c r="AD25" s="5">
        <f>IF(VLOOKUP($B25,Table2[[prolific]:[feedbackTime]],27,FALSE)=VLOOKUP(AD$1,Table1[],2,FALSE),1,0)</f>
        <v>0</v>
      </c>
      <c r="AE25" s="5">
        <f>IF(VLOOKUP($B25,Table2[[prolific]:[feedbackTime]],28,FALSE)=VLOOKUP(AE$1,Table1[],2,FALSE),1,0)</f>
        <v>0</v>
      </c>
      <c r="AF25" s="5">
        <f>IF(VLOOKUP($B25,Table2[[prolific]:[feedbackTime]],29,FALSE)=VLOOKUP(AF$1,Table1[],2,FALSE),1,0)</f>
        <v>0</v>
      </c>
      <c r="AG25" s="5">
        <f>IF(VLOOKUP($B25,Table2[[prolific]:[feedbackTime]],30,FALSE)=VLOOKUP(AG$1,Table1[],2,FALSE),1,0)</f>
        <v>1</v>
      </c>
      <c r="AH25" s="5">
        <f t="shared" si="17"/>
        <v>4</v>
      </c>
      <c r="AI25" s="7">
        <f t="shared" si="18"/>
        <v>0.5</v>
      </c>
      <c r="AJ25" s="7">
        <f t="shared" si="19"/>
        <v>0.68181818181818177</v>
      </c>
      <c r="AK25" s="5">
        <f t="shared" si="20"/>
        <v>15</v>
      </c>
    </row>
    <row r="26" spans="1:37" x14ac:dyDescent="0.25">
      <c r="A26">
        <f t="shared" si="0"/>
        <v>1</v>
      </c>
      <c r="B26" s="26" t="s">
        <v>1025</v>
      </c>
      <c r="C26" s="5">
        <f>IF(VLOOKUP($B26,Table2[[prolific]:[feedbackTime]],6,FALSE)=VLOOKUP(C$1,Table1[],2,FALSE),1,0)</f>
        <v>1</v>
      </c>
      <c r="D26" s="5">
        <f>IF(VLOOKUP($B26,Table2[[prolific]:[feedbackTime]],7,FALSE)=VLOOKUP(D$1,Table1[],2,FALSE),1,0)</f>
        <v>1</v>
      </c>
      <c r="E26" s="5">
        <f>IF(VLOOKUP($B26,Table2[[prolific]:[feedbackTime]],8,FALSE)=VLOOKUP(E$1,Table1[],2,FALSE),1,0)</f>
        <v>1</v>
      </c>
      <c r="F26" s="5">
        <f t="shared" si="11"/>
        <v>3</v>
      </c>
      <c r="G26" s="7">
        <f t="shared" si="12"/>
        <v>1</v>
      </c>
      <c r="H26" s="5">
        <f>IF(VLOOKUP($B26,Table2[[prolific]:[feedbackTime]],9,FALSE)=VLOOKUP(H$1,Table1[],2,FALSE),1,0)</f>
        <v>1</v>
      </c>
      <c r="I26" s="5">
        <f>IF(VLOOKUP($B26,Table2[[prolific]:[feedbackTime]],10,FALSE)=VLOOKUP(I$1,Table1[],2,FALSE),1,0)</f>
        <v>0</v>
      </c>
      <c r="J26" s="5">
        <f>IF(VLOOKUP($B26,Table2[[prolific]:[feedbackTime]],11,FALSE)=VLOOKUP(J$1,Table1[],2,FALSE),1,0)</f>
        <v>0</v>
      </c>
      <c r="K26" s="5">
        <f>IF(VLOOKUP($B26,Table2[[prolific]:[feedbackTime]],12,FALSE)=VLOOKUP(K$1,Table1[],2,FALSE),1,0)</f>
        <v>1</v>
      </c>
      <c r="L26" s="5">
        <f>IF(VLOOKUP($B26,Table2[[prolific]:[feedbackTime]],13,FALSE)=VLOOKUP(L$1,Table1[],2,FALSE),1,0)</f>
        <v>0</v>
      </c>
      <c r="M26" s="5">
        <f>IF(VLOOKUP($B26,Table2[[prolific]:[feedbackTime]],14,FALSE)=VLOOKUP(M$1,Table1[],2,FALSE),1,0)</f>
        <v>0</v>
      </c>
      <c r="N26" s="5">
        <f t="shared" si="13"/>
        <v>2</v>
      </c>
      <c r="O26" s="7">
        <f t="shared" si="14"/>
        <v>0.33333333333333331</v>
      </c>
      <c r="P26" s="5">
        <f>IF(VLOOKUP($B26,Table2[[prolific]:[feedbackTime]],15,FALSE)=VLOOKUP(P$1,Table1[],2,FALSE),1,0)</f>
        <v>1</v>
      </c>
      <c r="Q26" s="5">
        <f>IF(VLOOKUP($B26,Table2[[prolific]:[feedbackTime]],16,FALSE)=VLOOKUP(Q$1,Table1[],2,FALSE),1,0)</f>
        <v>1</v>
      </c>
      <c r="R26" s="5">
        <f>IF(VLOOKUP($B26,Table2[[prolific]:[feedbackTime]],17,FALSE)=VLOOKUP(R$1,Table1[],2,FALSE),1,0)</f>
        <v>1</v>
      </c>
      <c r="S26" s="5">
        <f>IF(VLOOKUP($B26,Table2[[prolific]:[feedbackTime]],18,FALSE)=VLOOKUP(S$1,Table1[],2,FALSE),1,0)</f>
        <v>1</v>
      </c>
      <c r="T26" s="5">
        <f>IF(VLOOKUP($B26,Table2[[prolific]:[feedbackTime]],19,FALSE)=VLOOKUP(T$1,Table1[],2,FALSE),1,0)</f>
        <v>1</v>
      </c>
      <c r="U26" s="5">
        <f>IF(VLOOKUP($B26,Table2[[prolific]:[feedbackTime]],20,FALSE)=VLOOKUP(U$1,Table1[],2,FALSE),1,0)</f>
        <v>1</v>
      </c>
      <c r="V26" s="5">
        <f>IF(VLOOKUP($B26,Table2[[prolific]:[feedbackTime]],21,FALSE)=VLOOKUP(V$1,Table1[],2,FALSE),1,0)</f>
        <v>0</v>
      </c>
      <c r="W26" s="5">
        <f>IF(VLOOKUP($B26,Table2[[prolific]:[feedbackTime]],22,FALSE)=VLOOKUP(W$1,Table1[],2,FALSE),1,0)</f>
        <v>1</v>
      </c>
      <c r="X26" s="5">
        <f t="shared" si="15"/>
        <v>7</v>
      </c>
      <c r="Y26" s="7">
        <f t="shared" si="16"/>
        <v>0.875</v>
      </c>
      <c r="Z26" s="5">
        <f>IF(VLOOKUP($B26,Table2[[prolific]:[feedbackTime]],23,FALSE)=VLOOKUP(Z$1,Table1[],2,FALSE),1,0)</f>
        <v>1</v>
      </c>
      <c r="AA26" s="5">
        <f>IF(VLOOKUP($B26,Table2[[prolific]:[feedbackTime]],24,FALSE)=VLOOKUP(AA$1,Table1[],2,FALSE),1,0)</f>
        <v>1</v>
      </c>
      <c r="AB26" s="5">
        <f>IF(VLOOKUP($B26,Table2[[prolific]:[feedbackTime]],25,FALSE)=VLOOKUP(AB$1,Table1[],2,FALSE),1,0)</f>
        <v>1</v>
      </c>
      <c r="AC26" s="5">
        <f>IF(VLOOKUP($B26,Table2[[prolific]:[feedbackTime]],26,FALSE)=VLOOKUP(AC$1,Table1[],2,FALSE),1,0)</f>
        <v>1</v>
      </c>
      <c r="AD26" s="5">
        <f>IF(VLOOKUP($B26,Table2[[prolific]:[feedbackTime]],27,FALSE)=VLOOKUP(AD$1,Table1[],2,FALSE),1,0)</f>
        <v>0</v>
      </c>
      <c r="AE26" s="5">
        <f>IF(VLOOKUP($B26,Table2[[prolific]:[feedbackTime]],28,FALSE)=VLOOKUP(AE$1,Table1[],2,FALSE),1,0)</f>
        <v>0</v>
      </c>
      <c r="AF26" s="5">
        <f>IF(VLOOKUP($B26,Table2[[prolific]:[feedbackTime]],29,FALSE)=VLOOKUP(AF$1,Table1[],2,FALSE),1,0)</f>
        <v>1</v>
      </c>
      <c r="AG26" s="5">
        <f>IF(VLOOKUP($B26,Table2[[prolific]:[feedbackTime]],30,FALSE)=VLOOKUP(AG$1,Table1[],2,FALSE),1,0)</f>
        <v>1</v>
      </c>
      <c r="AH26" s="5">
        <f t="shared" si="17"/>
        <v>6</v>
      </c>
      <c r="AI26" s="7">
        <f t="shared" si="18"/>
        <v>0.75</v>
      </c>
      <c r="AJ26" s="7">
        <f t="shared" si="19"/>
        <v>0.68181818181818177</v>
      </c>
      <c r="AK26" s="5">
        <f t="shared" si="20"/>
        <v>15</v>
      </c>
    </row>
    <row r="27" spans="1:37" x14ac:dyDescent="0.25">
      <c r="A27">
        <f t="shared" si="0"/>
        <v>1</v>
      </c>
      <c r="B27" s="25" t="s">
        <v>1026</v>
      </c>
      <c r="C27" s="5">
        <f>IF(VLOOKUP($B27,Table2[[prolific]:[feedbackTime]],6,FALSE)=VLOOKUP(C$1,Table1[],2,FALSE),1,0)</f>
        <v>1</v>
      </c>
      <c r="D27" s="5">
        <f>IF(VLOOKUP($B27,Table2[[prolific]:[feedbackTime]],7,FALSE)=VLOOKUP(D$1,Table1[],2,FALSE),1,0)</f>
        <v>1</v>
      </c>
      <c r="E27" s="5">
        <f>IF(VLOOKUP($B27,Table2[[prolific]:[feedbackTime]],8,FALSE)=VLOOKUP(E$1,Table1[],2,FALSE),1,0)</f>
        <v>1</v>
      </c>
      <c r="F27" s="5">
        <f t="shared" si="11"/>
        <v>3</v>
      </c>
      <c r="G27" s="7">
        <f t="shared" si="12"/>
        <v>1</v>
      </c>
      <c r="H27" s="5">
        <f>IF(VLOOKUP($B27,Table2[[prolific]:[feedbackTime]],9,FALSE)=VLOOKUP(H$1,Table1[],2,FALSE),1,0)</f>
        <v>1</v>
      </c>
      <c r="I27" s="5">
        <f>IF(VLOOKUP($B27,Table2[[prolific]:[feedbackTime]],10,FALSE)=VLOOKUP(I$1,Table1[],2,FALSE),1,0)</f>
        <v>1</v>
      </c>
      <c r="J27" s="5">
        <f>IF(VLOOKUP($B27,Table2[[prolific]:[feedbackTime]],11,FALSE)=VLOOKUP(J$1,Table1[],2,FALSE),1,0)</f>
        <v>0</v>
      </c>
      <c r="K27" s="5">
        <f>IF(VLOOKUP($B27,Table2[[prolific]:[feedbackTime]],12,FALSE)=VLOOKUP(K$1,Table1[],2,FALSE),1,0)</f>
        <v>1</v>
      </c>
      <c r="L27" s="5">
        <f>IF(VLOOKUP($B27,Table2[[prolific]:[feedbackTime]],13,FALSE)=VLOOKUP(L$1,Table1[],2,FALSE),1,0)</f>
        <v>1</v>
      </c>
      <c r="M27" s="5">
        <f>IF(VLOOKUP($B27,Table2[[prolific]:[feedbackTime]],14,FALSE)=VLOOKUP(M$1,Table1[],2,FALSE),1,0)</f>
        <v>0</v>
      </c>
      <c r="N27" s="5">
        <f t="shared" si="13"/>
        <v>4</v>
      </c>
      <c r="O27" s="7">
        <f t="shared" si="14"/>
        <v>0.66666666666666663</v>
      </c>
      <c r="P27" s="5">
        <f>IF(VLOOKUP($B27,Table2[[prolific]:[feedbackTime]],15,FALSE)=VLOOKUP(P$1,Table1[],2,FALSE),1,0)</f>
        <v>1</v>
      </c>
      <c r="Q27" s="5">
        <f>IF(VLOOKUP($B27,Table2[[prolific]:[feedbackTime]],16,FALSE)=VLOOKUP(Q$1,Table1[],2,FALSE),1,0)</f>
        <v>1</v>
      </c>
      <c r="R27" s="5">
        <f>IF(VLOOKUP($B27,Table2[[prolific]:[feedbackTime]],17,FALSE)=VLOOKUP(R$1,Table1[],2,FALSE),1,0)</f>
        <v>0</v>
      </c>
      <c r="S27" s="5">
        <f>IF(VLOOKUP($B27,Table2[[prolific]:[feedbackTime]],18,FALSE)=VLOOKUP(S$1,Table1[],2,FALSE),1,0)</f>
        <v>1</v>
      </c>
      <c r="T27" s="5">
        <f>IF(VLOOKUP($B27,Table2[[prolific]:[feedbackTime]],19,FALSE)=VLOOKUP(T$1,Table1[],2,FALSE),1,0)</f>
        <v>1</v>
      </c>
      <c r="U27" s="5">
        <f>IF(VLOOKUP($B27,Table2[[prolific]:[feedbackTime]],20,FALSE)=VLOOKUP(U$1,Table1[],2,FALSE),1,0)</f>
        <v>1</v>
      </c>
      <c r="V27" s="5">
        <f>IF(VLOOKUP($B27,Table2[[prolific]:[feedbackTime]],21,FALSE)=VLOOKUP(V$1,Table1[],2,FALSE),1,0)</f>
        <v>0</v>
      </c>
      <c r="W27" s="5">
        <f>IF(VLOOKUP($B27,Table2[[prolific]:[feedbackTime]],22,FALSE)=VLOOKUP(W$1,Table1[],2,FALSE),1,0)</f>
        <v>0</v>
      </c>
      <c r="X27" s="5">
        <f t="shared" si="15"/>
        <v>5</v>
      </c>
      <c r="Y27" s="7">
        <f t="shared" si="16"/>
        <v>0.625</v>
      </c>
      <c r="Z27" s="5">
        <f>IF(VLOOKUP($B27,Table2[[prolific]:[feedbackTime]],23,FALSE)=VLOOKUP(Z$1,Table1[],2,FALSE),1,0)</f>
        <v>1</v>
      </c>
      <c r="AA27" s="5">
        <f>IF(VLOOKUP($B27,Table2[[prolific]:[feedbackTime]],24,FALSE)=VLOOKUP(AA$1,Table1[],2,FALSE),1,0)</f>
        <v>1</v>
      </c>
      <c r="AB27" s="5">
        <f>IF(VLOOKUP($B27,Table2[[prolific]:[feedbackTime]],25,FALSE)=VLOOKUP(AB$1,Table1[],2,FALSE),1,0)</f>
        <v>0</v>
      </c>
      <c r="AC27" s="5">
        <f>IF(VLOOKUP($B27,Table2[[prolific]:[feedbackTime]],26,FALSE)=VLOOKUP(AC$1,Table1[],2,FALSE),1,0)</f>
        <v>1</v>
      </c>
      <c r="AD27" s="5">
        <f>IF(VLOOKUP($B27,Table2[[prolific]:[feedbackTime]],27,FALSE)=VLOOKUP(AD$1,Table1[],2,FALSE),1,0)</f>
        <v>1</v>
      </c>
      <c r="AE27" s="5">
        <f>IF(VLOOKUP($B27,Table2[[prolific]:[feedbackTime]],28,FALSE)=VLOOKUP(AE$1,Table1[],2,FALSE),1,0)</f>
        <v>0</v>
      </c>
      <c r="AF27" s="5">
        <f>IF(VLOOKUP($B27,Table2[[prolific]:[feedbackTime]],29,FALSE)=VLOOKUP(AF$1,Table1[],2,FALSE),1,0)</f>
        <v>1</v>
      </c>
      <c r="AG27" s="5">
        <f>IF(VLOOKUP($B27,Table2[[prolific]:[feedbackTime]],30,FALSE)=VLOOKUP(AG$1,Table1[],2,FALSE),1,0)</f>
        <v>1</v>
      </c>
      <c r="AH27" s="5">
        <f t="shared" si="17"/>
        <v>6</v>
      </c>
      <c r="AI27" s="7">
        <f t="shared" si="18"/>
        <v>0.75</v>
      </c>
      <c r="AJ27" s="7">
        <f t="shared" si="19"/>
        <v>0.68181818181818177</v>
      </c>
      <c r="AK27" s="5">
        <f t="shared" si="20"/>
        <v>15</v>
      </c>
    </row>
    <row r="28" spans="1:37" x14ac:dyDescent="0.25">
      <c r="A28">
        <f t="shared" si="0"/>
        <v>1</v>
      </c>
      <c r="B28" s="26" t="s">
        <v>1027</v>
      </c>
      <c r="C28" s="5">
        <f>IF(VLOOKUP($B28,Table2[[prolific]:[feedbackTime]],6,FALSE)=VLOOKUP(C$1,Table1[],2,FALSE),1,0)</f>
        <v>1</v>
      </c>
      <c r="D28" s="5">
        <f>IF(VLOOKUP($B28,Table2[[prolific]:[feedbackTime]],7,FALSE)=VLOOKUP(D$1,Table1[],2,FALSE),1,0)</f>
        <v>1</v>
      </c>
      <c r="E28" s="5">
        <f>IF(VLOOKUP($B28,Table2[[prolific]:[feedbackTime]],8,FALSE)=VLOOKUP(E$1,Table1[],2,FALSE),1,0)</f>
        <v>1</v>
      </c>
      <c r="F28" s="5">
        <f t="shared" si="11"/>
        <v>3</v>
      </c>
      <c r="G28" s="7">
        <f t="shared" si="12"/>
        <v>1</v>
      </c>
      <c r="H28" s="5">
        <f>IF(VLOOKUP($B28,Table2[[prolific]:[feedbackTime]],9,FALSE)=VLOOKUP(H$1,Table1[],2,FALSE),1,0)</f>
        <v>1</v>
      </c>
      <c r="I28" s="5">
        <f>IF(VLOOKUP($B28,Table2[[prolific]:[feedbackTime]],10,FALSE)=VLOOKUP(I$1,Table1[],2,FALSE),1,0)</f>
        <v>1</v>
      </c>
      <c r="J28" s="5">
        <f>IF(VLOOKUP($B28,Table2[[prolific]:[feedbackTime]],11,FALSE)=VLOOKUP(J$1,Table1[],2,FALSE),1,0)</f>
        <v>1</v>
      </c>
      <c r="K28" s="5">
        <f>IF(VLOOKUP($B28,Table2[[prolific]:[feedbackTime]],12,FALSE)=VLOOKUP(K$1,Table1[],2,FALSE),1,0)</f>
        <v>1</v>
      </c>
      <c r="L28" s="5">
        <f>IF(VLOOKUP($B28,Table2[[prolific]:[feedbackTime]],13,FALSE)=VLOOKUP(L$1,Table1[],2,FALSE),1,0)</f>
        <v>0</v>
      </c>
      <c r="M28" s="5">
        <f>IF(VLOOKUP($B28,Table2[[prolific]:[feedbackTime]],14,FALSE)=VLOOKUP(M$1,Table1[],2,FALSE),1,0)</f>
        <v>0</v>
      </c>
      <c r="N28" s="5">
        <f t="shared" si="13"/>
        <v>4</v>
      </c>
      <c r="O28" s="7">
        <f t="shared" si="14"/>
        <v>0.66666666666666663</v>
      </c>
      <c r="P28" s="5">
        <f>IF(VLOOKUP($B28,Table2[[prolific]:[feedbackTime]],15,FALSE)=VLOOKUP(P$1,Table1[],2,FALSE),1,0)</f>
        <v>1</v>
      </c>
      <c r="Q28" s="5">
        <f>IF(VLOOKUP($B28,Table2[[prolific]:[feedbackTime]],16,FALSE)=VLOOKUP(Q$1,Table1[],2,FALSE),1,0)</f>
        <v>1</v>
      </c>
      <c r="R28" s="5">
        <f>IF(VLOOKUP($B28,Table2[[prolific]:[feedbackTime]],17,FALSE)=VLOOKUP(R$1,Table1[],2,FALSE),1,0)</f>
        <v>1</v>
      </c>
      <c r="S28" s="5">
        <f>IF(VLOOKUP($B28,Table2[[prolific]:[feedbackTime]],18,FALSE)=VLOOKUP(S$1,Table1[],2,FALSE),1,0)</f>
        <v>1</v>
      </c>
      <c r="T28" s="5">
        <f>IF(VLOOKUP($B28,Table2[[prolific]:[feedbackTime]],19,FALSE)=VLOOKUP(T$1,Table1[],2,FALSE),1,0)</f>
        <v>1</v>
      </c>
      <c r="U28" s="5">
        <f>IF(VLOOKUP($B28,Table2[[prolific]:[feedbackTime]],20,FALSE)=VLOOKUP(U$1,Table1[],2,FALSE),1,0)</f>
        <v>0</v>
      </c>
      <c r="V28" s="5">
        <f>IF(VLOOKUP($B28,Table2[[prolific]:[feedbackTime]],21,FALSE)=VLOOKUP(V$1,Table1[],2,FALSE),1,0)</f>
        <v>1</v>
      </c>
      <c r="W28" s="5">
        <f>IF(VLOOKUP($B28,Table2[[prolific]:[feedbackTime]],22,FALSE)=VLOOKUP(W$1,Table1[],2,FALSE),1,0)</f>
        <v>1</v>
      </c>
      <c r="X28" s="5">
        <f t="shared" si="15"/>
        <v>7</v>
      </c>
      <c r="Y28" s="7">
        <f t="shared" si="16"/>
        <v>0.875</v>
      </c>
      <c r="Z28" s="5">
        <f>IF(VLOOKUP($B28,Table2[[prolific]:[feedbackTime]],23,FALSE)=VLOOKUP(Z$1,Table1[],2,FALSE),1,0)</f>
        <v>1</v>
      </c>
      <c r="AA28" s="5">
        <f>IF(VLOOKUP($B28,Table2[[prolific]:[feedbackTime]],24,FALSE)=VLOOKUP(AA$1,Table1[],2,FALSE),1,0)</f>
        <v>1</v>
      </c>
      <c r="AB28" s="5">
        <f>IF(VLOOKUP($B28,Table2[[prolific]:[feedbackTime]],25,FALSE)=VLOOKUP(AB$1,Table1[],2,FALSE),1,0)</f>
        <v>1</v>
      </c>
      <c r="AC28" s="5">
        <f>IF(VLOOKUP($B28,Table2[[prolific]:[feedbackTime]],26,FALSE)=VLOOKUP(AC$1,Table1[],2,FALSE),1,0)</f>
        <v>1</v>
      </c>
      <c r="AD28" s="5">
        <f>IF(VLOOKUP($B28,Table2[[prolific]:[feedbackTime]],27,FALSE)=VLOOKUP(AD$1,Table1[],2,FALSE),1,0)</f>
        <v>0</v>
      </c>
      <c r="AE28" s="5">
        <f>IF(VLOOKUP($B28,Table2[[prolific]:[feedbackTime]],28,FALSE)=VLOOKUP(AE$1,Table1[],2,FALSE),1,0)</f>
        <v>0</v>
      </c>
      <c r="AF28" s="5">
        <f>IF(VLOOKUP($B28,Table2[[prolific]:[feedbackTime]],29,FALSE)=VLOOKUP(AF$1,Table1[],2,FALSE),1,0)</f>
        <v>0</v>
      </c>
      <c r="AG28" s="5">
        <f>IF(VLOOKUP($B28,Table2[[prolific]:[feedbackTime]],30,FALSE)=VLOOKUP(AG$1,Table1[],2,FALSE),1,0)</f>
        <v>1</v>
      </c>
      <c r="AH28" s="5">
        <f t="shared" si="17"/>
        <v>5</v>
      </c>
      <c r="AI28" s="7">
        <f t="shared" si="18"/>
        <v>0.625</v>
      </c>
      <c r="AJ28" s="7">
        <f t="shared" si="19"/>
        <v>0.72727272727272729</v>
      </c>
      <c r="AK28" s="5">
        <f t="shared" si="20"/>
        <v>16</v>
      </c>
    </row>
    <row r="29" spans="1:37" x14ac:dyDescent="0.25">
      <c r="A29">
        <f t="shared" si="0"/>
        <v>1</v>
      </c>
      <c r="B29" s="25" t="s">
        <v>1028</v>
      </c>
      <c r="C29" s="5">
        <f>IF(VLOOKUP($B29,Table2[[prolific]:[feedbackTime]],6,FALSE)=VLOOKUP(C$1,Table1[],2,FALSE),1,0)</f>
        <v>1</v>
      </c>
      <c r="D29" s="5">
        <f>IF(VLOOKUP($B29,Table2[[prolific]:[feedbackTime]],7,FALSE)=VLOOKUP(D$1,Table1[],2,FALSE),1,0)</f>
        <v>1</v>
      </c>
      <c r="E29" s="5">
        <f>IF(VLOOKUP($B29,Table2[[prolific]:[feedbackTime]],8,FALSE)=VLOOKUP(E$1,Table1[],2,FALSE),1,0)</f>
        <v>1</v>
      </c>
      <c r="F29" s="5">
        <f t="shared" si="11"/>
        <v>3</v>
      </c>
      <c r="G29" s="7">
        <f t="shared" si="12"/>
        <v>1</v>
      </c>
      <c r="H29" s="5">
        <f>IF(VLOOKUP($B29,Table2[[prolific]:[feedbackTime]],9,FALSE)=VLOOKUP(H$1,Table1[],2,FALSE),1,0)</f>
        <v>1</v>
      </c>
      <c r="I29" s="5">
        <f>IF(VLOOKUP($B29,Table2[[prolific]:[feedbackTime]],10,FALSE)=VLOOKUP(I$1,Table1[],2,FALSE),1,0)</f>
        <v>1</v>
      </c>
      <c r="J29" s="5">
        <f>IF(VLOOKUP($B29,Table2[[prolific]:[feedbackTime]],11,FALSE)=VLOOKUP(J$1,Table1[],2,FALSE),1,0)</f>
        <v>1</v>
      </c>
      <c r="K29" s="5">
        <f>IF(VLOOKUP($B29,Table2[[prolific]:[feedbackTime]],12,FALSE)=VLOOKUP(K$1,Table1[],2,FALSE),1,0)</f>
        <v>1</v>
      </c>
      <c r="L29" s="5">
        <f>IF(VLOOKUP($B29,Table2[[prolific]:[feedbackTime]],13,FALSE)=VLOOKUP(L$1,Table1[],2,FALSE),1,0)</f>
        <v>1</v>
      </c>
      <c r="M29" s="5">
        <f>IF(VLOOKUP($B29,Table2[[prolific]:[feedbackTime]],14,FALSE)=VLOOKUP(M$1,Table1[],2,FALSE),1,0)</f>
        <v>1</v>
      </c>
      <c r="N29" s="5">
        <f t="shared" si="13"/>
        <v>6</v>
      </c>
      <c r="O29" s="7">
        <f t="shared" si="14"/>
        <v>1</v>
      </c>
      <c r="P29" s="5">
        <f>IF(VLOOKUP($B29,Table2[[prolific]:[feedbackTime]],15,FALSE)=VLOOKUP(P$1,Table1[],2,FALSE),1,0)</f>
        <v>1</v>
      </c>
      <c r="Q29" s="5">
        <f>IF(VLOOKUP($B29,Table2[[prolific]:[feedbackTime]],16,FALSE)=VLOOKUP(Q$1,Table1[],2,FALSE),1,0)</f>
        <v>1</v>
      </c>
      <c r="R29" s="5">
        <f>IF(VLOOKUP($B29,Table2[[prolific]:[feedbackTime]],17,FALSE)=VLOOKUP(R$1,Table1[],2,FALSE),1,0)</f>
        <v>1</v>
      </c>
      <c r="S29" s="5">
        <f>IF(VLOOKUP($B29,Table2[[prolific]:[feedbackTime]],18,FALSE)=VLOOKUP(S$1,Table1[],2,FALSE),1,0)</f>
        <v>1</v>
      </c>
      <c r="T29" s="5">
        <f>IF(VLOOKUP($B29,Table2[[prolific]:[feedbackTime]],19,FALSE)=VLOOKUP(T$1,Table1[],2,FALSE),1,0)</f>
        <v>1</v>
      </c>
      <c r="U29" s="5">
        <f>IF(VLOOKUP($B29,Table2[[prolific]:[feedbackTime]],20,FALSE)=VLOOKUP(U$1,Table1[],2,FALSE),1,0)</f>
        <v>1</v>
      </c>
      <c r="V29" s="5">
        <f>IF(VLOOKUP($B29,Table2[[prolific]:[feedbackTime]],21,FALSE)=VLOOKUP(V$1,Table1[],2,FALSE),1,0)</f>
        <v>1</v>
      </c>
      <c r="W29" s="5">
        <f>IF(VLOOKUP($B29,Table2[[prolific]:[feedbackTime]],22,FALSE)=VLOOKUP(W$1,Table1[],2,FALSE),1,0)</f>
        <v>1</v>
      </c>
      <c r="X29" s="5">
        <f t="shared" si="15"/>
        <v>8</v>
      </c>
      <c r="Y29" s="7">
        <f t="shared" si="16"/>
        <v>1</v>
      </c>
      <c r="Z29" s="5">
        <f>IF(VLOOKUP($B29,Table2[[prolific]:[feedbackTime]],23,FALSE)=VLOOKUP(Z$1,Table1[],2,FALSE),1,0)</f>
        <v>1</v>
      </c>
      <c r="AA29" s="5">
        <f>IF(VLOOKUP($B29,Table2[[prolific]:[feedbackTime]],24,FALSE)=VLOOKUP(AA$1,Table1[],2,FALSE),1,0)</f>
        <v>1</v>
      </c>
      <c r="AB29" s="5">
        <f>IF(VLOOKUP($B29,Table2[[prolific]:[feedbackTime]],25,FALSE)=VLOOKUP(AB$1,Table1[],2,FALSE),1,0)</f>
        <v>1</v>
      </c>
      <c r="AC29" s="5">
        <f>IF(VLOOKUP($B29,Table2[[prolific]:[feedbackTime]],26,FALSE)=VLOOKUP(AC$1,Table1[],2,FALSE),1,0)</f>
        <v>1</v>
      </c>
      <c r="AD29" s="5">
        <f>IF(VLOOKUP($B29,Table2[[prolific]:[feedbackTime]],27,FALSE)=VLOOKUP(AD$1,Table1[],2,FALSE),1,0)</f>
        <v>0</v>
      </c>
      <c r="AE29" s="5">
        <f>IF(VLOOKUP($B29,Table2[[prolific]:[feedbackTime]],28,FALSE)=VLOOKUP(AE$1,Table1[],2,FALSE),1,0)</f>
        <v>1</v>
      </c>
      <c r="AF29" s="5">
        <f>IF(VLOOKUP($B29,Table2[[prolific]:[feedbackTime]],29,FALSE)=VLOOKUP(AF$1,Table1[],2,FALSE),1,0)</f>
        <v>0</v>
      </c>
      <c r="AG29" s="5">
        <f>IF(VLOOKUP($B29,Table2[[prolific]:[feedbackTime]],30,FALSE)=VLOOKUP(AG$1,Table1[],2,FALSE),1,0)</f>
        <v>0</v>
      </c>
      <c r="AH29" s="5">
        <f t="shared" si="17"/>
        <v>5</v>
      </c>
      <c r="AI29" s="7">
        <f t="shared" si="18"/>
        <v>0.625</v>
      </c>
      <c r="AJ29" s="7">
        <f t="shared" si="19"/>
        <v>0.86363636363636365</v>
      </c>
      <c r="AK29" s="5">
        <f t="shared" si="20"/>
        <v>19</v>
      </c>
    </row>
    <row r="30" spans="1:37" x14ac:dyDescent="0.25">
      <c r="A30">
        <f t="shared" si="0"/>
        <v>1</v>
      </c>
      <c r="B30" s="26" t="s">
        <v>1029</v>
      </c>
      <c r="C30" s="5">
        <f>IF(VLOOKUP($B30,Table2[[prolific]:[feedbackTime]],6,FALSE)=VLOOKUP(C$1,Table1[],2,FALSE),1,0)</f>
        <v>1</v>
      </c>
      <c r="D30" s="5">
        <f>IF(VLOOKUP($B30,Table2[[prolific]:[feedbackTime]],7,FALSE)=VLOOKUP(D$1,Table1[],2,FALSE),1,0)</f>
        <v>1</v>
      </c>
      <c r="E30" s="5">
        <f>IF(VLOOKUP($B30,Table2[[prolific]:[feedbackTime]],8,FALSE)=VLOOKUP(E$1,Table1[],2,FALSE),1,0)</f>
        <v>1</v>
      </c>
      <c r="F30" s="5">
        <f t="shared" si="11"/>
        <v>3</v>
      </c>
      <c r="G30" s="7">
        <f t="shared" si="12"/>
        <v>1</v>
      </c>
      <c r="H30" s="5">
        <f>IF(VLOOKUP($B30,Table2[[prolific]:[feedbackTime]],9,FALSE)=VLOOKUP(H$1,Table1[],2,FALSE),1,0)</f>
        <v>1</v>
      </c>
      <c r="I30" s="5">
        <f>IF(VLOOKUP($B30,Table2[[prolific]:[feedbackTime]],10,FALSE)=VLOOKUP(I$1,Table1[],2,FALSE),1,0)</f>
        <v>1</v>
      </c>
      <c r="J30" s="5">
        <f>IF(VLOOKUP($B30,Table2[[prolific]:[feedbackTime]],11,FALSE)=VLOOKUP(J$1,Table1[],2,FALSE),1,0)</f>
        <v>1</v>
      </c>
      <c r="K30" s="5">
        <f>IF(VLOOKUP($B30,Table2[[prolific]:[feedbackTime]],12,FALSE)=VLOOKUP(K$1,Table1[],2,FALSE),1,0)</f>
        <v>1</v>
      </c>
      <c r="L30" s="5">
        <f>IF(VLOOKUP($B30,Table2[[prolific]:[feedbackTime]],13,FALSE)=VLOOKUP(L$1,Table1[],2,FALSE),1,0)</f>
        <v>1</v>
      </c>
      <c r="M30" s="5">
        <f>IF(VLOOKUP($B30,Table2[[prolific]:[feedbackTime]],14,FALSE)=VLOOKUP(M$1,Table1[],2,FALSE),1,0)</f>
        <v>1</v>
      </c>
      <c r="N30" s="5">
        <f t="shared" si="13"/>
        <v>6</v>
      </c>
      <c r="O30" s="7">
        <f t="shared" si="14"/>
        <v>1</v>
      </c>
      <c r="P30" s="5">
        <f>IF(VLOOKUP($B30,Table2[[prolific]:[feedbackTime]],15,FALSE)=VLOOKUP(P$1,Table1[],2,FALSE),1,0)</f>
        <v>1</v>
      </c>
      <c r="Q30" s="5">
        <f>IF(VLOOKUP($B30,Table2[[prolific]:[feedbackTime]],16,FALSE)=VLOOKUP(Q$1,Table1[],2,FALSE),1,0)</f>
        <v>1</v>
      </c>
      <c r="R30" s="5">
        <f>IF(VLOOKUP($B30,Table2[[prolific]:[feedbackTime]],17,FALSE)=VLOOKUP(R$1,Table1[],2,FALSE),1,0)</f>
        <v>1</v>
      </c>
      <c r="S30" s="5">
        <f>IF(VLOOKUP($B30,Table2[[prolific]:[feedbackTime]],18,FALSE)=VLOOKUP(S$1,Table1[],2,FALSE),1,0)</f>
        <v>0</v>
      </c>
      <c r="T30" s="5">
        <f>IF(VLOOKUP($B30,Table2[[prolific]:[feedbackTime]],19,FALSE)=VLOOKUP(T$1,Table1[],2,FALSE),1,0)</f>
        <v>1</v>
      </c>
      <c r="U30" s="5">
        <f>IF(VLOOKUP($B30,Table2[[prolific]:[feedbackTime]],20,FALSE)=VLOOKUP(U$1,Table1[],2,FALSE),1,0)</f>
        <v>1</v>
      </c>
      <c r="V30" s="5">
        <f>IF(VLOOKUP($B30,Table2[[prolific]:[feedbackTime]],21,FALSE)=VLOOKUP(V$1,Table1[],2,FALSE),1,0)</f>
        <v>0</v>
      </c>
      <c r="W30" s="5">
        <f>IF(VLOOKUP($B30,Table2[[prolific]:[feedbackTime]],22,FALSE)=VLOOKUP(W$1,Table1[],2,FALSE),1,0)</f>
        <v>1</v>
      </c>
      <c r="X30" s="5">
        <f t="shared" si="15"/>
        <v>6</v>
      </c>
      <c r="Y30" s="7">
        <f t="shared" si="16"/>
        <v>0.75</v>
      </c>
      <c r="Z30" s="5">
        <f>IF(VLOOKUP($B30,Table2[[prolific]:[feedbackTime]],23,FALSE)=VLOOKUP(Z$1,Table1[],2,FALSE),1,0)</f>
        <v>1</v>
      </c>
      <c r="AA30" s="5">
        <f>IF(VLOOKUP($B30,Table2[[prolific]:[feedbackTime]],24,FALSE)=VLOOKUP(AA$1,Table1[],2,FALSE),1,0)</f>
        <v>1</v>
      </c>
      <c r="AB30" s="5">
        <f>IF(VLOOKUP($B30,Table2[[prolific]:[feedbackTime]],25,FALSE)=VLOOKUP(AB$1,Table1[],2,FALSE),1,0)</f>
        <v>0</v>
      </c>
      <c r="AC30" s="5">
        <f>IF(VLOOKUP($B30,Table2[[prolific]:[feedbackTime]],26,FALSE)=VLOOKUP(AC$1,Table1[],2,FALSE),1,0)</f>
        <v>1</v>
      </c>
      <c r="AD30" s="5">
        <f>IF(VLOOKUP($B30,Table2[[prolific]:[feedbackTime]],27,FALSE)=VLOOKUP(AD$1,Table1[],2,FALSE),1,0)</f>
        <v>0</v>
      </c>
      <c r="AE30" s="5">
        <f>IF(VLOOKUP($B30,Table2[[prolific]:[feedbackTime]],28,FALSE)=VLOOKUP(AE$1,Table1[],2,FALSE),1,0)</f>
        <v>0</v>
      </c>
      <c r="AF30" s="5">
        <f>IF(VLOOKUP($B30,Table2[[prolific]:[feedbackTime]],29,FALSE)=VLOOKUP(AF$1,Table1[],2,FALSE),1,0)</f>
        <v>0</v>
      </c>
      <c r="AG30" s="5">
        <f>IF(VLOOKUP($B30,Table2[[prolific]:[feedbackTime]],30,FALSE)=VLOOKUP(AG$1,Table1[],2,FALSE),1,0)</f>
        <v>1</v>
      </c>
      <c r="AH30" s="5">
        <f t="shared" si="17"/>
        <v>4</v>
      </c>
      <c r="AI30" s="7">
        <f t="shared" si="18"/>
        <v>0.5</v>
      </c>
      <c r="AJ30" s="7">
        <f t="shared" si="19"/>
        <v>0.72727272727272729</v>
      </c>
      <c r="AK30" s="5">
        <f t="shared" si="20"/>
        <v>16</v>
      </c>
    </row>
    <row r="31" spans="1:37" x14ac:dyDescent="0.25">
      <c r="A31">
        <f t="shared" si="0"/>
        <v>1</v>
      </c>
      <c r="B31" s="25" t="s">
        <v>1030</v>
      </c>
      <c r="C31" s="5">
        <f>IF(VLOOKUP($B31,Table2[[prolific]:[feedbackTime]],6,FALSE)=VLOOKUP(C$1,Table1[],2,FALSE),1,0)</f>
        <v>1</v>
      </c>
      <c r="D31" s="5">
        <f>IF(VLOOKUP($B31,Table2[[prolific]:[feedbackTime]],7,FALSE)=VLOOKUP(D$1,Table1[],2,FALSE),1,0)</f>
        <v>1</v>
      </c>
      <c r="E31" s="5">
        <f>IF(VLOOKUP($B31,Table2[[prolific]:[feedbackTime]],8,FALSE)=VLOOKUP(E$1,Table1[],2,FALSE),1,0)</f>
        <v>1</v>
      </c>
      <c r="F31" s="5">
        <f t="shared" si="11"/>
        <v>3</v>
      </c>
      <c r="G31" s="7">
        <f t="shared" si="12"/>
        <v>1</v>
      </c>
      <c r="H31" s="5">
        <f>IF(VLOOKUP($B31,Table2[[prolific]:[feedbackTime]],9,FALSE)=VLOOKUP(H$1,Table1[],2,FALSE),1,0)</f>
        <v>1</v>
      </c>
      <c r="I31" s="5">
        <f>IF(VLOOKUP($B31,Table2[[prolific]:[feedbackTime]],10,FALSE)=VLOOKUP(I$1,Table1[],2,FALSE),1,0)</f>
        <v>1</v>
      </c>
      <c r="J31" s="5">
        <f>IF(VLOOKUP($B31,Table2[[prolific]:[feedbackTime]],11,FALSE)=VLOOKUP(J$1,Table1[],2,FALSE),1,0)</f>
        <v>1</v>
      </c>
      <c r="K31" s="5">
        <f>IF(VLOOKUP($B31,Table2[[prolific]:[feedbackTime]],12,FALSE)=VLOOKUP(K$1,Table1[],2,FALSE),1,0)</f>
        <v>1</v>
      </c>
      <c r="L31" s="5">
        <f>IF(VLOOKUP($B31,Table2[[prolific]:[feedbackTime]],13,FALSE)=VLOOKUP(L$1,Table1[],2,FALSE),1,0)</f>
        <v>0</v>
      </c>
      <c r="M31" s="5">
        <f>IF(VLOOKUP($B31,Table2[[prolific]:[feedbackTime]],14,FALSE)=VLOOKUP(M$1,Table1[],2,FALSE),1,0)</f>
        <v>0</v>
      </c>
      <c r="N31" s="5">
        <f t="shared" si="13"/>
        <v>4</v>
      </c>
      <c r="O31" s="7">
        <f t="shared" si="14"/>
        <v>0.66666666666666663</v>
      </c>
      <c r="P31" s="5">
        <f>IF(VLOOKUP($B31,Table2[[prolific]:[feedbackTime]],15,FALSE)=VLOOKUP(P$1,Table1[],2,FALSE),1,0)</f>
        <v>1</v>
      </c>
      <c r="Q31" s="5">
        <f>IF(VLOOKUP($B31,Table2[[prolific]:[feedbackTime]],16,FALSE)=VLOOKUP(Q$1,Table1[],2,FALSE),1,0)</f>
        <v>1</v>
      </c>
      <c r="R31" s="5">
        <f>IF(VLOOKUP($B31,Table2[[prolific]:[feedbackTime]],17,FALSE)=VLOOKUP(R$1,Table1[],2,FALSE),1,0)</f>
        <v>1</v>
      </c>
      <c r="S31" s="5">
        <f>IF(VLOOKUP($B31,Table2[[prolific]:[feedbackTime]],18,FALSE)=VLOOKUP(S$1,Table1[],2,FALSE),1,0)</f>
        <v>1</v>
      </c>
      <c r="T31" s="5">
        <f>IF(VLOOKUP($B31,Table2[[prolific]:[feedbackTime]],19,FALSE)=VLOOKUP(T$1,Table1[],2,FALSE),1,0)</f>
        <v>1</v>
      </c>
      <c r="U31" s="5">
        <f>IF(VLOOKUP($B31,Table2[[prolific]:[feedbackTime]],20,FALSE)=VLOOKUP(U$1,Table1[],2,FALSE),1,0)</f>
        <v>1</v>
      </c>
      <c r="V31" s="5">
        <f>IF(VLOOKUP($B31,Table2[[prolific]:[feedbackTime]],21,FALSE)=VLOOKUP(V$1,Table1[],2,FALSE),1,0)</f>
        <v>0</v>
      </c>
      <c r="W31" s="5">
        <f>IF(VLOOKUP($B31,Table2[[prolific]:[feedbackTime]],22,FALSE)=VLOOKUP(W$1,Table1[],2,FALSE),1,0)</f>
        <v>1</v>
      </c>
      <c r="X31" s="5">
        <f t="shared" si="15"/>
        <v>7</v>
      </c>
      <c r="Y31" s="7">
        <f t="shared" si="16"/>
        <v>0.875</v>
      </c>
      <c r="Z31" s="5">
        <f>IF(VLOOKUP($B31,Table2[[prolific]:[feedbackTime]],23,FALSE)=VLOOKUP(Z$1,Table1[],2,FALSE),1,0)</f>
        <v>1</v>
      </c>
      <c r="AA31" s="5">
        <f>IF(VLOOKUP($B31,Table2[[prolific]:[feedbackTime]],24,FALSE)=VLOOKUP(AA$1,Table1[],2,FALSE),1,0)</f>
        <v>1</v>
      </c>
      <c r="AB31" s="5">
        <f>IF(VLOOKUP($B31,Table2[[prolific]:[feedbackTime]],25,FALSE)=VLOOKUP(AB$1,Table1[],2,FALSE),1,0)</f>
        <v>0</v>
      </c>
      <c r="AC31" s="5">
        <f>IF(VLOOKUP($B31,Table2[[prolific]:[feedbackTime]],26,FALSE)=VLOOKUP(AC$1,Table1[],2,FALSE),1,0)</f>
        <v>1</v>
      </c>
      <c r="AD31" s="5">
        <f>IF(VLOOKUP($B31,Table2[[prolific]:[feedbackTime]],27,FALSE)=VLOOKUP(AD$1,Table1[],2,FALSE),1,0)</f>
        <v>0</v>
      </c>
      <c r="AE31" s="5">
        <f>IF(VLOOKUP($B31,Table2[[prolific]:[feedbackTime]],28,FALSE)=VLOOKUP(AE$1,Table1[],2,FALSE),1,0)</f>
        <v>1</v>
      </c>
      <c r="AF31" s="5">
        <f>IF(VLOOKUP($B31,Table2[[prolific]:[feedbackTime]],29,FALSE)=VLOOKUP(AF$1,Table1[],2,FALSE),1,0)</f>
        <v>0</v>
      </c>
      <c r="AG31" s="5">
        <f>IF(VLOOKUP($B31,Table2[[prolific]:[feedbackTime]],30,FALSE)=VLOOKUP(AG$1,Table1[],2,FALSE),1,0)</f>
        <v>0</v>
      </c>
      <c r="AH31" s="5">
        <f t="shared" si="17"/>
        <v>4</v>
      </c>
      <c r="AI31" s="7">
        <f t="shared" si="18"/>
        <v>0.5</v>
      </c>
      <c r="AJ31" s="7">
        <f t="shared" si="19"/>
        <v>0.68181818181818177</v>
      </c>
      <c r="AK31" s="5">
        <f t="shared" si="20"/>
        <v>15</v>
      </c>
    </row>
    <row r="32" spans="1:37" x14ac:dyDescent="0.25">
      <c r="A32">
        <f t="shared" si="0"/>
        <v>1</v>
      </c>
      <c r="B32" s="26" t="s">
        <v>1031</v>
      </c>
      <c r="C32" s="5">
        <f>IF(VLOOKUP($B32,Table2[[prolific]:[feedbackTime]],6,FALSE)=VLOOKUP(C$1,Table1[],2,FALSE),1,0)</f>
        <v>1</v>
      </c>
      <c r="D32" s="5">
        <f>IF(VLOOKUP($B32,Table2[[prolific]:[feedbackTime]],7,FALSE)=VLOOKUP(D$1,Table1[],2,FALSE),1,0)</f>
        <v>1</v>
      </c>
      <c r="E32" s="5">
        <f>IF(VLOOKUP($B32,Table2[[prolific]:[feedbackTime]],8,FALSE)=VLOOKUP(E$1,Table1[],2,FALSE),1,0)</f>
        <v>1</v>
      </c>
      <c r="F32" s="5">
        <f t="shared" si="11"/>
        <v>3</v>
      </c>
      <c r="G32" s="7">
        <f t="shared" si="12"/>
        <v>1</v>
      </c>
      <c r="H32" s="5">
        <f>IF(VLOOKUP($B32,Table2[[prolific]:[feedbackTime]],9,FALSE)=VLOOKUP(H$1,Table1[],2,FALSE),1,0)</f>
        <v>1</v>
      </c>
      <c r="I32" s="5">
        <f>IF(VLOOKUP($B32,Table2[[prolific]:[feedbackTime]],10,FALSE)=VLOOKUP(I$1,Table1[],2,FALSE),1,0)</f>
        <v>0</v>
      </c>
      <c r="J32" s="5">
        <f>IF(VLOOKUP($B32,Table2[[prolific]:[feedbackTime]],11,FALSE)=VLOOKUP(J$1,Table1[],2,FALSE),1,0)</f>
        <v>1</v>
      </c>
      <c r="K32" s="5">
        <f>IF(VLOOKUP($B32,Table2[[prolific]:[feedbackTime]],12,FALSE)=VLOOKUP(K$1,Table1[],2,FALSE),1,0)</f>
        <v>1</v>
      </c>
      <c r="L32" s="5">
        <f>IF(VLOOKUP($B32,Table2[[prolific]:[feedbackTime]],13,FALSE)=VLOOKUP(L$1,Table1[],2,FALSE),1,0)</f>
        <v>1</v>
      </c>
      <c r="M32" s="5">
        <f>IF(VLOOKUP($B32,Table2[[prolific]:[feedbackTime]],14,FALSE)=VLOOKUP(M$1,Table1[],2,FALSE),1,0)</f>
        <v>0</v>
      </c>
      <c r="N32" s="5">
        <f t="shared" si="13"/>
        <v>4</v>
      </c>
      <c r="O32" s="7">
        <f t="shared" si="14"/>
        <v>0.66666666666666663</v>
      </c>
      <c r="P32" s="5">
        <f>IF(VLOOKUP($B32,Table2[[prolific]:[feedbackTime]],15,FALSE)=VLOOKUP(P$1,Table1[],2,FALSE),1,0)</f>
        <v>1</v>
      </c>
      <c r="Q32" s="5">
        <f>IF(VLOOKUP($B32,Table2[[prolific]:[feedbackTime]],16,FALSE)=VLOOKUP(Q$1,Table1[],2,FALSE),1,0)</f>
        <v>1</v>
      </c>
      <c r="R32" s="5">
        <f>IF(VLOOKUP($B32,Table2[[prolific]:[feedbackTime]],17,FALSE)=VLOOKUP(R$1,Table1[],2,FALSE),1,0)</f>
        <v>1</v>
      </c>
      <c r="S32" s="5">
        <f>IF(VLOOKUP($B32,Table2[[prolific]:[feedbackTime]],18,FALSE)=VLOOKUP(S$1,Table1[],2,FALSE),1,0)</f>
        <v>1</v>
      </c>
      <c r="T32" s="5">
        <f>IF(VLOOKUP($B32,Table2[[prolific]:[feedbackTime]],19,FALSE)=VLOOKUP(T$1,Table1[],2,FALSE),1,0)</f>
        <v>1</v>
      </c>
      <c r="U32" s="5">
        <f>IF(VLOOKUP($B32,Table2[[prolific]:[feedbackTime]],20,FALSE)=VLOOKUP(U$1,Table1[],2,FALSE),1,0)</f>
        <v>1</v>
      </c>
      <c r="V32" s="5">
        <f>IF(VLOOKUP($B32,Table2[[prolific]:[feedbackTime]],21,FALSE)=VLOOKUP(V$1,Table1[],2,FALSE),1,0)</f>
        <v>1</v>
      </c>
      <c r="W32" s="5">
        <f>IF(VLOOKUP($B32,Table2[[prolific]:[feedbackTime]],22,FALSE)=VLOOKUP(W$1,Table1[],2,FALSE),1,0)</f>
        <v>1</v>
      </c>
      <c r="X32" s="5">
        <f t="shared" si="15"/>
        <v>8</v>
      </c>
      <c r="Y32" s="7">
        <f t="shared" si="16"/>
        <v>1</v>
      </c>
      <c r="Z32" s="5">
        <f>IF(VLOOKUP($B32,Table2[[prolific]:[feedbackTime]],23,FALSE)=VLOOKUP(Z$1,Table1[],2,FALSE),1,0)</f>
        <v>1</v>
      </c>
      <c r="AA32" s="5">
        <f>IF(VLOOKUP($B32,Table2[[prolific]:[feedbackTime]],24,FALSE)=VLOOKUP(AA$1,Table1[],2,FALSE),1,0)</f>
        <v>1</v>
      </c>
      <c r="AB32" s="5">
        <f>IF(VLOOKUP($B32,Table2[[prolific]:[feedbackTime]],25,FALSE)=VLOOKUP(AB$1,Table1[],2,FALSE),1,0)</f>
        <v>1</v>
      </c>
      <c r="AC32" s="5">
        <f>IF(VLOOKUP($B32,Table2[[prolific]:[feedbackTime]],26,FALSE)=VLOOKUP(AC$1,Table1[],2,FALSE),1,0)</f>
        <v>1</v>
      </c>
      <c r="AD32" s="5">
        <f>IF(VLOOKUP($B32,Table2[[prolific]:[feedbackTime]],27,FALSE)=VLOOKUP(AD$1,Table1[],2,FALSE),1,0)</f>
        <v>0</v>
      </c>
      <c r="AE32" s="5">
        <f>IF(VLOOKUP($B32,Table2[[prolific]:[feedbackTime]],28,FALSE)=VLOOKUP(AE$1,Table1[],2,FALSE),1,0)</f>
        <v>0</v>
      </c>
      <c r="AF32" s="5">
        <f>IF(VLOOKUP($B32,Table2[[prolific]:[feedbackTime]],29,FALSE)=VLOOKUP(AF$1,Table1[],2,FALSE),1,0)</f>
        <v>1</v>
      </c>
      <c r="AG32" s="5">
        <f>IF(VLOOKUP($B32,Table2[[prolific]:[feedbackTime]],30,FALSE)=VLOOKUP(AG$1,Table1[],2,FALSE),1,0)</f>
        <v>1</v>
      </c>
      <c r="AH32" s="5">
        <f t="shared" si="17"/>
        <v>6</v>
      </c>
      <c r="AI32" s="7">
        <f t="shared" si="18"/>
        <v>0.75</v>
      </c>
      <c r="AJ32" s="7">
        <f t="shared" si="19"/>
        <v>0.81818181818181823</v>
      </c>
      <c r="AK32" s="5">
        <f t="shared" si="20"/>
        <v>18</v>
      </c>
    </row>
    <row r="33" spans="1:37" x14ac:dyDescent="0.25">
      <c r="A33">
        <f t="shared" si="0"/>
        <v>1</v>
      </c>
      <c r="B33" s="25" t="s">
        <v>1032</v>
      </c>
      <c r="C33" s="5">
        <f>IF(VLOOKUP($B33,Table2[[prolific]:[feedbackTime]],6,FALSE)=VLOOKUP(C$1,Table1[],2,FALSE),1,0)</f>
        <v>1</v>
      </c>
      <c r="D33" s="5">
        <f>IF(VLOOKUP($B33,Table2[[prolific]:[feedbackTime]],7,FALSE)=VLOOKUP(D$1,Table1[],2,FALSE),1,0)</f>
        <v>1</v>
      </c>
      <c r="E33" s="5">
        <f>IF(VLOOKUP($B33,Table2[[prolific]:[feedbackTime]],8,FALSE)=VLOOKUP(E$1,Table1[],2,FALSE),1,0)</f>
        <v>1</v>
      </c>
      <c r="F33" s="5">
        <f t="shared" si="11"/>
        <v>3</v>
      </c>
      <c r="G33" s="7">
        <f t="shared" si="12"/>
        <v>1</v>
      </c>
      <c r="H33" s="5">
        <f>IF(VLOOKUP($B33,Table2[[prolific]:[feedbackTime]],9,FALSE)=VLOOKUP(H$1,Table1[],2,FALSE),1,0)</f>
        <v>1</v>
      </c>
      <c r="I33" s="5">
        <f>IF(VLOOKUP($B33,Table2[[prolific]:[feedbackTime]],10,FALSE)=VLOOKUP(I$1,Table1[],2,FALSE),1,0)</f>
        <v>0</v>
      </c>
      <c r="J33" s="5">
        <f>IF(VLOOKUP($B33,Table2[[prolific]:[feedbackTime]],11,FALSE)=VLOOKUP(J$1,Table1[],2,FALSE),1,0)</f>
        <v>0</v>
      </c>
      <c r="K33" s="5">
        <f>IF(VLOOKUP($B33,Table2[[prolific]:[feedbackTime]],12,FALSE)=VLOOKUP(K$1,Table1[],2,FALSE),1,0)</f>
        <v>1</v>
      </c>
      <c r="L33" s="5">
        <f>IF(VLOOKUP($B33,Table2[[prolific]:[feedbackTime]],13,FALSE)=VLOOKUP(L$1,Table1[],2,FALSE),1,0)</f>
        <v>0</v>
      </c>
      <c r="M33" s="5">
        <f>IF(VLOOKUP($B33,Table2[[prolific]:[feedbackTime]],14,FALSE)=VLOOKUP(M$1,Table1[],2,FALSE),1,0)</f>
        <v>0</v>
      </c>
      <c r="N33" s="5">
        <f t="shared" si="13"/>
        <v>2</v>
      </c>
      <c r="O33" s="7">
        <f t="shared" si="14"/>
        <v>0.33333333333333331</v>
      </c>
      <c r="P33" s="5">
        <f>IF(VLOOKUP($B33,Table2[[prolific]:[feedbackTime]],15,FALSE)=VLOOKUP(P$1,Table1[],2,FALSE),1,0)</f>
        <v>1</v>
      </c>
      <c r="Q33" s="5">
        <f>IF(VLOOKUP($B33,Table2[[prolific]:[feedbackTime]],16,FALSE)=VLOOKUP(Q$1,Table1[],2,FALSE),1,0)</f>
        <v>1</v>
      </c>
      <c r="R33" s="5">
        <f>IF(VLOOKUP($B33,Table2[[prolific]:[feedbackTime]],17,FALSE)=VLOOKUP(R$1,Table1[],2,FALSE),1,0)</f>
        <v>0</v>
      </c>
      <c r="S33" s="5">
        <f>IF(VLOOKUP($B33,Table2[[prolific]:[feedbackTime]],18,FALSE)=VLOOKUP(S$1,Table1[],2,FALSE),1,0)</f>
        <v>1</v>
      </c>
      <c r="T33" s="5">
        <f>IF(VLOOKUP($B33,Table2[[prolific]:[feedbackTime]],19,FALSE)=VLOOKUP(T$1,Table1[],2,FALSE),1,0)</f>
        <v>1</v>
      </c>
      <c r="U33" s="5">
        <f>IF(VLOOKUP($B33,Table2[[prolific]:[feedbackTime]],20,FALSE)=VLOOKUP(U$1,Table1[],2,FALSE),1,0)</f>
        <v>1</v>
      </c>
      <c r="V33" s="5">
        <f>IF(VLOOKUP($B33,Table2[[prolific]:[feedbackTime]],21,FALSE)=VLOOKUP(V$1,Table1[],2,FALSE),1,0)</f>
        <v>1</v>
      </c>
      <c r="W33" s="5">
        <f>IF(VLOOKUP($B33,Table2[[prolific]:[feedbackTime]],22,FALSE)=VLOOKUP(W$1,Table1[],2,FALSE),1,0)</f>
        <v>1</v>
      </c>
      <c r="X33" s="5">
        <f t="shared" si="15"/>
        <v>7</v>
      </c>
      <c r="Y33" s="7">
        <f t="shared" si="16"/>
        <v>0.875</v>
      </c>
      <c r="Z33" s="5">
        <f>IF(VLOOKUP($B33,Table2[[prolific]:[feedbackTime]],23,FALSE)=VLOOKUP(Z$1,Table1[],2,FALSE),1,0)</f>
        <v>1</v>
      </c>
      <c r="AA33" s="5">
        <f>IF(VLOOKUP($B33,Table2[[prolific]:[feedbackTime]],24,FALSE)=VLOOKUP(AA$1,Table1[],2,FALSE),1,0)</f>
        <v>1</v>
      </c>
      <c r="AB33" s="5">
        <f>IF(VLOOKUP($B33,Table2[[prolific]:[feedbackTime]],25,FALSE)=VLOOKUP(AB$1,Table1[],2,FALSE),1,0)</f>
        <v>0</v>
      </c>
      <c r="AC33" s="5">
        <f>IF(VLOOKUP($B33,Table2[[prolific]:[feedbackTime]],26,FALSE)=VLOOKUP(AC$1,Table1[],2,FALSE),1,0)</f>
        <v>1</v>
      </c>
      <c r="AD33" s="5">
        <f>IF(VLOOKUP($B33,Table2[[prolific]:[feedbackTime]],27,FALSE)=VLOOKUP(AD$1,Table1[],2,FALSE),1,0)</f>
        <v>0</v>
      </c>
      <c r="AE33" s="5">
        <f>IF(VLOOKUP($B33,Table2[[prolific]:[feedbackTime]],28,FALSE)=VLOOKUP(AE$1,Table1[],2,FALSE),1,0)</f>
        <v>1</v>
      </c>
      <c r="AF33" s="5">
        <f>IF(VLOOKUP($B33,Table2[[prolific]:[feedbackTime]],29,FALSE)=VLOOKUP(AF$1,Table1[],2,FALSE),1,0)</f>
        <v>0</v>
      </c>
      <c r="AG33" s="5">
        <f>IF(VLOOKUP($B33,Table2[[prolific]:[feedbackTime]],30,FALSE)=VLOOKUP(AG$1,Table1[],2,FALSE),1,0)</f>
        <v>0</v>
      </c>
      <c r="AH33" s="5">
        <f t="shared" si="17"/>
        <v>4</v>
      </c>
      <c r="AI33" s="7">
        <f t="shared" si="18"/>
        <v>0.5</v>
      </c>
      <c r="AJ33" s="7">
        <f t="shared" si="19"/>
        <v>0.59090909090909094</v>
      </c>
      <c r="AK33" s="5">
        <f t="shared" si="20"/>
        <v>13</v>
      </c>
    </row>
    <row r="34" spans="1:37" x14ac:dyDescent="0.25">
      <c r="A34">
        <f t="shared" ref="A34:A65" si="21">COUNTIF(B:B,B34)</f>
        <v>1</v>
      </c>
      <c r="B34" s="26" t="s">
        <v>1033</v>
      </c>
      <c r="C34" s="5">
        <f>IF(VLOOKUP($B34,Table2[[prolific]:[feedbackTime]],6,FALSE)=VLOOKUP(C$1,Table1[],2,FALSE),1,0)</f>
        <v>1</v>
      </c>
      <c r="D34" s="5">
        <f>IF(VLOOKUP($B34,Table2[[prolific]:[feedbackTime]],7,FALSE)=VLOOKUP(D$1,Table1[],2,FALSE),1,0)</f>
        <v>1</v>
      </c>
      <c r="E34" s="5">
        <f>IF(VLOOKUP($B34,Table2[[prolific]:[feedbackTime]],8,FALSE)=VLOOKUP(E$1,Table1[],2,FALSE),1,0)</f>
        <v>1</v>
      </c>
      <c r="F34" s="5">
        <f t="shared" si="11"/>
        <v>3</v>
      </c>
      <c r="G34" s="7">
        <f t="shared" si="12"/>
        <v>1</v>
      </c>
      <c r="H34" s="5">
        <f>IF(VLOOKUP($B34,Table2[[prolific]:[feedbackTime]],9,FALSE)=VLOOKUP(H$1,Table1[],2,FALSE),1,0)</f>
        <v>1</v>
      </c>
      <c r="I34" s="5">
        <f>IF(VLOOKUP($B34,Table2[[prolific]:[feedbackTime]],10,FALSE)=VLOOKUP(I$1,Table1[],2,FALSE),1,0)</f>
        <v>1</v>
      </c>
      <c r="J34" s="5">
        <f>IF(VLOOKUP($B34,Table2[[prolific]:[feedbackTime]],11,FALSE)=VLOOKUP(J$1,Table1[],2,FALSE),1,0)</f>
        <v>1</v>
      </c>
      <c r="K34" s="5">
        <f>IF(VLOOKUP($B34,Table2[[prolific]:[feedbackTime]],12,FALSE)=VLOOKUP(K$1,Table1[],2,FALSE),1,0)</f>
        <v>1</v>
      </c>
      <c r="L34" s="5">
        <f>IF(VLOOKUP($B34,Table2[[prolific]:[feedbackTime]],13,FALSE)=VLOOKUP(L$1,Table1[],2,FALSE),1,0)</f>
        <v>1</v>
      </c>
      <c r="M34" s="5">
        <f>IF(VLOOKUP($B34,Table2[[prolific]:[feedbackTime]],14,FALSE)=VLOOKUP(M$1,Table1[],2,FALSE),1,0)</f>
        <v>0</v>
      </c>
      <c r="N34" s="5">
        <f t="shared" si="13"/>
        <v>5</v>
      </c>
      <c r="O34" s="7">
        <f t="shared" si="14"/>
        <v>0.83333333333333337</v>
      </c>
      <c r="P34" s="5">
        <f>IF(VLOOKUP($B34,Table2[[prolific]:[feedbackTime]],15,FALSE)=VLOOKUP(P$1,Table1[],2,FALSE),1,0)</f>
        <v>1</v>
      </c>
      <c r="Q34" s="5">
        <f>IF(VLOOKUP($B34,Table2[[prolific]:[feedbackTime]],16,FALSE)=VLOOKUP(Q$1,Table1[],2,FALSE),1,0)</f>
        <v>0</v>
      </c>
      <c r="R34" s="5">
        <f>IF(VLOOKUP($B34,Table2[[prolific]:[feedbackTime]],17,FALSE)=VLOOKUP(R$1,Table1[],2,FALSE),1,0)</f>
        <v>0</v>
      </c>
      <c r="S34" s="5">
        <f>IF(VLOOKUP($B34,Table2[[prolific]:[feedbackTime]],18,FALSE)=VLOOKUP(S$1,Table1[],2,FALSE),1,0)</f>
        <v>0</v>
      </c>
      <c r="T34" s="5">
        <f>IF(VLOOKUP($B34,Table2[[prolific]:[feedbackTime]],19,FALSE)=VLOOKUP(T$1,Table1[],2,FALSE),1,0)</f>
        <v>1</v>
      </c>
      <c r="U34" s="5">
        <f>IF(VLOOKUP($B34,Table2[[prolific]:[feedbackTime]],20,FALSE)=VLOOKUP(U$1,Table1[],2,FALSE),1,0)</f>
        <v>1</v>
      </c>
      <c r="V34" s="5">
        <f>IF(VLOOKUP($B34,Table2[[prolific]:[feedbackTime]],21,FALSE)=VLOOKUP(V$1,Table1[],2,FALSE),1,0)</f>
        <v>1</v>
      </c>
      <c r="W34" s="5">
        <f>IF(VLOOKUP($B34,Table2[[prolific]:[feedbackTime]],22,FALSE)=VLOOKUP(W$1,Table1[],2,FALSE),1,0)</f>
        <v>1</v>
      </c>
      <c r="X34" s="5">
        <f t="shared" si="15"/>
        <v>5</v>
      </c>
      <c r="Y34" s="7">
        <f t="shared" si="16"/>
        <v>0.625</v>
      </c>
      <c r="Z34" s="5">
        <f>IF(VLOOKUP($B34,Table2[[prolific]:[feedbackTime]],23,FALSE)=VLOOKUP(Z$1,Table1[],2,FALSE),1,0)</f>
        <v>1</v>
      </c>
      <c r="AA34" s="5">
        <f>IF(VLOOKUP($B34,Table2[[prolific]:[feedbackTime]],24,FALSE)=VLOOKUP(AA$1,Table1[],2,FALSE),1,0)</f>
        <v>1</v>
      </c>
      <c r="AB34" s="5">
        <f>IF(VLOOKUP($B34,Table2[[prolific]:[feedbackTime]],25,FALSE)=VLOOKUP(AB$1,Table1[],2,FALSE),1,0)</f>
        <v>0</v>
      </c>
      <c r="AC34" s="5">
        <f>IF(VLOOKUP($B34,Table2[[prolific]:[feedbackTime]],26,FALSE)=VLOOKUP(AC$1,Table1[],2,FALSE),1,0)</f>
        <v>1</v>
      </c>
      <c r="AD34" s="5">
        <f>IF(VLOOKUP($B34,Table2[[prolific]:[feedbackTime]],27,FALSE)=VLOOKUP(AD$1,Table1[],2,FALSE),1,0)</f>
        <v>0</v>
      </c>
      <c r="AE34" s="5">
        <f>IF(VLOOKUP($B34,Table2[[prolific]:[feedbackTime]],28,FALSE)=VLOOKUP(AE$1,Table1[],2,FALSE),1,0)</f>
        <v>0</v>
      </c>
      <c r="AF34" s="5">
        <f>IF(VLOOKUP($B34,Table2[[prolific]:[feedbackTime]],29,FALSE)=VLOOKUP(AF$1,Table1[],2,FALSE),1,0)</f>
        <v>0</v>
      </c>
      <c r="AG34" s="5">
        <f>IF(VLOOKUP($B34,Table2[[prolific]:[feedbackTime]],30,FALSE)=VLOOKUP(AG$1,Table1[],2,FALSE),1,0)</f>
        <v>0</v>
      </c>
      <c r="AH34" s="5">
        <f t="shared" si="17"/>
        <v>3</v>
      </c>
      <c r="AI34" s="7">
        <f t="shared" si="18"/>
        <v>0.375</v>
      </c>
      <c r="AJ34" s="7">
        <f t="shared" si="19"/>
        <v>0.59090909090909094</v>
      </c>
      <c r="AK34" s="5">
        <f t="shared" si="20"/>
        <v>13</v>
      </c>
    </row>
    <row r="35" spans="1:37" x14ac:dyDescent="0.25">
      <c r="A35">
        <f t="shared" si="21"/>
        <v>1</v>
      </c>
      <c r="B35" s="25" t="s">
        <v>1034</v>
      </c>
      <c r="C35" s="5">
        <f>IF(VLOOKUP($B35,Table2[[prolific]:[feedbackTime]],6,FALSE)=VLOOKUP(C$1,Table1[],2,FALSE),1,0)</f>
        <v>1</v>
      </c>
      <c r="D35" s="5">
        <f>IF(VLOOKUP($B35,Table2[[prolific]:[feedbackTime]],7,FALSE)=VLOOKUP(D$1,Table1[],2,FALSE),1,0)</f>
        <v>1</v>
      </c>
      <c r="E35" s="5">
        <f>IF(VLOOKUP($B35,Table2[[prolific]:[feedbackTime]],8,FALSE)=VLOOKUP(E$1,Table1[],2,FALSE),1,0)</f>
        <v>1</v>
      </c>
      <c r="F35" s="5">
        <f t="shared" si="11"/>
        <v>3</v>
      </c>
      <c r="G35" s="7">
        <f t="shared" si="12"/>
        <v>1</v>
      </c>
      <c r="H35" s="5">
        <f>IF(VLOOKUP($B35,Table2[[prolific]:[feedbackTime]],9,FALSE)=VLOOKUP(H$1,Table1[],2,FALSE),1,0)</f>
        <v>1</v>
      </c>
      <c r="I35" s="5">
        <f>IF(VLOOKUP($B35,Table2[[prolific]:[feedbackTime]],10,FALSE)=VLOOKUP(I$1,Table1[],2,FALSE),1,0)</f>
        <v>0</v>
      </c>
      <c r="J35" s="5">
        <f>IF(VLOOKUP($B35,Table2[[prolific]:[feedbackTime]],11,FALSE)=VLOOKUP(J$1,Table1[],2,FALSE),1,0)</f>
        <v>1</v>
      </c>
      <c r="K35" s="5">
        <f>IF(VLOOKUP($B35,Table2[[prolific]:[feedbackTime]],12,FALSE)=VLOOKUP(K$1,Table1[],2,FALSE),1,0)</f>
        <v>1</v>
      </c>
      <c r="L35" s="5">
        <f>IF(VLOOKUP($B35,Table2[[prolific]:[feedbackTime]],13,FALSE)=VLOOKUP(L$1,Table1[],2,FALSE),1,0)</f>
        <v>0</v>
      </c>
      <c r="M35" s="5">
        <f>IF(VLOOKUP($B35,Table2[[prolific]:[feedbackTime]],14,FALSE)=VLOOKUP(M$1,Table1[],2,FALSE),1,0)</f>
        <v>1</v>
      </c>
      <c r="N35" s="5">
        <f t="shared" si="13"/>
        <v>4</v>
      </c>
      <c r="O35" s="7">
        <f t="shared" si="14"/>
        <v>0.66666666666666663</v>
      </c>
      <c r="P35" s="5">
        <f>IF(VLOOKUP($B35,Table2[[prolific]:[feedbackTime]],15,FALSE)=VLOOKUP(P$1,Table1[],2,FALSE),1,0)</f>
        <v>1</v>
      </c>
      <c r="Q35" s="5">
        <f>IF(VLOOKUP($B35,Table2[[prolific]:[feedbackTime]],16,FALSE)=VLOOKUP(Q$1,Table1[],2,FALSE),1,0)</f>
        <v>1</v>
      </c>
      <c r="R35" s="5">
        <f>IF(VLOOKUP($B35,Table2[[prolific]:[feedbackTime]],17,FALSE)=VLOOKUP(R$1,Table1[],2,FALSE),1,0)</f>
        <v>0</v>
      </c>
      <c r="S35" s="5">
        <f>IF(VLOOKUP($B35,Table2[[prolific]:[feedbackTime]],18,FALSE)=VLOOKUP(S$1,Table1[],2,FALSE),1,0)</f>
        <v>1</v>
      </c>
      <c r="T35" s="5">
        <f>IF(VLOOKUP($B35,Table2[[prolific]:[feedbackTime]],19,FALSE)=VLOOKUP(T$1,Table1[],2,FALSE),1,0)</f>
        <v>1</v>
      </c>
      <c r="U35" s="5">
        <f>IF(VLOOKUP($B35,Table2[[prolific]:[feedbackTime]],20,FALSE)=VLOOKUP(U$1,Table1[],2,FALSE),1,0)</f>
        <v>1</v>
      </c>
      <c r="V35" s="5">
        <f>IF(VLOOKUP($B35,Table2[[prolific]:[feedbackTime]],21,FALSE)=VLOOKUP(V$1,Table1[],2,FALSE),1,0)</f>
        <v>0</v>
      </c>
      <c r="W35" s="5">
        <f>IF(VLOOKUP($B35,Table2[[prolific]:[feedbackTime]],22,FALSE)=VLOOKUP(W$1,Table1[],2,FALSE),1,0)</f>
        <v>1</v>
      </c>
      <c r="X35" s="5">
        <f t="shared" si="15"/>
        <v>6</v>
      </c>
      <c r="Y35" s="7">
        <f t="shared" si="16"/>
        <v>0.75</v>
      </c>
      <c r="Z35" s="5">
        <f>IF(VLOOKUP($B35,Table2[[prolific]:[feedbackTime]],23,FALSE)=VLOOKUP(Z$1,Table1[],2,FALSE),1,0)</f>
        <v>1</v>
      </c>
      <c r="AA35" s="5">
        <f>IF(VLOOKUP($B35,Table2[[prolific]:[feedbackTime]],24,FALSE)=VLOOKUP(AA$1,Table1[],2,FALSE),1,0)</f>
        <v>1</v>
      </c>
      <c r="AB35" s="5">
        <f>IF(VLOOKUP($B35,Table2[[prolific]:[feedbackTime]],25,FALSE)=VLOOKUP(AB$1,Table1[],2,FALSE),1,0)</f>
        <v>1</v>
      </c>
      <c r="AC35" s="5">
        <f>IF(VLOOKUP($B35,Table2[[prolific]:[feedbackTime]],26,FALSE)=VLOOKUP(AC$1,Table1[],2,FALSE),1,0)</f>
        <v>1</v>
      </c>
      <c r="AD35" s="5">
        <f>IF(VLOOKUP($B35,Table2[[prolific]:[feedbackTime]],27,FALSE)=VLOOKUP(AD$1,Table1[],2,FALSE),1,0)</f>
        <v>0</v>
      </c>
      <c r="AE35" s="5">
        <f>IF(VLOOKUP($B35,Table2[[prolific]:[feedbackTime]],28,FALSE)=VLOOKUP(AE$1,Table1[],2,FALSE),1,0)</f>
        <v>0</v>
      </c>
      <c r="AF35" s="5">
        <f>IF(VLOOKUP($B35,Table2[[prolific]:[feedbackTime]],29,FALSE)=VLOOKUP(AF$1,Table1[],2,FALSE),1,0)</f>
        <v>0</v>
      </c>
      <c r="AG35" s="5">
        <f>IF(VLOOKUP($B35,Table2[[prolific]:[feedbackTime]],30,FALSE)=VLOOKUP(AG$1,Table1[],2,FALSE),1,0)</f>
        <v>0</v>
      </c>
      <c r="AH35" s="5">
        <f t="shared" si="17"/>
        <v>4</v>
      </c>
      <c r="AI35" s="7">
        <f t="shared" si="18"/>
        <v>0.5</v>
      </c>
      <c r="AJ35" s="7">
        <f t="shared" si="19"/>
        <v>0.63636363636363635</v>
      </c>
      <c r="AK35" s="5">
        <f t="shared" si="20"/>
        <v>14</v>
      </c>
    </row>
    <row r="36" spans="1:37" x14ac:dyDescent="0.25">
      <c r="A36">
        <f t="shared" si="21"/>
        <v>1</v>
      </c>
      <c r="B36" s="26" t="s">
        <v>1035</v>
      </c>
      <c r="C36" s="5">
        <f>IF(VLOOKUP($B36,Table2[[prolific]:[feedbackTime]],6,FALSE)=VLOOKUP(C$1,Table1[],2,FALSE),1,0)</f>
        <v>1</v>
      </c>
      <c r="D36" s="5">
        <f>IF(VLOOKUP($B36,Table2[[prolific]:[feedbackTime]],7,FALSE)=VLOOKUP(D$1,Table1[],2,FALSE),1,0)</f>
        <v>1</v>
      </c>
      <c r="E36" s="5">
        <f>IF(VLOOKUP($B36,Table2[[prolific]:[feedbackTime]],8,FALSE)=VLOOKUP(E$1,Table1[],2,FALSE),1,0)</f>
        <v>1</v>
      </c>
      <c r="F36" s="5">
        <f t="shared" si="11"/>
        <v>3</v>
      </c>
      <c r="G36" s="7">
        <f t="shared" si="12"/>
        <v>1</v>
      </c>
      <c r="H36" s="5">
        <f>IF(VLOOKUP($B36,Table2[[prolific]:[feedbackTime]],9,FALSE)=VLOOKUP(H$1,Table1[],2,FALSE),1,0)</f>
        <v>1</v>
      </c>
      <c r="I36" s="5">
        <f>IF(VLOOKUP($B36,Table2[[prolific]:[feedbackTime]],10,FALSE)=VLOOKUP(I$1,Table1[],2,FALSE),1,0)</f>
        <v>1</v>
      </c>
      <c r="J36" s="5">
        <f>IF(VLOOKUP($B36,Table2[[prolific]:[feedbackTime]],11,FALSE)=VLOOKUP(J$1,Table1[],2,FALSE),1,0)</f>
        <v>0</v>
      </c>
      <c r="K36" s="5">
        <f>IF(VLOOKUP($B36,Table2[[prolific]:[feedbackTime]],12,FALSE)=VLOOKUP(K$1,Table1[],2,FALSE),1,0)</f>
        <v>1</v>
      </c>
      <c r="L36" s="5">
        <f>IF(VLOOKUP($B36,Table2[[prolific]:[feedbackTime]],13,FALSE)=VLOOKUP(L$1,Table1[],2,FALSE),1,0)</f>
        <v>1</v>
      </c>
      <c r="M36" s="5">
        <f>IF(VLOOKUP($B36,Table2[[prolific]:[feedbackTime]],14,FALSE)=VLOOKUP(M$1,Table1[],2,FALSE),1,0)</f>
        <v>1</v>
      </c>
      <c r="N36" s="5">
        <f t="shared" si="13"/>
        <v>5</v>
      </c>
      <c r="O36" s="7">
        <f t="shared" si="14"/>
        <v>0.83333333333333337</v>
      </c>
      <c r="P36" s="5">
        <f>IF(VLOOKUP($B36,Table2[[prolific]:[feedbackTime]],15,FALSE)=VLOOKUP(P$1,Table1[],2,FALSE),1,0)</f>
        <v>1</v>
      </c>
      <c r="Q36" s="5">
        <f>IF(VLOOKUP($B36,Table2[[prolific]:[feedbackTime]],16,FALSE)=VLOOKUP(Q$1,Table1[],2,FALSE),1,0)</f>
        <v>1</v>
      </c>
      <c r="R36" s="5">
        <f>IF(VLOOKUP($B36,Table2[[prolific]:[feedbackTime]],17,FALSE)=VLOOKUP(R$1,Table1[],2,FALSE),1,0)</f>
        <v>1</v>
      </c>
      <c r="S36" s="5">
        <f>IF(VLOOKUP($B36,Table2[[prolific]:[feedbackTime]],18,FALSE)=VLOOKUP(S$1,Table1[],2,FALSE),1,0)</f>
        <v>1</v>
      </c>
      <c r="T36" s="5">
        <f>IF(VLOOKUP($B36,Table2[[prolific]:[feedbackTime]],19,FALSE)=VLOOKUP(T$1,Table1[],2,FALSE),1,0)</f>
        <v>1</v>
      </c>
      <c r="U36" s="5">
        <f>IF(VLOOKUP($B36,Table2[[prolific]:[feedbackTime]],20,FALSE)=VLOOKUP(U$1,Table1[],2,FALSE),1,0)</f>
        <v>1</v>
      </c>
      <c r="V36" s="5">
        <f>IF(VLOOKUP($B36,Table2[[prolific]:[feedbackTime]],21,FALSE)=VLOOKUP(V$1,Table1[],2,FALSE),1,0)</f>
        <v>1</v>
      </c>
      <c r="W36" s="5">
        <f>IF(VLOOKUP($B36,Table2[[prolific]:[feedbackTime]],22,FALSE)=VLOOKUP(W$1,Table1[],2,FALSE),1,0)</f>
        <v>1</v>
      </c>
      <c r="X36" s="5">
        <f t="shared" si="15"/>
        <v>8</v>
      </c>
      <c r="Y36" s="7">
        <f t="shared" si="16"/>
        <v>1</v>
      </c>
      <c r="Z36" s="5">
        <f>IF(VLOOKUP($B36,Table2[[prolific]:[feedbackTime]],23,FALSE)=VLOOKUP(Z$1,Table1[],2,FALSE),1,0)</f>
        <v>1</v>
      </c>
      <c r="AA36" s="5">
        <f>IF(VLOOKUP($B36,Table2[[prolific]:[feedbackTime]],24,FALSE)=VLOOKUP(AA$1,Table1[],2,FALSE),1,0)</f>
        <v>1</v>
      </c>
      <c r="AB36" s="5">
        <f>IF(VLOOKUP($B36,Table2[[prolific]:[feedbackTime]],25,FALSE)=VLOOKUP(AB$1,Table1[],2,FALSE),1,0)</f>
        <v>1</v>
      </c>
      <c r="AC36" s="5">
        <f>IF(VLOOKUP($B36,Table2[[prolific]:[feedbackTime]],26,FALSE)=VLOOKUP(AC$1,Table1[],2,FALSE),1,0)</f>
        <v>1</v>
      </c>
      <c r="AD36" s="5">
        <f>IF(VLOOKUP($B36,Table2[[prolific]:[feedbackTime]],27,FALSE)=VLOOKUP(AD$1,Table1[],2,FALSE),1,0)</f>
        <v>0</v>
      </c>
      <c r="AE36" s="5">
        <f>IF(VLOOKUP($B36,Table2[[prolific]:[feedbackTime]],28,FALSE)=VLOOKUP(AE$1,Table1[],2,FALSE),1,0)</f>
        <v>0</v>
      </c>
      <c r="AF36" s="5">
        <f>IF(VLOOKUP($B36,Table2[[prolific]:[feedbackTime]],29,FALSE)=VLOOKUP(AF$1,Table1[],2,FALSE),1,0)</f>
        <v>0</v>
      </c>
      <c r="AG36" s="5">
        <f>IF(VLOOKUP($B36,Table2[[prolific]:[feedbackTime]],30,FALSE)=VLOOKUP(AG$1,Table1[],2,FALSE),1,0)</f>
        <v>0</v>
      </c>
      <c r="AH36" s="5">
        <f t="shared" si="17"/>
        <v>4</v>
      </c>
      <c r="AI36" s="7">
        <f t="shared" si="18"/>
        <v>0.5</v>
      </c>
      <c r="AJ36" s="7">
        <f t="shared" si="19"/>
        <v>0.77272727272727271</v>
      </c>
      <c r="AK36" s="5">
        <f t="shared" si="20"/>
        <v>17</v>
      </c>
    </row>
    <row r="37" spans="1:37" x14ac:dyDescent="0.25">
      <c r="A37">
        <f t="shared" si="21"/>
        <v>1</v>
      </c>
      <c r="B37" s="25" t="s">
        <v>1036</v>
      </c>
      <c r="C37" s="5">
        <f>IF(VLOOKUP($B37,Table2[[prolific]:[feedbackTime]],6,FALSE)=VLOOKUP(C$1,Table1[],2,FALSE),1,0)</f>
        <v>1</v>
      </c>
      <c r="D37" s="5">
        <f>IF(VLOOKUP($B37,Table2[[prolific]:[feedbackTime]],7,FALSE)=VLOOKUP(D$1,Table1[],2,FALSE),1,0)</f>
        <v>1</v>
      </c>
      <c r="E37" s="5">
        <f>IF(VLOOKUP($B37,Table2[[prolific]:[feedbackTime]],8,FALSE)=VLOOKUP(E$1,Table1[],2,FALSE),1,0)</f>
        <v>1</v>
      </c>
      <c r="F37" s="5">
        <f t="shared" si="11"/>
        <v>3</v>
      </c>
      <c r="G37" s="7">
        <f t="shared" si="12"/>
        <v>1</v>
      </c>
      <c r="H37" s="5">
        <f>IF(VLOOKUP($B37,Table2[[prolific]:[feedbackTime]],9,FALSE)=VLOOKUP(H$1,Table1[],2,FALSE),1,0)</f>
        <v>1</v>
      </c>
      <c r="I37" s="5">
        <f>IF(VLOOKUP($B37,Table2[[prolific]:[feedbackTime]],10,FALSE)=VLOOKUP(I$1,Table1[],2,FALSE),1,0)</f>
        <v>0</v>
      </c>
      <c r="J37" s="5">
        <f>IF(VLOOKUP($B37,Table2[[prolific]:[feedbackTime]],11,FALSE)=VLOOKUP(J$1,Table1[],2,FALSE),1,0)</f>
        <v>0</v>
      </c>
      <c r="K37" s="5">
        <f>IF(VLOOKUP($B37,Table2[[prolific]:[feedbackTime]],12,FALSE)=VLOOKUP(K$1,Table1[],2,FALSE),1,0)</f>
        <v>1</v>
      </c>
      <c r="L37" s="5">
        <f>IF(VLOOKUP($B37,Table2[[prolific]:[feedbackTime]],13,FALSE)=VLOOKUP(L$1,Table1[],2,FALSE),1,0)</f>
        <v>0</v>
      </c>
      <c r="M37" s="5">
        <f>IF(VLOOKUP($B37,Table2[[prolific]:[feedbackTime]],14,FALSE)=VLOOKUP(M$1,Table1[],2,FALSE),1,0)</f>
        <v>0</v>
      </c>
      <c r="N37" s="5">
        <f t="shared" si="13"/>
        <v>2</v>
      </c>
      <c r="O37" s="7">
        <f t="shared" si="14"/>
        <v>0.33333333333333331</v>
      </c>
      <c r="P37" s="5">
        <f>IF(VLOOKUP($B37,Table2[[prolific]:[feedbackTime]],15,FALSE)=VLOOKUP(P$1,Table1[],2,FALSE),1,0)</f>
        <v>1</v>
      </c>
      <c r="Q37" s="5">
        <f>IF(VLOOKUP($B37,Table2[[prolific]:[feedbackTime]],16,FALSE)=VLOOKUP(Q$1,Table1[],2,FALSE),1,0)</f>
        <v>1</v>
      </c>
      <c r="R37" s="5">
        <f>IF(VLOOKUP($B37,Table2[[prolific]:[feedbackTime]],17,FALSE)=VLOOKUP(R$1,Table1[],2,FALSE),1,0)</f>
        <v>0</v>
      </c>
      <c r="S37" s="5">
        <f>IF(VLOOKUP($B37,Table2[[prolific]:[feedbackTime]],18,FALSE)=VLOOKUP(S$1,Table1[],2,FALSE),1,0)</f>
        <v>0</v>
      </c>
      <c r="T37" s="5">
        <f>IF(VLOOKUP($B37,Table2[[prolific]:[feedbackTime]],19,FALSE)=VLOOKUP(T$1,Table1[],2,FALSE),1,0)</f>
        <v>1</v>
      </c>
      <c r="U37" s="5">
        <f>IF(VLOOKUP($B37,Table2[[prolific]:[feedbackTime]],20,FALSE)=VLOOKUP(U$1,Table1[],2,FALSE),1,0)</f>
        <v>0</v>
      </c>
      <c r="V37" s="5">
        <f>IF(VLOOKUP($B37,Table2[[prolific]:[feedbackTime]],21,FALSE)=VLOOKUP(V$1,Table1[],2,FALSE),1,0)</f>
        <v>0</v>
      </c>
      <c r="W37" s="5">
        <f>IF(VLOOKUP($B37,Table2[[prolific]:[feedbackTime]],22,FALSE)=VLOOKUP(W$1,Table1[],2,FALSE),1,0)</f>
        <v>0</v>
      </c>
      <c r="X37" s="5">
        <f t="shared" si="15"/>
        <v>3</v>
      </c>
      <c r="Y37" s="7">
        <f t="shared" si="16"/>
        <v>0.375</v>
      </c>
      <c r="Z37" s="5">
        <f>IF(VLOOKUP($B37,Table2[[prolific]:[feedbackTime]],23,FALSE)=VLOOKUP(Z$1,Table1[],2,FALSE),1,0)</f>
        <v>1</v>
      </c>
      <c r="AA37" s="5">
        <f>IF(VLOOKUP($B37,Table2[[prolific]:[feedbackTime]],24,FALSE)=VLOOKUP(AA$1,Table1[],2,FALSE),1,0)</f>
        <v>1</v>
      </c>
      <c r="AB37" s="5">
        <f>IF(VLOOKUP($B37,Table2[[prolific]:[feedbackTime]],25,FALSE)=VLOOKUP(AB$1,Table1[],2,FALSE),1,0)</f>
        <v>1</v>
      </c>
      <c r="AC37" s="5">
        <f>IF(VLOOKUP($B37,Table2[[prolific]:[feedbackTime]],26,FALSE)=VLOOKUP(AC$1,Table1[],2,FALSE),1,0)</f>
        <v>1</v>
      </c>
      <c r="AD37" s="5">
        <f>IF(VLOOKUP($B37,Table2[[prolific]:[feedbackTime]],27,FALSE)=VLOOKUP(AD$1,Table1[],2,FALSE),1,0)</f>
        <v>0</v>
      </c>
      <c r="AE37" s="5">
        <f>IF(VLOOKUP($B37,Table2[[prolific]:[feedbackTime]],28,FALSE)=VLOOKUP(AE$1,Table1[],2,FALSE),1,0)</f>
        <v>1</v>
      </c>
      <c r="AF37" s="5">
        <f>IF(VLOOKUP($B37,Table2[[prolific]:[feedbackTime]],29,FALSE)=VLOOKUP(AF$1,Table1[],2,FALSE),1,0)</f>
        <v>0</v>
      </c>
      <c r="AG37" s="5">
        <f>IF(VLOOKUP($B37,Table2[[prolific]:[feedbackTime]],30,FALSE)=VLOOKUP(AG$1,Table1[],2,FALSE),1,0)</f>
        <v>0</v>
      </c>
      <c r="AH37" s="5">
        <f t="shared" si="17"/>
        <v>5</v>
      </c>
      <c r="AI37" s="7">
        <f t="shared" si="18"/>
        <v>0.625</v>
      </c>
      <c r="AJ37" s="7">
        <f t="shared" si="19"/>
        <v>0.45454545454545453</v>
      </c>
      <c r="AK37" s="5">
        <f t="shared" si="20"/>
        <v>10</v>
      </c>
    </row>
    <row r="38" spans="1:37" x14ac:dyDescent="0.25">
      <c r="A38">
        <f t="shared" si="21"/>
        <v>1</v>
      </c>
      <c r="B38" s="26" t="s">
        <v>1037</v>
      </c>
      <c r="C38" s="5">
        <f>IF(VLOOKUP($B38,Table2[[prolific]:[feedbackTime]],6,FALSE)=VLOOKUP(C$1,Table1[],2,FALSE),1,0)</f>
        <v>1</v>
      </c>
      <c r="D38" s="5">
        <f>IF(VLOOKUP($B38,Table2[[prolific]:[feedbackTime]],7,FALSE)=VLOOKUP(D$1,Table1[],2,FALSE),1,0)</f>
        <v>1</v>
      </c>
      <c r="E38" s="5">
        <f>IF(VLOOKUP($B38,Table2[[prolific]:[feedbackTime]],8,FALSE)=VLOOKUP(E$1,Table1[],2,FALSE),1,0)</f>
        <v>1</v>
      </c>
      <c r="F38" s="5">
        <f t="shared" si="11"/>
        <v>3</v>
      </c>
      <c r="G38" s="7">
        <f t="shared" si="12"/>
        <v>1</v>
      </c>
      <c r="H38" s="5">
        <f>IF(VLOOKUP($B38,Table2[[prolific]:[feedbackTime]],9,FALSE)=VLOOKUP(H$1,Table1[],2,FALSE),1,0)</f>
        <v>1</v>
      </c>
      <c r="I38" s="5">
        <f>IF(VLOOKUP($B38,Table2[[prolific]:[feedbackTime]],10,FALSE)=VLOOKUP(I$1,Table1[],2,FALSE),1,0)</f>
        <v>1</v>
      </c>
      <c r="J38" s="5">
        <f>IF(VLOOKUP($B38,Table2[[prolific]:[feedbackTime]],11,FALSE)=VLOOKUP(J$1,Table1[],2,FALSE),1,0)</f>
        <v>0</v>
      </c>
      <c r="K38" s="5">
        <f>IF(VLOOKUP($B38,Table2[[prolific]:[feedbackTime]],12,FALSE)=VLOOKUP(K$1,Table1[],2,FALSE),1,0)</f>
        <v>1</v>
      </c>
      <c r="L38" s="5">
        <f>IF(VLOOKUP($B38,Table2[[prolific]:[feedbackTime]],13,FALSE)=VLOOKUP(L$1,Table1[],2,FALSE),1,0)</f>
        <v>0</v>
      </c>
      <c r="M38" s="5">
        <f>IF(VLOOKUP($B38,Table2[[prolific]:[feedbackTime]],14,FALSE)=VLOOKUP(M$1,Table1[],2,FALSE),1,0)</f>
        <v>0</v>
      </c>
      <c r="N38" s="5">
        <f t="shared" si="13"/>
        <v>3</v>
      </c>
      <c r="O38" s="7">
        <f t="shared" si="14"/>
        <v>0.5</v>
      </c>
      <c r="P38" s="5">
        <f>IF(VLOOKUP($B38,Table2[[prolific]:[feedbackTime]],15,FALSE)=VLOOKUP(P$1,Table1[],2,FALSE),1,0)</f>
        <v>1</v>
      </c>
      <c r="Q38" s="5">
        <f>IF(VLOOKUP($B38,Table2[[prolific]:[feedbackTime]],16,FALSE)=VLOOKUP(Q$1,Table1[],2,FALSE),1,0)</f>
        <v>1</v>
      </c>
      <c r="R38" s="5">
        <f>IF(VLOOKUP($B38,Table2[[prolific]:[feedbackTime]],17,FALSE)=VLOOKUP(R$1,Table1[],2,FALSE),1,0)</f>
        <v>1</v>
      </c>
      <c r="S38" s="5">
        <f>IF(VLOOKUP($B38,Table2[[prolific]:[feedbackTime]],18,FALSE)=VLOOKUP(S$1,Table1[],2,FALSE),1,0)</f>
        <v>1</v>
      </c>
      <c r="T38" s="5">
        <f>IF(VLOOKUP($B38,Table2[[prolific]:[feedbackTime]],19,FALSE)=VLOOKUP(T$1,Table1[],2,FALSE),1,0)</f>
        <v>1</v>
      </c>
      <c r="U38" s="5">
        <f>IF(VLOOKUP($B38,Table2[[prolific]:[feedbackTime]],20,FALSE)=VLOOKUP(U$1,Table1[],2,FALSE),1,0)</f>
        <v>1</v>
      </c>
      <c r="V38" s="5">
        <f>IF(VLOOKUP($B38,Table2[[prolific]:[feedbackTime]],21,FALSE)=VLOOKUP(V$1,Table1[],2,FALSE),1,0)</f>
        <v>1</v>
      </c>
      <c r="W38" s="5">
        <f>IF(VLOOKUP($B38,Table2[[prolific]:[feedbackTime]],22,FALSE)=VLOOKUP(W$1,Table1[],2,FALSE),1,0)</f>
        <v>1</v>
      </c>
      <c r="X38" s="5">
        <f t="shared" si="15"/>
        <v>8</v>
      </c>
      <c r="Y38" s="7">
        <f t="shared" si="16"/>
        <v>1</v>
      </c>
      <c r="Z38" s="5">
        <f>IF(VLOOKUP($B38,Table2[[prolific]:[feedbackTime]],23,FALSE)=VLOOKUP(Z$1,Table1[],2,FALSE),1,0)</f>
        <v>1</v>
      </c>
      <c r="AA38" s="5">
        <f>IF(VLOOKUP($B38,Table2[[prolific]:[feedbackTime]],24,FALSE)=VLOOKUP(AA$1,Table1[],2,FALSE),1,0)</f>
        <v>1</v>
      </c>
      <c r="AB38" s="5">
        <f>IF(VLOOKUP($B38,Table2[[prolific]:[feedbackTime]],25,FALSE)=VLOOKUP(AB$1,Table1[],2,FALSE),1,0)</f>
        <v>1</v>
      </c>
      <c r="AC38" s="5">
        <f>IF(VLOOKUP($B38,Table2[[prolific]:[feedbackTime]],26,FALSE)=VLOOKUP(AC$1,Table1[],2,FALSE),1,0)</f>
        <v>0</v>
      </c>
      <c r="AD38" s="5">
        <f>IF(VLOOKUP($B38,Table2[[prolific]:[feedbackTime]],27,FALSE)=VLOOKUP(AD$1,Table1[],2,FALSE),1,0)</f>
        <v>0</v>
      </c>
      <c r="AE38" s="5">
        <f>IF(VLOOKUP($B38,Table2[[prolific]:[feedbackTime]],28,FALSE)=VLOOKUP(AE$1,Table1[],2,FALSE),1,0)</f>
        <v>0</v>
      </c>
      <c r="AF38" s="5">
        <f>IF(VLOOKUP($B38,Table2[[prolific]:[feedbackTime]],29,FALSE)=VLOOKUP(AF$1,Table1[],2,FALSE),1,0)</f>
        <v>0</v>
      </c>
      <c r="AG38" s="5">
        <f>IF(VLOOKUP($B38,Table2[[prolific]:[feedbackTime]],30,FALSE)=VLOOKUP(AG$1,Table1[],2,FALSE),1,0)</f>
        <v>0</v>
      </c>
      <c r="AH38" s="5">
        <f t="shared" si="17"/>
        <v>3</v>
      </c>
      <c r="AI38" s="7">
        <f t="shared" si="18"/>
        <v>0.375</v>
      </c>
      <c r="AJ38" s="7">
        <f t="shared" si="19"/>
        <v>0.63636363636363635</v>
      </c>
      <c r="AK38" s="5">
        <f t="shared" si="20"/>
        <v>14</v>
      </c>
    </row>
    <row r="39" spans="1:37" x14ac:dyDescent="0.25">
      <c r="A39">
        <f t="shared" si="21"/>
        <v>1</v>
      </c>
      <c r="B39" s="25" t="s">
        <v>1038</v>
      </c>
      <c r="C39" s="5">
        <f>IF(VLOOKUP($B39,Table2[[prolific]:[feedbackTime]],6,FALSE)=VLOOKUP(C$1,Table1[],2,FALSE),1,0)</f>
        <v>1</v>
      </c>
      <c r="D39" s="5">
        <f>IF(VLOOKUP($B39,Table2[[prolific]:[feedbackTime]],7,FALSE)=VLOOKUP(D$1,Table1[],2,FALSE),1,0)</f>
        <v>1</v>
      </c>
      <c r="E39" s="5">
        <f>IF(VLOOKUP($B39,Table2[[prolific]:[feedbackTime]],8,FALSE)=VLOOKUP(E$1,Table1[],2,FALSE),1,0)</f>
        <v>1</v>
      </c>
      <c r="F39" s="5">
        <f t="shared" si="11"/>
        <v>3</v>
      </c>
      <c r="G39" s="7">
        <f t="shared" si="12"/>
        <v>1</v>
      </c>
      <c r="H39" s="5">
        <f>IF(VLOOKUP($B39,Table2[[prolific]:[feedbackTime]],9,FALSE)=VLOOKUP(H$1,Table1[],2,FALSE),1,0)</f>
        <v>1</v>
      </c>
      <c r="I39" s="5">
        <f>IF(VLOOKUP($B39,Table2[[prolific]:[feedbackTime]],10,FALSE)=VLOOKUP(I$1,Table1[],2,FALSE),1,0)</f>
        <v>1</v>
      </c>
      <c r="J39" s="5">
        <f>IF(VLOOKUP($B39,Table2[[prolific]:[feedbackTime]],11,FALSE)=VLOOKUP(J$1,Table1[],2,FALSE),1,0)</f>
        <v>0</v>
      </c>
      <c r="K39" s="5">
        <f>IF(VLOOKUP($B39,Table2[[prolific]:[feedbackTime]],12,FALSE)=VLOOKUP(K$1,Table1[],2,FALSE),1,0)</f>
        <v>1</v>
      </c>
      <c r="L39" s="5">
        <f>IF(VLOOKUP($B39,Table2[[prolific]:[feedbackTime]],13,FALSE)=VLOOKUP(L$1,Table1[],2,FALSE),1,0)</f>
        <v>0</v>
      </c>
      <c r="M39" s="5">
        <f>IF(VLOOKUP($B39,Table2[[prolific]:[feedbackTime]],14,FALSE)=VLOOKUP(M$1,Table1[],2,FALSE),1,0)</f>
        <v>0</v>
      </c>
      <c r="N39" s="5">
        <f t="shared" si="13"/>
        <v>3</v>
      </c>
      <c r="O39" s="7">
        <f t="shared" si="14"/>
        <v>0.5</v>
      </c>
      <c r="P39" s="5">
        <f>IF(VLOOKUP($B39,Table2[[prolific]:[feedbackTime]],15,FALSE)=VLOOKUP(P$1,Table1[],2,FALSE),1,0)</f>
        <v>1</v>
      </c>
      <c r="Q39" s="5">
        <f>IF(VLOOKUP($B39,Table2[[prolific]:[feedbackTime]],16,FALSE)=VLOOKUP(Q$1,Table1[],2,FALSE),1,0)</f>
        <v>1</v>
      </c>
      <c r="R39" s="5">
        <f>IF(VLOOKUP($B39,Table2[[prolific]:[feedbackTime]],17,FALSE)=VLOOKUP(R$1,Table1[],2,FALSE),1,0)</f>
        <v>1</v>
      </c>
      <c r="S39" s="5">
        <f>IF(VLOOKUP($B39,Table2[[prolific]:[feedbackTime]],18,FALSE)=VLOOKUP(S$1,Table1[],2,FALSE),1,0)</f>
        <v>1</v>
      </c>
      <c r="T39" s="5">
        <f>IF(VLOOKUP($B39,Table2[[prolific]:[feedbackTime]],19,FALSE)=VLOOKUP(T$1,Table1[],2,FALSE),1,0)</f>
        <v>1</v>
      </c>
      <c r="U39" s="5">
        <f>IF(VLOOKUP($B39,Table2[[prolific]:[feedbackTime]],20,FALSE)=VLOOKUP(U$1,Table1[],2,FALSE),1,0)</f>
        <v>1</v>
      </c>
      <c r="V39" s="5">
        <f>IF(VLOOKUP($B39,Table2[[prolific]:[feedbackTime]],21,FALSE)=VLOOKUP(V$1,Table1[],2,FALSE),1,0)</f>
        <v>0</v>
      </c>
      <c r="W39" s="5">
        <f>IF(VLOOKUP($B39,Table2[[prolific]:[feedbackTime]],22,FALSE)=VLOOKUP(W$1,Table1[],2,FALSE),1,0)</f>
        <v>1</v>
      </c>
      <c r="X39" s="5">
        <f t="shared" si="15"/>
        <v>7</v>
      </c>
      <c r="Y39" s="7">
        <f t="shared" si="16"/>
        <v>0.875</v>
      </c>
      <c r="Z39" s="5">
        <f>IF(VLOOKUP($B39,Table2[[prolific]:[feedbackTime]],23,FALSE)=VLOOKUP(Z$1,Table1[],2,FALSE),1,0)</f>
        <v>1</v>
      </c>
      <c r="AA39" s="5">
        <f>IF(VLOOKUP($B39,Table2[[prolific]:[feedbackTime]],24,FALSE)=VLOOKUP(AA$1,Table1[],2,FALSE),1,0)</f>
        <v>0</v>
      </c>
      <c r="AB39" s="5">
        <f>IF(VLOOKUP($B39,Table2[[prolific]:[feedbackTime]],25,FALSE)=VLOOKUP(AB$1,Table1[],2,FALSE),1,0)</f>
        <v>1</v>
      </c>
      <c r="AC39" s="5">
        <f>IF(VLOOKUP($B39,Table2[[prolific]:[feedbackTime]],26,FALSE)=VLOOKUP(AC$1,Table1[],2,FALSE),1,0)</f>
        <v>1</v>
      </c>
      <c r="AD39" s="5">
        <f>IF(VLOOKUP($B39,Table2[[prolific]:[feedbackTime]],27,FALSE)=VLOOKUP(AD$1,Table1[],2,FALSE),1,0)</f>
        <v>0</v>
      </c>
      <c r="AE39" s="5">
        <f>IF(VLOOKUP($B39,Table2[[prolific]:[feedbackTime]],28,FALSE)=VLOOKUP(AE$1,Table1[],2,FALSE),1,0)</f>
        <v>0</v>
      </c>
      <c r="AF39" s="5">
        <f>IF(VLOOKUP($B39,Table2[[prolific]:[feedbackTime]],29,FALSE)=VLOOKUP(AF$1,Table1[],2,FALSE),1,0)</f>
        <v>0</v>
      </c>
      <c r="AG39" s="5">
        <f>IF(VLOOKUP($B39,Table2[[prolific]:[feedbackTime]],30,FALSE)=VLOOKUP(AG$1,Table1[],2,FALSE),1,0)</f>
        <v>0</v>
      </c>
      <c r="AH39" s="5">
        <f t="shared" si="17"/>
        <v>3</v>
      </c>
      <c r="AI39" s="7">
        <f t="shared" si="18"/>
        <v>0.375</v>
      </c>
      <c r="AJ39" s="7">
        <f t="shared" si="19"/>
        <v>0.59090909090909094</v>
      </c>
      <c r="AK39" s="5">
        <f t="shared" si="20"/>
        <v>13</v>
      </c>
    </row>
    <row r="40" spans="1:37" x14ac:dyDescent="0.25">
      <c r="A40">
        <f t="shared" si="21"/>
        <v>1</v>
      </c>
      <c r="B40" s="26" t="s">
        <v>1039</v>
      </c>
      <c r="C40" s="5">
        <f>IF(VLOOKUP($B40,Table2[[prolific]:[feedbackTime]],6,FALSE)=VLOOKUP(C$1,Table1[],2,FALSE),1,0)</f>
        <v>1</v>
      </c>
      <c r="D40" s="5">
        <f>IF(VLOOKUP($B40,Table2[[prolific]:[feedbackTime]],7,FALSE)=VLOOKUP(D$1,Table1[],2,FALSE),1,0)</f>
        <v>1</v>
      </c>
      <c r="E40" s="5">
        <f>IF(VLOOKUP($B40,Table2[[prolific]:[feedbackTime]],8,FALSE)=VLOOKUP(E$1,Table1[],2,FALSE),1,0)</f>
        <v>1</v>
      </c>
      <c r="F40" s="5">
        <f t="shared" si="11"/>
        <v>3</v>
      </c>
      <c r="G40" s="7">
        <f t="shared" si="12"/>
        <v>1</v>
      </c>
      <c r="H40" s="5">
        <f>IF(VLOOKUP($B40,Table2[[prolific]:[feedbackTime]],9,FALSE)=VLOOKUP(H$1,Table1[],2,FALSE),1,0)</f>
        <v>1</v>
      </c>
      <c r="I40" s="5">
        <f>IF(VLOOKUP($B40,Table2[[prolific]:[feedbackTime]],10,FALSE)=VLOOKUP(I$1,Table1[],2,FALSE),1,0)</f>
        <v>0</v>
      </c>
      <c r="J40" s="5">
        <f>IF(VLOOKUP($B40,Table2[[prolific]:[feedbackTime]],11,FALSE)=VLOOKUP(J$1,Table1[],2,FALSE),1,0)</f>
        <v>1</v>
      </c>
      <c r="K40" s="5">
        <f>IF(VLOOKUP($B40,Table2[[prolific]:[feedbackTime]],12,FALSE)=VLOOKUP(K$1,Table1[],2,FALSE),1,0)</f>
        <v>1</v>
      </c>
      <c r="L40" s="5">
        <f>IF(VLOOKUP($B40,Table2[[prolific]:[feedbackTime]],13,FALSE)=VLOOKUP(L$1,Table1[],2,FALSE),1,0)</f>
        <v>0</v>
      </c>
      <c r="M40" s="5">
        <f>IF(VLOOKUP($B40,Table2[[prolific]:[feedbackTime]],14,FALSE)=VLOOKUP(M$1,Table1[],2,FALSE),1,0)</f>
        <v>1</v>
      </c>
      <c r="N40" s="5">
        <f t="shared" si="13"/>
        <v>4</v>
      </c>
      <c r="O40" s="7">
        <f t="shared" si="14"/>
        <v>0.66666666666666663</v>
      </c>
      <c r="P40" s="5">
        <f>IF(VLOOKUP($B40,Table2[[prolific]:[feedbackTime]],15,FALSE)=VLOOKUP(P$1,Table1[],2,FALSE),1,0)</f>
        <v>1</v>
      </c>
      <c r="Q40" s="5">
        <f>IF(VLOOKUP($B40,Table2[[prolific]:[feedbackTime]],16,FALSE)=VLOOKUP(Q$1,Table1[],2,FALSE),1,0)</f>
        <v>1</v>
      </c>
      <c r="R40" s="5">
        <f>IF(VLOOKUP($B40,Table2[[prolific]:[feedbackTime]],17,FALSE)=VLOOKUP(R$1,Table1[],2,FALSE),1,0)</f>
        <v>0</v>
      </c>
      <c r="S40" s="5">
        <f>IF(VLOOKUP($B40,Table2[[prolific]:[feedbackTime]],18,FALSE)=VLOOKUP(S$1,Table1[],2,FALSE),1,0)</f>
        <v>1</v>
      </c>
      <c r="T40" s="5">
        <f>IF(VLOOKUP($B40,Table2[[prolific]:[feedbackTime]],19,FALSE)=VLOOKUP(T$1,Table1[],2,FALSE),1,0)</f>
        <v>1</v>
      </c>
      <c r="U40" s="5">
        <f>IF(VLOOKUP($B40,Table2[[prolific]:[feedbackTime]],20,FALSE)=VLOOKUP(U$1,Table1[],2,FALSE),1,0)</f>
        <v>1</v>
      </c>
      <c r="V40" s="5">
        <f>IF(VLOOKUP($B40,Table2[[prolific]:[feedbackTime]],21,FALSE)=VLOOKUP(V$1,Table1[],2,FALSE),1,0)</f>
        <v>0</v>
      </c>
      <c r="W40" s="5">
        <f>IF(VLOOKUP($B40,Table2[[prolific]:[feedbackTime]],22,FALSE)=VLOOKUP(W$1,Table1[],2,FALSE),1,0)</f>
        <v>1</v>
      </c>
      <c r="X40" s="5">
        <f t="shared" si="15"/>
        <v>6</v>
      </c>
      <c r="Y40" s="7">
        <f t="shared" si="16"/>
        <v>0.75</v>
      </c>
      <c r="Z40" s="5">
        <f>IF(VLOOKUP($B40,Table2[[prolific]:[feedbackTime]],23,FALSE)=VLOOKUP(Z$1,Table1[],2,FALSE),1,0)</f>
        <v>1</v>
      </c>
      <c r="AA40" s="5">
        <f>IF(VLOOKUP($B40,Table2[[prolific]:[feedbackTime]],24,FALSE)=VLOOKUP(AA$1,Table1[],2,FALSE),1,0)</f>
        <v>1</v>
      </c>
      <c r="AB40" s="5">
        <f>IF(VLOOKUP($B40,Table2[[prolific]:[feedbackTime]],25,FALSE)=VLOOKUP(AB$1,Table1[],2,FALSE),1,0)</f>
        <v>0</v>
      </c>
      <c r="AC40" s="5">
        <f>IF(VLOOKUP($B40,Table2[[prolific]:[feedbackTime]],26,FALSE)=VLOOKUP(AC$1,Table1[],2,FALSE),1,0)</f>
        <v>1</v>
      </c>
      <c r="AD40" s="5">
        <f>IF(VLOOKUP($B40,Table2[[prolific]:[feedbackTime]],27,FALSE)=VLOOKUP(AD$1,Table1[],2,FALSE),1,0)</f>
        <v>0</v>
      </c>
      <c r="AE40" s="5">
        <f>IF(VLOOKUP($B40,Table2[[prolific]:[feedbackTime]],28,FALSE)=VLOOKUP(AE$1,Table1[],2,FALSE),1,0)</f>
        <v>0</v>
      </c>
      <c r="AF40" s="5">
        <f>IF(VLOOKUP($B40,Table2[[prolific]:[feedbackTime]],29,FALSE)=VLOOKUP(AF$1,Table1[],2,FALSE),1,0)</f>
        <v>0</v>
      </c>
      <c r="AG40" s="5">
        <f>IF(VLOOKUP($B40,Table2[[prolific]:[feedbackTime]],30,FALSE)=VLOOKUP(AG$1,Table1[],2,FALSE),1,0)</f>
        <v>0</v>
      </c>
      <c r="AH40" s="5">
        <f t="shared" si="17"/>
        <v>3</v>
      </c>
      <c r="AI40" s="7">
        <f t="shared" si="18"/>
        <v>0.375</v>
      </c>
      <c r="AJ40" s="7">
        <f t="shared" si="19"/>
        <v>0.59090909090909094</v>
      </c>
      <c r="AK40" s="5">
        <f t="shared" si="20"/>
        <v>13</v>
      </c>
    </row>
    <row r="41" spans="1:37" x14ac:dyDescent="0.25">
      <c r="A41">
        <f t="shared" si="21"/>
        <v>1</v>
      </c>
      <c r="B41" s="25" t="s">
        <v>1040</v>
      </c>
      <c r="C41" s="5">
        <f>IF(VLOOKUP($B41,Table2[[prolific]:[feedbackTime]],6,FALSE)=VLOOKUP(C$1,Table1[],2,FALSE),1,0)</f>
        <v>1</v>
      </c>
      <c r="D41" s="5">
        <f>IF(VLOOKUP($B41,Table2[[prolific]:[feedbackTime]],7,FALSE)=VLOOKUP(D$1,Table1[],2,FALSE),1,0)</f>
        <v>1</v>
      </c>
      <c r="E41" s="5">
        <f>IF(VLOOKUP($B41,Table2[[prolific]:[feedbackTime]],8,FALSE)=VLOOKUP(E$1,Table1[],2,FALSE),1,0)</f>
        <v>1</v>
      </c>
      <c r="F41" s="5">
        <f t="shared" si="11"/>
        <v>3</v>
      </c>
      <c r="G41" s="7">
        <f t="shared" si="12"/>
        <v>1</v>
      </c>
      <c r="H41" s="5">
        <f>IF(VLOOKUP($B41,Table2[[prolific]:[feedbackTime]],9,FALSE)=VLOOKUP(H$1,Table1[],2,FALSE),1,0)</f>
        <v>1</v>
      </c>
      <c r="I41" s="5">
        <f>IF(VLOOKUP($B41,Table2[[prolific]:[feedbackTime]],10,FALSE)=VLOOKUP(I$1,Table1[],2,FALSE),1,0)</f>
        <v>1</v>
      </c>
      <c r="J41" s="5">
        <f>IF(VLOOKUP($B41,Table2[[prolific]:[feedbackTime]],11,FALSE)=VLOOKUP(J$1,Table1[],2,FALSE),1,0)</f>
        <v>1</v>
      </c>
      <c r="K41" s="5">
        <f>IF(VLOOKUP($B41,Table2[[prolific]:[feedbackTime]],12,FALSE)=VLOOKUP(K$1,Table1[],2,FALSE),1,0)</f>
        <v>1</v>
      </c>
      <c r="L41" s="5">
        <f>IF(VLOOKUP($B41,Table2[[prolific]:[feedbackTime]],13,FALSE)=VLOOKUP(L$1,Table1[],2,FALSE),1,0)</f>
        <v>1</v>
      </c>
      <c r="M41" s="5">
        <f>IF(VLOOKUP($B41,Table2[[prolific]:[feedbackTime]],14,FALSE)=VLOOKUP(M$1,Table1[],2,FALSE),1,0)</f>
        <v>1</v>
      </c>
      <c r="N41" s="5">
        <f t="shared" si="13"/>
        <v>6</v>
      </c>
      <c r="O41" s="7">
        <f t="shared" si="14"/>
        <v>1</v>
      </c>
      <c r="P41" s="5">
        <f>IF(VLOOKUP($B41,Table2[[prolific]:[feedbackTime]],15,FALSE)=VLOOKUP(P$1,Table1[],2,FALSE),1,0)</f>
        <v>1</v>
      </c>
      <c r="Q41" s="5">
        <f>IF(VLOOKUP($B41,Table2[[prolific]:[feedbackTime]],16,FALSE)=VLOOKUP(Q$1,Table1[],2,FALSE),1,0)</f>
        <v>1</v>
      </c>
      <c r="R41" s="5">
        <f>IF(VLOOKUP($B41,Table2[[prolific]:[feedbackTime]],17,FALSE)=VLOOKUP(R$1,Table1[],2,FALSE),1,0)</f>
        <v>0</v>
      </c>
      <c r="S41" s="5">
        <f>IF(VLOOKUP($B41,Table2[[prolific]:[feedbackTime]],18,FALSE)=VLOOKUP(S$1,Table1[],2,FALSE),1,0)</f>
        <v>1</v>
      </c>
      <c r="T41" s="5">
        <f>IF(VLOOKUP($B41,Table2[[prolific]:[feedbackTime]],19,FALSE)=VLOOKUP(T$1,Table1[],2,FALSE),1,0)</f>
        <v>1</v>
      </c>
      <c r="U41" s="5">
        <f>IF(VLOOKUP($B41,Table2[[prolific]:[feedbackTime]],20,FALSE)=VLOOKUP(U$1,Table1[],2,FALSE),1,0)</f>
        <v>1</v>
      </c>
      <c r="V41" s="5">
        <f>IF(VLOOKUP($B41,Table2[[prolific]:[feedbackTime]],21,FALSE)=VLOOKUP(V$1,Table1[],2,FALSE),1,0)</f>
        <v>0</v>
      </c>
      <c r="W41" s="5">
        <f>IF(VLOOKUP($B41,Table2[[prolific]:[feedbackTime]],22,FALSE)=VLOOKUP(W$1,Table1[],2,FALSE),1,0)</f>
        <v>0</v>
      </c>
      <c r="X41" s="5">
        <f t="shared" si="15"/>
        <v>5</v>
      </c>
      <c r="Y41" s="7">
        <f t="shared" si="16"/>
        <v>0.625</v>
      </c>
      <c r="Z41" s="5">
        <f>IF(VLOOKUP($B41,Table2[[prolific]:[feedbackTime]],23,FALSE)=VLOOKUP(Z$1,Table1[],2,FALSE),1,0)</f>
        <v>1</v>
      </c>
      <c r="AA41" s="5">
        <f>IF(VLOOKUP($B41,Table2[[prolific]:[feedbackTime]],24,FALSE)=VLOOKUP(AA$1,Table1[],2,FALSE),1,0)</f>
        <v>1</v>
      </c>
      <c r="AB41" s="5">
        <f>IF(VLOOKUP($B41,Table2[[prolific]:[feedbackTime]],25,FALSE)=VLOOKUP(AB$1,Table1[],2,FALSE),1,0)</f>
        <v>1</v>
      </c>
      <c r="AC41" s="5">
        <f>IF(VLOOKUP($B41,Table2[[prolific]:[feedbackTime]],26,FALSE)=VLOOKUP(AC$1,Table1[],2,FALSE),1,0)</f>
        <v>1</v>
      </c>
      <c r="AD41" s="5">
        <f>IF(VLOOKUP($B41,Table2[[prolific]:[feedbackTime]],27,FALSE)=VLOOKUP(AD$1,Table1[],2,FALSE),1,0)</f>
        <v>0</v>
      </c>
      <c r="AE41" s="5">
        <f>IF(VLOOKUP($B41,Table2[[prolific]:[feedbackTime]],28,FALSE)=VLOOKUP(AE$1,Table1[],2,FALSE),1,0)</f>
        <v>0</v>
      </c>
      <c r="AF41" s="5">
        <f>IF(VLOOKUP($B41,Table2[[prolific]:[feedbackTime]],29,FALSE)=VLOOKUP(AF$1,Table1[],2,FALSE),1,0)</f>
        <v>0</v>
      </c>
      <c r="AG41" s="5">
        <f>IF(VLOOKUP($B41,Table2[[prolific]:[feedbackTime]],30,FALSE)=VLOOKUP(AG$1,Table1[],2,FALSE),1,0)</f>
        <v>0</v>
      </c>
      <c r="AH41" s="5">
        <f t="shared" si="17"/>
        <v>4</v>
      </c>
      <c r="AI41" s="7">
        <f t="shared" si="18"/>
        <v>0.5</v>
      </c>
      <c r="AJ41" s="7">
        <f t="shared" si="19"/>
        <v>0.68181818181818177</v>
      </c>
      <c r="AK41" s="5">
        <f t="shared" si="20"/>
        <v>15</v>
      </c>
    </row>
    <row r="42" spans="1:37" x14ac:dyDescent="0.25">
      <c r="A42">
        <f t="shared" si="21"/>
        <v>1</v>
      </c>
      <c r="B42" s="26" t="s">
        <v>1041</v>
      </c>
      <c r="C42" s="5">
        <f>IF(VLOOKUP($B42,Table2[[prolific]:[feedbackTime]],6,FALSE)=VLOOKUP(C$1,Table1[],2,FALSE),1,0)</f>
        <v>1</v>
      </c>
      <c r="D42" s="5">
        <f>IF(VLOOKUP($B42,Table2[[prolific]:[feedbackTime]],7,FALSE)=VLOOKUP(D$1,Table1[],2,FALSE),1,0)</f>
        <v>1</v>
      </c>
      <c r="E42" s="5">
        <f>IF(VLOOKUP($B42,Table2[[prolific]:[feedbackTime]],8,FALSE)=VLOOKUP(E$1,Table1[],2,FALSE),1,0)</f>
        <v>1</v>
      </c>
      <c r="F42" s="5">
        <f t="shared" si="11"/>
        <v>3</v>
      </c>
      <c r="G42" s="7">
        <f t="shared" si="12"/>
        <v>1</v>
      </c>
      <c r="H42" s="5">
        <f>IF(VLOOKUP($B42,Table2[[prolific]:[feedbackTime]],9,FALSE)=VLOOKUP(H$1,Table1[],2,FALSE),1,0)</f>
        <v>1</v>
      </c>
      <c r="I42" s="5">
        <f>IF(VLOOKUP($B42,Table2[[prolific]:[feedbackTime]],10,FALSE)=VLOOKUP(I$1,Table1[],2,FALSE),1,0)</f>
        <v>0</v>
      </c>
      <c r="J42" s="5">
        <f>IF(VLOOKUP($B42,Table2[[prolific]:[feedbackTime]],11,FALSE)=VLOOKUP(J$1,Table1[],2,FALSE),1,0)</f>
        <v>1</v>
      </c>
      <c r="K42" s="5">
        <f>IF(VLOOKUP($B42,Table2[[prolific]:[feedbackTime]],12,FALSE)=VLOOKUP(K$1,Table1[],2,FALSE),1,0)</f>
        <v>1</v>
      </c>
      <c r="L42" s="5">
        <f>IF(VLOOKUP($B42,Table2[[prolific]:[feedbackTime]],13,FALSE)=VLOOKUP(L$1,Table1[],2,FALSE),1,0)</f>
        <v>1</v>
      </c>
      <c r="M42" s="5">
        <f>IF(VLOOKUP($B42,Table2[[prolific]:[feedbackTime]],14,FALSE)=VLOOKUP(M$1,Table1[],2,FALSE),1,0)</f>
        <v>0</v>
      </c>
      <c r="N42" s="5">
        <f t="shared" si="13"/>
        <v>4</v>
      </c>
      <c r="O42" s="7">
        <f t="shared" si="14"/>
        <v>0.66666666666666663</v>
      </c>
      <c r="P42" s="5">
        <f>IF(VLOOKUP($B42,Table2[[prolific]:[feedbackTime]],15,FALSE)=VLOOKUP(P$1,Table1[],2,FALSE),1,0)</f>
        <v>1</v>
      </c>
      <c r="Q42" s="5">
        <f>IF(VLOOKUP($B42,Table2[[prolific]:[feedbackTime]],16,FALSE)=VLOOKUP(Q$1,Table1[],2,FALSE),1,0)</f>
        <v>0</v>
      </c>
      <c r="R42" s="5">
        <f>IF(VLOOKUP($B42,Table2[[prolific]:[feedbackTime]],17,FALSE)=VLOOKUP(R$1,Table1[],2,FALSE),1,0)</f>
        <v>1</v>
      </c>
      <c r="S42" s="5">
        <f>IF(VLOOKUP($B42,Table2[[prolific]:[feedbackTime]],18,FALSE)=VLOOKUP(S$1,Table1[],2,FALSE),1,0)</f>
        <v>1</v>
      </c>
      <c r="T42" s="5">
        <f>IF(VLOOKUP($B42,Table2[[prolific]:[feedbackTime]],19,FALSE)=VLOOKUP(T$1,Table1[],2,FALSE),1,0)</f>
        <v>1</v>
      </c>
      <c r="U42" s="5">
        <f>IF(VLOOKUP($B42,Table2[[prolific]:[feedbackTime]],20,FALSE)=VLOOKUP(U$1,Table1[],2,FALSE),1,0)</f>
        <v>1</v>
      </c>
      <c r="V42" s="5">
        <f>IF(VLOOKUP($B42,Table2[[prolific]:[feedbackTime]],21,FALSE)=VLOOKUP(V$1,Table1[],2,FALSE),1,0)</f>
        <v>0</v>
      </c>
      <c r="W42" s="5">
        <f>IF(VLOOKUP($B42,Table2[[prolific]:[feedbackTime]],22,FALSE)=VLOOKUP(W$1,Table1[],2,FALSE),1,0)</f>
        <v>1</v>
      </c>
      <c r="X42" s="5">
        <f t="shared" si="15"/>
        <v>6</v>
      </c>
      <c r="Y42" s="7">
        <f t="shared" si="16"/>
        <v>0.75</v>
      </c>
      <c r="Z42" s="5">
        <f>IF(VLOOKUP($B42,Table2[[prolific]:[feedbackTime]],23,FALSE)=VLOOKUP(Z$1,Table1[],2,FALSE),1,0)</f>
        <v>1</v>
      </c>
      <c r="AA42" s="5">
        <f>IF(VLOOKUP($B42,Table2[[prolific]:[feedbackTime]],24,FALSE)=VLOOKUP(AA$1,Table1[],2,FALSE),1,0)</f>
        <v>1</v>
      </c>
      <c r="AB42" s="5">
        <f>IF(VLOOKUP($B42,Table2[[prolific]:[feedbackTime]],25,FALSE)=VLOOKUP(AB$1,Table1[],2,FALSE),1,0)</f>
        <v>1</v>
      </c>
      <c r="AC42" s="5">
        <f>IF(VLOOKUP($B42,Table2[[prolific]:[feedbackTime]],26,FALSE)=VLOOKUP(AC$1,Table1[],2,FALSE),1,0)</f>
        <v>1</v>
      </c>
      <c r="AD42" s="5">
        <f>IF(VLOOKUP($B42,Table2[[prolific]:[feedbackTime]],27,FALSE)=VLOOKUP(AD$1,Table1[],2,FALSE),1,0)</f>
        <v>0</v>
      </c>
      <c r="AE42" s="5">
        <f>IF(VLOOKUP($B42,Table2[[prolific]:[feedbackTime]],28,FALSE)=VLOOKUP(AE$1,Table1[],2,FALSE),1,0)</f>
        <v>0</v>
      </c>
      <c r="AF42" s="5">
        <f>IF(VLOOKUP($B42,Table2[[prolific]:[feedbackTime]],29,FALSE)=VLOOKUP(AF$1,Table1[],2,FALSE),1,0)</f>
        <v>0</v>
      </c>
      <c r="AG42" s="5">
        <f>IF(VLOOKUP($B42,Table2[[prolific]:[feedbackTime]],30,FALSE)=VLOOKUP(AG$1,Table1[],2,FALSE),1,0)</f>
        <v>0</v>
      </c>
      <c r="AH42" s="5">
        <f t="shared" si="17"/>
        <v>4</v>
      </c>
      <c r="AI42" s="7">
        <f t="shared" si="18"/>
        <v>0.5</v>
      </c>
      <c r="AJ42" s="7">
        <f t="shared" si="19"/>
        <v>0.63636363636363635</v>
      </c>
      <c r="AK42" s="5">
        <f t="shared" si="20"/>
        <v>14</v>
      </c>
    </row>
    <row r="43" spans="1:37" x14ac:dyDescent="0.25">
      <c r="A43">
        <f t="shared" si="21"/>
        <v>1</v>
      </c>
      <c r="B43" s="25" t="s">
        <v>1042</v>
      </c>
      <c r="C43" s="5">
        <f>IF(VLOOKUP($B43,Table2[[prolific]:[feedbackTime]],6,FALSE)=VLOOKUP(C$1,Table1[],2,FALSE),1,0)</f>
        <v>1</v>
      </c>
      <c r="D43" s="5">
        <f>IF(VLOOKUP($B43,Table2[[prolific]:[feedbackTime]],7,FALSE)=VLOOKUP(D$1,Table1[],2,FALSE),1,0)</f>
        <v>1</v>
      </c>
      <c r="E43" s="5">
        <f>IF(VLOOKUP($B43,Table2[[prolific]:[feedbackTime]],8,FALSE)=VLOOKUP(E$1,Table1[],2,FALSE),1,0)</f>
        <v>1</v>
      </c>
      <c r="F43" s="5">
        <f t="shared" si="11"/>
        <v>3</v>
      </c>
      <c r="G43" s="7">
        <f t="shared" si="12"/>
        <v>1</v>
      </c>
      <c r="H43" s="5">
        <f>IF(VLOOKUP($B43,Table2[[prolific]:[feedbackTime]],9,FALSE)=VLOOKUP(H$1,Table1[],2,FALSE),1,0)</f>
        <v>1</v>
      </c>
      <c r="I43" s="5">
        <f>IF(VLOOKUP($B43,Table2[[prolific]:[feedbackTime]],10,FALSE)=VLOOKUP(I$1,Table1[],2,FALSE),1,0)</f>
        <v>1</v>
      </c>
      <c r="J43" s="5">
        <f>IF(VLOOKUP($B43,Table2[[prolific]:[feedbackTime]],11,FALSE)=VLOOKUP(J$1,Table1[],2,FALSE),1,0)</f>
        <v>0</v>
      </c>
      <c r="K43" s="5">
        <f>IF(VLOOKUP($B43,Table2[[prolific]:[feedbackTime]],12,FALSE)=VLOOKUP(K$1,Table1[],2,FALSE),1,0)</f>
        <v>1</v>
      </c>
      <c r="L43" s="5">
        <f>IF(VLOOKUP($B43,Table2[[prolific]:[feedbackTime]],13,FALSE)=VLOOKUP(L$1,Table1[],2,FALSE),1,0)</f>
        <v>1</v>
      </c>
      <c r="M43" s="5">
        <f>IF(VLOOKUP($B43,Table2[[prolific]:[feedbackTime]],14,FALSE)=VLOOKUP(M$1,Table1[],2,FALSE),1,0)</f>
        <v>0</v>
      </c>
      <c r="N43" s="5">
        <f t="shared" si="13"/>
        <v>4</v>
      </c>
      <c r="O43" s="7">
        <f t="shared" si="14"/>
        <v>0.66666666666666663</v>
      </c>
      <c r="P43" s="5">
        <f>IF(VLOOKUP($B43,Table2[[prolific]:[feedbackTime]],15,FALSE)=VLOOKUP(P$1,Table1[],2,FALSE),1,0)</f>
        <v>1</v>
      </c>
      <c r="Q43" s="5">
        <f>IF(VLOOKUP($B43,Table2[[prolific]:[feedbackTime]],16,FALSE)=VLOOKUP(Q$1,Table1[],2,FALSE),1,0)</f>
        <v>1</v>
      </c>
      <c r="R43" s="5">
        <f>IF(VLOOKUP($B43,Table2[[prolific]:[feedbackTime]],17,FALSE)=VLOOKUP(R$1,Table1[],2,FALSE),1,0)</f>
        <v>0</v>
      </c>
      <c r="S43" s="5">
        <f>IF(VLOOKUP($B43,Table2[[prolific]:[feedbackTime]],18,FALSE)=VLOOKUP(S$1,Table1[],2,FALSE),1,0)</f>
        <v>0</v>
      </c>
      <c r="T43" s="5">
        <f>IF(VLOOKUP($B43,Table2[[prolific]:[feedbackTime]],19,FALSE)=VLOOKUP(T$1,Table1[],2,FALSE),1,0)</f>
        <v>1</v>
      </c>
      <c r="U43" s="5">
        <f>IF(VLOOKUP($B43,Table2[[prolific]:[feedbackTime]],20,FALSE)=VLOOKUP(U$1,Table1[],2,FALSE),1,0)</f>
        <v>0</v>
      </c>
      <c r="V43" s="5">
        <f>IF(VLOOKUP($B43,Table2[[prolific]:[feedbackTime]],21,FALSE)=VLOOKUP(V$1,Table1[],2,FALSE),1,0)</f>
        <v>1</v>
      </c>
      <c r="W43" s="5">
        <f>IF(VLOOKUP($B43,Table2[[prolific]:[feedbackTime]],22,FALSE)=VLOOKUP(W$1,Table1[],2,FALSE),1,0)</f>
        <v>1</v>
      </c>
      <c r="X43" s="5">
        <f t="shared" si="15"/>
        <v>5</v>
      </c>
      <c r="Y43" s="7">
        <f t="shared" si="16"/>
        <v>0.625</v>
      </c>
      <c r="Z43" s="5">
        <f>IF(VLOOKUP($B43,Table2[[prolific]:[feedbackTime]],23,FALSE)=VLOOKUP(Z$1,Table1[],2,FALSE),1,0)</f>
        <v>1</v>
      </c>
      <c r="AA43" s="5">
        <f>IF(VLOOKUP($B43,Table2[[prolific]:[feedbackTime]],24,FALSE)=VLOOKUP(AA$1,Table1[],2,FALSE),1,0)</f>
        <v>1</v>
      </c>
      <c r="AB43" s="5">
        <f>IF(VLOOKUP($B43,Table2[[prolific]:[feedbackTime]],25,FALSE)=VLOOKUP(AB$1,Table1[],2,FALSE),1,0)</f>
        <v>0</v>
      </c>
      <c r="AC43" s="5">
        <f>IF(VLOOKUP($B43,Table2[[prolific]:[feedbackTime]],26,FALSE)=VLOOKUP(AC$1,Table1[],2,FALSE),1,0)</f>
        <v>1</v>
      </c>
      <c r="AD43" s="5">
        <f>IF(VLOOKUP($B43,Table2[[prolific]:[feedbackTime]],27,FALSE)=VLOOKUP(AD$1,Table1[],2,FALSE),1,0)</f>
        <v>0</v>
      </c>
      <c r="AE43" s="5">
        <f>IF(VLOOKUP($B43,Table2[[prolific]:[feedbackTime]],28,FALSE)=VLOOKUP(AE$1,Table1[],2,FALSE),1,0)</f>
        <v>0</v>
      </c>
      <c r="AF43" s="5">
        <f>IF(VLOOKUP($B43,Table2[[prolific]:[feedbackTime]],29,FALSE)=VLOOKUP(AF$1,Table1[],2,FALSE),1,0)</f>
        <v>0</v>
      </c>
      <c r="AG43" s="5">
        <f>IF(VLOOKUP($B43,Table2[[prolific]:[feedbackTime]],30,FALSE)=VLOOKUP(AG$1,Table1[],2,FALSE),1,0)</f>
        <v>0</v>
      </c>
      <c r="AH43" s="5">
        <f t="shared" si="17"/>
        <v>3</v>
      </c>
      <c r="AI43" s="7">
        <f t="shared" si="18"/>
        <v>0.375</v>
      </c>
      <c r="AJ43" s="7">
        <f t="shared" si="19"/>
        <v>0.54545454545454541</v>
      </c>
      <c r="AK43" s="5">
        <f t="shared" si="20"/>
        <v>12</v>
      </c>
    </row>
    <row r="44" spans="1:37" x14ac:dyDescent="0.25">
      <c r="A44">
        <f t="shared" si="21"/>
        <v>1</v>
      </c>
      <c r="B44" s="26" t="s">
        <v>1043</v>
      </c>
      <c r="C44" s="5">
        <f>IF(VLOOKUP($B44,Table2[[prolific]:[feedbackTime]],6,FALSE)=VLOOKUP(C$1,Table1[],2,FALSE),1,0)</f>
        <v>1</v>
      </c>
      <c r="D44" s="5">
        <f>IF(VLOOKUP($B44,Table2[[prolific]:[feedbackTime]],7,FALSE)=VLOOKUP(D$1,Table1[],2,FALSE),1,0)</f>
        <v>1</v>
      </c>
      <c r="E44" s="5">
        <f>IF(VLOOKUP($B44,Table2[[prolific]:[feedbackTime]],8,FALSE)=VLOOKUP(E$1,Table1[],2,FALSE),1,0)</f>
        <v>1</v>
      </c>
      <c r="F44" s="5">
        <f t="shared" si="11"/>
        <v>3</v>
      </c>
      <c r="G44" s="7">
        <f t="shared" si="12"/>
        <v>1</v>
      </c>
      <c r="H44" s="5">
        <f>IF(VLOOKUP($B44,Table2[[prolific]:[feedbackTime]],9,FALSE)=VLOOKUP(H$1,Table1[],2,FALSE),1,0)</f>
        <v>1</v>
      </c>
      <c r="I44" s="5">
        <f>IF(VLOOKUP($B44,Table2[[prolific]:[feedbackTime]],10,FALSE)=VLOOKUP(I$1,Table1[],2,FALSE),1,0)</f>
        <v>1</v>
      </c>
      <c r="J44" s="5">
        <f>IF(VLOOKUP($B44,Table2[[prolific]:[feedbackTime]],11,FALSE)=VLOOKUP(J$1,Table1[],2,FALSE),1,0)</f>
        <v>0</v>
      </c>
      <c r="K44" s="5">
        <f>IF(VLOOKUP($B44,Table2[[prolific]:[feedbackTime]],12,FALSE)=VLOOKUP(K$1,Table1[],2,FALSE),1,0)</f>
        <v>1</v>
      </c>
      <c r="L44" s="5">
        <f>IF(VLOOKUP($B44,Table2[[prolific]:[feedbackTime]],13,FALSE)=VLOOKUP(L$1,Table1[],2,FALSE),1,0)</f>
        <v>0</v>
      </c>
      <c r="M44" s="5">
        <f>IF(VLOOKUP($B44,Table2[[prolific]:[feedbackTime]],14,FALSE)=VLOOKUP(M$1,Table1[],2,FALSE),1,0)</f>
        <v>1</v>
      </c>
      <c r="N44" s="5">
        <f t="shared" si="13"/>
        <v>4</v>
      </c>
      <c r="O44" s="7">
        <f t="shared" si="14"/>
        <v>0.66666666666666663</v>
      </c>
      <c r="P44" s="5">
        <f>IF(VLOOKUP($B44,Table2[[prolific]:[feedbackTime]],15,FALSE)=VLOOKUP(P$1,Table1[],2,FALSE),1,0)</f>
        <v>1</v>
      </c>
      <c r="Q44" s="5">
        <f>IF(VLOOKUP($B44,Table2[[prolific]:[feedbackTime]],16,FALSE)=VLOOKUP(Q$1,Table1[],2,FALSE),1,0)</f>
        <v>1</v>
      </c>
      <c r="R44" s="5">
        <f>IF(VLOOKUP($B44,Table2[[prolific]:[feedbackTime]],17,FALSE)=VLOOKUP(R$1,Table1[],2,FALSE),1,0)</f>
        <v>1</v>
      </c>
      <c r="S44" s="5">
        <f>IF(VLOOKUP($B44,Table2[[prolific]:[feedbackTime]],18,FALSE)=VLOOKUP(S$1,Table1[],2,FALSE),1,0)</f>
        <v>1</v>
      </c>
      <c r="T44" s="5">
        <f>IF(VLOOKUP($B44,Table2[[prolific]:[feedbackTime]],19,FALSE)=VLOOKUP(T$1,Table1[],2,FALSE),1,0)</f>
        <v>1</v>
      </c>
      <c r="U44" s="5">
        <f>IF(VLOOKUP($B44,Table2[[prolific]:[feedbackTime]],20,FALSE)=VLOOKUP(U$1,Table1[],2,FALSE),1,0)</f>
        <v>1</v>
      </c>
      <c r="V44" s="5">
        <f>IF(VLOOKUP($B44,Table2[[prolific]:[feedbackTime]],21,FALSE)=VLOOKUP(V$1,Table1[],2,FALSE),1,0)</f>
        <v>1</v>
      </c>
      <c r="W44" s="5">
        <f>IF(VLOOKUP($B44,Table2[[prolific]:[feedbackTime]],22,FALSE)=VLOOKUP(W$1,Table1[],2,FALSE),1,0)</f>
        <v>1</v>
      </c>
      <c r="X44" s="5">
        <f t="shared" si="15"/>
        <v>8</v>
      </c>
      <c r="Y44" s="7">
        <f t="shared" si="16"/>
        <v>1</v>
      </c>
      <c r="Z44" s="5">
        <f>IF(VLOOKUP($B44,Table2[[prolific]:[feedbackTime]],23,FALSE)=VLOOKUP(Z$1,Table1[],2,FALSE),1,0)</f>
        <v>1</v>
      </c>
      <c r="AA44" s="5">
        <f>IF(VLOOKUP($B44,Table2[[prolific]:[feedbackTime]],24,FALSE)=VLOOKUP(AA$1,Table1[],2,FALSE),1,0)</f>
        <v>1</v>
      </c>
      <c r="AB44" s="5">
        <f>IF(VLOOKUP($B44,Table2[[prolific]:[feedbackTime]],25,FALSE)=VLOOKUP(AB$1,Table1[],2,FALSE),1,0)</f>
        <v>1</v>
      </c>
      <c r="AC44" s="5">
        <f>IF(VLOOKUP($B44,Table2[[prolific]:[feedbackTime]],26,FALSE)=VLOOKUP(AC$1,Table1[],2,FALSE),1,0)</f>
        <v>1</v>
      </c>
      <c r="AD44" s="5">
        <f>IF(VLOOKUP($B44,Table2[[prolific]:[feedbackTime]],27,FALSE)=VLOOKUP(AD$1,Table1[],2,FALSE),1,0)</f>
        <v>0</v>
      </c>
      <c r="AE44" s="5">
        <f>IF(VLOOKUP($B44,Table2[[prolific]:[feedbackTime]],28,FALSE)=VLOOKUP(AE$1,Table1[],2,FALSE),1,0)</f>
        <v>0</v>
      </c>
      <c r="AF44" s="5">
        <f>IF(VLOOKUP($B44,Table2[[prolific]:[feedbackTime]],29,FALSE)=VLOOKUP(AF$1,Table1[],2,FALSE),1,0)</f>
        <v>0</v>
      </c>
      <c r="AG44" s="5">
        <f>IF(VLOOKUP($B44,Table2[[prolific]:[feedbackTime]],30,FALSE)=VLOOKUP(AG$1,Table1[],2,FALSE),1,0)</f>
        <v>0</v>
      </c>
      <c r="AH44" s="5">
        <f t="shared" si="17"/>
        <v>4</v>
      </c>
      <c r="AI44" s="7">
        <f t="shared" si="18"/>
        <v>0.5</v>
      </c>
      <c r="AJ44" s="7">
        <f t="shared" si="19"/>
        <v>0.72727272727272729</v>
      </c>
      <c r="AK44" s="5">
        <f t="shared" si="20"/>
        <v>16</v>
      </c>
    </row>
    <row r="45" spans="1:37" x14ac:dyDescent="0.25">
      <c r="A45">
        <f t="shared" si="21"/>
        <v>1</v>
      </c>
      <c r="B45" s="25" t="s">
        <v>1044</v>
      </c>
      <c r="C45" s="5">
        <f>IF(VLOOKUP($B45,Table2[[prolific]:[feedbackTime]],6,FALSE)=VLOOKUP(C$1,Table1[],2,FALSE),1,0)</f>
        <v>1</v>
      </c>
      <c r="D45" s="5">
        <f>IF(VLOOKUP($B45,Table2[[prolific]:[feedbackTime]],7,FALSE)=VLOOKUP(D$1,Table1[],2,FALSE),1,0)</f>
        <v>1</v>
      </c>
      <c r="E45" s="5">
        <f>IF(VLOOKUP($B45,Table2[[prolific]:[feedbackTime]],8,FALSE)=VLOOKUP(E$1,Table1[],2,FALSE),1,0)</f>
        <v>1</v>
      </c>
      <c r="F45" s="5">
        <f t="shared" si="11"/>
        <v>3</v>
      </c>
      <c r="G45" s="7">
        <f t="shared" si="12"/>
        <v>1</v>
      </c>
      <c r="H45" s="5">
        <f>IF(VLOOKUP($B45,Table2[[prolific]:[feedbackTime]],9,FALSE)=VLOOKUP(H$1,Table1[],2,FALSE),1,0)</f>
        <v>1</v>
      </c>
      <c r="I45" s="5">
        <f>IF(VLOOKUP($B45,Table2[[prolific]:[feedbackTime]],10,FALSE)=VLOOKUP(I$1,Table1[],2,FALSE),1,0)</f>
        <v>1</v>
      </c>
      <c r="J45" s="5">
        <f>IF(VLOOKUP($B45,Table2[[prolific]:[feedbackTime]],11,FALSE)=VLOOKUP(J$1,Table1[],2,FALSE),1,0)</f>
        <v>1</v>
      </c>
      <c r="K45" s="5">
        <f>IF(VLOOKUP($B45,Table2[[prolific]:[feedbackTime]],12,FALSE)=VLOOKUP(K$1,Table1[],2,FALSE),1,0)</f>
        <v>1</v>
      </c>
      <c r="L45" s="5">
        <f>IF(VLOOKUP($B45,Table2[[prolific]:[feedbackTime]],13,FALSE)=VLOOKUP(L$1,Table1[],2,FALSE),1,0)</f>
        <v>1</v>
      </c>
      <c r="M45" s="5">
        <f>IF(VLOOKUP($B45,Table2[[prolific]:[feedbackTime]],14,FALSE)=VLOOKUP(M$1,Table1[],2,FALSE),1,0)</f>
        <v>1</v>
      </c>
      <c r="N45" s="5">
        <f t="shared" si="13"/>
        <v>6</v>
      </c>
      <c r="O45" s="7">
        <f t="shared" si="14"/>
        <v>1</v>
      </c>
      <c r="P45" s="5">
        <f>IF(VLOOKUP($B45,Table2[[prolific]:[feedbackTime]],15,FALSE)=VLOOKUP(P$1,Table1[],2,FALSE),1,0)</f>
        <v>1</v>
      </c>
      <c r="Q45" s="5">
        <f>IF(VLOOKUP($B45,Table2[[prolific]:[feedbackTime]],16,FALSE)=VLOOKUP(Q$1,Table1[],2,FALSE),1,0)</f>
        <v>1</v>
      </c>
      <c r="R45" s="5">
        <f>IF(VLOOKUP($B45,Table2[[prolific]:[feedbackTime]],17,FALSE)=VLOOKUP(R$1,Table1[],2,FALSE),1,0)</f>
        <v>0</v>
      </c>
      <c r="S45" s="5">
        <f>IF(VLOOKUP($B45,Table2[[prolific]:[feedbackTime]],18,FALSE)=VLOOKUP(S$1,Table1[],2,FALSE),1,0)</f>
        <v>0</v>
      </c>
      <c r="T45" s="5">
        <f>IF(VLOOKUP($B45,Table2[[prolific]:[feedbackTime]],19,FALSE)=VLOOKUP(T$1,Table1[],2,FALSE),1,0)</f>
        <v>1</v>
      </c>
      <c r="U45" s="5">
        <f>IF(VLOOKUP($B45,Table2[[prolific]:[feedbackTime]],20,FALSE)=VLOOKUP(U$1,Table1[],2,FALSE),1,0)</f>
        <v>1</v>
      </c>
      <c r="V45" s="5">
        <f>IF(VLOOKUP($B45,Table2[[prolific]:[feedbackTime]],21,FALSE)=VLOOKUP(V$1,Table1[],2,FALSE),1,0)</f>
        <v>1</v>
      </c>
      <c r="W45" s="5">
        <f>IF(VLOOKUP($B45,Table2[[prolific]:[feedbackTime]],22,FALSE)=VLOOKUP(W$1,Table1[],2,FALSE),1,0)</f>
        <v>0</v>
      </c>
      <c r="X45" s="5">
        <f t="shared" si="15"/>
        <v>5</v>
      </c>
      <c r="Y45" s="7">
        <f t="shared" si="16"/>
        <v>0.625</v>
      </c>
      <c r="Z45" s="5">
        <f>IF(VLOOKUP($B45,Table2[[prolific]:[feedbackTime]],23,FALSE)=VLOOKUP(Z$1,Table1[],2,FALSE),1,0)</f>
        <v>1</v>
      </c>
      <c r="AA45" s="5">
        <f>IF(VLOOKUP($B45,Table2[[prolific]:[feedbackTime]],24,FALSE)=VLOOKUP(AA$1,Table1[],2,FALSE),1,0)</f>
        <v>1</v>
      </c>
      <c r="AB45" s="5">
        <f>IF(VLOOKUP($B45,Table2[[prolific]:[feedbackTime]],25,FALSE)=VLOOKUP(AB$1,Table1[],2,FALSE),1,0)</f>
        <v>1</v>
      </c>
      <c r="AC45" s="5">
        <f>IF(VLOOKUP($B45,Table2[[prolific]:[feedbackTime]],26,FALSE)=VLOOKUP(AC$1,Table1[],2,FALSE),1,0)</f>
        <v>1</v>
      </c>
      <c r="AD45" s="5">
        <f>IF(VLOOKUP($B45,Table2[[prolific]:[feedbackTime]],27,FALSE)=VLOOKUP(AD$1,Table1[],2,FALSE),1,0)</f>
        <v>0</v>
      </c>
      <c r="AE45" s="5">
        <f>IF(VLOOKUP($B45,Table2[[prolific]:[feedbackTime]],28,FALSE)=VLOOKUP(AE$1,Table1[],2,FALSE),1,0)</f>
        <v>0</v>
      </c>
      <c r="AF45" s="5">
        <f>IF(VLOOKUP($B45,Table2[[prolific]:[feedbackTime]],29,FALSE)=VLOOKUP(AF$1,Table1[],2,FALSE),1,0)</f>
        <v>1</v>
      </c>
      <c r="AG45" s="5">
        <f>IF(VLOOKUP($B45,Table2[[prolific]:[feedbackTime]],30,FALSE)=VLOOKUP(AG$1,Table1[],2,FALSE),1,0)</f>
        <v>0</v>
      </c>
      <c r="AH45" s="5">
        <f t="shared" si="17"/>
        <v>5</v>
      </c>
      <c r="AI45" s="7">
        <f t="shared" si="18"/>
        <v>0.625</v>
      </c>
      <c r="AJ45" s="7">
        <f t="shared" si="19"/>
        <v>0.72727272727272729</v>
      </c>
      <c r="AK45" s="5">
        <f t="shared" si="20"/>
        <v>16</v>
      </c>
    </row>
    <row r="46" spans="1:37" x14ac:dyDescent="0.25">
      <c r="A46">
        <f t="shared" si="21"/>
        <v>1</v>
      </c>
      <c r="B46" s="26" t="s">
        <v>1045</v>
      </c>
      <c r="C46" s="5">
        <f>IF(VLOOKUP($B46,Table2[[prolific]:[feedbackTime]],6,FALSE)=VLOOKUP(C$1,Table1[],2,FALSE),1,0)</f>
        <v>1</v>
      </c>
      <c r="D46" s="5">
        <f>IF(VLOOKUP($B46,Table2[[prolific]:[feedbackTime]],7,FALSE)=VLOOKUP(D$1,Table1[],2,FALSE),1,0)</f>
        <v>1</v>
      </c>
      <c r="E46" s="5">
        <f>IF(VLOOKUP($B46,Table2[[prolific]:[feedbackTime]],8,FALSE)=VLOOKUP(E$1,Table1[],2,FALSE),1,0)</f>
        <v>1</v>
      </c>
      <c r="F46" s="5">
        <f t="shared" si="11"/>
        <v>3</v>
      </c>
      <c r="G46" s="7">
        <f t="shared" si="12"/>
        <v>1</v>
      </c>
      <c r="H46" s="5">
        <f>IF(VLOOKUP($B46,Table2[[prolific]:[feedbackTime]],9,FALSE)=VLOOKUP(H$1,Table1[],2,FALSE),1,0)</f>
        <v>1</v>
      </c>
      <c r="I46" s="5">
        <f>IF(VLOOKUP($B46,Table2[[prolific]:[feedbackTime]],10,FALSE)=VLOOKUP(I$1,Table1[],2,FALSE),1,0)</f>
        <v>1</v>
      </c>
      <c r="J46" s="5">
        <f>IF(VLOOKUP($B46,Table2[[prolific]:[feedbackTime]],11,FALSE)=VLOOKUP(J$1,Table1[],2,FALSE),1,0)</f>
        <v>0</v>
      </c>
      <c r="K46" s="5">
        <f>IF(VLOOKUP($B46,Table2[[prolific]:[feedbackTime]],12,FALSE)=VLOOKUP(K$1,Table1[],2,FALSE),1,0)</f>
        <v>1</v>
      </c>
      <c r="L46" s="5">
        <f>IF(VLOOKUP($B46,Table2[[prolific]:[feedbackTime]],13,FALSE)=VLOOKUP(L$1,Table1[],2,FALSE),1,0)</f>
        <v>0</v>
      </c>
      <c r="M46" s="5">
        <f>IF(VLOOKUP($B46,Table2[[prolific]:[feedbackTime]],14,FALSE)=VLOOKUP(M$1,Table1[],2,FALSE),1,0)</f>
        <v>0</v>
      </c>
      <c r="N46" s="5">
        <f t="shared" si="13"/>
        <v>3</v>
      </c>
      <c r="O46" s="7">
        <f t="shared" si="14"/>
        <v>0.5</v>
      </c>
      <c r="P46" s="5">
        <f>IF(VLOOKUP($B46,Table2[[prolific]:[feedbackTime]],15,FALSE)=VLOOKUP(P$1,Table1[],2,FALSE),1,0)</f>
        <v>1</v>
      </c>
      <c r="Q46" s="5">
        <f>IF(VLOOKUP($B46,Table2[[prolific]:[feedbackTime]],16,FALSE)=VLOOKUP(Q$1,Table1[],2,FALSE),1,0)</f>
        <v>1</v>
      </c>
      <c r="R46" s="5">
        <f>IF(VLOOKUP($B46,Table2[[prolific]:[feedbackTime]],17,FALSE)=VLOOKUP(R$1,Table1[],2,FALSE),1,0)</f>
        <v>1</v>
      </c>
      <c r="S46" s="5">
        <f>IF(VLOOKUP($B46,Table2[[prolific]:[feedbackTime]],18,FALSE)=VLOOKUP(S$1,Table1[],2,FALSE),1,0)</f>
        <v>0</v>
      </c>
      <c r="T46" s="5">
        <f>IF(VLOOKUP($B46,Table2[[prolific]:[feedbackTime]],19,FALSE)=VLOOKUP(T$1,Table1[],2,FALSE),1,0)</f>
        <v>1</v>
      </c>
      <c r="U46" s="5">
        <f>IF(VLOOKUP($B46,Table2[[prolific]:[feedbackTime]],20,FALSE)=VLOOKUP(U$1,Table1[],2,FALSE),1,0)</f>
        <v>1</v>
      </c>
      <c r="V46" s="5">
        <f>IF(VLOOKUP($B46,Table2[[prolific]:[feedbackTime]],21,FALSE)=VLOOKUP(V$1,Table1[],2,FALSE),1,0)</f>
        <v>1</v>
      </c>
      <c r="W46" s="5">
        <f>IF(VLOOKUP($B46,Table2[[prolific]:[feedbackTime]],22,FALSE)=VLOOKUP(W$1,Table1[],2,FALSE),1,0)</f>
        <v>1</v>
      </c>
      <c r="X46" s="5">
        <f t="shared" si="15"/>
        <v>7</v>
      </c>
      <c r="Y46" s="7">
        <f t="shared" si="16"/>
        <v>0.875</v>
      </c>
      <c r="Z46" s="5">
        <f>IF(VLOOKUP($B46,Table2[[prolific]:[feedbackTime]],23,FALSE)=VLOOKUP(Z$1,Table1[],2,FALSE),1,0)</f>
        <v>1</v>
      </c>
      <c r="AA46" s="5">
        <f>IF(VLOOKUP($B46,Table2[[prolific]:[feedbackTime]],24,FALSE)=VLOOKUP(AA$1,Table1[],2,FALSE),1,0)</f>
        <v>1</v>
      </c>
      <c r="AB46" s="5">
        <f>IF(VLOOKUP($B46,Table2[[prolific]:[feedbackTime]],25,FALSE)=VLOOKUP(AB$1,Table1[],2,FALSE),1,0)</f>
        <v>0</v>
      </c>
      <c r="AC46" s="5">
        <f>IF(VLOOKUP($B46,Table2[[prolific]:[feedbackTime]],26,FALSE)=VLOOKUP(AC$1,Table1[],2,FALSE),1,0)</f>
        <v>1</v>
      </c>
      <c r="AD46" s="5">
        <f>IF(VLOOKUP($B46,Table2[[prolific]:[feedbackTime]],27,FALSE)=VLOOKUP(AD$1,Table1[],2,FALSE),1,0)</f>
        <v>0</v>
      </c>
      <c r="AE46" s="5">
        <f>IF(VLOOKUP($B46,Table2[[prolific]:[feedbackTime]],28,FALSE)=VLOOKUP(AE$1,Table1[],2,FALSE),1,0)</f>
        <v>1</v>
      </c>
      <c r="AF46" s="5">
        <f>IF(VLOOKUP($B46,Table2[[prolific]:[feedbackTime]],29,FALSE)=VLOOKUP(AF$1,Table1[],2,FALSE),1,0)</f>
        <v>0</v>
      </c>
      <c r="AG46" s="5">
        <f>IF(VLOOKUP($B46,Table2[[prolific]:[feedbackTime]],30,FALSE)=VLOOKUP(AG$1,Table1[],2,FALSE),1,0)</f>
        <v>0</v>
      </c>
      <c r="AH46" s="5">
        <f t="shared" si="17"/>
        <v>4</v>
      </c>
      <c r="AI46" s="7">
        <f t="shared" si="18"/>
        <v>0.5</v>
      </c>
      <c r="AJ46" s="7">
        <f t="shared" si="19"/>
        <v>0.63636363636363635</v>
      </c>
      <c r="AK46" s="5">
        <f t="shared" si="20"/>
        <v>14</v>
      </c>
    </row>
    <row r="47" spans="1:37" x14ac:dyDescent="0.25">
      <c r="A47">
        <f t="shared" si="21"/>
        <v>1</v>
      </c>
      <c r="B47" s="25" t="s">
        <v>1046</v>
      </c>
      <c r="C47" s="5">
        <f>IF(VLOOKUP($B47,Table2[[prolific]:[feedbackTime]],6,FALSE)=VLOOKUP(C$1,Table1[],2,FALSE),1,0)</f>
        <v>1</v>
      </c>
      <c r="D47" s="5">
        <f>IF(VLOOKUP($B47,Table2[[prolific]:[feedbackTime]],7,FALSE)=VLOOKUP(D$1,Table1[],2,FALSE),1,0)</f>
        <v>1</v>
      </c>
      <c r="E47" s="5">
        <f>IF(VLOOKUP($B47,Table2[[prolific]:[feedbackTime]],8,FALSE)=VLOOKUP(E$1,Table1[],2,FALSE),1,0)</f>
        <v>1</v>
      </c>
      <c r="F47" s="5">
        <f t="shared" si="11"/>
        <v>3</v>
      </c>
      <c r="G47" s="7">
        <f t="shared" si="12"/>
        <v>1</v>
      </c>
      <c r="H47" s="5">
        <f>IF(VLOOKUP($B47,Table2[[prolific]:[feedbackTime]],9,FALSE)=VLOOKUP(H$1,Table1[],2,FALSE),1,0)</f>
        <v>0</v>
      </c>
      <c r="I47" s="5">
        <f>IF(VLOOKUP($B47,Table2[[prolific]:[feedbackTime]],10,FALSE)=VLOOKUP(I$1,Table1[],2,FALSE),1,0)</f>
        <v>0</v>
      </c>
      <c r="J47" s="5">
        <f>IF(VLOOKUP($B47,Table2[[prolific]:[feedbackTime]],11,FALSE)=VLOOKUP(J$1,Table1[],2,FALSE),1,0)</f>
        <v>0</v>
      </c>
      <c r="K47" s="5">
        <f>IF(VLOOKUP($B47,Table2[[prolific]:[feedbackTime]],12,FALSE)=VLOOKUP(K$1,Table1[],2,FALSE),1,0)</f>
        <v>0</v>
      </c>
      <c r="L47" s="5">
        <f>IF(VLOOKUP($B47,Table2[[prolific]:[feedbackTime]],13,FALSE)=VLOOKUP(L$1,Table1[],2,FALSE),1,0)</f>
        <v>0</v>
      </c>
      <c r="M47" s="5">
        <f>IF(VLOOKUP($B47,Table2[[prolific]:[feedbackTime]],14,FALSE)=VLOOKUP(M$1,Table1[],2,FALSE),1,0)</f>
        <v>0</v>
      </c>
      <c r="N47" s="5">
        <f t="shared" si="13"/>
        <v>0</v>
      </c>
      <c r="O47" s="7">
        <f t="shared" si="14"/>
        <v>0</v>
      </c>
      <c r="P47" s="5">
        <f>IF(VLOOKUP($B47,Table2[[prolific]:[feedbackTime]],15,FALSE)=VLOOKUP(P$1,Table1[],2,FALSE),1,0)</f>
        <v>1</v>
      </c>
      <c r="Q47" s="5">
        <f>IF(VLOOKUP($B47,Table2[[prolific]:[feedbackTime]],16,FALSE)=VLOOKUP(Q$1,Table1[],2,FALSE),1,0)</f>
        <v>1</v>
      </c>
      <c r="R47" s="5">
        <f>IF(VLOOKUP($B47,Table2[[prolific]:[feedbackTime]],17,FALSE)=VLOOKUP(R$1,Table1[],2,FALSE),1,0)</f>
        <v>1</v>
      </c>
      <c r="S47" s="5">
        <f>IF(VLOOKUP($B47,Table2[[prolific]:[feedbackTime]],18,FALSE)=VLOOKUP(S$1,Table1[],2,FALSE),1,0)</f>
        <v>1</v>
      </c>
      <c r="T47" s="5">
        <f>IF(VLOOKUP($B47,Table2[[prolific]:[feedbackTime]],19,FALSE)=VLOOKUP(T$1,Table1[],2,FALSE),1,0)</f>
        <v>1</v>
      </c>
      <c r="U47" s="5">
        <f>IF(VLOOKUP($B47,Table2[[prolific]:[feedbackTime]],20,FALSE)=VLOOKUP(U$1,Table1[],2,FALSE),1,0)</f>
        <v>0</v>
      </c>
      <c r="V47" s="5">
        <f>IF(VLOOKUP($B47,Table2[[prolific]:[feedbackTime]],21,FALSE)=VLOOKUP(V$1,Table1[],2,FALSE),1,0)</f>
        <v>0</v>
      </c>
      <c r="W47" s="5">
        <f>IF(VLOOKUP($B47,Table2[[prolific]:[feedbackTime]],22,FALSE)=VLOOKUP(W$1,Table1[],2,FALSE),1,0)</f>
        <v>0</v>
      </c>
      <c r="X47" s="5">
        <f t="shared" si="15"/>
        <v>5</v>
      </c>
      <c r="Y47" s="7">
        <f t="shared" si="16"/>
        <v>0.625</v>
      </c>
      <c r="Z47" s="5">
        <f>IF(VLOOKUP($B47,Table2[[prolific]:[feedbackTime]],23,FALSE)=VLOOKUP(Z$1,Table1[],2,FALSE),1,0)</f>
        <v>1</v>
      </c>
      <c r="AA47" s="5">
        <f>IF(VLOOKUP($B47,Table2[[prolific]:[feedbackTime]],24,FALSE)=VLOOKUP(AA$1,Table1[],2,FALSE),1,0)</f>
        <v>0</v>
      </c>
      <c r="AB47" s="5">
        <f>IF(VLOOKUP($B47,Table2[[prolific]:[feedbackTime]],25,FALSE)=VLOOKUP(AB$1,Table1[],2,FALSE),1,0)</f>
        <v>0</v>
      </c>
      <c r="AC47" s="5">
        <f>IF(VLOOKUP($B47,Table2[[prolific]:[feedbackTime]],26,FALSE)=VLOOKUP(AC$1,Table1[],2,FALSE),1,0)</f>
        <v>0</v>
      </c>
      <c r="AD47" s="5">
        <f>IF(VLOOKUP($B47,Table2[[prolific]:[feedbackTime]],27,FALSE)=VLOOKUP(AD$1,Table1[],2,FALSE),1,0)</f>
        <v>0</v>
      </c>
      <c r="AE47" s="5">
        <f>IF(VLOOKUP($B47,Table2[[prolific]:[feedbackTime]],28,FALSE)=VLOOKUP(AE$1,Table1[],2,FALSE),1,0)</f>
        <v>0</v>
      </c>
      <c r="AF47" s="5">
        <f>IF(VLOOKUP($B47,Table2[[prolific]:[feedbackTime]],29,FALSE)=VLOOKUP(AF$1,Table1[],2,FALSE),1,0)</f>
        <v>0</v>
      </c>
      <c r="AG47" s="5">
        <f>IF(VLOOKUP($B47,Table2[[prolific]:[feedbackTime]],30,FALSE)=VLOOKUP(AG$1,Table1[],2,FALSE),1,0)</f>
        <v>0</v>
      </c>
      <c r="AH47" s="5">
        <f t="shared" si="17"/>
        <v>1</v>
      </c>
      <c r="AI47" s="7">
        <f t="shared" si="18"/>
        <v>0.125</v>
      </c>
      <c r="AJ47" s="7">
        <f t="shared" si="19"/>
        <v>0.27272727272727271</v>
      </c>
      <c r="AK47" s="5">
        <f t="shared" si="20"/>
        <v>6</v>
      </c>
    </row>
    <row r="48" spans="1:37" x14ac:dyDescent="0.25">
      <c r="A48">
        <f t="shared" si="21"/>
        <v>1</v>
      </c>
      <c r="B48" s="26" t="s">
        <v>1047</v>
      </c>
      <c r="C48" s="5">
        <f>IF(VLOOKUP($B48,Table2[[prolific]:[feedbackTime]],6,FALSE)=VLOOKUP(C$1,Table1[],2,FALSE),1,0)</f>
        <v>0</v>
      </c>
      <c r="D48" s="5">
        <f>IF(VLOOKUP($B48,Table2[[prolific]:[feedbackTime]],7,FALSE)=VLOOKUP(D$1,Table1[],2,FALSE),1,0)</f>
        <v>1</v>
      </c>
      <c r="E48" s="5">
        <f>IF(VLOOKUP($B48,Table2[[prolific]:[feedbackTime]],8,FALSE)=VLOOKUP(E$1,Table1[],2,FALSE),1,0)</f>
        <v>1</v>
      </c>
      <c r="F48" s="5">
        <f t="shared" si="11"/>
        <v>2</v>
      </c>
      <c r="G48" s="7">
        <f t="shared" si="12"/>
        <v>0.66666666666666663</v>
      </c>
      <c r="H48" s="5">
        <f>IF(VLOOKUP($B48,Table2[[prolific]:[feedbackTime]],9,FALSE)=VLOOKUP(H$1,Table1[],2,FALSE),1,0)</f>
        <v>1</v>
      </c>
      <c r="I48" s="5">
        <f>IF(VLOOKUP($B48,Table2[[prolific]:[feedbackTime]],10,FALSE)=VLOOKUP(I$1,Table1[],2,FALSE),1,0)</f>
        <v>1</v>
      </c>
      <c r="J48" s="5">
        <f>IF(VLOOKUP($B48,Table2[[prolific]:[feedbackTime]],11,FALSE)=VLOOKUP(J$1,Table1[],2,FALSE),1,0)</f>
        <v>0</v>
      </c>
      <c r="K48" s="5">
        <f>IF(VLOOKUP($B48,Table2[[prolific]:[feedbackTime]],12,FALSE)=VLOOKUP(K$1,Table1[],2,FALSE),1,0)</f>
        <v>1</v>
      </c>
      <c r="L48" s="5">
        <f>IF(VLOOKUP($B48,Table2[[prolific]:[feedbackTime]],13,FALSE)=VLOOKUP(L$1,Table1[],2,FALSE),1,0)</f>
        <v>1</v>
      </c>
      <c r="M48" s="5">
        <f>IF(VLOOKUP($B48,Table2[[prolific]:[feedbackTime]],14,FALSE)=VLOOKUP(M$1,Table1[],2,FALSE),1,0)</f>
        <v>0</v>
      </c>
      <c r="N48" s="5">
        <f t="shared" si="13"/>
        <v>4</v>
      </c>
      <c r="O48" s="7">
        <f t="shared" si="14"/>
        <v>0.66666666666666663</v>
      </c>
      <c r="P48" s="5">
        <f>IF(VLOOKUP($B48,Table2[[prolific]:[feedbackTime]],15,FALSE)=VLOOKUP(P$1,Table1[],2,FALSE),1,0)</f>
        <v>1</v>
      </c>
      <c r="Q48" s="5">
        <f>IF(VLOOKUP($B48,Table2[[prolific]:[feedbackTime]],16,FALSE)=VLOOKUP(Q$1,Table1[],2,FALSE),1,0)</f>
        <v>1</v>
      </c>
      <c r="R48" s="5">
        <f>IF(VLOOKUP($B48,Table2[[prolific]:[feedbackTime]],17,FALSE)=VLOOKUP(R$1,Table1[],2,FALSE),1,0)</f>
        <v>1</v>
      </c>
      <c r="S48" s="5">
        <f>IF(VLOOKUP($B48,Table2[[prolific]:[feedbackTime]],18,FALSE)=VLOOKUP(S$1,Table1[],2,FALSE),1,0)</f>
        <v>1</v>
      </c>
      <c r="T48" s="5">
        <f>IF(VLOOKUP($B48,Table2[[prolific]:[feedbackTime]],19,FALSE)=VLOOKUP(T$1,Table1[],2,FALSE),1,0)</f>
        <v>1</v>
      </c>
      <c r="U48" s="5">
        <f>IF(VLOOKUP($B48,Table2[[prolific]:[feedbackTime]],20,FALSE)=VLOOKUP(U$1,Table1[],2,FALSE),1,0)</f>
        <v>1</v>
      </c>
      <c r="V48" s="5">
        <f>IF(VLOOKUP($B48,Table2[[prolific]:[feedbackTime]],21,FALSE)=VLOOKUP(V$1,Table1[],2,FALSE),1,0)</f>
        <v>1</v>
      </c>
      <c r="W48" s="5">
        <f>IF(VLOOKUP($B48,Table2[[prolific]:[feedbackTime]],22,FALSE)=VLOOKUP(W$1,Table1[],2,FALSE),1,0)</f>
        <v>1</v>
      </c>
      <c r="X48" s="5">
        <f t="shared" si="15"/>
        <v>8</v>
      </c>
      <c r="Y48" s="7">
        <f t="shared" si="16"/>
        <v>1</v>
      </c>
      <c r="Z48" s="5">
        <f>IF(VLOOKUP($B48,Table2[[prolific]:[feedbackTime]],23,FALSE)=VLOOKUP(Z$1,Table1[],2,FALSE),1,0)</f>
        <v>1</v>
      </c>
      <c r="AA48" s="5">
        <f>IF(VLOOKUP($B48,Table2[[prolific]:[feedbackTime]],24,FALSE)=VLOOKUP(AA$1,Table1[],2,FALSE),1,0)</f>
        <v>0</v>
      </c>
      <c r="AB48" s="5">
        <f>IF(VLOOKUP($B48,Table2[[prolific]:[feedbackTime]],25,FALSE)=VLOOKUP(AB$1,Table1[],2,FALSE),1,0)</f>
        <v>1</v>
      </c>
      <c r="AC48" s="5">
        <f>IF(VLOOKUP($B48,Table2[[prolific]:[feedbackTime]],26,FALSE)=VLOOKUP(AC$1,Table1[],2,FALSE),1,0)</f>
        <v>1</v>
      </c>
      <c r="AD48" s="5">
        <f>IF(VLOOKUP($B48,Table2[[prolific]:[feedbackTime]],27,FALSE)=VLOOKUP(AD$1,Table1[],2,FALSE),1,0)</f>
        <v>0</v>
      </c>
      <c r="AE48" s="5">
        <f>IF(VLOOKUP($B48,Table2[[prolific]:[feedbackTime]],28,FALSE)=VLOOKUP(AE$1,Table1[],2,FALSE),1,0)</f>
        <v>0</v>
      </c>
      <c r="AF48" s="5">
        <f>IF(VLOOKUP($B48,Table2[[prolific]:[feedbackTime]],29,FALSE)=VLOOKUP(AF$1,Table1[],2,FALSE),1,0)</f>
        <v>1</v>
      </c>
      <c r="AG48" s="5">
        <f>IF(VLOOKUP($B48,Table2[[prolific]:[feedbackTime]],30,FALSE)=VLOOKUP(AG$1,Table1[],2,FALSE),1,0)</f>
        <v>0</v>
      </c>
      <c r="AH48" s="5">
        <f t="shared" si="17"/>
        <v>4</v>
      </c>
      <c r="AI48" s="7">
        <f t="shared" si="18"/>
        <v>0.5</v>
      </c>
      <c r="AJ48" s="7">
        <f t="shared" si="19"/>
        <v>0.72727272727272729</v>
      </c>
      <c r="AK48" s="5">
        <f t="shared" si="20"/>
        <v>16</v>
      </c>
    </row>
    <row r="49" spans="1:37" x14ac:dyDescent="0.25">
      <c r="A49">
        <f t="shared" si="21"/>
        <v>1</v>
      </c>
      <c r="B49" s="25" t="s">
        <v>1048</v>
      </c>
      <c r="C49" s="5">
        <f>IF(VLOOKUP($B49,Table2[[prolific]:[feedbackTime]],6,FALSE)=VLOOKUP(C$1,Table1[],2,FALSE),1,0)</f>
        <v>1</v>
      </c>
      <c r="D49" s="5">
        <f>IF(VLOOKUP($B49,Table2[[prolific]:[feedbackTime]],7,FALSE)=VLOOKUP(D$1,Table1[],2,FALSE),1,0)</f>
        <v>1</v>
      </c>
      <c r="E49" s="5">
        <f>IF(VLOOKUP($B49,Table2[[prolific]:[feedbackTime]],8,FALSE)=VLOOKUP(E$1,Table1[],2,FALSE),1,0)</f>
        <v>1</v>
      </c>
      <c r="F49" s="5">
        <f t="shared" si="11"/>
        <v>3</v>
      </c>
      <c r="G49" s="7">
        <f t="shared" si="12"/>
        <v>1</v>
      </c>
      <c r="H49" s="5">
        <f>IF(VLOOKUP($B49,Table2[[prolific]:[feedbackTime]],9,FALSE)=VLOOKUP(H$1,Table1[],2,FALSE),1,0)</f>
        <v>1</v>
      </c>
      <c r="I49" s="5">
        <f>IF(VLOOKUP($B49,Table2[[prolific]:[feedbackTime]],10,FALSE)=VLOOKUP(I$1,Table1[],2,FALSE),1,0)</f>
        <v>0</v>
      </c>
      <c r="J49" s="5">
        <f>IF(VLOOKUP($B49,Table2[[prolific]:[feedbackTime]],11,FALSE)=VLOOKUP(J$1,Table1[],2,FALSE),1,0)</f>
        <v>1</v>
      </c>
      <c r="K49" s="5">
        <f>IF(VLOOKUP($B49,Table2[[prolific]:[feedbackTime]],12,FALSE)=VLOOKUP(K$1,Table1[],2,FALSE),1,0)</f>
        <v>1</v>
      </c>
      <c r="L49" s="5">
        <f>IF(VLOOKUP($B49,Table2[[prolific]:[feedbackTime]],13,FALSE)=VLOOKUP(L$1,Table1[],2,FALSE),1,0)</f>
        <v>1</v>
      </c>
      <c r="M49" s="5">
        <f>IF(VLOOKUP($B49,Table2[[prolific]:[feedbackTime]],14,FALSE)=VLOOKUP(M$1,Table1[],2,FALSE),1,0)</f>
        <v>0</v>
      </c>
      <c r="N49" s="5">
        <f t="shared" si="13"/>
        <v>4</v>
      </c>
      <c r="O49" s="7">
        <f t="shared" si="14"/>
        <v>0.66666666666666663</v>
      </c>
      <c r="P49" s="5">
        <f>IF(VLOOKUP($B49,Table2[[prolific]:[feedbackTime]],15,FALSE)=VLOOKUP(P$1,Table1[],2,FALSE),1,0)</f>
        <v>1</v>
      </c>
      <c r="Q49" s="5">
        <f>IF(VLOOKUP($B49,Table2[[prolific]:[feedbackTime]],16,FALSE)=VLOOKUP(Q$1,Table1[],2,FALSE),1,0)</f>
        <v>1</v>
      </c>
      <c r="R49" s="5">
        <f>IF(VLOOKUP($B49,Table2[[prolific]:[feedbackTime]],17,FALSE)=VLOOKUP(R$1,Table1[],2,FALSE),1,0)</f>
        <v>0</v>
      </c>
      <c r="S49" s="5">
        <f>IF(VLOOKUP($B49,Table2[[prolific]:[feedbackTime]],18,FALSE)=VLOOKUP(S$1,Table1[],2,FALSE),1,0)</f>
        <v>1</v>
      </c>
      <c r="T49" s="5">
        <f>IF(VLOOKUP($B49,Table2[[prolific]:[feedbackTime]],19,FALSE)=VLOOKUP(T$1,Table1[],2,FALSE),1,0)</f>
        <v>1</v>
      </c>
      <c r="U49" s="5">
        <f>IF(VLOOKUP($B49,Table2[[prolific]:[feedbackTime]],20,FALSE)=VLOOKUP(U$1,Table1[],2,FALSE),1,0)</f>
        <v>1</v>
      </c>
      <c r="V49" s="5">
        <f>IF(VLOOKUP($B49,Table2[[prolific]:[feedbackTime]],21,FALSE)=VLOOKUP(V$1,Table1[],2,FALSE),1,0)</f>
        <v>1</v>
      </c>
      <c r="W49" s="5">
        <f>IF(VLOOKUP($B49,Table2[[prolific]:[feedbackTime]],22,FALSE)=VLOOKUP(W$1,Table1[],2,FALSE),1,0)</f>
        <v>1</v>
      </c>
      <c r="X49" s="5">
        <f t="shared" si="15"/>
        <v>7</v>
      </c>
      <c r="Y49" s="7">
        <f t="shared" si="16"/>
        <v>0.875</v>
      </c>
      <c r="Z49" s="5">
        <f>IF(VLOOKUP($B49,Table2[[prolific]:[feedbackTime]],23,FALSE)=VLOOKUP(Z$1,Table1[],2,FALSE),1,0)</f>
        <v>1</v>
      </c>
      <c r="AA49" s="5">
        <f>IF(VLOOKUP($B49,Table2[[prolific]:[feedbackTime]],24,FALSE)=VLOOKUP(AA$1,Table1[],2,FALSE),1,0)</f>
        <v>1</v>
      </c>
      <c r="AB49" s="5">
        <f>IF(VLOOKUP($B49,Table2[[prolific]:[feedbackTime]],25,FALSE)=VLOOKUP(AB$1,Table1[],2,FALSE),1,0)</f>
        <v>1</v>
      </c>
      <c r="AC49" s="5">
        <f>IF(VLOOKUP($B49,Table2[[prolific]:[feedbackTime]],26,FALSE)=VLOOKUP(AC$1,Table1[],2,FALSE),1,0)</f>
        <v>1</v>
      </c>
      <c r="AD49" s="5">
        <f>IF(VLOOKUP($B49,Table2[[prolific]:[feedbackTime]],27,FALSE)=VLOOKUP(AD$1,Table1[],2,FALSE),1,0)</f>
        <v>0</v>
      </c>
      <c r="AE49" s="5">
        <f>IF(VLOOKUP($B49,Table2[[prolific]:[feedbackTime]],28,FALSE)=VLOOKUP(AE$1,Table1[],2,FALSE),1,0)</f>
        <v>0</v>
      </c>
      <c r="AF49" s="5">
        <f>IF(VLOOKUP($B49,Table2[[prolific]:[feedbackTime]],29,FALSE)=VLOOKUP(AF$1,Table1[],2,FALSE),1,0)</f>
        <v>0</v>
      </c>
      <c r="AG49" s="5">
        <f>IF(VLOOKUP($B49,Table2[[prolific]:[feedbackTime]],30,FALSE)=VLOOKUP(AG$1,Table1[],2,FALSE),1,0)</f>
        <v>0</v>
      </c>
      <c r="AH49" s="5">
        <f t="shared" si="17"/>
        <v>4</v>
      </c>
      <c r="AI49" s="7">
        <f t="shared" si="18"/>
        <v>0.5</v>
      </c>
      <c r="AJ49" s="7">
        <f t="shared" si="19"/>
        <v>0.68181818181818177</v>
      </c>
      <c r="AK49" s="5">
        <f t="shared" si="20"/>
        <v>15</v>
      </c>
    </row>
    <row r="50" spans="1:37" x14ac:dyDescent="0.25">
      <c r="A50">
        <f t="shared" si="21"/>
        <v>1</v>
      </c>
      <c r="B50" s="26" t="s">
        <v>1049</v>
      </c>
      <c r="C50" s="5">
        <f>IF(VLOOKUP($B50,Table2[[prolific]:[feedbackTime]],6,FALSE)=VLOOKUP(C$1,Table1[],2,FALSE),1,0)</f>
        <v>1</v>
      </c>
      <c r="D50" s="5">
        <f>IF(VLOOKUP($B50,Table2[[prolific]:[feedbackTime]],7,FALSE)=VLOOKUP(D$1,Table1[],2,FALSE),1,0)</f>
        <v>1</v>
      </c>
      <c r="E50" s="5">
        <f>IF(VLOOKUP($B50,Table2[[prolific]:[feedbackTime]],8,FALSE)=VLOOKUP(E$1,Table1[],2,FALSE),1,0)</f>
        <v>1</v>
      </c>
      <c r="F50" s="5">
        <f t="shared" si="11"/>
        <v>3</v>
      </c>
      <c r="G50" s="7">
        <f t="shared" si="12"/>
        <v>1</v>
      </c>
      <c r="H50" s="5">
        <f>IF(VLOOKUP($B50,Table2[[prolific]:[feedbackTime]],9,FALSE)=VLOOKUP(H$1,Table1[],2,FALSE),1,0)</f>
        <v>1</v>
      </c>
      <c r="I50" s="5">
        <f>IF(VLOOKUP($B50,Table2[[prolific]:[feedbackTime]],10,FALSE)=VLOOKUP(I$1,Table1[],2,FALSE),1,0)</f>
        <v>1</v>
      </c>
      <c r="J50" s="5">
        <f>IF(VLOOKUP($B50,Table2[[prolific]:[feedbackTime]],11,FALSE)=VLOOKUP(J$1,Table1[],2,FALSE),1,0)</f>
        <v>0</v>
      </c>
      <c r="K50" s="5">
        <f>IF(VLOOKUP($B50,Table2[[prolific]:[feedbackTime]],12,FALSE)=VLOOKUP(K$1,Table1[],2,FALSE),1,0)</f>
        <v>1</v>
      </c>
      <c r="L50" s="5">
        <f>IF(VLOOKUP($B50,Table2[[prolific]:[feedbackTime]],13,FALSE)=VLOOKUP(L$1,Table1[],2,FALSE),1,0)</f>
        <v>1</v>
      </c>
      <c r="M50" s="5">
        <f>IF(VLOOKUP($B50,Table2[[prolific]:[feedbackTime]],14,FALSE)=VLOOKUP(M$1,Table1[],2,FALSE),1,0)</f>
        <v>1</v>
      </c>
      <c r="N50" s="5">
        <f t="shared" si="13"/>
        <v>5</v>
      </c>
      <c r="O50" s="7">
        <f t="shared" si="14"/>
        <v>0.83333333333333337</v>
      </c>
      <c r="P50" s="5">
        <f>IF(VLOOKUP($B50,Table2[[prolific]:[feedbackTime]],15,FALSE)=VLOOKUP(P$1,Table1[],2,FALSE),1,0)</f>
        <v>1</v>
      </c>
      <c r="Q50" s="5">
        <f>IF(VLOOKUP($B50,Table2[[prolific]:[feedbackTime]],16,FALSE)=VLOOKUP(Q$1,Table1[],2,FALSE),1,0)</f>
        <v>1</v>
      </c>
      <c r="R50" s="5">
        <f>IF(VLOOKUP($B50,Table2[[prolific]:[feedbackTime]],17,FALSE)=VLOOKUP(R$1,Table1[],2,FALSE),1,0)</f>
        <v>1</v>
      </c>
      <c r="S50" s="5">
        <f>IF(VLOOKUP($B50,Table2[[prolific]:[feedbackTime]],18,FALSE)=VLOOKUP(S$1,Table1[],2,FALSE),1,0)</f>
        <v>1</v>
      </c>
      <c r="T50" s="5">
        <f>IF(VLOOKUP($B50,Table2[[prolific]:[feedbackTime]],19,FALSE)=VLOOKUP(T$1,Table1[],2,FALSE),1,0)</f>
        <v>1</v>
      </c>
      <c r="U50" s="5">
        <f>IF(VLOOKUP($B50,Table2[[prolific]:[feedbackTime]],20,FALSE)=VLOOKUP(U$1,Table1[],2,FALSE),1,0)</f>
        <v>1</v>
      </c>
      <c r="V50" s="5">
        <f>IF(VLOOKUP($B50,Table2[[prolific]:[feedbackTime]],21,FALSE)=VLOOKUP(V$1,Table1[],2,FALSE),1,0)</f>
        <v>1</v>
      </c>
      <c r="W50" s="5">
        <f>IF(VLOOKUP($B50,Table2[[prolific]:[feedbackTime]],22,FALSE)=VLOOKUP(W$1,Table1[],2,FALSE),1,0)</f>
        <v>1</v>
      </c>
      <c r="X50" s="5">
        <f t="shared" si="15"/>
        <v>8</v>
      </c>
      <c r="Y50" s="7">
        <f t="shared" si="16"/>
        <v>1</v>
      </c>
      <c r="Z50" s="5">
        <f>IF(VLOOKUP($B50,Table2[[prolific]:[feedbackTime]],23,FALSE)=VLOOKUP(Z$1,Table1[],2,FALSE),1,0)</f>
        <v>1</v>
      </c>
      <c r="AA50" s="5">
        <f>IF(VLOOKUP($B50,Table2[[prolific]:[feedbackTime]],24,FALSE)=VLOOKUP(AA$1,Table1[],2,FALSE),1,0)</f>
        <v>1</v>
      </c>
      <c r="AB50" s="5">
        <f>IF(VLOOKUP($B50,Table2[[prolific]:[feedbackTime]],25,FALSE)=VLOOKUP(AB$1,Table1[],2,FALSE),1,0)</f>
        <v>1</v>
      </c>
      <c r="AC50" s="5">
        <f>IF(VLOOKUP($B50,Table2[[prolific]:[feedbackTime]],26,FALSE)=VLOOKUP(AC$1,Table1[],2,FALSE),1,0)</f>
        <v>1</v>
      </c>
      <c r="AD50" s="5">
        <f>IF(VLOOKUP($B50,Table2[[prolific]:[feedbackTime]],27,FALSE)=VLOOKUP(AD$1,Table1[],2,FALSE),1,0)</f>
        <v>0</v>
      </c>
      <c r="AE50" s="5">
        <f>IF(VLOOKUP($B50,Table2[[prolific]:[feedbackTime]],28,FALSE)=VLOOKUP(AE$1,Table1[],2,FALSE),1,0)</f>
        <v>0</v>
      </c>
      <c r="AF50" s="5">
        <f>IF(VLOOKUP($B50,Table2[[prolific]:[feedbackTime]],29,FALSE)=VLOOKUP(AF$1,Table1[],2,FALSE),1,0)</f>
        <v>0</v>
      </c>
      <c r="AG50" s="5">
        <f>IF(VLOOKUP($B50,Table2[[prolific]:[feedbackTime]],30,FALSE)=VLOOKUP(AG$1,Table1[],2,FALSE),1,0)</f>
        <v>1</v>
      </c>
      <c r="AH50" s="5">
        <f t="shared" si="17"/>
        <v>5</v>
      </c>
      <c r="AI50" s="7">
        <f t="shared" si="18"/>
        <v>0.625</v>
      </c>
      <c r="AJ50" s="7">
        <f t="shared" si="19"/>
        <v>0.81818181818181823</v>
      </c>
      <c r="AK50" s="5">
        <f t="shared" si="20"/>
        <v>18</v>
      </c>
    </row>
    <row r="51" spans="1:37" x14ac:dyDescent="0.25">
      <c r="A51">
        <f t="shared" si="21"/>
        <v>1</v>
      </c>
      <c r="B51" s="25" t="s">
        <v>1050</v>
      </c>
      <c r="C51" s="5">
        <f>IF(VLOOKUP($B51,Table2[[prolific]:[feedbackTime]],6,FALSE)=VLOOKUP(C$1,Table1[],2,FALSE),1,0)</f>
        <v>1</v>
      </c>
      <c r="D51" s="5">
        <f>IF(VLOOKUP($B51,Table2[[prolific]:[feedbackTime]],7,FALSE)=VLOOKUP(D$1,Table1[],2,FALSE),1,0)</f>
        <v>1</v>
      </c>
      <c r="E51" s="5">
        <f>IF(VLOOKUP($B51,Table2[[prolific]:[feedbackTime]],8,FALSE)=VLOOKUP(E$1,Table1[],2,FALSE),1,0)</f>
        <v>1</v>
      </c>
      <c r="F51" s="5">
        <f t="shared" si="11"/>
        <v>3</v>
      </c>
      <c r="G51" s="7">
        <f t="shared" si="12"/>
        <v>1</v>
      </c>
      <c r="H51" s="5">
        <f>IF(VLOOKUP($B51,Table2[[prolific]:[feedbackTime]],9,FALSE)=VLOOKUP(H$1,Table1[],2,FALSE),1,0)</f>
        <v>1</v>
      </c>
      <c r="I51" s="5">
        <f>IF(VLOOKUP($B51,Table2[[prolific]:[feedbackTime]],10,FALSE)=VLOOKUP(I$1,Table1[],2,FALSE),1,0)</f>
        <v>1</v>
      </c>
      <c r="J51" s="5">
        <f>IF(VLOOKUP($B51,Table2[[prolific]:[feedbackTime]],11,FALSE)=VLOOKUP(J$1,Table1[],2,FALSE),1,0)</f>
        <v>1</v>
      </c>
      <c r="K51" s="5">
        <f>IF(VLOOKUP($B51,Table2[[prolific]:[feedbackTime]],12,FALSE)=VLOOKUP(K$1,Table1[],2,FALSE),1,0)</f>
        <v>1</v>
      </c>
      <c r="L51" s="5">
        <f>IF(VLOOKUP($B51,Table2[[prolific]:[feedbackTime]],13,FALSE)=VLOOKUP(L$1,Table1[],2,FALSE),1,0)</f>
        <v>1</v>
      </c>
      <c r="M51" s="5">
        <f>IF(VLOOKUP($B51,Table2[[prolific]:[feedbackTime]],14,FALSE)=VLOOKUP(M$1,Table1[],2,FALSE),1,0)</f>
        <v>1</v>
      </c>
      <c r="N51" s="5">
        <f t="shared" si="13"/>
        <v>6</v>
      </c>
      <c r="O51" s="7">
        <f t="shared" si="14"/>
        <v>1</v>
      </c>
      <c r="P51" s="5">
        <f>IF(VLOOKUP($B51,Table2[[prolific]:[feedbackTime]],15,FALSE)=VLOOKUP(P$1,Table1[],2,FALSE),1,0)</f>
        <v>1</v>
      </c>
      <c r="Q51" s="5">
        <f>IF(VLOOKUP($B51,Table2[[prolific]:[feedbackTime]],16,FALSE)=VLOOKUP(Q$1,Table1[],2,FALSE),1,0)</f>
        <v>1</v>
      </c>
      <c r="R51" s="5">
        <f>IF(VLOOKUP($B51,Table2[[prolific]:[feedbackTime]],17,FALSE)=VLOOKUP(R$1,Table1[],2,FALSE),1,0)</f>
        <v>1</v>
      </c>
      <c r="S51" s="5">
        <f>IF(VLOOKUP($B51,Table2[[prolific]:[feedbackTime]],18,FALSE)=VLOOKUP(S$1,Table1[],2,FALSE),1,0)</f>
        <v>1</v>
      </c>
      <c r="T51" s="5">
        <f>IF(VLOOKUP($B51,Table2[[prolific]:[feedbackTime]],19,FALSE)=VLOOKUP(T$1,Table1[],2,FALSE),1,0)</f>
        <v>1</v>
      </c>
      <c r="U51" s="5">
        <f>IF(VLOOKUP($B51,Table2[[prolific]:[feedbackTime]],20,FALSE)=VLOOKUP(U$1,Table1[],2,FALSE),1,0)</f>
        <v>1</v>
      </c>
      <c r="V51" s="5">
        <f>IF(VLOOKUP($B51,Table2[[prolific]:[feedbackTime]],21,FALSE)=VLOOKUP(V$1,Table1[],2,FALSE),1,0)</f>
        <v>0</v>
      </c>
      <c r="W51" s="5">
        <f>IF(VLOOKUP($B51,Table2[[prolific]:[feedbackTime]],22,FALSE)=VLOOKUP(W$1,Table1[],2,FALSE),1,0)</f>
        <v>1</v>
      </c>
      <c r="X51" s="5">
        <f t="shared" si="15"/>
        <v>7</v>
      </c>
      <c r="Y51" s="7">
        <f t="shared" si="16"/>
        <v>0.875</v>
      </c>
      <c r="Z51" s="5">
        <f>IF(VLOOKUP($B51,Table2[[prolific]:[feedbackTime]],23,FALSE)=VLOOKUP(Z$1,Table1[],2,FALSE),1,0)</f>
        <v>1</v>
      </c>
      <c r="AA51" s="5">
        <f>IF(VLOOKUP($B51,Table2[[prolific]:[feedbackTime]],24,FALSE)=VLOOKUP(AA$1,Table1[],2,FALSE),1,0)</f>
        <v>1</v>
      </c>
      <c r="AB51" s="5">
        <f>IF(VLOOKUP($B51,Table2[[prolific]:[feedbackTime]],25,FALSE)=VLOOKUP(AB$1,Table1[],2,FALSE),1,0)</f>
        <v>0</v>
      </c>
      <c r="AC51" s="5">
        <f>IF(VLOOKUP($B51,Table2[[prolific]:[feedbackTime]],26,FALSE)=VLOOKUP(AC$1,Table1[],2,FALSE),1,0)</f>
        <v>1</v>
      </c>
      <c r="AD51" s="5">
        <f>IF(VLOOKUP($B51,Table2[[prolific]:[feedbackTime]],27,FALSE)=VLOOKUP(AD$1,Table1[],2,FALSE),1,0)</f>
        <v>0</v>
      </c>
      <c r="AE51" s="5">
        <f>IF(VLOOKUP($B51,Table2[[prolific]:[feedbackTime]],28,FALSE)=VLOOKUP(AE$1,Table1[],2,FALSE),1,0)</f>
        <v>0</v>
      </c>
      <c r="AF51" s="5">
        <f>IF(VLOOKUP($B51,Table2[[prolific]:[feedbackTime]],29,FALSE)=VLOOKUP(AF$1,Table1[],2,FALSE),1,0)</f>
        <v>0</v>
      </c>
      <c r="AG51" s="5">
        <f>IF(VLOOKUP($B51,Table2[[prolific]:[feedbackTime]],30,FALSE)=VLOOKUP(AG$1,Table1[],2,FALSE),1,0)</f>
        <v>0</v>
      </c>
      <c r="AH51" s="5">
        <f t="shared" si="17"/>
        <v>3</v>
      </c>
      <c r="AI51" s="7">
        <f t="shared" si="18"/>
        <v>0.375</v>
      </c>
      <c r="AJ51" s="7">
        <f t="shared" si="19"/>
        <v>0.72727272727272729</v>
      </c>
      <c r="AK51" s="5">
        <f t="shared" si="20"/>
        <v>16</v>
      </c>
    </row>
    <row r="52" spans="1:37" x14ac:dyDescent="0.25">
      <c r="A52">
        <f t="shared" si="21"/>
        <v>1</v>
      </c>
      <c r="B52" s="26" t="s">
        <v>1051</v>
      </c>
      <c r="C52" s="5">
        <f>IF(VLOOKUP($B52,Table2[[prolific]:[feedbackTime]],6,FALSE)=VLOOKUP(C$1,Table1[],2,FALSE),1,0)</f>
        <v>1</v>
      </c>
      <c r="D52" s="5">
        <f>IF(VLOOKUP($B52,Table2[[prolific]:[feedbackTime]],7,FALSE)=VLOOKUP(D$1,Table1[],2,FALSE),1,0)</f>
        <v>1</v>
      </c>
      <c r="E52" s="5">
        <f>IF(VLOOKUP($B52,Table2[[prolific]:[feedbackTime]],8,FALSE)=VLOOKUP(E$1,Table1[],2,FALSE),1,0)</f>
        <v>1</v>
      </c>
      <c r="F52" s="5">
        <f t="shared" si="11"/>
        <v>3</v>
      </c>
      <c r="G52" s="7">
        <f t="shared" si="12"/>
        <v>1</v>
      </c>
      <c r="H52" s="5">
        <f>IF(VLOOKUP($B52,Table2[[prolific]:[feedbackTime]],9,FALSE)=VLOOKUP(H$1,Table1[],2,FALSE),1,0)</f>
        <v>1</v>
      </c>
      <c r="I52" s="5">
        <f>IF(VLOOKUP($B52,Table2[[prolific]:[feedbackTime]],10,FALSE)=VLOOKUP(I$1,Table1[],2,FALSE),1,0)</f>
        <v>1</v>
      </c>
      <c r="J52" s="5">
        <f>IF(VLOOKUP($B52,Table2[[prolific]:[feedbackTime]],11,FALSE)=VLOOKUP(J$1,Table1[],2,FALSE),1,0)</f>
        <v>0</v>
      </c>
      <c r="K52" s="5">
        <f>IF(VLOOKUP($B52,Table2[[prolific]:[feedbackTime]],12,FALSE)=VLOOKUP(K$1,Table1[],2,FALSE),1,0)</f>
        <v>1</v>
      </c>
      <c r="L52" s="5">
        <f>IF(VLOOKUP($B52,Table2[[prolific]:[feedbackTime]],13,FALSE)=VLOOKUP(L$1,Table1[],2,FALSE),1,0)</f>
        <v>1</v>
      </c>
      <c r="M52" s="5">
        <f>IF(VLOOKUP($B52,Table2[[prolific]:[feedbackTime]],14,FALSE)=VLOOKUP(M$1,Table1[],2,FALSE),1,0)</f>
        <v>0</v>
      </c>
      <c r="N52" s="5">
        <f t="shared" si="13"/>
        <v>4</v>
      </c>
      <c r="O52" s="7">
        <f t="shared" si="14"/>
        <v>0.66666666666666663</v>
      </c>
      <c r="P52" s="5">
        <f>IF(VLOOKUP($B52,Table2[[prolific]:[feedbackTime]],15,FALSE)=VLOOKUP(P$1,Table1[],2,FALSE),1,0)</f>
        <v>1</v>
      </c>
      <c r="Q52" s="5">
        <f>IF(VLOOKUP($B52,Table2[[prolific]:[feedbackTime]],16,FALSE)=VLOOKUP(Q$1,Table1[],2,FALSE),1,0)</f>
        <v>1</v>
      </c>
      <c r="R52" s="5">
        <f>IF(VLOOKUP($B52,Table2[[prolific]:[feedbackTime]],17,FALSE)=VLOOKUP(R$1,Table1[],2,FALSE),1,0)</f>
        <v>0</v>
      </c>
      <c r="S52" s="5">
        <f>IF(VLOOKUP($B52,Table2[[prolific]:[feedbackTime]],18,FALSE)=VLOOKUP(S$1,Table1[],2,FALSE),1,0)</f>
        <v>1</v>
      </c>
      <c r="T52" s="5">
        <f>IF(VLOOKUP($B52,Table2[[prolific]:[feedbackTime]],19,FALSE)=VLOOKUP(T$1,Table1[],2,FALSE),1,0)</f>
        <v>1</v>
      </c>
      <c r="U52" s="5">
        <f>IF(VLOOKUP($B52,Table2[[prolific]:[feedbackTime]],20,FALSE)=VLOOKUP(U$1,Table1[],2,FALSE),1,0)</f>
        <v>1</v>
      </c>
      <c r="V52" s="5">
        <f>IF(VLOOKUP($B52,Table2[[prolific]:[feedbackTime]],21,FALSE)=VLOOKUP(V$1,Table1[],2,FALSE),1,0)</f>
        <v>0</v>
      </c>
      <c r="W52" s="5">
        <f>IF(VLOOKUP($B52,Table2[[prolific]:[feedbackTime]],22,FALSE)=VLOOKUP(W$1,Table1[],2,FALSE),1,0)</f>
        <v>1</v>
      </c>
      <c r="X52" s="5">
        <f t="shared" si="15"/>
        <v>6</v>
      </c>
      <c r="Y52" s="7">
        <f t="shared" si="16"/>
        <v>0.75</v>
      </c>
      <c r="Z52" s="5">
        <f>IF(VLOOKUP($B52,Table2[[prolific]:[feedbackTime]],23,FALSE)=VLOOKUP(Z$1,Table1[],2,FALSE),1,0)</f>
        <v>1</v>
      </c>
      <c r="AA52" s="5">
        <f>IF(VLOOKUP($B52,Table2[[prolific]:[feedbackTime]],24,FALSE)=VLOOKUP(AA$1,Table1[],2,FALSE),1,0)</f>
        <v>1</v>
      </c>
      <c r="AB52" s="5">
        <f>IF(VLOOKUP($B52,Table2[[prolific]:[feedbackTime]],25,FALSE)=VLOOKUP(AB$1,Table1[],2,FALSE),1,0)</f>
        <v>0</v>
      </c>
      <c r="AC52" s="5">
        <f>IF(VLOOKUP($B52,Table2[[prolific]:[feedbackTime]],26,FALSE)=VLOOKUP(AC$1,Table1[],2,FALSE),1,0)</f>
        <v>1</v>
      </c>
      <c r="AD52" s="5">
        <f>IF(VLOOKUP($B52,Table2[[prolific]:[feedbackTime]],27,FALSE)=VLOOKUP(AD$1,Table1[],2,FALSE),1,0)</f>
        <v>0</v>
      </c>
      <c r="AE52" s="5">
        <f>IF(VLOOKUP($B52,Table2[[prolific]:[feedbackTime]],28,FALSE)=VLOOKUP(AE$1,Table1[],2,FALSE),1,0)</f>
        <v>0</v>
      </c>
      <c r="AF52" s="5">
        <f>IF(VLOOKUP($B52,Table2[[prolific]:[feedbackTime]],29,FALSE)=VLOOKUP(AF$1,Table1[],2,FALSE),1,0)</f>
        <v>0</v>
      </c>
      <c r="AG52" s="5">
        <f>IF(VLOOKUP($B52,Table2[[prolific]:[feedbackTime]],30,FALSE)=VLOOKUP(AG$1,Table1[],2,FALSE),1,0)</f>
        <v>0</v>
      </c>
      <c r="AH52" s="5">
        <f t="shared" si="17"/>
        <v>3</v>
      </c>
      <c r="AI52" s="7">
        <f t="shared" si="18"/>
        <v>0.375</v>
      </c>
      <c r="AJ52" s="7">
        <f t="shared" si="19"/>
        <v>0.59090909090909094</v>
      </c>
      <c r="AK52" s="5">
        <f t="shared" si="20"/>
        <v>13</v>
      </c>
    </row>
    <row r="53" spans="1:37" x14ac:dyDescent="0.25">
      <c r="A53">
        <f t="shared" si="21"/>
        <v>1</v>
      </c>
      <c r="B53" s="67" t="s">
        <v>1052</v>
      </c>
      <c r="C53" s="5">
        <f>IF(VLOOKUP($B53,Table2[[prolific]:[feedbackTime]],6,FALSE)=VLOOKUP(C$1,Table1[],2,FALSE),1,0)</f>
        <v>1</v>
      </c>
      <c r="D53" s="5">
        <f>IF(VLOOKUP($B53,Table2[[prolific]:[feedbackTime]],7,FALSE)=VLOOKUP(D$1,Table1[],2,FALSE),1,0)</f>
        <v>1</v>
      </c>
      <c r="E53" s="5">
        <f>IF(VLOOKUP($B53,Table2[[prolific]:[feedbackTime]],8,FALSE)=VLOOKUP(E$1,Table1[],2,FALSE),1,0)</f>
        <v>1</v>
      </c>
      <c r="F53" s="5">
        <f t="shared" si="11"/>
        <v>3</v>
      </c>
      <c r="G53" s="7">
        <f t="shared" si="12"/>
        <v>1</v>
      </c>
      <c r="H53" s="5">
        <f>IF(VLOOKUP($B53,Table2[[prolific]:[feedbackTime]],9,FALSE)=VLOOKUP(H$1,Table1[],2,FALSE),1,0)</f>
        <v>1</v>
      </c>
      <c r="I53" s="5">
        <f>IF(VLOOKUP($B53,Table2[[prolific]:[feedbackTime]],10,FALSE)=VLOOKUP(I$1,Table1[],2,FALSE),1,0)</f>
        <v>1</v>
      </c>
      <c r="J53" s="5">
        <f>IF(VLOOKUP($B53,Table2[[prolific]:[feedbackTime]],11,FALSE)=VLOOKUP(J$1,Table1[],2,FALSE),1,0)</f>
        <v>1</v>
      </c>
      <c r="K53" s="5">
        <f>IF(VLOOKUP($B53,Table2[[prolific]:[feedbackTime]],12,FALSE)=VLOOKUP(K$1,Table1[],2,FALSE),1,0)</f>
        <v>1</v>
      </c>
      <c r="L53" s="5">
        <f>IF(VLOOKUP($B53,Table2[[prolific]:[feedbackTime]],13,FALSE)=VLOOKUP(L$1,Table1[],2,FALSE),1,0)</f>
        <v>1</v>
      </c>
      <c r="M53" s="5">
        <f>IF(VLOOKUP($B53,Table2[[prolific]:[feedbackTime]],14,FALSE)=VLOOKUP(M$1,Table1[],2,FALSE),1,0)</f>
        <v>1</v>
      </c>
      <c r="N53" s="5">
        <f t="shared" si="13"/>
        <v>6</v>
      </c>
      <c r="O53" s="7">
        <f t="shared" si="14"/>
        <v>1</v>
      </c>
      <c r="P53" s="5">
        <f>IF(VLOOKUP($B53,Table2[[prolific]:[feedbackTime]],15,FALSE)=VLOOKUP(P$1,Table1[],2,FALSE),1,0)</f>
        <v>1</v>
      </c>
      <c r="Q53" s="5">
        <f>IF(VLOOKUP($B53,Table2[[prolific]:[feedbackTime]],16,FALSE)=VLOOKUP(Q$1,Table1[],2,FALSE),1,0)</f>
        <v>1</v>
      </c>
      <c r="R53" s="5">
        <f>IF(VLOOKUP($B53,Table2[[prolific]:[feedbackTime]],17,FALSE)=VLOOKUP(R$1,Table1[],2,FALSE),1,0)</f>
        <v>1</v>
      </c>
      <c r="S53" s="5">
        <f>IF(VLOOKUP($B53,Table2[[prolific]:[feedbackTime]],18,FALSE)=VLOOKUP(S$1,Table1[],2,FALSE),1,0)</f>
        <v>1</v>
      </c>
      <c r="T53" s="5">
        <f>IF(VLOOKUP($B53,Table2[[prolific]:[feedbackTime]],19,FALSE)=VLOOKUP(T$1,Table1[],2,FALSE),1,0)</f>
        <v>1</v>
      </c>
      <c r="U53" s="5">
        <f>IF(VLOOKUP($B53,Table2[[prolific]:[feedbackTime]],20,FALSE)=VLOOKUP(U$1,Table1[],2,FALSE),1,0)</f>
        <v>1</v>
      </c>
      <c r="V53" s="5">
        <f>IF(VLOOKUP($B53,Table2[[prolific]:[feedbackTime]],21,FALSE)=VLOOKUP(V$1,Table1[],2,FALSE),1,0)</f>
        <v>1</v>
      </c>
      <c r="W53" s="5">
        <f>IF(VLOOKUP($B53,Table2[[prolific]:[feedbackTime]],22,FALSE)=VLOOKUP(W$1,Table1[],2,FALSE),1,0)</f>
        <v>1</v>
      </c>
      <c r="X53" s="5">
        <f t="shared" si="15"/>
        <v>8</v>
      </c>
      <c r="Y53" s="7">
        <f t="shared" si="16"/>
        <v>1</v>
      </c>
      <c r="Z53" s="5">
        <f>IF(VLOOKUP($B53,Table2[[prolific]:[feedbackTime]],23,FALSE)=VLOOKUP(Z$1,Table1[],2,FALSE),1,0)</f>
        <v>1</v>
      </c>
      <c r="AA53" s="5">
        <f>IF(VLOOKUP($B53,Table2[[prolific]:[feedbackTime]],24,FALSE)=VLOOKUP(AA$1,Table1[],2,FALSE),1,0)</f>
        <v>1</v>
      </c>
      <c r="AB53" s="5">
        <f>IF(VLOOKUP($B53,Table2[[prolific]:[feedbackTime]],25,FALSE)=VLOOKUP(AB$1,Table1[],2,FALSE),1,0)</f>
        <v>1</v>
      </c>
      <c r="AC53" s="5">
        <f>IF(VLOOKUP($B53,Table2[[prolific]:[feedbackTime]],26,FALSE)=VLOOKUP(AC$1,Table1[],2,FALSE),1,0)</f>
        <v>1</v>
      </c>
      <c r="AD53" s="5">
        <f>IF(VLOOKUP($B53,Table2[[prolific]:[feedbackTime]],27,FALSE)=VLOOKUP(AD$1,Table1[],2,FALSE),1,0)</f>
        <v>0</v>
      </c>
      <c r="AE53" s="5">
        <f>IF(VLOOKUP($B53,Table2[[prolific]:[feedbackTime]],28,FALSE)=VLOOKUP(AE$1,Table1[],2,FALSE),1,0)</f>
        <v>0</v>
      </c>
      <c r="AF53" s="5">
        <f>IF(VLOOKUP($B53,Table2[[prolific]:[feedbackTime]],29,FALSE)=VLOOKUP(AF$1,Table1[],2,FALSE),1,0)</f>
        <v>0</v>
      </c>
      <c r="AG53" s="5">
        <f>IF(VLOOKUP($B53,Table2[[prolific]:[feedbackTime]],30,FALSE)=VLOOKUP(AG$1,Table1[],2,FALSE),1,0)</f>
        <v>0</v>
      </c>
      <c r="AH53" s="5">
        <f t="shared" si="17"/>
        <v>4</v>
      </c>
      <c r="AI53" s="7">
        <f t="shared" si="18"/>
        <v>0.5</v>
      </c>
      <c r="AJ53" s="7">
        <f t="shared" si="19"/>
        <v>0.81818181818181823</v>
      </c>
      <c r="AK53" s="5">
        <f t="shared" si="20"/>
        <v>18</v>
      </c>
    </row>
    <row r="54" spans="1:37" x14ac:dyDescent="0.25">
      <c r="A54">
        <f t="shared" si="21"/>
        <v>1</v>
      </c>
      <c r="B54" s="26" t="s">
        <v>1053</v>
      </c>
      <c r="C54" s="5">
        <f>IF(VLOOKUP($B54,Table2[[prolific]:[feedbackTime]],6,FALSE)=VLOOKUP(C$1,Table1[],2,FALSE),1,0)</f>
        <v>1</v>
      </c>
      <c r="D54" s="5">
        <f>IF(VLOOKUP($B54,Table2[[prolific]:[feedbackTime]],7,FALSE)=VLOOKUP(D$1,Table1[],2,FALSE),1,0)</f>
        <v>1</v>
      </c>
      <c r="E54" s="5">
        <f>IF(VLOOKUP($B54,Table2[[prolific]:[feedbackTime]],8,FALSE)=VLOOKUP(E$1,Table1[],2,FALSE),1,0)</f>
        <v>1</v>
      </c>
      <c r="F54" s="5">
        <f t="shared" ref="F54:F60" si="22">SUM(C54:E54)</f>
        <v>3</v>
      </c>
      <c r="G54" s="7">
        <f t="shared" ref="G54:G60" si="23">F54/3</f>
        <v>1</v>
      </c>
      <c r="H54" s="5">
        <f>IF(VLOOKUP($B54,Table2[[prolific]:[feedbackTime]],9,FALSE)=VLOOKUP(H$1,Table1[],2,FALSE),1,0)</f>
        <v>1</v>
      </c>
      <c r="I54" s="5">
        <f>IF(VLOOKUP($B54,Table2[[prolific]:[feedbackTime]],10,FALSE)=VLOOKUP(I$1,Table1[],2,FALSE),1,0)</f>
        <v>0</v>
      </c>
      <c r="J54" s="5">
        <f>IF(VLOOKUP($B54,Table2[[prolific]:[feedbackTime]],11,FALSE)=VLOOKUP(J$1,Table1[],2,FALSE),1,0)</f>
        <v>0</v>
      </c>
      <c r="K54" s="5">
        <f>IF(VLOOKUP($B54,Table2[[prolific]:[feedbackTime]],12,FALSE)=VLOOKUP(K$1,Table1[],2,FALSE),1,0)</f>
        <v>1</v>
      </c>
      <c r="L54" s="5">
        <f>IF(VLOOKUP($B54,Table2[[prolific]:[feedbackTime]],13,FALSE)=VLOOKUP(L$1,Table1[],2,FALSE),1,0)</f>
        <v>1</v>
      </c>
      <c r="M54" s="5">
        <f>IF(VLOOKUP($B54,Table2[[prolific]:[feedbackTime]],14,FALSE)=VLOOKUP(M$1,Table1[],2,FALSE),1,0)</f>
        <v>0</v>
      </c>
      <c r="N54" s="5">
        <f t="shared" ref="N54:N60" si="24">SUM(H54:M54)</f>
        <v>3</v>
      </c>
      <c r="O54" s="7">
        <f t="shared" ref="O54:O60" si="25">N54/6</f>
        <v>0.5</v>
      </c>
      <c r="P54" s="5">
        <f>IF(VLOOKUP($B54,Table2[[prolific]:[feedbackTime]],15,FALSE)=VLOOKUP(P$1,Table1[],2,FALSE),1,0)</f>
        <v>1</v>
      </c>
      <c r="Q54" s="5">
        <f>IF(VLOOKUP($B54,Table2[[prolific]:[feedbackTime]],16,FALSE)=VLOOKUP(Q$1,Table1[],2,FALSE),1,0)</f>
        <v>1</v>
      </c>
      <c r="R54" s="5">
        <f>IF(VLOOKUP($B54,Table2[[prolific]:[feedbackTime]],17,FALSE)=VLOOKUP(R$1,Table1[],2,FALSE),1,0)</f>
        <v>0</v>
      </c>
      <c r="S54" s="5">
        <f>IF(VLOOKUP($B54,Table2[[prolific]:[feedbackTime]],18,FALSE)=VLOOKUP(S$1,Table1[],2,FALSE),1,0)</f>
        <v>1</v>
      </c>
      <c r="T54" s="5">
        <f>IF(VLOOKUP($B54,Table2[[prolific]:[feedbackTime]],19,FALSE)=VLOOKUP(T$1,Table1[],2,FALSE),1,0)</f>
        <v>1</v>
      </c>
      <c r="U54" s="5">
        <f>IF(VLOOKUP($B54,Table2[[prolific]:[feedbackTime]],20,FALSE)=VLOOKUP(U$1,Table1[],2,FALSE),1,0)</f>
        <v>1</v>
      </c>
      <c r="V54" s="5">
        <f>IF(VLOOKUP($B54,Table2[[prolific]:[feedbackTime]],21,FALSE)=VLOOKUP(V$1,Table1[],2,FALSE),1,0)</f>
        <v>1</v>
      </c>
      <c r="W54" s="5">
        <f>IF(VLOOKUP($B54,Table2[[prolific]:[feedbackTime]],22,FALSE)=VLOOKUP(W$1,Table1[],2,FALSE),1,0)</f>
        <v>1</v>
      </c>
      <c r="X54" s="5">
        <f t="shared" ref="X54:X60" si="26">SUM(P54:W54)</f>
        <v>7</v>
      </c>
      <c r="Y54" s="7">
        <f t="shared" ref="Y54:Y60" si="27">X54/8</f>
        <v>0.875</v>
      </c>
      <c r="Z54" s="5">
        <f>IF(VLOOKUP($B54,Table2[[prolific]:[feedbackTime]],23,FALSE)=VLOOKUP(Z$1,Table1[],2,FALSE),1,0)</f>
        <v>1</v>
      </c>
      <c r="AA54" s="5">
        <f>IF(VLOOKUP($B54,Table2[[prolific]:[feedbackTime]],24,FALSE)=VLOOKUP(AA$1,Table1[],2,FALSE),1,0)</f>
        <v>1</v>
      </c>
      <c r="AB54" s="5">
        <f>IF(VLOOKUP($B54,Table2[[prolific]:[feedbackTime]],25,FALSE)=VLOOKUP(AB$1,Table1[],2,FALSE),1,0)</f>
        <v>1</v>
      </c>
      <c r="AC54" s="5">
        <f>IF(VLOOKUP($B54,Table2[[prolific]:[feedbackTime]],26,FALSE)=VLOOKUP(AC$1,Table1[],2,FALSE),1,0)</f>
        <v>1</v>
      </c>
      <c r="AD54" s="5">
        <f>IF(VLOOKUP($B54,Table2[[prolific]:[feedbackTime]],27,FALSE)=VLOOKUP(AD$1,Table1[],2,FALSE),1,0)</f>
        <v>0</v>
      </c>
      <c r="AE54" s="5">
        <f>IF(VLOOKUP($B54,Table2[[prolific]:[feedbackTime]],28,FALSE)=VLOOKUP(AE$1,Table1[],2,FALSE),1,0)</f>
        <v>0</v>
      </c>
      <c r="AF54" s="5">
        <f>IF(VLOOKUP($B54,Table2[[prolific]:[feedbackTime]],29,FALSE)=VLOOKUP(AF$1,Table1[],2,FALSE),1,0)</f>
        <v>0</v>
      </c>
      <c r="AG54" s="5">
        <f>IF(VLOOKUP($B54,Table2[[prolific]:[feedbackTime]],30,FALSE)=VLOOKUP(AG$1,Table1[],2,FALSE),1,0)</f>
        <v>0</v>
      </c>
      <c r="AH54" s="5">
        <f t="shared" ref="AH54:AH60" si="28">SUM(Z54:AG54)</f>
        <v>4</v>
      </c>
      <c r="AI54" s="7">
        <f t="shared" ref="AI54:AI60" si="29">AH54/8</f>
        <v>0.5</v>
      </c>
      <c r="AJ54" s="7">
        <f t="shared" ref="AJ54:AJ60" si="30">(N54+X54+AH54)/22</f>
        <v>0.63636363636363635</v>
      </c>
      <c r="AK54" s="5">
        <f t="shared" ref="AK54:AK60" si="31">(N54+X54+AH54)</f>
        <v>14</v>
      </c>
    </row>
    <row r="55" spans="1:37" x14ac:dyDescent="0.25">
      <c r="A55">
        <f t="shared" si="21"/>
        <v>1</v>
      </c>
      <c r="B55" s="25" t="s">
        <v>1054</v>
      </c>
      <c r="C55" s="5">
        <f>IF(VLOOKUP($B55,Table2[[prolific]:[feedbackTime]],6,FALSE)=VLOOKUP(C$1,Table1[],2,FALSE),1,0)</f>
        <v>1</v>
      </c>
      <c r="D55" s="5">
        <f>IF(VLOOKUP($B55,Table2[[prolific]:[feedbackTime]],7,FALSE)=VLOOKUP(D$1,Table1[],2,FALSE),1,0)</f>
        <v>1</v>
      </c>
      <c r="E55" s="5">
        <f>IF(VLOOKUP($B55,Table2[[prolific]:[feedbackTime]],8,FALSE)=VLOOKUP(E$1,Table1[],2,FALSE),1,0)</f>
        <v>1</v>
      </c>
      <c r="F55" s="5">
        <f t="shared" si="22"/>
        <v>3</v>
      </c>
      <c r="G55" s="7">
        <f t="shared" si="23"/>
        <v>1</v>
      </c>
      <c r="H55" s="5">
        <f>IF(VLOOKUP($B55,Table2[[prolific]:[feedbackTime]],9,FALSE)=VLOOKUP(H$1,Table1[],2,FALSE),1,0)</f>
        <v>1</v>
      </c>
      <c r="I55" s="5">
        <f>IF(VLOOKUP($B55,Table2[[prolific]:[feedbackTime]],10,FALSE)=VLOOKUP(I$1,Table1[],2,FALSE),1,0)</f>
        <v>1</v>
      </c>
      <c r="J55" s="5">
        <f>IF(VLOOKUP($B55,Table2[[prolific]:[feedbackTime]],11,FALSE)=VLOOKUP(J$1,Table1[],2,FALSE),1,0)</f>
        <v>1</v>
      </c>
      <c r="K55" s="5">
        <f>IF(VLOOKUP($B55,Table2[[prolific]:[feedbackTime]],12,FALSE)=VLOOKUP(K$1,Table1[],2,FALSE),1,0)</f>
        <v>1</v>
      </c>
      <c r="L55" s="5">
        <f>IF(VLOOKUP($B55,Table2[[prolific]:[feedbackTime]],13,FALSE)=VLOOKUP(L$1,Table1[],2,FALSE),1,0)</f>
        <v>1</v>
      </c>
      <c r="M55" s="5">
        <f>IF(VLOOKUP($B55,Table2[[prolific]:[feedbackTime]],14,FALSE)=VLOOKUP(M$1,Table1[],2,FALSE),1,0)</f>
        <v>0</v>
      </c>
      <c r="N55" s="5">
        <f t="shared" si="24"/>
        <v>5</v>
      </c>
      <c r="O55" s="7">
        <f t="shared" si="25"/>
        <v>0.83333333333333337</v>
      </c>
      <c r="P55" s="5">
        <f>IF(VLOOKUP($B55,Table2[[prolific]:[feedbackTime]],15,FALSE)=VLOOKUP(P$1,Table1[],2,FALSE),1,0)</f>
        <v>1</v>
      </c>
      <c r="Q55" s="5">
        <f>IF(VLOOKUP($B55,Table2[[prolific]:[feedbackTime]],16,FALSE)=VLOOKUP(Q$1,Table1[],2,FALSE),1,0)</f>
        <v>1</v>
      </c>
      <c r="R55" s="5">
        <f>IF(VLOOKUP($B55,Table2[[prolific]:[feedbackTime]],17,FALSE)=VLOOKUP(R$1,Table1[],2,FALSE),1,0)</f>
        <v>1</v>
      </c>
      <c r="S55" s="5">
        <f>IF(VLOOKUP($B55,Table2[[prolific]:[feedbackTime]],18,FALSE)=VLOOKUP(S$1,Table1[],2,FALSE),1,0)</f>
        <v>1</v>
      </c>
      <c r="T55" s="5">
        <f>IF(VLOOKUP($B55,Table2[[prolific]:[feedbackTime]],19,FALSE)=VLOOKUP(T$1,Table1[],2,FALSE),1,0)</f>
        <v>1</v>
      </c>
      <c r="U55" s="5">
        <f>IF(VLOOKUP($B55,Table2[[prolific]:[feedbackTime]],20,FALSE)=VLOOKUP(U$1,Table1[],2,FALSE),1,0)</f>
        <v>1</v>
      </c>
      <c r="V55" s="5">
        <f>IF(VLOOKUP($B55,Table2[[prolific]:[feedbackTime]],21,FALSE)=VLOOKUP(V$1,Table1[],2,FALSE),1,0)</f>
        <v>0</v>
      </c>
      <c r="W55" s="5">
        <f>IF(VLOOKUP($B55,Table2[[prolific]:[feedbackTime]],22,FALSE)=VLOOKUP(W$1,Table1[],2,FALSE),1,0)</f>
        <v>1</v>
      </c>
      <c r="X55" s="5">
        <f t="shared" si="26"/>
        <v>7</v>
      </c>
      <c r="Y55" s="7">
        <f t="shared" si="27"/>
        <v>0.875</v>
      </c>
      <c r="Z55" s="5">
        <f>IF(VLOOKUP($B55,Table2[[prolific]:[feedbackTime]],23,FALSE)=VLOOKUP(Z$1,Table1[],2,FALSE),1,0)</f>
        <v>1</v>
      </c>
      <c r="AA55" s="5">
        <f>IF(VLOOKUP($B55,Table2[[prolific]:[feedbackTime]],24,FALSE)=VLOOKUP(AA$1,Table1[],2,FALSE),1,0)</f>
        <v>1</v>
      </c>
      <c r="AB55" s="5">
        <f>IF(VLOOKUP($B55,Table2[[prolific]:[feedbackTime]],25,FALSE)=VLOOKUP(AB$1,Table1[],2,FALSE),1,0)</f>
        <v>0</v>
      </c>
      <c r="AC55" s="5">
        <f>IF(VLOOKUP($B55,Table2[[prolific]:[feedbackTime]],26,FALSE)=VLOOKUP(AC$1,Table1[],2,FALSE),1,0)</f>
        <v>1</v>
      </c>
      <c r="AD55" s="5">
        <f>IF(VLOOKUP($B55,Table2[[prolific]:[feedbackTime]],27,FALSE)=VLOOKUP(AD$1,Table1[],2,FALSE),1,0)</f>
        <v>0</v>
      </c>
      <c r="AE55" s="5">
        <f>IF(VLOOKUP($B55,Table2[[prolific]:[feedbackTime]],28,FALSE)=VLOOKUP(AE$1,Table1[],2,FALSE),1,0)</f>
        <v>1</v>
      </c>
      <c r="AF55" s="5">
        <f>IF(VLOOKUP($B55,Table2[[prolific]:[feedbackTime]],29,FALSE)=VLOOKUP(AF$1,Table1[],2,FALSE),1,0)</f>
        <v>0</v>
      </c>
      <c r="AG55" s="5">
        <f>IF(VLOOKUP($B55,Table2[[prolific]:[feedbackTime]],30,FALSE)=VLOOKUP(AG$1,Table1[],2,FALSE),1,0)</f>
        <v>0</v>
      </c>
      <c r="AH55" s="5">
        <f t="shared" si="28"/>
        <v>4</v>
      </c>
      <c r="AI55" s="7">
        <f t="shared" si="29"/>
        <v>0.5</v>
      </c>
      <c r="AJ55" s="7">
        <f t="shared" si="30"/>
        <v>0.72727272727272729</v>
      </c>
      <c r="AK55" s="5">
        <f t="shared" si="31"/>
        <v>16</v>
      </c>
    </row>
    <row r="56" spans="1:37" x14ac:dyDescent="0.25">
      <c r="A56">
        <f t="shared" si="21"/>
        <v>1</v>
      </c>
      <c r="B56" s="26" t="s">
        <v>1055</v>
      </c>
      <c r="C56" s="5">
        <f>IF(VLOOKUP($B56,Table2[[prolific]:[feedbackTime]],6,FALSE)=VLOOKUP(C$1,Table1[],2,FALSE),1,0)</f>
        <v>1</v>
      </c>
      <c r="D56" s="5">
        <f>IF(VLOOKUP($B56,Table2[[prolific]:[feedbackTime]],7,FALSE)=VLOOKUP(D$1,Table1[],2,FALSE),1,0)</f>
        <v>1</v>
      </c>
      <c r="E56" s="5">
        <f>IF(VLOOKUP($B56,Table2[[prolific]:[feedbackTime]],8,FALSE)=VLOOKUP(E$1,Table1[],2,FALSE),1,0)</f>
        <v>1</v>
      </c>
      <c r="F56" s="5">
        <f t="shared" si="22"/>
        <v>3</v>
      </c>
      <c r="G56" s="7">
        <f t="shared" si="23"/>
        <v>1</v>
      </c>
      <c r="H56" s="5">
        <f>IF(VLOOKUP($B56,Table2[[prolific]:[feedbackTime]],9,FALSE)=VLOOKUP(H$1,Table1[],2,FALSE),1,0)</f>
        <v>0</v>
      </c>
      <c r="I56" s="5">
        <f>IF(VLOOKUP($B56,Table2[[prolific]:[feedbackTime]],10,FALSE)=VLOOKUP(I$1,Table1[],2,FALSE),1,0)</f>
        <v>0</v>
      </c>
      <c r="J56" s="5">
        <f>IF(VLOOKUP($B56,Table2[[prolific]:[feedbackTime]],11,FALSE)=VLOOKUP(J$1,Table1[],2,FALSE),1,0)</f>
        <v>0</v>
      </c>
      <c r="K56" s="5">
        <f>IF(VLOOKUP($B56,Table2[[prolific]:[feedbackTime]],12,FALSE)=VLOOKUP(K$1,Table1[],2,FALSE),1,0)</f>
        <v>1</v>
      </c>
      <c r="L56" s="5">
        <f>IF(VLOOKUP($B56,Table2[[prolific]:[feedbackTime]],13,FALSE)=VLOOKUP(L$1,Table1[],2,FALSE),1,0)</f>
        <v>1</v>
      </c>
      <c r="M56" s="5">
        <f>IF(VLOOKUP($B56,Table2[[prolific]:[feedbackTime]],14,FALSE)=VLOOKUP(M$1,Table1[],2,FALSE),1,0)</f>
        <v>0</v>
      </c>
      <c r="N56" s="5">
        <f t="shared" si="24"/>
        <v>2</v>
      </c>
      <c r="O56" s="7">
        <f t="shared" si="25"/>
        <v>0.33333333333333331</v>
      </c>
      <c r="P56" s="5">
        <f>IF(VLOOKUP($B56,Table2[[prolific]:[feedbackTime]],15,FALSE)=VLOOKUP(P$1,Table1[],2,FALSE),1,0)</f>
        <v>1</v>
      </c>
      <c r="Q56" s="5">
        <f>IF(VLOOKUP($B56,Table2[[prolific]:[feedbackTime]],16,FALSE)=VLOOKUP(Q$1,Table1[],2,FALSE),1,0)</f>
        <v>1</v>
      </c>
      <c r="R56" s="5">
        <f>IF(VLOOKUP($B56,Table2[[prolific]:[feedbackTime]],17,FALSE)=VLOOKUP(R$1,Table1[],2,FALSE),1,0)</f>
        <v>0</v>
      </c>
      <c r="S56" s="5">
        <f>IF(VLOOKUP($B56,Table2[[prolific]:[feedbackTime]],18,FALSE)=VLOOKUP(S$1,Table1[],2,FALSE),1,0)</f>
        <v>0</v>
      </c>
      <c r="T56" s="5">
        <f>IF(VLOOKUP($B56,Table2[[prolific]:[feedbackTime]],19,FALSE)=VLOOKUP(T$1,Table1[],2,FALSE),1,0)</f>
        <v>1</v>
      </c>
      <c r="U56" s="5">
        <f>IF(VLOOKUP($B56,Table2[[prolific]:[feedbackTime]],20,FALSE)=VLOOKUP(U$1,Table1[],2,FALSE),1,0)</f>
        <v>0</v>
      </c>
      <c r="V56" s="5">
        <f>IF(VLOOKUP($B56,Table2[[prolific]:[feedbackTime]],21,FALSE)=VLOOKUP(V$1,Table1[],2,FALSE),1,0)</f>
        <v>1</v>
      </c>
      <c r="W56" s="5">
        <f>IF(VLOOKUP($B56,Table2[[prolific]:[feedbackTime]],22,FALSE)=VLOOKUP(W$1,Table1[],2,FALSE),1,0)</f>
        <v>1</v>
      </c>
      <c r="X56" s="5">
        <f t="shared" si="26"/>
        <v>5</v>
      </c>
      <c r="Y56" s="7">
        <f t="shared" si="27"/>
        <v>0.625</v>
      </c>
      <c r="Z56" s="5">
        <f>IF(VLOOKUP($B56,Table2[[prolific]:[feedbackTime]],23,FALSE)=VLOOKUP(Z$1,Table1[],2,FALSE),1,0)</f>
        <v>1</v>
      </c>
      <c r="AA56" s="5">
        <f>IF(VLOOKUP($B56,Table2[[prolific]:[feedbackTime]],24,FALSE)=VLOOKUP(AA$1,Table1[],2,FALSE),1,0)</f>
        <v>1</v>
      </c>
      <c r="AB56" s="5">
        <f>IF(VLOOKUP($B56,Table2[[prolific]:[feedbackTime]],25,FALSE)=VLOOKUP(AB$1,Table1[],2,FALSE),1,0)</f>
        <v>1</v>
      </c>
      <c r="AC56" s="5">
        <f>IF(VLOOKUP($B56,Table2[[prolific]:[feedbackTime]],26,FALSE)=VLOOKUP(AC$1,Table1[],2,FALSE),1,0)</f>
        <v>1</v>
      </c>
      <c r="AD56" s="5">
        <f>IF(VLOOKUP($B56,Table2[[prolific]:[feedbackTime]],27,FALSE)=VLOOKUP(AD$1,Table1[],2,FALSE),1,0)</f>
        <v>0</v>
      </c>
      <c r="AE56" s="5">
        <f>IF(VLOOKUP($B56,Table2[[prolific]:[feedbackTime]],28,FALSE)=VLOOKUP(AE$1,Table1[],2,FALSE),1,0)</f>
        <v>0</v>
      </c>
      <c r="AF56" s="5">
        <f>IF(VLOOKUP($B56,Table2[[prolific]:[feedbackTime]],29,FALSE)=VLOOKUP(AF$1,Table1[],2,FALSE),1,0)</f>
        <v>0</v>
      </c>
      <c r="AG56" s="5">
        <f>IF(VLOOKUP($B56,Table2[[prolific]:[feedbackTime]],30,FALSE)=VLOOKUP(AG$1,Table1[],2,FALSE),1,0)</f>
        <v>0</v>
      </c>
      <c r="AH56" s="5">
        <f t="shared" si="28"/>
        <v>4</v>
      </c>
      <c r="AI56" s="7">
        <f t="shared" si="29"/>
        <v>0.5</v>
      </c>
      <c r="AJ56" s="7">
        <f t="shared" si="30"/>
        <v>0.5</v>
      </c>
      <c r="AK56" s="5">
        <f t="shared" si="31"/>
        <v>11</v>
      </c>
    </row>
    <row r="57" spans="1:37" x14ac:dyDescent="0.25">
      <c r="A57">
        <f t="shared" si="21"/>
        <v>1</v>
      </c>
      <c r="B57" s="25" t="s">
        <v>1056</v>
      </c>
      <c r="C57" s="5">
        <f>IF(VLOOKUP($B57,Table2[[prolific]:[feedbackTime]],6,FALSE)=VLOOKUP(C$1,Table1[],2,FALSE),1,0)</f>
        <v>1</v>
      </c>
      <c r="D57" s="5">
        <f>IF(VLOOKUP($B57,Table2[[prolific]:[feedbackTime]],7,FALSE)=VLOOKUP(D$1,Table1[],2,FALSE),1,0)</f>
        <v>1</v>
      </c>
      <c r="E57" s="5">
        <f>IF(VLOOKUP($B57,Table2[[prolific]:[feedbackTime]],8,FALSE)=VLOOKUP(E$1,Table1[],2,FALSE),1,0)</f>
        <v>1</v>
      </c>
      <c r="F57" s="5">
        <f t="shared" si="22"/>
        <v>3</v>
      </c>
      <c r="G57" s="7">
        <f t="shared" si="23"/>
        <v>1</v>
      </c>
      <c r="H57" s="5">
        <f>IF(VLOOKUP($B57,Table2[[prolific]:[feedbackTime]],9,FALSE)=VLOOKUP(H$1,Table1[],2,FALSE),1,0)</f>
        <v>1</v>
      </c>
      <c r="I57" s="5">
        <f>IF(VLOOKUP($B57,Table2[[prolific]:[feedbackTime]],10,FALSE)=VLOOKUP(I$1,Table1[],2,FALSE),1,0)</f>
        <v>1</v>
      </c>
      <c r="J57" s="5">
        <f>IF(VLOOKUP($B57,Table2[[prolific]:[feedbackTime]],11,FALSE)=VLOOKUP(J$1,Table1[],2,FALSE),1,0)</f>
        <v>0</v>
      </c>
      <c r="K57" s="5">
        <f>IF(VLOOKUP($B57,Table2[[prolific]:[feedbackTime]],12,FALSE)=VLOOKUP(K$1,Table1[],2,FALSE),1,0)</f>
        <v>1</v>
      </c>
      <c r="L57" s="5">
        <f>IF(VLOOKUP($B57,Table2[[prolific]:[feedbackTime]],13,FALSE)=VLOOKUP(L$1,Table1[],2,FALSE),1,0)</f>
        <v>0</v>
      </c>
      <c r="M57" s="5">
        <f>IF(VLOOKUP($B57,Table2[[prolific]:[feedbackTime]],14,FALSE)=VLOOKUP(M$1,Table1[],2,FALSE),1,0)</f>
        <v>0</v>
      </c>
      <c r="N57" s="5">
        <f t="shared" si="24"/>
        <v>3</v>
      </c>
      <c r="O57" s="7">
        <f t="shared" si="25"/>
        <v>0.5</v>
      </c>
      <c r="P57" s="5">
        <f>IF(VLOOKUP($B57,Table2[[prolific]:[feedbackTime]],15,FALSE)=VLOOKUP(P$1,Table1[],2,FALSE),1,0)</f>
        <v>1</v>
      </c>
      <c r="Q57" s="5">
        <f>IF(VLOOKUP($B57,Table2[[prolific]:[feedbackTime]],16,FALSE)=VLOOKUP(Q$1,Table1[],2,FALSE),1,0)</f>
        <v>1</v>
      </c>
      <c r="R57" s="5">
        <f>IF(VLOOKUP($B57,Table2[[prolific]:[feedbackTime]],17,FALSE)=VLOOKUP(R$1,Table1[],2,FALSE),1,0)</f>
        <v>1</v>
      </c>
      <c r="S57" s="5">
        <f>IF(VLOOKUP($B57,Table2[[prolific]:[feedbackTime]],18,FALSE)=VLOOKUP(S$1,Table1[],2,FALSE),1,0)</f>
        <v>1</v>
      </c>
      <c r="T57" s="5">
        <f>IF(VLOOKUP($B57,Table2[[prolific]:[feedbackTime]],19,FALSE)=VLOOKUP(T$1,Table1[],2,FALSE),1,0)</f>
        <v>1</v>
      </c>
      <c r="U57" s="5">
        <f>IF(VLOOKUP($B57,Table2[[prolific]:[feedbackTime]],20,FALSE)=VLOOKUP(U$1,Table1[],2,FALSE),1,0)</f>
        <v>1</v>
      </c>
      <c r="V57" s="5">
        <f>IF(VLOOKUP($B57,Table2[[prolific]:[feedbackTime]],21,FALSE)=VLOOKUP(V$1,Table1[],2,FALSE),1,0)</f>
        <v>0</v>
      </c>
      <c r="W57" s="5">
        <f>IF(VLOOKUP($B57,Table2[[prolific]:[feedbackTime]],22,FALSE)=VLOOKUP(W$1,Table1[],2,FALSE),1,0)</f>
        <v>0</v>
      </c>
      <c r="X57" s="5">
        <f t="shared" si="26"/>
        <v>6</v>
      </c>
      <c r="Y57" s="7">
        <f t="shared" si="27"/>
        <v>0.75</v>
      </c>
      <c r="Z57" s="5">
        <f>IF(VLOOKUP($B57,Table2[[prolific]:[feedbackTime]],23,FALSE)=VLOOKUP(Z$1,Table1[],2,FALSE),1,0)</f>
        <v>1</v>
      </c>
      <c r="AA57" s="5">
        <f>IF(VLOOKUP($B57,Table2[[prolific]:[feedbackTime]],24,FALSE)=VLOOKUP(AA$1,Table1[],2,FALSE),1,0)</f>
        <v>0</v>
      </c>
      <c r="AB57" s="5">
        <f>IF(VLOOKUP($B57,Table2[[prolific]:[feedbackTime]],25,FALSE)=VLOOKUP(AB$1,Table1[],2,FALSE),1,0)</f>
        <v>1</v>
      </c>
      <c r="AC57" s="5">
        <f>IF(VLOOKUP($B57,Table2[[prolific]:[feedbackTime]],26,FALSE)=VLOOKUP(AC$1,Table1[],2,FALSE),1,0)</f>
        <v>1</v>
      </c>
      <c r="AD57" s="5">
        <f>IF(VLOOKUP($B57,Table2[[prolific]:[feedbackTime]],27,FALSE)=VLOOKUP(AD$1,Table1[],2,FALSE),1,0)</f>
        <v>0</v>
      </c>
      <c r="AE57" s="5">
        <f>IF(VLOOKUP($B57,Table2[[prolific]:[feedbackTime]],28,FALSE)=VLOOKUP(AE$1,Table1[],2,FALSE),1,0)</f>
        <v>0</v>
      </c>
      <c r="AF57" s="5">
        <f>IF(VLOOKUP($B57,Table2[[prolific]:[feedbackTime]],29,FALSE)=VLOOKUP(AF$1,Table1[],2,FALSE),1,0)</f>
        <v>0</v>
      </c>
      <c r="AG57" s="5">
        <f>IF(VLOOKUP($B57,Table2[[prolific]:[feedbackTime]],30,FALSE)=VLOOKUP(AG$1,Table1[],2,FALSE),1,0)</f>
        <v>0</v>
      </c>
      <c r="AH57" s="5">
        <f t="shared" si="28"/>
        <v>3</v>
      </c>
      <c r="AI57" s="7">
        <f t="shared" si="29"/>
        <v>0.375</v>
      </c>
      <c r="AJ57" s="7">
        <f t="shared" si="30"/>
        <v>0.54545454545454541</v>
      </c>
      <c r="AK57" s="5">
        <f t="shared" si="31"/>
        <v>12</v>
      </c>
    </row>
    <row r="58" spans="1:37" x14ac:dyDescent="0.25">
      <c r="A58">
        <f t="shared" si="21"/>
        <v>1</v>
      </c>
      <c r="B58" s="26" t="s">
        <v>1057</v>
      </c>
      <c r="C58" s="5">
        <f>IF(VLOOKUP($B58,Table2[[prolific]:[feedbackTime]],6,FALSE)=VLOOKUP(C$1,Table1[],2,FALSE),1,0)</f>
        <v>1</v>
      </c>
      <c r="D58" s="5">
        <f>IF(VLOOKUP($B58,Table2[[prolific]:[feedbackTime]],7,FALSE)=VLOOKUP(D$1,Table1[],2,FALSE),1,0)</f>
        <v>1</v>
      </c>
      <c r="E58" s="5">
        <f>IF(VLOOKUP($B58,Table2[[prolific]:[feedbackTime]],8,FALSE)=VLOOKUP(E$1,Table1[],2,FALSE),1,0)</f>
        <v>1</v>
      </c>
      <c r="F58" s="5">
        <f t="shared" si="22"/>
        <v>3</v>
      </c>
      <c r="G58" s="7">
        <f t="shared" si="23"/>
        <v>1</v>
      </c>
      <c r="H58" s="5">
        <f>IF(VLOOKUP($B58,Table2[[prolific]:[feedbackTime]],9,FALSE)=VLOOKUP(H$1,Table1[],2,FALSE),1,0)</f>
        <v>1</v>
      </c>
      <c r="I58" s="5">
        <f>IF(VLOOKUP($B58,Table2[[prolific]:[feedbackTime]],10,FALSE)=VLOOKUP(I$1,Table1[],2,FALSE),1,0)</f>
        <v>0</v>
      </c>
      <c r="J58" s="5">
        <f>IF(VLOOKUP($B58,Table2[[prolific]:[feedbackTime]],11,FALSE)=VLOOKUP(J$1,Table1[],2,FALSE),1,0)</f>
        <v>0</v>
      </c>
      <c r="K58" s="5">
        <f>IF(VLOOKUP($B58,Table2[[prolific]:[feedbackTime]],12,FALSE)=VLOOKUP(K$1,Table1[],2,FALSE),1,0)</f>
        <v>1</v>
      </c>
      <c r="L58" s="5">
        <f>IF(VLOOKUP($B58,Table2[[prolific]:[feedbackTime]],13,FALSE)=VLOOKUP(L$1,Table1[],2,FALSE),1,0)</f>
        <v>1</v>
      </c>
      <c r="M58" s="5">
        <f>IF(VLOOKUP($B58,Table2[[prolific]:[feedbackTime]],14,FALSE)=VLOOKUP(M$1,Table1[],2,FALSE),1,0)</f>
        <v>0</v>
      </c>
      <c r="N58" s="5">
        <f t="shared" si="24"/>
        <v>3</v>
      </c>
      <c r="O58" s="7">
        <f t="shared" si="25"/>
        <v>0.5</v>
      </c>
      <c r="P58" s="5">
        <f>IF(VLOOKUP($B58,Table2[[prolific]:[feedbackTime]],15,FALSE)=VLOOKUP(P$1,Table1[],2,FALSE),1,0)</f>
        <v>1</v>
      </c>
      <c r="Q58" s="5">
        <f>IF(VLOOKUP($B58,Table2[[prolific]:[feedbackTime]],16,FALSE)=VLOOKUP(Q$1,Table1[],2,FALSE),1,0)</f>
        <v>1</v>
      </c>
      <c r="R58" s="5">
        <f>IF(VLOOKUP($B58,Table2[[prolific]:[feedbackTime]],17,FALSE)=VLOOKUP(R$1,Table1[],2,FALSE),1,0)</f>
        <v>0</v>
      </c>
      <c r="S58" s="5">
        <f>IF(VLOOKUP($B58,Table2[[prolific]:[feedbackTime]],18,FALSE)=VLOOKUP(S$1,Table1[],2,FALSE),1,0)</f>
        <v>0</v>
      </c>
      <c r="T58" s="5">
        <f>IF(VLOOKUP($B58,Table2[[prolific]:[feedbackTime]],19,FALSE)=VLOOKUP(T$1,Table1[],2,FALSE),1,0)</f>
        <v>1</v>
      </c>
      <c r="U58" s="5">
        <f>IF(VLOOKUP($B58,Table2[[prolific]:[feedbackTime]],20,FALSE)=VLOOKUP(U$1,Table1[],2,FALSE),1,0)</f>
        <v>0</v>
      </c>
      <c r="V58" s="5">
        <f>IF(VLOOKUP($B58,Table2[[prolific]:[feedbackTime]],21,FALSE)=VLOOKUP(V$1,Table1[],2,FALSE),1,0)</f>
        <v>0</v>
      </c>
      <c r="W58" s="5">
        <f>IF(VLOOKUP($B58,Table2[[prolific]:[feedbackTime]],22,FALSE)=VLOOKUP(W$1,Table1[],2,FALSE),1,0)</f>
        <v>0</v>
      </c>
      <c r="X58" s="5">
        <f t="shared" si="26"/>
        <v>3</v>
      </c>
      <c r="Y58" s="7">
        <f t="shared" si="27"/>
        <v>0.375</v>
      </c>
      <c r="Z58" s="5">
        <f>IF(VLOOKUP($B58,Table2[[prolific]:[feedbackTime]],23,FALSE)=VLOOKUP(Z$1,Table1[],2,FALSE),1,0)</f>
        <v>0</v>
      </c>
      <c r="AA58" s="5">
        <f>IF(VLOOKUP($B58,Table2[[prolific]:[feedbackTime]],24,FALSE)=VLOOKUP(AA$1,Table1[],2,FALSE),1,0)</f>
        <v>1</v>
      </c>
      <c r="AB58" s="5">
        <f>IF(VLOOKUP($B58,Table2[[prolific]:[feedbackTime]],25,FALSE)=VLOOKUP(AB$1,Table1[],2,FALSE),1,0)</f>
        <v>1</v>
      </c>
      <c r="AC58" s="5">
        <f>IF(VLOOKUP($B58,Table2[[prolific]:[feedbackTime]],26,FALSE)=VLOOKUP(AC$1,Table1[],2,FALSE),1,0)</f>
        <v>1</v>
      </c>
      <c r="AD58" s="5">
        <f>IF(VLOOKUP($B58,Table2[[prolific]:[feedbackTime]],27,FALSE)=VLOOKUP(AD$1,Table1[],2,FALSE),1,0)</f>
        <v>0</v>
      </c>
      <c r="AE58" s="5">
        <f>IF(VLOOKUP($B58,Table2[[prolific]:[feedbackTime]],28,FALSE)=VLOOKUP(AE$1,Table1[],2,FALSE),1,0)</f>
        <v>0</v>
      </c>
      <c r="AF58" s="5">
        <f>IF(VLOOKUP($B58,Table2[[prolific]:[feedbackTime]],29,FALSE)=VLOOKUP(AF$1,Table1[],2,FALSE),1,0)</f>
        <v>0</v>
      </c>
      <c r="AG58" s="5">
        <f>IF(VLOOKUP($B58,Table2[[prolific]:[feedbackTime]],30,FALSE)=VLOOKUP(AG$1,Table1[],2,FALSE),1,0)</f>
        <v>0</v>
      </c>
      <c r="AH58" s="5">
        <f t="shared" si="28"/>
        <v>3</v>
      </c>
      <c r="AI58" s="7">
        <f t="shared" si="29"/>
        <v>0.375</v>
      </c>
      <c r="AJ58" s="7">
        <f t="shared" si="30"/>
        <v>0.40909090909090912</v>
      </c>
      <c r="AK58" s="5">
        <f t="shared" si="31"/>
        <v>9</v>
      </c>
    </row>
    <row r="59" spans="1:37" x14ac:dyDescent="0.25">
      <c r="A59">
        <f t="shared" si="21"/>
        <v>1</v>
      </c>
      <c r="B59" s="25" t="s">
        <v>1058</v>
      </c>
      <c r="C59" s="5">
        <f>IF(VLOOKUP($B59,Table2[[prolific]:[feedbackTime]],6,FALSE)=VLOOKUP(C$1,Table1[],2,FALSE),1,0)</f>
        <v>1</v>
      </c>
      <c r="D59" s="5">
        <f>IF(VLOOKUP($B59,Table2[[prolific]:[feedbackTime]],7,FALSE)=VLOOKUP(D$1,Table1[],2,FALSE),1,0)</f>
        <v>1</v>
      </c>
      <c r="E59" s="5">
        <f>IF(VLOOKUP($B59,Table2[[prolific]:[feedbackTime]],8,FALSE)=VLOOKUP(E$1,Table1[],2,FALSE),1,0)</f>
        <v>1</v>
      </c>
      <c r="F59" s="5">
        <f t="shared" si="22"/>
        <v>3</v>
      </c>
      <c r="G59" s="7">
        <f t="shared" si="23"/>
        <v>1</v>
      </c>
      <c r="H59" s="5">
        <f>IF(VLOOKUP($B59,Table2[[prolific]:[feedbackTime]],9,FALSE)=VLOOKUP(H$1,Table1[],2,FALSE),1,0)</f>
        <v>1</v>
      </c>
      <c r="I59" s="5">
        <f>IF(VLOOKUP($B59,Table2[[prolific]:[feedbackTime]],10,FALSE)=VLOOKUP(I$1,Table1[],2,FALSE),1,0)</f>
        <v>1</v>
      </c>
      <c r="J59" s="5">
        <f>IF(VLOOKUP($B59,Table2[[prolific]:[feedbackTime]],11,FALSE)=VLOOKUP(J$1,Table1[],2,FALSE),1,0)</f>
        <v>1</v>
      </c>
      <c r="K59" s="5">
        <f>IF(VLOOKUP($B59,Table2[[prolific]:[feedbackTime]],12,FALSE)=VLOOKUP(K$1,Table1[],2,FALSE),1,0)</f>
        <v>1</v>
      </c>
      <c r="L59" s="5">
        <f>IF(VLOOKUP($B59,Table2[[prolific]:[feedbackTime]],13,FALSE)=VLOOKUP(L$1,Table1[],2,FALSE),1,0)</f>
        <v>1</v>
      </c>
      <c r="M59" s="5">
        <f>IF(VLOOKUP($B59,Table2[[prolific]:[feedbackTime]],14,FALSE)=VLOOKUP(M$1,Table1[],2,FALSE),1,0)</f>
        <v>1</v>
      </c>
      <c r="N59" s="5">
        <f t="shared" si="24"/>
        <v>6</v>
      </c>
      <c r="O59" s="7">
        <f t="shared" si="25"/>
        <v>1</v>
      </c>
      <c r="P59" s="5">
        <f>IF(VLOOKUP($B59,Table2[[prolific]:[feedbackTime]],15,FALSE)=VLOOKUP(P$1,Table1[],2,FALSE),1,0)</f>
        <v>1</v>
      </c>
      <c r="Q59" s="5">
        <f>IF(VLOOKUP($B59,Table2[[prolific]:[feedbackTime]],16,FALSE)=VLOOKUP(Q$1,Table1[],2,FALSE),1,0)</f>
        <v>1</v>
      </c>
      <c r="R59" s="5">
        <f>IF(VLOOKUP($B59,Table2[[prolific]:[feedbackTime]],17,FALSE)=VLOOKUP(R$1,Table1[],2,FALSE),1,0)</f>
        <v>1</v>
      </c>
      <c r="S59" s="5">
        <f>IF(VLOOKUP($B59,Table2[[prolific]:[feedbackTime]],18,FALSE)=VLOOKUP(S$1,Table1[],2,FALSE),1,0)</f>
        <v>1</v>
      </c>
      <c r="T59" s="5">
        <f>IF(VLOOKUP($B59,Table2[[prolific]:[feedbackTime]],19,FALSE)=VLOOKUP(T$1,Table1[],2,FALSE),1,0)</f>
        <v>1</v>
      </c>
      <c r="U59" s="5">
        <f>IF(VLOOKUP($B59,Table2[[prolific]:[feedbackTime]],20,FALSE)=VLOOKUP(U$1,Table1[],2,FALSE),1,0)</f>
        <v>1</v>
      </c>
      <c r="V59" s="5">
        <f>IF(VLOOKUP($B59,Table2[[prolific]:[feedbackTime]],21,FALSE)=VLOOKUP(V$1,Table1[],2,FALSE),1,0)</f>
        <v>1</v>
      </c>
      <c r="W59" s="5">
        <f>IF(VLOOKUP($B59,Table2[[prolific]:[feedbackTime]],22,FALSE)=VLOOKUP(W$1,Table1[],2,FALSE),1,0)</f>
        <v>1</v>
      </c>
      <c r="X59" s="5">
        <f t="shared" si="26"/>
        <v>8</v>
      </c>
      <c r="Y59" s="7">
        <f t="shared" si="27"/>
        <v>1</v>
      </c>
      <c r="Z59" s="5">
        <f>IF(VLOOKUP($B59,Table2[[prolific]:[feedbackTime]],23,FALSE)=VLOOKUP(Z$1,Table1[],2,FALSE),1,0)</f>
        <v>1</v>
      </c>
      <c r="AA59" s="5">
        <f>IF(VLOOKUP($B59,Table2[[prolific]:[feedbackTime]],24,FALSE)=VLOOKUP(AA$1,Table1[],2,FALSE),1,0)</f>
        <v>1</v>
      </c>
      <c r="AB59" s="5">
        <f>IF(VLOOKUP($B59,Table2[[prolific]:[feedbackTime]],25,FALSE)=VLOOKUP(AB$1,Table1[],2,FALSE),1,0)</f>
        <v>0</v>
      </c>
      <c r="AC59" s="5">
        <f>IF(VLOOKUP($B59,Table2[[prolific]:[feedbackTime]],26,FALSE)=VLOOKUP(AC$1,Table1[],2,FALSE),1,0)</f>
        <v>1</v>
      </c>
      <c r="AD59" s="5">
        <f>IF(VLOOKUP($B59,Table2[[prolific]:[feedbackTime]],27,FALSE)=VLOOKUP(AD$1,Table1[],2,FALSE),1,0)</f>
        <v>0</v>
      </c>
      <c r="AE59" s="5">
        <f>IF(VLOOKUP($B59,Table2[[prolific]:[feedbackTime]],28,FALSE)=VLOOKUP(AE$1,Table1[],2,FALSE),1,0)</f>
        <v>0</v>
      </c>
      <c r="AF59" s="5">
        <f>IF(VLOOKUP($B59,Table2[[prolific]:[feedbackTime]],29,FALSE)=VLOOKUP(AF$1,Table1[],2,FALSE),1,0)</f>
        <v>0</v>
      </c>
      <c r="AG59" s="5">
        <f>IF(VLOOKUP($B59,Table2[[prolific]:[feedbackTime]],30,FALSE)=VLOOKUP(AG$1,Table1[],2,FALSE),1,0)</f>
        <v>0</v>
      </c>
      <c r="AH59" s="5">
        <f t="shared" si="28"/>
        <v>3</v>
      </c>
      <c r="AI59" s="7">
        <f t="shared" si="29"/>
        <v>0.375</v>
      </c>
      <c r="AJ59" s="7">
        <f t="shared" si="30"/>
        <v>0.77272727272727271</v>
      </c>
      <c r="AK59" s="5">
        <f t="shared" si="31"/>
        <v>17</v>
      </c>
    </row>
    <row r="60" spans="1:37" x14ac:dyDescent="0.25">
      <c r="A60">
        <f t="shared" si="21"/>
        <v>1</v>
      </c>
      <c r="B60" s="26" t="s">
        <v>1059</v>
      </c>
      <c r="C60" s="5">
        <f>IF(VLOOKUP($B60,Table2[[prolific]:[feedbackTime]],6,FALSE)=VLOOKUP(C$1,Table1[],2,FALSE),1,0)</f>
        <v>1</v>
      </c>
      <c r="D60" s="5">
        <f>IF(VLOOKUP($B60,Table2[[prolific]:[feedbackTime]],7,FALSE)=VLOOKUP(D$1,Table1[],2,FALSE),1,0)</f>
        <v>1</v>
      </c>
      <c r="E60" s="5">
        <f>IF(VLOOKUP($B60,Table2[[prolific]:[feedbackTime]],8,FALSE)=VLOOKUP(E$1,Table1[],2,FALSE),1,0)</f>
        <v>1</v>
      </c>
      <c r="F60" s="5">
        <f t="shared" si="22"/>
        <v>3</v>
      </c>
      <c r="G60" s="7">
        <f t="shared" si="23"/>
        <v>1</v>
      </c>
      <c r="H60" s="5">
        <f>IF(VLOOKUP($B60,Table2[[prolific]:[feedbackTime]],9,FALSE)=VLOOKUP(H$1,Table1[],2,FALSE),1,0)</f>
        <v>1</v>
      </c>
      <c r="I60" s="5">
        <f>IF(VLOOKUP($B60,Table2[[prolific]:[feedbackTime]],10,FALSE)=VLOOKUP(I$1,Table1[],2,FALSE),1,0)</f>
        <v>1</v>
      </c>
      <c r="J60" s="5">
        <f>IF(VLOOKUP($B60,Table2[[prolific]:[feedbackTime]],11,FALSE)=VLOOKUP(J$1,Table1[],2,FALSE),1,0)</f>
        <v>1</v>
      </c>
      <c r="K60" s="5">
        <f>IF(VLOOKUP($B60,Table2[[prolific]:[feedbackTime]],12,FALSE)=VLOOKUP(K$1,Table1[],2,FALSE),1,0)</f>
        <v>1</v>
      </c>
      <c r="L60" s="5">
        <f>IF(VLOOKUP($B60,Table2[[prolific]:[feedbackTime]],13,FALSE)=VLOOKUP(L$1,Table1[],2,FALSE),1,0)</f>
        <v>0</v>
      </c>
      <c r="M60" s="5">
        <f>IF(VLOOKUP($B60,Table2[[prolific]:[feedbackTime]],14,FALSE)=VLOOKUP(M$1,Table1[],2,FALSE),1,0)</f>
        <v>1</v>
      </c>
      <c r="N60" s="5">
        <f t="shared" si="24"/>
        <v>5</v>
      </c>
      <c r="O60" s="7">
        <f t="shared" si="25"/>
        <v>0.83333333333333337</v>
      </c>
      <c r="P60" s="5">
        <f>IF(VLOOKUP($B60,Table2[[prolific]:[feedbackTime]],15,FALSE)=VLOOKUP(P$1,Table1[],2,FALSE),1,0)</f>
        <v>1</v>
      </c>
      <c r="Q60" s="5">
        <f>IF(VLOOKUP($B60,Table2[[prolific]:[feedbackTime]],16,FALSE)=VLOOKUP(Q$1,Table1[],2,FALSE),1,0)</f>
        <v>1</v>
      </c>
      <c r="R60" s="5">
        <f>IF(VLOOKUP($B60,Table2[[prolific]:[feedbackTime]],17,FALSE)=VLOOKUP(R$1,Table1[],2,FALSE),1,0)</f>
        <v>1</v>
      </c>
      <c r="S60" s="5">
        <f>IF(VLOOKUP($B60,Table2[[prolific]:[feedbackTime]],18,FALSE)=VLOOKUP(S$1,Table1[],2,FALSE),1,0)</f>
        <v>1</v>
      </c>
      <c r="T60" s="5">
        <f>IF(VLOOKUP($B60,Table2[[prolific]:[feedbackTime]],19,FALSE)=VLOOKUP(T$1,Table1[],2,FALSE),1,0)</f>
        <v>1</v>
      </c>
      <c r="U60" s="5">
        <f>IF(VLOOKUP($B60,Table2[[prolific]:[feedbackTime]],20,FALSE)=VLOOKUP(U$1,Table1[],2,FALSE),1,0)</f>
        <v>1</v>
      </c>
      <c r="V60" s="5">
        <f>IF(VLOOKUP($B60,Table2[[prolific]:[feedbackTime]],21,FALSE)=VLOOKUP(V$1,Table1[],2,FALSE),1,0)</f>
        <v>1</v>
      </c>
      <c r="W60" s="5">
        <f>IF(VLOOKUP($B60,Table2[[prolific]:[feedbackTime]],22,FALSE)=VLOOKUP(W$1,Table1[],2,FALSE),1,0)</f>
        <v>1</v>
      </c>
      <c r="X60" s="5">
        <f t="shared" si="26"/>
        <v>8</v>
      </c>
      <c r="Y60" s="7">
        <f t="shared" si="27"/>
        <v>1</v>
      </c>
      <c r="Z60" s="5">
        <f>IF(VLOOKUP($B60,Table2[[prolific]:[feedbackTime]],23,FALSE)=VLOOKUP(Z$1,Table1[],2,FALSE),1,0)</f>
        <v>1</v>
      </c>
      <c r="AA60" s="5">
        <f>IF(VLOOKUP($B60,Table2[[prolific]:[feedbackTime]],24,FALSE)=VLOOKUP(AA$1,Table1[],2,FALSE),1,0)</f>
        <v>1</v>
      </c>
      <c r="AB60" s="5">
        <f>IF(VLOOKUP($B60,Table2[[prolific]:[feedbackTime]],25,FALSE)=VLOOKUP(AB$1,Table1[],2,FALSE),1,0)</f>
        <v>1</v>
      </c>
      <c r="AC60" s="5">
        <f>IF(VLOOKUP($B60,Table2[[prolific]:[feedbackTime]],26,FALSE)=VLOOKUP(AC$1,Table1[],2,FALSE),1,0)</f>
        <v>1</v>
      </c>
      <c r="AD60" s="5">
        <f>IF(VLOOKUP($B60,Table2[[prolific]:[feedbackTime]],27,FALSE)=VLOOKUP(AD$1,Table1[],2,FALSE),1,0)</f>
        <v>0</v>
      </c>
      <c r="AE60" s="5">
        <f>IF(VLOOKUP($B60,Table2[[prolific]:[feedbackTime]],28,FALSE)=VLOOKUP(AE$1,Table1[],2,FALSE),1,0)</f>
        <v>0</v>
      </c>
      <c r="AF60" s="5">
        <f>IF(VLOOKUP($B60,Table2[[prolific]:[feedbackTime]],29,FALSE)=VLOOKUP(AF$1,Table1[],2,FALSE),1,0)</f>
        <v>0</v>
      </c>
      <c r="AG60" s="5">
        <f>IF(VLOOKUP($B60,Table2[[prolific]:[feedbackTime]],30,FALSE)=VLOOKUP(AG$1,Table1[],2,FALSE),1,0)</f>
        <v>0</v>
      </c>
      <c r="AH60" s="5">
        <f t="shared" si="28"/>
        <v>4</v>
      </c>
      <c r="AI60" s="7">
        <f t="shared" si="29"/>
        <v>0.5</v>
      </c>
      <c r="AJ60" s="7">
        <f t="shared" si="30"/>
        <v>0.77272727272727271</v>
      </c>
      <c r="AK60" s="5">
        <f t="shared" si="31"/>
        <v>17</v>
      </c>
    </row>
    <row r="61" spans="1:37" x14ac:dyDescent="0.25">
      <c r="A61">
        <f t="shared" si="21"/>
        <v>1</v>
      </c>
      <c r="B61" s="5" t="s">
        <v>1153</v>
      </c>
      <c r="C61" s="5">
        <f>IF(VLOOKUP($B61,Table2[[prolific]:[feedbackTime]],6,FALSE)=VLOOKUP(C$1,Table1[],2,FALSE),1,0)</f>
        <v>1</v>
      </c>
      <c r="D61" s="5">
        <f>IF(VLOOKUP($B61,Table2[[prolific]:[feedbackTime]],7,FALSE)=VLOOKUP(D$1,Table1[],2,FALSE),1,0)</f>
        <v>1</v>
      </c>
      <c r="E61" s="5">
        <f>IF(VLOOKUP($B61,Table2[[prolific]:[feedbackTime]],8,FALSE)=VLOOKUP(E$1,Table1[],2,FALSE),1,0)</f>
        <v>1</v>
      </c>
      <c r="F61" s="5">
        <f t="shared" ref="F61:F93" si="32">SUM(C61:E61)</f>
        <v>3</v>
      </c>
      <c r="G61" s="7">
        <f t="shared" ref="G61:G93" si="33">F61/3</f>
        <v>1</v>
      </c>
      <c r="H61" s="5">
        <f>IF(VLOOKUP($B61,Table2[[prolific]:[feedbackTime]],9,FALSE)=VLOOKUP(H$1,Table1[],2,FALSE),1,0)</f>
        <v>1</v>
      </c>
      <c r="I61" s="5">
        <f>IF(VLOOKUP($B61,Table2[[prolific]:[feedbackTime]],10,FALSE)=VLOOKUP(I$1,Table1[],2,FALSE),1,0)</f>
        <v>1</v>
      </c>
      <c r="J61" s="5">
        <f>IF(VLOOKUP($B61,Table2[[prolific]:[feedbackTime]],11,FALSE)=VLOOKUP(J$1,Table1[],2,FALSE),1,0)</f>
        <v>1</v>
      </c>
      <c r="K61" s="5">
        <f>IF(VLOOKUP($B61,Table2[[prolific]:[feedbackTime]],12,FALSE)=VLOOKUP(K$1,Table1[],2,FALSE),1,0)</f>
        <v>1</v>
      </c>
      <c r="L61" s="5">
        <f>IF(VLOOKUP($B61,Table2[[prolific]:[feedbackTime]],13,FALSE)=VLOOKUP(L$1,Table1[],2,FALSE),1,0)</f>
        <v>0</v>
      </c>
      <c r="M61" s="5">
        <f>IF(VLOOKUP($B61,Table2[[prolific]:[feedbackTime]],14,FALSE)=VLOOKUP(M$1,Table1[],2,FALSE),1,0)</f>
        <v>1</v>
      </c>
      <c r="N61" s="5">
        <f t="shared" ref="N61:N93" si="34">SUM(H61:M61)</f>
        <v>5</v>
      </c>
      <c r="O61" s="7">
        <f t="shared" ref="O61:O93" si="35">N61/6</f>
        <v>0.83333333333333337</v>
      </c>
      <c r="P61" s="5">
        <f>IF(VLOOKUP($B61,Table2[[prolific]:[feedbackTime]],15,FALSE)=VLOOKUP(P$1,Table1[],2,FALSE),1,0)</f>
        <v>1</v>
      </c>
      <c r="Q61" s="5">
        <f>IF(VLOOKUP($B61,Table2[[prolific]:[feedbackTime]],16,FALSE)=VLOOKUP(Q$1,Table1[],2,FALSE),1,0)</f>
        <v>1</v>
      </c>
      <c r="R61" s="5">
        <f>IF(VLOOKUP($B61,Table2[[prolific]:[feedbackTime]],17,FALSE)=VLOOKUP(R$1,Table1[],2,FALSE),1,0)</f>
        <v>1</v>
      </c>
      <c r="S61" s="5">
        <f>IF(VLOOKUP($B61,Table2[[prolific]:[feedbackTime]],18,FALSE)=VLOOKUP(S$1,Table1[],2,FALSE),1,0)</f>
        <v>1</v>
      </c>
      <c r="T61" s="5">
        <f>IF(VLOOKUP($B61,Table2[[prolific]:[feedbackTime]],19,FALSE)=VLOOKUP(T$1,Table1[],2,FALSE),1,0)</f>
        <v>1</v>
      </c>
      <c r="U61" s="5">
        <f>IF(VLOOKUP($B61,Table2[[prolific]:[feedbackTime]],20,FALSE)=VLOOKUP(U$1,Table1[],2,FALSE),1,0)</f>
        <v>1</v>
      </c>
      <c r="V61" s="5">
        <f>IF(VLOOKUP($B61,Table2[[prolific]:[feedbackTime]],21,FALSE)=VLOOKUP(V$1,Table1[],2,FALSE),1,0)</f>
        <v>1</v>
      </c>
      <c r="W61" s="5">
        <f>IF(VLOOKUP($B61,Table2[[prolific]:[feedbackTime]],22,FALSE)=VLOOKUP(W$1,Table1[],2,FALSE),1,0)</f>
        <v>1</v>
      </c>
      <c r="X61" s="5">
        <f t="shared" ref="X61:X93" si="36">SUM(P61:W61)</f>
        <v>8</v>
      </c>
      <c r="Y61" s="7">
        <f t="shared" ref="Y61:Y93" si="37">X61/8</f>
        <v>1</v>
      </c>
      <c r="Z61" s="5">
        <f>IF(VLOOKUP($B61,Table2[[prolific]:[feedbackTime]],23,FALSE)=VLOOKUP(Z$1,Table1[],2,FALSE),1,0)</f>
        <v>1</v>
      </c>
      <c r="AA61" s="5">
        <f>IF(VLOOKUP($B61,Table2[[prolific]:[feedbackTime]],24,FALSE)=VLOOKUP(AA$1,Table1[],2,FALSE),1,0)</f>
        <v>1</v>
      </c>
      <c r="AB61" s="5">
        <f>IF(VLOOKUP($B61,Table2[[prolific]:[feedbackTime]],25,FALSE)=VLOOKUP(AB$1,Table1[],2,FALSE),1,0)</f>
        <v>1</v>
      </c>
      <c r="AC61" s="5">
        <f>IF(VLOOKUP($B61,Table2[[prolific]:[feedbackTime]],26,FALSE)=VLOOKUP(AC$1,Table1[],2,FALSE),1,0)</f>
        <v>1</v>
      </c>
      <c r="AD61" s="5">
        <f>IF(VLOOKUP($B61,Table2[[prolific]:[feedbackTime]],27,FALSE)=VLOOKUP(AD$1,Table1[],2,FALSE),1,0)</f>
        <v>1</v>
      </c>
      <c r="AE61" s="5">
        <f>IF(VLOOKUP($B61,Table2[[prolific]:[feedbackTime]],28,FALSE)=VLOOKUP(AE$1,Table1[],2,FALSE),1,0)</f>
        <v>1</v>
      </c>
      <c r="AF61" s="5">
        <f>IF(VLOOKUP($B61,Table2[[prolific]:[feedbackTime]],29,FALSE)=VLOOKUP(AF$1,Table1[],2,FALSE),1,0)</f>
        <v>1</v>
      </c>
      <c r="AG61" s="5">
        <f>IF(VLOOKUP($B61,Table2[[prolific]:[feedbackTime]],30,FALSE)=VLOOKUP(AG$1,Table1[],2,FALSE),1,0)</f>
        <v>1</v>
      </c>
      <c r="AH61" s="5">
        <f t="shared" ref="AH61:AH93" si="38">SUM(Z61:AG61)</f>
        <v>8</v>
      </c>
      <c r="AI61" s="7">
        <f t="shared" ref="AI61:AI93" si="39">AH61/8</f>
        <v>1</v>
      </c>
      <c r="AJ61" s="7">
        <f t="shared" ref="AJ61:AJ93" si="40">(N61+X61+AH61)/22</f>
        <v>0.95454545454545459</v>
      </c>
      <c r="AK61" s="5">
        <f t="shared" ref="AK61:AK93" si="41">(N61+X61+AH61)</f>
        <v>21</v>
      </c>
    </row>
    <row r="62" spans="1:37" x14ac:dyDescent="0.25">
      <c r="A62">
        <f t="shared" si="21"/>
        <v>1</v>
      </c>
      <c r="B62" s="5" t="s">
        <v>1154</v>
      </c>
      <c r="C62" s="5">
        <f>IF(VLOOKUP($B62,Table2[[prolific]:[feedbackTime]],6,FALSE)=VLOOKUP(C$1,Table1[],2,FALSE),1,0)</f>
        <v>1</v>
      </c>
      <c r="D62" s="5">
        <f>IF(VLOOKUP($B62,Table2[[prolific]:[feedbackTime]],7,FALSE)=VLOOKUP(D$1,Table1[],2,FALSE),1,0)</f>
        <v>1</v>
      </c>
      <c r="E62" s="5">
        <f>IF(VLOOKUP($B62,Table2[[prolific]:[feedbackTime]],8,FALSE)=VLOOKUP(E$1,Table1[],2,FALSE),1,0)</f>
        <v>1</v>
      </c>
      <c r="F62" s="5">
        <f t="shared" si="32"/>
        <v>3</v>
      </c>
      <c r="G62" s="7">
        <f t="shared" si="33"/>
        <v>1</v>
      </c>
      <c r="H62" s="5">
        <f>IF(VLOOKUP($B62,Table2[[prolific]:[feedbackTime]],9,FALSE)=VLOOKUP(H$1,Table1[],2,FALSE),1,0)</f>
        <v>1</v>
      </c>
      <c r="I62" s="5">
        <f>IF(VLOOKUP($B62,Table2[[prolific]:[feedbackTime]],10,FALSE)=VLOOKUP(I$1,Table1[],2,FALSE),1,0)</f>
        <v>1</v>
      </c>
      <c r="J62" s="5">
        <f>IF(VLOOKUP($B62,Table2[[prolific]:[feedbackTime]],11,FALSE)=VLOOKUP(J$1,Table1[],2,FALSE),1,0)</f>
        <v>1</v>
      </c>
      <c r="K62" s="5">
        <f>IF(VLOOKUP($B62,Table2[[prolific]:[feedbackTime]],12,FALSE)=VLOOKUP(K$1,Table1[],2,FALSE),1,0)</f>
        <v>1</v>
      </c>
      <c r="L62" s="5">
        <f>IF(VLOOKUP($B62,Table2[[prolific]:[feedbackTime]],13,FALSE)=VLOOKUP(L$1,Table1[],2,FALSE),1,0)</f>
        <v>0</v>
      </c>
      <c r="M62" s="5">
        <f>IF(VLOOKUP($B62,Table2[[prolific]:[feedbackTime]],14,FALSE)=VLOOKUP(M$1,Table1[],2,FALSE),1,0)</f>
        <v>1</v>
      </c>
      <c r="N62" s="5">
        <f t="shared" si="34"/>
        <v>5</v>
      </c>
      <c r="O62" s="7">
        <f t="shared" si="35"/>
        <v>0.83333333333333337</v>
      </c>
      <c r="P62" s="5">
        <f>IF(VLOOKUP($B62,Table2[[prolific]:[feedbackTime]],15,FALSE)=VLOOKUP(P$1,Table1[],2,FALSE),1,0)</f>
        <v>1</v>
      </c>
      <c r="Q62" s="5">
        <f>IF(VLOOKUP($B62,Table2[[prolific]:[feedbackTime]],16,FALSE)=VLOOKUP(Q$1,Table1[],2,FALSE),1,0)</f>
        <v>1</v>
      </c>
      <c r="R62" s="5">
        <f>IF(VLOOKUP($B62,Table2[[prolific]:[feedbackTime]],17,FALSE)=VLOOKUP(R$1,Table1[],2,FALSE),1,0)</f>
        <v>1</v>
      </c>
      <c r="S62" s="5">
        <f>IF(VLOOKUP($B62,Table2[[prolific]:[feedbackTime]],18,FALSE)=VLOOKUP(S$1,Table1[],2,FALSE),1,0)</f>
        <v>1</v>
      </c>
      <c r="T62" s="5">
        <f>IF(VLOOKUP($B62,Table2[[prolific]:[feedbackTime]],19,FALSE)=VLOOKUP(T$1,Table1[],2,FALSE),1,0)</f>
        <v>1</v>
      </c>
      <c r="U62" s="5">
        <f>IF(VLOOKUP($B62,Table2[[prolific]:[feedbackTime]],20,FALSE)=VLOOKUP(U$1,Table1[],2,FALSE),1,0)</f>
        <v>1</v>
      </c>
      <c r="V62" s="5">
        <f>IF(VLOOKUP($B62,Table2[[prolific]:[feedbackTime]],21,FALSE)=VLOOKUP(V$1,Table1[],2,FALSE),1,0)</f>
        <v>1</v>
      </c>
      <c r="W62" s="5">
        <f>IF(VLOOKUP($B62,Table2[[prolific]:[feedbackTime]],22,FALSE)=VLOOKUP(W$1,Table1[],2,FALSE),1,0)</f>
        <v>1</v>
      </c>
      <c r="X62" s="5">
        <f t="shared" si="36"/>
        <v>8</v>
      </c>
      <c r="Y62" s="7">
        <f t="shared" si="37"/>
        <v>1</v>
      </c>
      <c r="Z62" s="5">
        <f>IF(VLOOKUP($B62,Table2[[prolific]:[feedbackTime]],23,FALSE)=VLOOKUP(Z$1,Table1[],2,FALSE),1,0)</f>
        <v>1</v>
      </c>
      <c r="AA62" s="5">
        <f>IF(VLOOKUP($B62,Table2[[prolific]:[feedbackTime]],24,FALSE)=VLOOKUP(AA$1,Table1[],2,FALSE),1,0)</f>
        <v>1</v>
      </c>
      <c r="AB62" s="5">
        <f>IF(VLOOKUP($B62,Table2[[prolific]:[feedbackTime]],25,FALSE)=VLOOKUP(AB$1,Table1[],2,FALSE),1,0)</f>
        <v>1</v>
      </c>
      <c r="AC62" s="5">
        <f>IF(VLOOKUP($B62,Table2[[prolific]:[feedbackTime]],26,FALSE)=VLOOKUP(AC$1,Table1[],2,FALSE),1,0)</f>
        <v>1</v>
      </c>
      <c r="AD62" s="5">
        <f>IF(VLOOKUP($B62,Table2[[prolific]:[feedbackTime]],27,FALSE)=VLOOKUP(AD$1,Table1[],2,FALSE),1,0)</f>
        <v>0</v>
      </c>
      <c r="AE62" s="5">
        <f>IF(VLOOKUP($B62,Table2[[prolific]:[feedbackTime]],28,FALSE)=VLOOKUP(AE$1,Table1[],2,FALSE),1,0)</f>
        <v>1</v>
      </c>
      <c r="AF62" s="5">
        <f>IF(VLOOKUP($B62,Table2[[prolific]:[feedbackTime]],29,FALSE)=VLOOKUP(AF$1,Table1[],2,FALSE),1,0)</f>
        <v>1</v>
      </c>
      <c r="AG62" s="5">
        <f>IF(VLOOKUP($B62,Table2[[prolific]:[feedbackTime]],30,FALSE)=VLOOKUP(AG$1,Table1[],2,FALSE),1,0)</f>
        <v>1</v>
      </c>
      <c r="AH62" s="5">
        <f t="shared" si="38"/>
        <v>7</v>
      </c>
      <c r="AI62" s="7">
        <f t="shared" si="39"/>
        <v>0.875</v>
      </c>
      <c r="AJ62" s="7">
        <f t="shared" si="40"/>
        <v>0.90909090909090906</v>
      </c>
      <c r="AK62" s="5">
        <f t="shared" si="41"/>
        <v>20</v>
      </c>
    </row>
    <row r="63" spans="1:37" x14ac:dyDescent="0.25">
      <c r="A63">
        <f t="shared" si="21"/>
        <v>1</v>
      </c>
      <c r="B63" s="5" t="s">
        <v>1155</v>
      </c>
      <c r="C63" s="5">
        <f>IF(VLOOKUP($B63,Table2[[prolific]:[feedbackTime]],6,FALSE)=VLOOKUP(C$1,Table1[],2,FALSE),1,0)</f>
        <v>1</v>
      </c>
      <c r="D63" s="5">
        <f>IF(VLOOKUP($B63,Table2[[prolific]:[feedbackTime]],7,FALSE)=VLOOKUP(D$1,Table1[],2,FALSE),1,0)</f>
        <v>1</v>
      </c>
      <c r="E63" s="5">
        <f>IF(VLOOKUP($B63,Table2[[prolific]:[feedbackTime]],8,FALSE)=VLOOKUP(E$1,Table1[],2,FALSE),1,0)</f>
        <v>1</v>
      </c>
      <c r="F63" s="5">
        <f t="shared" si="32"/>
        <v>3</v>
      </c>
      <c r="G63" s="7">
        <f t="shared" si="33"/>
        <v>1</v>
      </c>
      <c r="H63" s="5">
        <f>IF(VLOOKUP($B63,Table2[[prolific]:[feedbackTime]],9,FALSE)=VLOOKUP(H$1,Table1[],2,FALSE),1,0)</f>
        <v>1</v>
      </c>
      <c r="I63" s="5">
        <f>IF(VLOOKUP($B63,Table2[[prolific]:[feedbackTime]],10,FALSE)=VLOOKUP(I$1,Table1[],2,FALSE),1,0)</f>
        <v>1</v>
      </c>
      <c r="J63" s="5">
        <f>IF(VLOOKUP($B63,Table2[[prolific]:[feedbackTime]],11,FALSE)=VLOOKUP(J$1,Table1[],2,FALSE),1,0)</f>
        <v>0</v>
      </c>
      <c r="K63" s="5">
        <f>IF(VLOOKUP($B63,Table2[[prolific]:[feedbackTime]],12,FALSE)=VLOOKUP(K$1,Table1[],2,FALSE),1,0)</f>
        <v>1</v>
      </c>
      <c r="L63" s="5">
        <f>IF(VLOOKUP($B63,Table2[[prolific]:[feedbackTime]],13,FALSE)=VLOOKUP(L$1,Table1[],2,FALSE),1,0)</f>
        <v>0</v>
      </c>
      <c r="M63" s="5">
        <f>IF(VLOOKUP($B63,Table2[[prolific]:[feedbackTime]],14,FALSE)=VLOOKUP(M$1,Table1[],2,FALSE),1,0)</f>
        <v>0</v>
      </c>
      <c r="N63" s="5">
        <f t="shared" si="34"/>
        <v>3</v>
      </c>
      <c r="O63" s="7">
        <f t="shared" si="35"/>
        <v>0.5</v>
      </c>
      <c r="P63" s="5">
        <f>IF(VLOOKUP($B63,Table2[[prolific]:[feedbackTime]],15,FALSE)=VLOOKUP(P$1,Table1[],2,FALSE),1,0)</f>
        <v>1</v>
      </c>
      <c r="Q63" s="5">
        <f>IF(VLOOKUP($B63,Table2[[prolific]:[feedbackTime]],16,FALSE)=VLOOKUP(Q$1,Table1[],2,FALSE),1,0)</f>
        <v>1</v>
      </c>
      <c r="R63" s="5">
        <f>IF(VLOOKUP($B63,Table2[[prolific]:[feedbackTime]],17,FALSE)=VLOOKUP(R$1,Table1[],2,FALSE),1,0)</f>
        <v>0</v>
      </c>
      <c r="S63" s="5">
        <f>IF(VLOOKUP($B63,Table2[[prolific]:[feedbackTime]],18,FALSE)=VLOOKUP(S$1,Table1[],2,FALSE),1,0)</f>
        <v>0</v>
      </c>
      <c r="T63" s="5">
        <f>IF(VLOOKUP($B63,Table2[[prolific]:[feedbackTime]],19,FALSE)=VLOOKUP(T$1,Table1[],2,FALSE),1,0)</f>
        <v>1</v>
      </c>
      <c r="U63" s="5">
        <f>IF(VLOOKUP($B63,Table2[[prolific]:[feedbackTime]],20,FALSE)=VLOOKUP(U$1,Table1[],2,FALSE),1,0)</f>
        <v>1</v>
      </c>
      <c r="V63" s="5">
        <f>IF(VLOOKUP($B63,Table2[[prolific]:[feedbackTime]],21,FALSE)=VLOOKUP(V$1,Table1[],2,FALSE),1,0)</f>
        <v>0</v>
      </c>
      <c r="W63" s="5">
        <f>IF(VLOOKUP($B63,Table2[[prolific]:[feedbackTime]],22,FALSE)=VLOOKUP(W$1,Table1[],2,FALSE),1,0)</f>
        <v>0</v>
      </c>
      <c r="X63" s="5">
        <f t="shared" si="36"/>
        <v>4</v>
      </c>
      <c r="Y63" s="7">
        <f t="shared" si="37"/>
        <v>0.5</v>
      </c>
      <c r="Z63" s="5">
        <f>IF(VLOOKUP($B63,Table2[[prolific]:[feedbackTime]],23,FALSE)=VLOOKUP(Z$1,Table1[],2,FALSE),1,0)</f>
        <v>1</v>
      </c>
      <c r="AA63" s="5">
        <f>IF(VLOOKUP($B63,Table2[[prolific]:[feedbackTime]],24,FALSE)=VLOOKUP(AA$1,Table1[],2,FALSE),1,0)</f>
        <v>1</v>
      </c>
      <c r="AB63" s="5">
        <f>IF(VLOOKUP($B63,Table2[[prolific]:[feedbackTime]],25,FALSE)=VLOOKUP(AB$1,Table1[],2,FALSE),1,0)</f>
        <v>1</v>
      </c>
      <c r="AC63" s="5">
        <f>IF(VLOOKUP($B63,Table2[[prolific]:[feedbackTime]],26,FALSE)=VLOOKUP(AC$1,Table1[],2,FALSE),1,0)</f>
        <v>1</v>
      </c>
      <c r="AD63" s="5">
        <f>IF(VLOOKUP($B63,Table2[[prolific]:[feedbackTime]],27,FALSE)=VLOOKUP(AD$1,Table1[],2,FALSE),1,0)</f>
        <v>0</v>
      </c>
      <c r="AE63" s="5">
        <f>IF(VLOOKUP($B63,Table2[[prolific]:[feedbackTime]],28,FALSE)=VLOOKUP(AE$1,Table1[],2,FALSE),1,0)</f>
        <v>1</v>
      </c>
      <c r="AF63" s="5">
        <f>IF(VLOOKUP($B63,Table2[[prolific]:[feedbackTime]],29,FALSE)=VLOOKUP(AF$1,Table1[],2,FALSE),1,0)</f>
        <v>1</v>
      </c>
      <c r="AG63" s="5">
        <f>IF(VLOOKUP($B63,Table2[[prolific]:[feedbackTime]],30,FALSE)=VLOOKUP(AG$1,Table1[],2,FALSE),1,0)</f>
        <v>1</v>
      </c>
      <c r="AH63" s="5">
        <f t="shared" si="38"/>
        <v>7</v>
      </c>
      <c r="AI63" s="7">
        <f t="shared" si="39"/>
        <v>0.875</v>
      </c>
      <c r="AJ63" s="7">
        <f t="shared" si="40"/>
        <v>0.63636363636363635</v>
      </c>
      <c r="AK63" s="5">
        <f t="shared" si="41"/>
        <v>14</v>
      </c>
    </row>
    <row r="64" spans="1:37" x14ac:dyDescent="0.25">
      <c r="A64">
        <f t="shared" si="21"/>
        <v>1</v>
      </c>
      <c r="B64" s="5" t="s">
        <v>1156</v>
      </c>
      <c r="C64" s="5">
        <f>IF(VLOOKUP($B64,Table2[[prolific]:[feedbackTime]],6,FALSE)=VLOOKUP(C$1,Table1[],2,FALSE),1,0)</f>
        <v>1</v>
      </c>
      <c r="D64" s="5">
        <f>IF(VLOOKUP($B64,Table2[[prolific]:[feedbackTime]],7,FALSE)=VLOOKUP(D$1,Table1[],2,FALSE),1,0)</f>
        <v>1</v>
      </c>
      <c r="E64" s="5">
        <f>IF(VLOOKUP($B64,Table2[[prolific]:[feedbackTime]],8,FALSE)=VLOOKUP(E$1,Table1[],2,FALSE),1,0)</f>
        <v>1</v>
      </c>
      <c r="F64" s="5">
        <f t="shared" si="32"/>
        <v>3</v>
      </c>
      <c r="G64" s="7">
        <f t="shared" si="33"/>
        <v>1</v>
      </c>
      <c r="H64" s="5">
        <f>IF(VLOOKUP($B64,Table2[[prolific]:[feedbackTime]],9,FALSE)=VLOOKUP(H$1,Table1[],2,FALSE),1,0)</f>
        <v>1</v>
      </c>
      <c r="I64" s="5">
        <f>IF(VLOOKUP($B64,Table2[[prolific]:[feedbackTime]],10,FALSE)=VLOOKUP(I$1,Table1[],2,FALSE),1,0)</f>
        <v>1</v>
      </c>
      <c r="J64" s="5">
        <f>IF(VLOOKUP($B64,Table2[[prolific]:[feedbackTime]],11,FALSE)=VLOOKUP(J$1,Table1[],2,FALSE),1,0)</f>
        <v>1</v>
      </c>
      <c r="K64" s="5">
        <f>IF(VLOOKUP($B64,Table2[[prolific]:[feedbackTime]],12,FALSE)=VLOOKUP(K$1,Table1[],2,FALSE),1,0)</f>
        <v>1</v>
      </c>
      <c r="L64" s="5">
        <f>IF(VLOOKUP($B64,Table2[[prolific]:[feedbackTime]],13,FALSE)=VLOOKUP(L$1,Table1[],2,FALSE),1,0)</f>
        <v>1</v>
      </c>
      <c r="M64" s="5">
        <f>IF(VLOOKUP($B64,Table2[[prolific]:[feedbackTime]],14,FALSE)=VLOOKUP(M$1,Table1[],2,FALSE),1,0)</f>
        <v>1</v>
      </c>
      <c r="N64" s="5">
        <f t="shared" si="34"/>
        <v>6</v>
      </c>
      <c r="O64" s="7">
        <f t="shared" si="35"/>
        <v>1</v>
      </c>
      <c r="P64" s="5">
        <f>IF(VLOOKUP($B64,Table2[[prolific]:[feedbackTime]],15,FALSE)=VLOOKUP(P$1,Table1[],2,FALSE),1,0)</f>
        <v>1</v>
      </c>
      <c r="Q64" s="5">
        <f>IF(VLOOKUP($B64,Table2[[prolific]:[feedbackTime]],16,FALSE)=VLOOKUP(Q$1,Table1[],2,FALSE),1,0)</f>
        <v>1</v>
      </c>
      <c r="R64" s="5">
        <f>IF(VLOOKUP($B64,Table2[[prolific]:[feedbackTime]],17,FALSE)=VLOOKUP(R$1,Table1[],2,FALSE),1,0)</f>
        <v>0</v>
      </c>
      <c r="S64" s="5">
        <f>IF(VLOOKUP($B64,Table2[[prolific]:[feedbackTime]],18,FALSE)=VLOOKUP(S$1,Table1[],2,FALSE),1,0)</f>
        <v>0</v>
      </c>
      <c r="T64" s="5">
        <f>IF(VLOOKUP($B64,Table2[[prolific]:[feedbackTime]],19,FALSE)=VLOOKUP(T$1,Table1[],2,FALSE),1,0)</f>
        <v>0</v>
      </c>
      <c r="U64" s="5">
        <f>IF(VLOOKUP($B64,Table2[[prolific]:[feedbackTime]],20,FALSE)=VLOOKUP(U$1,Table1[],2,FALSE),1,0)</f>
        <v>1</v>
      </c>
      <c r="V64" s="5">
        <f>IF(VLOOKUP($B64,Table2[[prolific]:[feedbackTime]],21,FALSE)=VLOOKUP(V$1,Table1[],2,FALSE),1,0)</f>
        <v>0</v>
      </c>
      <c r="W64" s="5">
        <f>IF(VLOOKUP($B64,Table2[[prolific]:[feedbackTime]],22,FALSE)=VLOOKUP(W$1,Table1[],2,FALSE),1,0)</f>
        <v>0</v>
      </c>
      <c r="X64" s="5">
        <f t="shared" si="36"/>
        <v>3</v>
      </c>
      <c r="Y64" s="7">
        <f t="shared" si="37"/>
        <v>0.375</v>
      </c>
      <c r="Z64" s="5">
        <f>IF(VLOOKUP($B64,Table2[[prolific]:[feedbackTime]],23,FALSE)=VLOOKUP(Z$1,Table1[],2,FALSE),1,0)</f>
        <v>1</v>
      </c>
      <c r="AA64" s="5">
        <f>IF(VLOOKUP($B64,Table2[[prolific]:[feedbackTime]],24,FALSE)=VLOOKUP(AA$1,Table1[],2,FALSE),1,0)</f>
        <v>0</v>
      </c>
      <c r="AB64" s="5">
        <f>IF(VLOOKUP($B64,Table2[[prolific]:[feedbackTime]],25,FALSE)=VLOOKUP(AB$1,Table1[],2,FALSE),1,0)</f>
        <v>1</v>
      </c>
      <c r="AC64" s="5">
        <f>IF(VLOOKUP($B64,Table2[[prolific]:[feedbackTime]],26,FALSE)=VLOOKUP(AC$1,Table1[],2,FALSE),1,0)</f>
        <v>0</v>
      </c>
      <c r="AD64" s="5">
        <f>IF(VLOOKUP($B64,Table2[[prolific]:[feedbackTime]],27,FALSE)=VLOOKUP(AD$1,Table1[],2,FALSE),1,0)</f>
        <v>1</v>
      </c>
      <c r="AE64" s="5">
        <f>IF(VLOOKUP($B64,Table2[[prolific]:[feedbackTime]],28,FALSE)=VLOOKUP(AE$1,Table1[],2,FALSE),1,0)</f>
        <v>0</v>
      </c>
      <c r="AF64" s="5">
        <f>IF(VLOOKUP($B64,Table2[[prolific]:[feedbackTime]],29,FALSE)=VLOOKUP(AF$1,Table1[],2,FALSE),1,0)</f>
        <v>0</v>
      </c>
      <c r="AG64" s="5">
        <f>IF(VLOOKUP($B64,Table2[[prolific]:[feedbackTime]],30,FALSE)=VLOOKUP(AG$1,Table1[],2,FALSE),1,0)</f>
        <v>1</v>
      </c>
      <c r="AH64" s="5">
        <f t="shared" si="38"/>
        <v>4</v>
      </c>
      <c r="AI64" s="7">
        <f t="shared" si="39"/>
        <v>0.5</v>
      </c>
      <c r="AJ64" s="7">
        <f t="shared" si="40"/>
        <v>0.59090909090909094</v>
      </c>
      <c r="AK64" s="5">
        <f t="shared" si="41"/>
        <v>13</v>
      </c>
    </row>
    <row r="65" spans="1:37" x14ac:dyDescent="0.25">
      <c r="A65">
        <f t="shared" si="21"/>
        <v>1</v>
      </c>
      <c r="B65" s="5" t="s">
        <v>1158</v>
      </c>
      <c r="C65" s="5">
        <f>IF(VLOOKUP($B65,Table2[[prolific]:[feedbackTime]],6,FALSE)=VLOOKUP(C$1,Table1[],2,FALSE),1,0)</f>
        <v>1</v>
      </c>
      <c r="D65" s="5">
        <f>IF(VLOOKUP($B65,Table2[[prolific]:[feedbackTime]],7,FALSE)=VLOOKUP(D$1,Table1[],2,FALSE),1,0)</f>
        <v>1</v>
      </c>
      <c r="E65" s="5">
        <f>IF(VLOOKUP($B65,Table2[[prolific]:[feedbackTime]],8,FALSE)=VLOOKUP(E$1,Table1[],2,FALSE),1,0)</f>
        <v>1</v>
      </c>
      <c r="F65" s="5">
        <f t="shared" si="32"/>
        <v>3</v>
      </c>
      <c r="G65" s="7">
        <f t="shared" si="33"/>
        <v>1</v>
      </c>
      <c r="H65" s="5">
        <f>IF(VLOOKUP($B65,Table2[[prolific]:[feedbackTime]],9,FALSE)=VLOOKUP(H$1,Table1[],2,FALSE),1,0)</f>
        <v>0</v>
      </c>
      <c r="I65" s="5">
        <f>IF(VLOOKUP($B65,Table2[[prolific]:[feedbackTime]],10,FALSE)=VLOOKUP(I$1,Table1[],2,FALSE),1,0)</f>
        <v>0</v>
      </c>
      <c r="J65" s="5">
        <f>IF(VLOOKUP($B65,Table2[[prolific]:[feedbackTime]],11,FALSE)=VLOOKUP(J$1,Table1[],2,FALSE),1,0)</f>
        <v>1</v>
      </c>
      <c r="K65" s="5">
        <f>IF(VLOOKUP($B65,Table2[[prolific]:[feedbackTime]],12,FALSE)=VLOOKUP(K$1,Table1[],2,FALSE),1,0)</f>
        <v>0</v>
      </c>
      <c r="L65" s="5">
        <f>IF(VLOOKUP($B65,Table2[[prolific]:[feedbackTime]],13,FALSE)=VLOOKUP(L$1,Table1[],2,FALSE),1,0)</f>
        <v>0</v>
      </c>
      <c r="M65" s="5">
        <f>IF(VLOOKUP($B65,Table2[[prolific]:[feedbackTime]],14,FALSE)=VLOOKUP(M$1,Table1[],2,FALSE),1,0)</f>
        <v>0</v>
      </c>
      <c r="N65" s="5">
        <f t="shared" si="34"/>
        <v>1</v>
      </c>
      <c r="O65" s="7">
        <f t="shared" si="35"/>
        <v>0.16666666666666666</v>
      </c>
      <c r="P65" s="5">
        <f>IF(VLOOKUP($B65,Table2[[prolific]:[feedbackTime]],15,FALSE)=VLOOKUP(P$1,Table1[],2,FALSE),1,0)</f>
        <v>1</v>
      </c>
      <c r="Q65" s="5">
        <f>IF(VLOOKUP($B65,Table2[[prolific]:[feedbackTime]],16,FALSE)=VLOOKUP(Q$1,Table1[],2,FALSE),1,0)</f>
        <v>1</v>
      </c>
      <c r="R65" s="5">
        <f>IF(VLOOKUP($B65,Table2[[prolific]:[feedbackTime]],17,FALSE)=VLOOKUP(R$1,Table1[],2,FALSE),1,0)</f>
        <v>0</v>
      </c>
      <c r="S65" s="5">
        <f>IF(VLOOKUP($B65,Table2[[prolific]:[feedbackTime]],18,FALSE)=VLOOKUP(S$1,Table1[],2,FALSE),1,0)</f>
        <v>0</v>
      </c>
      <c r="T65" s="5">
        <f>IF(VLOOKUP($B65,Table2[[prolific]:[feedbackTime]],19,FALSE)=VLOOKUP(T$1,Table1[],2,FALSE),1,0)</f>
        <v>0</v>
      </c>
      <c r="U65" s="5">
        <f>IF(VLOOKUP($B65,Table2[[prolific]:[feedbackTime]],20,FALSE)=VLOOKUP(U$1,Table1[],2,FALSE),1,0)</f>
        <v>1</v>
      </c>
      <c r="V65" s="5">
        <f>IF(VLOOKUP($B65,Table2[[prolific]:[feedbackTime]],21,FALSE)=VLOOKUP(V$1,Table1[],2,FALSE),1,0)</f>
        <v>0</v>
      </c>
      <c r="W65" s="5">
        <f>IF(VLOOKUP($B65,Table2[[prolific]:[feedbackTime]],22,FALSE)=VLOOKUP(W$1,Table1[],2,FALSE),1,0)</f>
        <v>1</v>
      </c>
      <c r="X65" s="5">
        <f t="shared" si="36"/>
        <v>4</v>
      </c>
      <c r="Y65" s="7">
        <f t="shared" si="37"/>
        <v>0.5</v>
      </c>
      <c r="Z65" s="5">
        <f>IF(VLOOKUP($B65,Table2[[prolific]:[feedbackTime]],23,FALSE)=VLOOKUP(Z$1,Table1[],2,FALSE),1,0)</f>
        <v>1</v>
      </c>
      <c r="AA65" s="5">
        <f>IF(VLOOKUP($B65,Table2[[prolific]:[feedbackTime]],24,FALSE)=VLOOKUP(AA$1,Table1[],2,FALSE),1,0)</f>
        <v>1</v>
      </c>
      <c r="AB65" s="5">
        <f>IF(VLOOKUP($B65,Table2[[prolific]:[feedbackTime]],25,FALSE)=VLOOKUP(AB$1,Table1[],2,FALSE),1,0)</f>
        <v>1</v>
      </c>
      <c r="AC65" s="5">
        <f>IF(VLOOKUP($B65,Table2[[prolific]:[feedbackTime]],26,FALSE)=VLOOKUP(AC$1,Table1[],2,FALSE),1,0)</f>
        <v>1</v>
      </c>
      <c r="AD65" s="5">
        <f>IF(VLOOKUP($B65,Table2[[prolific]:[feedbackTime]],27,FALSE)=VLOOKUP(AD$1,Table1[],2,FALSE),1,0)</f>
        <v>0</v>
      </c>
      <c r="AE65" s="5">
        <f>IF(VLOOKUP($B65,Table2[[prolific]:[feedbackTime]],28,FALSE)=VLOOKUP(AE$1,Table1[],2,FALSE),1,0)</f>
        <v>1</v>
      </c>
      <c r="AF65" s="5">
        <f>IF(VLOOKUP($B65,Table2[[prolific]:[feedbackTime]],29,FALSE)=VLOOKUP(AF$1,Table1[],2,FALSE),1,0)</f>
        <v>0</v>
      </c>
      <c r="AG65" s="5">
        <f>IF(VLOOKUP($B65,Table2[[prolific]:[feedbackTime]],30,FALSE)=VLOOKUP(AG$1,Table1[],2,FALSE),1,0)</f>
        <v>1</v>
      </c>
      <c r="AH65" s="5">
        <f t="shared" si="38"/>
        <v>6</v>
      </c>
      <c r="AI65" s="7">
        <f t="shared" si="39"/>
        <v>0.75</v>
      </c>
      <c r="AJ65" s="7">
        <f t="shared" si="40"/>
        <v>0.5</v>
      </c>
      <c r="AK65" s="5">
        <f t="shared" si="41"/>
        <v>11</v>
      </c>
    </row>
    <row r="66" spans="1:37" x14ac:dyDescent="0.25">
      <c r="A66">
        <f t="shared" ref="A66:A97" si="42">COUNTIF(B:B,B66)</f>
        <v>1</v>
      </c>
      <c r="B66" s="5" t="s">
        <v>1149</v>
      </c>
      <c r="C66" s="5">
        <f>IF(VLOOKUP($B66,Table2[[prolific]:[feedbackTime]],6,FALSE)=VLOOKUP(C$1,Table1[],2,FALSE),1,0)</f>
        <v>0</v>
      </c>
      <c r="D66" s="5">
        <f>IF(VLOOKUP($B66,Table2[[prolific]:[feedbackTime]],7,FALSE)=VLOOKUP(D$1,Table1[],2,FALSE),1,0)</f>
        <v>0</v>
      </c>
      <c r="E66" s="5">
        <f>IF(VLOOKUP($B66,Table2[[prolific]:[feedbackTime]],8,FALSE)=VLOOKUP(E$1,Table1[],2,FALSE),1,0)</f>
        <v>1</v>
      </c>
      <c r="F66" s="5">
        <f t="shared" si="32"/>
        <v>1</v>
      </c>
      <c r="G66" s="7">
        <f t="shared" si="33"/>
        <v>0.33333333333333331</v>
      </c>
      <c r="H66" s="5">
        <f>IF(VLOOKUP($B66,Table2[[prolific]:[feedbackTime]],9,FALSE)=VLOOKUP(H$1,Table1[],2,FALSE),1,0)</f>
        <v>1</v>
      </c>
      <c r="I66" s="5">
        <f>IF(VLOOKUP($B66,Table2[[prolific]:[feedbackTime]],10,FALSE)=VLOOKUP(I$1,Table1[],2,FALSE),1,0)</f>
        <v>1</v>
      </c>
      <c r="J66" s="5">
        <f>IF(VLOOKUP($B66,Table2[[prolific]:[feedbackTime]],11,FALSE)=VLOOKUP(J$1,Table1[],2,FALSE),1,0)</f>
        <v>1</v>
      </c>
      <c r="K66" s="5">
        <f>IF(VLOOKUP($B66,Table2[[prolific]:[feedbackTime]],12,FALSE)=VLOOKUP(K$1,Table1[],2,FALSE),1,0)</f>
        <v>1</v>
      </c>
      <c r="L66" s="5">
        <f>IF(VLOOKUP($B66,Table2[[prolific]:[feedbackTime]],13,FALSE)=VLOOKUP(L$1,Table1[],2,FALSE),1,0)</f>
        <v>0</v>
      </c>
      <c r="M66" s="5">
        <f>IF(VLOOKUP($B66,Table2[[prolific]:[feedbackTime]],14,FALSE)=VLOOKUP(M$1,Table1[],2,FALSE),1,0)</f>
        <v>1</v>
      </c>
      <c r="N66" s="5">
        <f t="shared" si="34"/>
        <v>5</v>
      </c>
      <c r="O66" s="7">
        <f t="shared" si="35"/>
        <v>0.83333333333333337</v>
      </c>
      <c r="P66" s="5">
        <f>IF(VLOOKUP($B66,Table2[[prolific]:[feedbackTime]],15,FALSE)=VLOOKUP(P$1,Table1[],2,FALSE),1,0)</f>
        <v>1</v>
      </c>
      <c r="Q66" s="5">
        <f>IF(VLOOKUP($B66,Table2[[prolific]:[feedbackTime]],16,FALSE)=VLOOKUP(Q$1,Table1[],2,FALSE),1,0)</f>
        <v>1</v>
      </c>
      <c r="R66" s="5">
        <f>IF(VLOOKUP($B66,Table2[[prolific]:[feedbackTime]],17,FALSE)=VLOOKUP(R$1,Table1[],2,FALSE),1,0)</f>
        <v>1</v>
      </c>
      <c r="S66" s="5">
        <f>IF(VLOOKUP($B66,Table2[[prolific]:[feedbackTime]],18,FALSE)=VLOOKUP(S$1,Table1[],2,FALSE),1,0)</f>
        <v>1</v>
      </c>
      <c r="T66" s="5">
        <f>IF(VLOOKUP($B66,Table2[[prolific]:[feedbackTime]],19,FALSE)=VLOOKUP(T$1,Table1[],2,FALSE),1,0)</f>
        <v>1</v>
      </c>
      <c r="U66" s="5">
        <f>IF(VLOOKUP($B66,Table2[[prolific]:[feedbackTime]],20,FALSE)=VLOOKUP(U$1,Table1[],2,FALSE),1,0)</f>
        <v>1</v>
      </c>
      <c r="V66" s="5">
        <f>IF(VLOOKUP($B66,Table2[[prolific]:[feedbackTime]],21,FALSE)=VLOOKUP(V$1,Table1[],2,FALSE),1,0)</f>
        <v>1</v>
      </c>
      <c r="W66" s="5">
        <f>IF(VLOOKUP($B66,Table2[[prolific]:[feedbackTime]],22,FALSE)=VLOOKUP(W$1,Table1[],2,FALSE),1,0)</f>
        <v>1</v>
      </c>
      <c r="X66" s="5">
        <f t="shared" si="36"/>
        <v>8</v>
      </c>
      <c r="Y66" s="7">
        <f t="shared" si="37"/>
        <v>1</v>
      </c>
      <c r="Z66" s="5">
        <f>IF(VLOOKUP($B66,Table2[[prolific]:[feedbackTime]],23,FALSE)=VLOOKUP(Z$1,Table1[],2,FALSE),1,0)</f>
        <v>1</v>
      </c>
      <c r="AA66" s="5">
        <f>IF(VLOOKUP($B66,Table2[[prolific]:[feedbackTime]],24,FALSE)=VLOOKUP(AA$1,Table1[],2,FALSE),1,0)</f>
        <v>1</v>
      </c>
      <c r="AB66" s="5">
        <f>IF(VLOOKUP($B66,Table2[[prolific]:[feedbackTime]],25,FALSE)=VLOOKUP(AB$1,Table1[],2,FALSE),1,0)</f>
        <v>1</v>
      </c>
      <c r="AC66" s="5">
        <f>IF(VLOOKUP($B66,Table2[[prolific]:[feedbackTime]],26,FALSE)=VLOOKUP(AC$1,Table1[],2,FALSE),1,0)</f>
        <v>1</v>
      </c>
      <c r="AD66" s="5">
        <f>IF(VLOOKUP($B66,Table2[[prolific]:[feedbackTime]],27,FALSE)=VLOOKUP(AD$1,Table1[],2,FALSE),1,0)</f>
        <v>0</v>
      </c>
      <c r="AE66" s="5">
        <f>IF(VLOOKUP($B66,Table2[[prolific]:[feedbackTime]],28,FALSE)=VLOOKUP(AE$1,Table1[],2,FALSE),1,0)</f>
        <v>1</v>
      </c>
      <c r="AF66" s="5">
        <f>IF(VLOOKUP($B66,Table2[[prolific]:[feedbackTime]],29,FALSE)=VLOOKUP(AF$1,Table1[],2,FALSE),1,0)</f>
        <v>1</v>
      </c>
      <c r="AG66" s="5">
        <f>IF(VLOOKUP($B66,Table2[[prolific]:[feedbackTime]],30,FALSE)=VLOOKUP(AG$1,Table1[],2,FALSE),1,0)</f>
        <v>1</v>
      </c>
      <c r="AH66" s="5">
        <f t="shared" si="38"/>
        <v>7</v>
      </c>
      <c r="AI66" s="7">
        <f t="shared" si="39"/>
        <v>0.875</v>
      </c>
      <c r="AJ66" s="7">
        <f t="shared" si="40"/>
        <v>0.90909090909090906</v>
      </c>
      <c r="AK66" s="5">
        <f t="shared" si="41"/>
        <v>20</v>
      </c>
    </row>
    <row r="67" spans="1:37" x14ac:dyDescent="0.25">
      <c r="A67">
        <f t="shared" si="42"/>
        <v>2</v>
      </c>
      <c r="B67" s="5" t="s">
        <v>1023</v>
      </c>
      <c r="C67" s="5">
        <f>IF(VLOOKUP($B67,Table2[[prolific]:[feedbackTime]],6,FALSE)=VLOOKUP(C$1,Table1[],2,FALSE),1,0)</f>
        <v>1</v>
      </c>
      <c r="D67" s="5">
        <f>IF(VLOOKUP($B67,Table2[[prolific]:[feedbackTime]],7,FALSE)=VLOOKUP(D$1,Table1[],2,FALSE),1,0)</f>
        <v>1</v>
      </c>
      <c r="E67" s="5">
        <f>IF(VLOOKUP($B67,Table2[[prolific]:[feedbackTime]],8,FALSE)=VLOOKUP(E$1,Table1[],2,FALSE),1,0)</f>
        <v>1</v>
      </c>
      <c r="F67" s="5">
        <f t="shared" si="32"/>
        <v>3</v>
      </c>
      <c r="G67" s="7">
        <f t="shared" si="33"/>
        <v>1</v>
      </c>
      <c r="H67" s="5">
        <f>IF(VLOOKUP($B67,Table2[[prolific]:[feedbackTime]],9,FALSE)=VLOOKUP(H$1,Table1[],2,FALSE),1,0)</f>
        <v>1</v>
      </c>
      <c r="I67" s="5">
        <f>IF(VLOOKUP($B67,Table2[[prolific]:[feedbackTime]],10,FALSE)=VLOOKUP(I$1,Table1[],2,FALSE),1,0)</f>
        <v>0</v>
      </c>
      <c r="J67" s="5">
        <f>IF(VLOOKUP($B67,Table2[[prolific]:[feedbackTime]],11,FALSE)=VLOOKUP(J$1,Table1[],2,FALSE),1,0)</f>
        <v>1</v>
      </c>
      <c r="K67" s="5">
        <f>IF(VLOOKUP($B67,Table2[[prolific]:[feedbackTime]],12,FALSE)=VLOOKUP(K$1,Table1[],2,FALSE),1,0)</f>
        <v>1</v>
      </c>
      <c r="L67" s="5">
        <f>IF(VLOOKUP($B67,Table2[[prolific]:[feedbackTime]],13,FALSE)=VLOOKUP(L$1,Table1[],2,FALSE),1,0)</f>
        <v>0</v>
      </c>
      <c r="M67" s="5">
        <f>IF(VLOOKUP($B67,Table2[[prolific]:[feedbackTime]],14,FALSE)=VLOOKUP(M$1,Table1[],2,FALSE),1,0)</f>
        <v>0</v>
      </c>
      <c r="N67" s="5">
        <f t="shared" si="34"/>
        <v>3</v>
      </c>
      <c r="O67" s="7">
        <f t="shared" si="35"/>
        <v>0.5</v>
      </c>
      <c r="P67" s="5">
        <f>IF(VLOOKUP($B67,Table2[[prolific]:[feedbackTime]],15,FALSE)=VLOOKUP(P$1,Table1[],2,FALSE),1,0)</f>
        <v>1</v>
      </c>
      <c r="Q67" s="5">
        <f>IF(VLOOKUP($B67,Table2[[prolific]:[feedbackTime]],16,FALSE)=VLOOKUP(Q$1,Table1[],2,FALSE),1,0)</f>
        <v>1</v>
      </c>
      <c r="R67" s="5">
        <f>IF(VLOOKUP($B67,Table2[[prolific]:[feedbackTime]],17,FALSE)=VLOOKUP(R$1,Table1[],2,FALSE),1,0)</f>
        <v>0</v>
      </c>
      <c r="S67" s="5">
        <f>IF(VLOOKUP($B67,Table2[[prolific]:[feedbackTime]],18,FALSE)=VLOOKUP(S$1,Table1[],2,FALSE),1,0)</f>
        <v>0</v>
      </c>
      <c r="T67" s="5">
        <f>IF(VLOOKUP($B67,Table2[[prolific]:[feedbackTime]],19,FALSE)=VLOOKUP(T$1,Table1[],2,FALSE),1,0)</f>
        <v>0</v>
      </c>
      <c r="U67" s="5">
        <f>IF(VLOOKUP($B67,Table2[[prolific]:[feedbackTime]],20,FALSE)=VLOOKUP(U$1,Table1[],2,FALSE),1,0)</f>
        <v>1</v>
      </c>
      <c r="V67" s="5">
        <f>IF(VLOOKUP($B67,Table2[[prolific]:[feedbackTime]],21,FALSE)=VLOOKUP(V$1,Table1[],2,FALSE),1,0)</f>
        <v>0</v>
      </c>
      <c r="W67" s="5">
        <f>IF(VLOOKUP($B67,Table2[[prolific]:[feedbackTime]],22,FALSE)=VLOOKUP(W$1,Table1[],2,FALSE),1,0)</f>
        <v>0</v>
      </c>
      <c r="X67" s="5">
        <f t="shared" si="36"/>
        <v>3</v>
      </c>
      <c r="Y67" s="7">
        <f t="shared" si="37"/>
        <v>0.375</v>
      </c>
      <c r="Z67" s="5">
        <f>IF(VLOOKUP($B67,Table2[[prolific]:[feedbackTime]],23,FALSE)=VLOOKUP(Z$1,Table1[],2,FALSE),1,0)</f>
        <v>1</v>
      </c>
      <c r="AA67" s="5">
        <f>IF(VLOOKUP($B67,Table2[[prolific]:[feedbackTime]],24,FALSE)=VLOOKUP(AA$1,Table1[],2,FALSE),1,0)</f>
        <v>1</v>
      </c>
      <c r="AB67" s="5">
        <f>IF(VLOOKUP($B67,Table2[[prolific]:[feedbackTime]],25,FALSE)=VLOOKUP(AB$1,Table1[],2,FALSE),1,0)</f>
        <v>1</v>
      </c>
      <c r="AC67" s="5">
        <f>IF(VLOOKUP($B67,Table2[[prolific]:[feedbackTime]],26,FALSE)=VLOOKUP(AC$1,Table1[],2,FALSE),1,0)</f>
        <v>1</v>
      </c>
      <c r="AD67" s="5">
        <f>IF(VLOOKUP($B67,Table2[[prolific]:[feedbackTime]],27,FALSE)=VLOOKUP(AD$1,Table1[],2,FALSE),1,0)</f>
        <v>1</v>
      </c>
      <c r="AE67" s="5">
        <f>IF(VLOOKUP($B67,Table2[[prolific]:[feedbackTime]],28,FALSE)=VLOOKUP(AE$1,Table1[],2,FALSE),1,0)</f>
        <v>0</v>
      </c>
      <c r="AF67" s="5">
        <f>IF(VLOOKUP($B67,Table2[[prolific]:[feedbackTime]],29,FALSE)=VLOOKUP(AF$1,Table1[],2,FALSE),1,0)</f>
        <v>1</v>
      </c>
      <c r="AG67" s="5">
        <f>IF(VLOOKUP($B67,Table2[[prolific]:[feedbackTime]],30,FALSE)=VLOOKUP(AG$1,Table1[],2,FALSE),1,0)</f>
        <v>0</v>
      </c>
      <c r="AH67" s="5">
        <f t="shared" si="38"/>
        <v>6</v>
      </c>
      <c r="AI67" s="7">
        <f t="shared" si="39"/>
        <v>0.75</v>
      </c>
      <c r="AJ67" s="7">
        <f t="shared" si="40"/>
        <v>0.54545454545454541</v>
      </c>
      <c r="AK67" s="5">
        <f t="shared" si="41"/>
        <v>12</v>
      </c>
    </row>
    <row r="68" spans="1:37" x14ac:dyDescent="0.25">
      <c r="A68">
        <f t="shared" si="42"/>
        <v>1</v>
      </c>
      <c r="B68" s="5" t="s">
        <v>1159</v>
      </c>
      <c r="C68" s="5">
        <f>IF(VLOOKUP($B68,Table2[[prolific]:[feedbackTime]],6,FALSE)=VLOOKUP(C$1,Table1[],2,FALSE),1,0)</f>
        <v>1</v>
      </c>
      <c r="D68" s="5">
        <f>IF(VLOOKUP($B68,Table2[[prolific]:[feedbackTime]],7,FALSE)=VLOOKUP(D$1,Table1[],2,FALSE),1,0)</f>
        <v>1</v>
      </c>
      <c r="E68" s="5">
        <f>IF(VLOOKUP($B68,Table2[[prolific]:[feedbackTime]],8,FALSE)=VLOOKUP(E$1,Table1[],2,FALSE),1,0)</f>
        <v>1</v>
      </c>
      <c r="F68" s="5">
        <f t="shared" si="32"/>
        <v>3</v>
      </c>
      <c r="G68" s="7">
        <f t="shared" si="33"/>
        <v>1</v>
      </c>
      <c r="H68" s="5">
        <f>IF(VLOOKUP($B68,Table2[[prolific]:[feedbackTime]],9,FALSE)=VLOOKUP(H$1,Table1[],2,FALSE),1,0)</f>
        <v>1</v>
      </c>
      <c r="I68" s="5">
        <f>IF(VLOOKUP($B68,Table2[[prolific]:[feedbackTime]],10,FALSE)=VLOOKUP(I$1,Table1[],2,FALSE),1,0)</f>
        <v>1</v>
      </c>
      <c r="J68" s="5">
        <f>IF(VLOOKUP($B68,Table2[[prolific]:[feedbackTime]],11,FALSE)=VLOOKUP(J$1,Table1[],2,FALSE),1,0)</f>
        <v>1</v>
      </c>
      <c r="K68" s="5">
        <f>IF(VLOOKUP($B68,Table2[[prolific]:[feedbackTime]],12,FALSE)=VLOOKUP(K$1,Table1[],2,FALSE),1,0)</f>
        <v>1</v>
      </c>
      <c r="L68" s="5">
        <f>IF(VLOOKUP($B68,Table2[[prolific]:[feedbackTime]],13,FALSE)=VLOOKUP(L$1,Table1[],2,FALSE),1,0)</f>
        <v>1</v>
      </c>
      <c r="M68" s="5">
        <f>IF(VLOOKUP($B68,Table2[[prolific]:[feedbackTime]],14,FALSE)=VLOOKUP(M$1,Table1[],2,FALSE),1,0)</f>
        <v>1</v>
      </c>
      <c r="N68" s="5">
        <f t="shared" si="34"/>
        <v>6</v>
      </c>
      <c r="O68" s="7">
        <f t="shared" si="35"/>
        <v>1</v>
      </c>
      <c r="P68" s="5">
        <f>IF(VLOOKUP($B68,Table2[[prolific]:[feedbackTime]],15,FALSE)=VLOOKUP(P$1,Table1[],2,FALSE),1,0)</f>
        <v>1</v>
      </c>
      <c r="Q68" s="5">
        <f>IF(VLOOKUP($B68,Table2[[prolific]:[feedbackTime]],16,FALSE)=VLOOKUP(Q$1,Table1[],2,FALSE),1,0)</f>
        <v>1</v>
      </c>
      <c r="R68" s="5">
        <f>IF(VLOOKUP($B68,Table2[[prolific]:[feedbackTime]],17,FALSE)=VLOOKUP(R$1,Table1[],2,FALSE),1,0)</f>
        <v>0</v>
      </c>
      <c r="S68" s="5">
        <f>IF(VLOOKUP($B68,Table2[[prolific]:[feedbackTime]],18,FALSE)=VLOOKUP(S$1,Table1[],2,FALSE),1,0)</f>
        <v>0</v>
      </c>
      <c r="T68" s="5">
        <f>IF(VLOOKUP($B68,Table2[[prolific]:[feedbackTime]],19,FALSE)=VLOOKUP(T$1,Table1[],2,FALSE),1,0)</f>
        <v>1</v>
      </c>
      <c r="U68" s="5">
        <f>IF(VLOOKUP($B68,Table2[[prolific]:[feedbackTime]],20,FALSE)=VLOOKUP(U$1,Table1[],2,FALSE),1,0)</f>
        <v>1</v>
      </c>
      <c r="V68" s="5">
        <f>IF(VLOOKUP($B68,Table2[[prolific]:[feedbackTime]],21,FALSE)=VLOOKUP(V$1,Table1[],2,FALSE),1,0)</f>
        <v>1</v>
      </c>
      <c r="W68" s="5">
        <f>IF(VLOOKUP($B68,Table2[[prolific]:[feedbackTime]],22,FALSE)=VLOOKUP(W$1,Table1[],2,FALSE),1,0)</f>
        <v>1</v>
      </c>
      <c r="X68" s="5">
        <f t="shared" si="36"/>
        <v>6</v>
      </c>
      <c r="Y68" s="7">
        <f t="shared" si="37"/>
        <v>0.75</v>
      </c>
      <c r="Z68" s="5">
        <f>IF(VLOOKUP($B68,Table2[[prolific]:[feedbackTime]],23,FALSE)=VLOOKUP(Z$1,Table1[],2,FALSE),1,0)</f>
        <v>1</v>
      </c>
      <c r="AA68" s="5">
        <f>IF(VLOOKUP($B68,Table2[[prolific]:[feedbackTime]],24,FALSE)=VLOOKUP(AA$1,Table1[],2,FALSE),1,0)</f>
        <v>1</v>
      </c>
      <c r="AB68" s="5">
        <f>IF(VLOOKUP($B68,Table2[[prolific]:[feedbackTime]],25,FALSE)=VLOOKUP(AB$1,Table1[],2,FALSE),1,0)</f>
        <v>1</v>
      </c>
      <c r="AC68" s="5">
        <f>IF(VLOOKUP($B68,Table2[[prolific]:[feedbackTime]],26,FALSE)=VLOOKUP(AC$1,Table1[],2,FALSE),1,0)</f>
        <v>1</v>
      </c>
      <c r="AD68" s="5">
        <f>IF(VLOOKUP($B68,Table2[[prolific]:[feedbackTime]],27,FALSE)=VLOOKUP(AD$1,Table1[],2,FALSE),1,0)</f>
        <v>1</v>
      </c>
      <c r="AE68" s="5">
        <f>IF(VLOOKUP($B68,Table2[[prolific]:[feedbackTime]],28,FALSE)=VLOOKUP(AE$1,Table1[],2,FALSE),1,0)</f>
        <v>1</v>
      </c>
      <c r="AF68" s="5">
        <f>IF(VLOOKUP($B68,Table2[[prolific]:[feedbackTime]],29,FALSE)=VLOOKUP(AF$1,Table1[],2,FALSE),1,0)</f>
        <v>1</v>
      </c>
      <c r="AG68" s="5">
        <f>IF(VLOOKUP($B68,Table2[[prolific]:[feedbackTime]],30,FALSE)=VLOOKUP(AG$1,Table1[],2,FALSE),1,0)</f>
        <v>1</v>
      </c>
      <c r="AH68" s="5">
        <f t="shared" si="38"/>
        <v>8</v>
      </c>
      <c r="AI68" s="7">
        <f t="shared" si="39"/>
        <v>1</v>
      </c>
      <c r="AJ68" s="7">
        <f t="shared" si="40"/>
        <v>0.90909090909090906</v>
      </c>
      <c r="AK68" s="5">
        <f t="shared" si="41"/>
        <v>20</v>
      </c>
    </row>
    <row r="69" spans="1:37" x14ac:dyDescent="0.25">
      <c r="A69">
        <f t="shared" si="42"/>
        <v>1</v>
      </c>
      <c r="B69" s="5" t="s">
        <v>1160</v>
      </c>
      <c r="C69" s="5">
        <f>IF(VLOOKUP($B69,Table2[[prolific]:[feedbackTime]],6,FALSE)=VLOOKUP(C$1,Table1[],2,FALSE),1,0)</f>
        <v>1</v>
      </c>
      <c r="D69" s="5">
        <f>IF(VLOOKUP($B69,Table2[[prolific]:[feedbackTime]],7,FALSE)=VLOOKUP(D$1,Table1[],2,FALSE),1,0)</f>
        <v>1</v>
      </c>
      <c r="E69" s="5">
        <f>IF(VLOOKUP($B69,Table2[[prolific]:[feedbackTime]],8,FALSE)=VLOOKUP(E$1,Table1[],2,FALSE),1,0)</f>
        <v>1</v>
      </c>
      <c r="F69" s="5">
        <f t="shared" si="32"/>
        <v>3</v>
      </c>
      <c r="G69" s="7">
        <f t="shared" si="33"/>
        <v>1</v>
      </c>
      <c r="H69" s="5">
        <f>IF(VLOOKUP($B69,Table2[[prolific]:[feedbackTime]],9,FALSE)=VLOOKUP(H$1,Table1[],2,FALSE),1,0)</f>
        <v>1</v>
      </c>
      <c r="I69" s="5">
        <f>IF(VLOOKUP($B69,Table2[[prolific]:[feedbackTime]],10,FALSE)=VLOOKUP(I$1,Table1[],2,FALSE),1,0)</f>
        <v>1</v>
      </c>
      <c r="J69" s="5">
        <f>IF(VLOOKUP($B69,Table2[[prolific]:[feedbackTime]],11,FALSE)=VLOOKUP(J$1,Table1[],2,FALSE),1,0)</f>
        <v>1</v>
      </c>
      <c r="K69" s="5">
        <f>IF(VLOOKUP($B69,Table2[[prolific]:[feedbackTime]],12,FALSE)=VLOOKUP(K$1,Table1[],2,FALSE),1,0)</f>
        <v>1</v>
      </c>
      <c r="L69" s="5">
        <f>IF(VLOOKUP($B69,Table2[[prolific]:[feedbackTime]],13,FALSE)=VLOOKUP(L$1,Table1[],2,FALSE),1,0)</f>
        <v>1</v>
      </c>
      <c r="M69" s="5">
        <f>IF(VLOOKUP($B69,Table2[[prolific]:[feedbackTime]],14,FALSE)=VLOOKUP(M$1,Table1[],2,FALSE),1,0)</f>
        <v>1</v>
      </c>
      <c r="N69" s="5">
        <f t="shared" si="34"/>
        <v>6</v>
      </c>
      <c r="O69" s="7">
        <f t="shared" si="35"/>
        <v>1</v>
      </c>
      <c r="P69" s="5">
        <f>IF(VLOOKUP($B69,Table2[[prolific]:[feedbackTime]],15,FALSE)=VLOOKUP(P$1,Table1[],2,FALSE),1,0)</f>
        <v>1</v>
      </c>
      <c r="Q69" s="5">
        <f>IF(VLOOKUP($B69,Table2[[prolific]:[feedbackTime]],16,FALSE)=VLOOKUP(Q$1,Table1[],2,FALSE),1,0)</f>
        <v>1</v>
      </c>
      <c r="R69" s="5">
        <f>IF(VLOOKUP($B69,Table2[[prolific]:[feedbackTime]],17,FALSE)=VLOOKUP(R$1,Table1[],2,FALSE),1,0)</f>
        <v>1</v>
      </c>
      <c r="S69" s="5">
        <f>IF(VLOOKUP($B69,Table2[[prolific]:[feedbackTime]],18,FALSE)=VLOOKUP(S$1,Table1[],2,FALSE),1,0)</f>
        <v>1</v>
      </c>
      <c r="T69" s="5">
        <f>IF(VLOOKUP($B69,Table2[[prolific]:[feedbackTime]],19,FALSE)=VLOOKUP(T$1,Table1[],2,FALSE),1,0)</f>
        <v>1</v>
      </c>
      <c r="U69" s="5">
        <f>IF(VLOOKUP($B69,Table2[[prolific]:[feedbackTime]],20,FALSE)=VLOOKUP(U$1,Table1[],2,FALSE),1,0)</f>
        <v>1</v>
      </c>
      <c r="V69" s="5">
        <f>IF(VLOOKUP($B69,Table2[[prolific]:[feedbackTime]],21,FALSE)=VLOOKUP(V$1,Table1[],2,FALSE),1,0)</f>
        <v>1</v>
      </c>
      <c r="W69" s="5">
        <f>IF(VLOOKUP($B69,Table2[[prolific]:[feedbackTime]],22,FALSE)=VLOOKUP(W$1,Table1[],2,FALSE),1,0)</f>
        <v>1</v>
      </c>
      <c r="X69" s="5">
        <f t="shared" si="36"/>
        <v>8</v>
      </c>
      <c r="Y69" s="7">
        <f t="shared" si="37"/>
        <v>1</v>
      </c>
      <c r="Z69" s="5">
        <f>IF(VLOOKUP($B69,Table2[[prolific]:[feedbackTime]],23,FALSE)=VLOOKUP(Z$1,Table1[],2,FALSE),1,0)</f>
        <v>1</v>
      </c>
      <c r="AA69" s="5">
        <f>IF(VLOOKUP($B69,Table2[[prolific]:[feedbackTime]],24,FALSE)=VLOOKUP(AA$1,Table1[],2,FALSE),1,0)</f>
        <v>1</v>
      </c>
      <c r="AB69" s="5">
        <f>IF(VLOOKUP($B69,Table2[[prolific]:[feedbackTime]],25,FALSE)=VLOOKUP(AB$1,Table1[],2,FALSE),1,0)</f>
        <v>1</v>
      </c>
      <c r="AC69" s="5">
        <f>IF(VLOOKUP($B69,Table2[[prolific]:[feedbackTime]],26,FALSE)=VLOOKUP(AC$1,Table1[],2,FALSE),1,0)</f>
        <v>1</v>
      </c>
      <c r="AD69" s="5">
        <f>IF(VLOOKUP($B69,Table2[[prolific]:[feedbackTime]],27,FALSE)=VLOOKUP(AD$1,Table1[],2,FALSE),1,0)</f>
        <v>0</v>
      </c>
      <c r="AE69" s="5">
        <f>IF(VLOOKUP($B69,Table2[[prolific]:[feedbackTime]],28,FALSE)=VLOOKUP(AE$1,Table1[],2,FALSE),1,0)</f>
        <v>1</v>
      </c>
      <c r="AF69" s="5">
        <f>IF(VLOOKUP($B69,Table2[[prolific]:[feedbackTime]],29,FALSE)=VLOOKUP(AF$1,Table1[],2,FALSE),1,0)</f>
        <v>1</v>
      </c>
      <c r="AG69" s="5">
        <f>IF(VLOOKUP($B69,Table2[[prolific]:[feedbackTime]],30,FALSE)=VLOOKUP(AG$1,Table1[],2,FALSE),1,0)</f>
        <v>1</v>
      </c>
      <c r="AH69" s="5">
        <f t="shared" si="38"/>
        <v>7</v>
      </c>
      <c r="AI69" s="7">
        <f t="shared" si="39"/>
        <v>0.875</v>
      </c>
      <c r="AJ69" s="7">
        <f t="shared" si="40"/>
        <v>0.95454545454545459</v>
      </c>
      <c r="AK69" s="5">
        <f t="shared" si="41"/>
        <v>21</v>
      </c>
    </row>
    <row r="70" spans="1:37" x14ac:dyDescent="0.25">
      <c r="A70">
        <f t="shared" si="42"/>
        <v>1</v>
      </c>
      <c r="B70" s="5" t="s">
        <v>1150</v>
      </c>
      <c r="C70" s="5">
        <f>IF(VLOOKUP($B70,Table2[[prolific]:[feedbackTime]],6,FALSE)=VLOOKUP(C$1,Table1[],2,FALSE),1,0)</f>
        <v>0</v>
      </c>
      <c r="D70" s="5">
        <f>IF(VLOOKUP($B70,Table2[[prolific]:[feedbackTime]],7,FALSE)=VLOOKUP(D$1,Table1[],2,FALSE),1,0)</f>
        <v>0</v>
      </c>
      <c r="E70" s="5">
        <f>IF(VLOOKUP($B70,Table2[[prolific]:[feedbackTime]],8,FALSE)=VLOOKUP(E$1,Table1[],2,FALSE),1,0)</f>
        <v>1</v>
      </c>
      <c r="F70" s="5">
        <f t="shared" si="32"/>
        <v>1</v>
      </c>
      <c r="G70" s="7">
        <f t="shared" si="33"/>
        <v>0.33333333333333331</v>
      </c>
      <c r="H70" s="5">
        <f>IF(VLOOKUP($B70,Table2[[prolific]:[feedbackTime]],9,FALSE)=VLOOKUP(H$1,Table1[],2,FALSE),1,0)</f>
        <v>1</v>
      </c>
      <c r="I70" s="5">
        <f>IF(VLOOKUP($B70,Table2[[prolific]:[feedbackTime]],10,FALSE)=VLOOKUP(I$1,Table1[],2,FALSE),1,0)</f>
        <v>1</v>
      </c>
      <c r="J70" s="5">
        <f>IF(VLOOKUP($B70,Table2[[prolific]:[feedbackTime]],11,FALSE)=VLOOKUP(J$1,Table1[],2,FALSE),1,0)</f>
        <v>1</v>
      </c>
      <c r="K70" s="5">
        <f>IF(VLOOKUP($B70,Table2[[prolific]:[feedbackTime]],12,FALSE)=VLOOKUP(K$1,Table1[],2,FALSE),1,0)</f>
        <v>1</v>
      </c>
      <c r="L70" s="5">
        <f>IF(VLOOKUP($B70,Table2[[prolific]:[feedbackTime]],13,FALSE)=VLOOKUP(L$1,Table1[],2,FALSE),1,0)</f>
        <v>1</v>
      </c>
      <c r="M70" s="5">
        <f>IF(VLOOKUP($B70,Table2[[prolific]:[feedbackTime]],14,FALSE)=VLOOKUP(M$1,Table1[],2,FALSE),1,0)</f>
        <v>1</v>
      </c>
      <c r="N70" s="5">
        <f t="shared" si="34"/>
        <v>6</v>
      </c>
      <c r="O70" s="7">
        <f t="shared" si="35"/>
        <v>1</v>
      </c>
      <c r="P70" s="5">
        <f>IF(VLOOKUP($B70,Table2[[prolific]:[feedbackTime]],15,FALSE)=VLOOKUP(P$1,Table1[],2,FALSE),1,0)</f>
        <v>1</v>
      </c>
      <c r="Q70" s="5">
        <f>IF(VLOOKUP($B70,Table2[[prolific]:[feedbackTime]],16,FALSE)=VLOOKUP(Q$1,Table1[],2,FALSE),1,0)</f>
        <v>1</v>
      </c>
      <c r="R70" s="5">
        <f>IF(VLOOKUP($B70,Table2[[prolific]:[feedbackTime]],17,FALSE)=VLOOKUP(R$1,Table1[],2,FALSE),1,0)</f>
        <v>1</v>
      </c>
      <c r="S70" s="5">
        <f>IF(VLOOKUP($B70,Table2[[prolific]:[feedbackTime]],18,FALSE)=VLOOKUP(S$1,Table1[],2,FALSE),1,0)</f>
        <v>1</v>
      </c>
      <c r="T70" s="5">
        <f>IF(VLOOKUP($B70,Table2[[prolific]:[feedbackTime]],19,FALSE)=VLOOKUP(T$1,Table1[],2,FALSE),1,0)</f>
        <v>1</v>
      </c>
      <c r="U70" s="5">
        <f>IF(VLOOKUP($B70,Table2[[prolific]:[feedbackTime]],20,FALSE)=VLOOKUP(U$1,Table1[],2,FALSE),1,0)</f>
        <v>1</v>
      </c>
      <c r="V70" s="5">
        <f>IF(VLOOKUP($B70,Table2[[prolific]:[feedbackTime]],21,FALSE)=VLOOKUP(V$1,Table1[],2,FALSE),1,0)</f>
        <v>0</v>
      </c>
      <c r="W70" s="5">
        <f>IF(VLOOKUP($B70,Table2[[prolific]:[feedbackTime]],22,FALSE)=VLOOKUP(W$1,Table1[],2,FALSE),1,0)</f>
        <v>1</v>
      </c>
      <c r="X70" s="5">
        <f t="shared" si="36"/>
        <v>7</v>
      </c>
      <c r="Y70" s="7">
        <f t="shared" si="37"/>
        <v>0.875</v>
      </c>
      <c r="Z70" s="5">
        <f>IF(VLOOKUP($B70,Table2[[prolific]:[feedbackTime]],23,FALSE)=VLOOKUP(Z$1,Table1[],2,FALSE),1,0)</f>
        <v>1</v>
      </c>
      <c r="AA70" s="5">
        <f>IF(VLOOKUP($B70,Table2[[prolific]:[feedbackTime]],24,FALSE)=VLOOKUP(AA$1,Table1[],2,FALSE),1,0)</f>
        <v>1</v>
      </c>
      <c r="AB70" s="5">
        <f>IF(VLOOKUP($B70,Table2[[prolific]:[feedbackTime]],25,FALSE)=VLOOKUP(AB$1,Table1[],2,FALSE),1,0)</f>
        <v>1</v>
      </c>
      <c r="AC70" s="5">
        <f>IF(VLOOKUP($B70,Table2[[prolific]:[feedbackTime]],26,FALSE)=VLOOKUP(AC$1,Table1[],2,FALSE),1,0)</f>
        <v>1</v>
      </c>
      <c r="AD70" s="5">
        <f>IF(VLOOKUP($B70,Table2[[prolific]:[feedbackTime]],27,FALSE)=VLOOKUP(AD$1,Table1[],2,FALSE),1,0)</f>
        <v>1</v>
      </c>
      <c r="AE70" s="5">
        <f>IF(VLOOKUP($B70,Table2[[prolific]:[feedbackTime]],28,FALSE)=VLOOKUP(AE$1,Table1[],2,FALSE),1,0)</f>
        <v>1</v>
      </c>
      <c r="AF70" s="5">
        <f>IF(VLOOKUP($B70,Table2[[prolific]:[feedbackTime]],29,FALSE)=VLOOKUP(AF$1,Table1[],2,FALSE),1,0)</f>
        <v>1</v>
      </c>
      <c r="AG70" s="5">
        <f>IF(VLOOKUP($B70,Table2[[prolific]:[feedbackTime]],30,FALSE)=VLOOKUP(AG$1,Table1[],2,FALSE),1,0)</f>
        <v>1</v>
      </c>
      <c r="AH70" s="5">
        <f t="shared" si="38"/>
        <v>8</v>
      </c>
      <c r="AI70" s="7">
        <f t="shared" si="39"/>
        <v>1</v>
      </c>
      <c r="AJ70" s="7">
        <f t="shared" si="40"/>
        <v>0.95454545454545459</v>
      </c>
      <c r="AK70" s="5">
        <f t="shared" si="41"/>
        <v>21</v>
      </c>
    </row>
    <row r="71" spans="1:37" x14ac:dyDescent="0.25">
      <c r="A71">
        <f t="shared" si="42"/>
        <v>1</v>
      </c>
      <c r="B71" s="5" t="s">
        <v>1162</v>
      </c>
      <c r="C71" s="5">
        <f>IF(VLOOKUP($B71,Table2[[prolific]:[feedbackTime]],6,FALSE)=VLOOKUP(C$1,Table1[],2,FALSE),1,0)</f>
        <v>1</v>
      </c>
      <c r="D71" s="5">
        <f>IF(VLOOKUP($B71,Table2[[prolific]:[feedbackTime]],7,FALSE)=VLOOKUP(D$1,Table1[],2,FALSE),1,0)</f>
        <v>1</v>
      </c>
      <c r="E71" s="5">
        <f>IF(VLOOKUP($B71,Table2[[prolific]:[feedbackTime]],8,FALSE)=VLOOKUP(E$1,Table1[],2,FALSE),1,0)</f>
        <v>1</v>
      </c>
      <c r="F71" s="5">
        <f t="shared" si="32"/>
        <v>3</v>
      </c>
      <c r="G71" s="7">
        <f t="shared" si="33"/>
        <v>1</v>
      </c>
      <c r="H71" s="5">
        <f>IF(VLOOKUP($B71,Table2[[prolific]:[feedbackTime]],9,FALSE)=VLOOKUP(H$1,Table1[],2,FALSE),1,0)</f>
        <v>1</v>
      </c>
      <c r="I71" s="5">
        <f>IF(VLOOKUP($B71,Table2[[prolific]:[feedbackTime]],10,FALSE)=VLOOKUP(I$1,Table1[],2,FALSE),1,0)</f>
        <v>1</v>
      </c>
      <c r="J71" s="5">
        <f>IF(VLOOKUP($B71,Table2[[prolific]:[feedbackTime]],11,FALSE)=VLOOKUP(J$1,Table1[],2,FALSE),1,0)</f>
        <v>1</v>
      </c>
      <c r="K71" s="5">
        <f>IF(VLOOKUP($B71,Table2[[prolific]:[feedbackTime]],12,FALSE)=VLOOKUP(K$1,Table1[],2,FALSE),1,0)</f>
        <v>1</v>
      </c>
      <c r="L71" s="5">
        <f>IF(VLOOKUP($B71,Table2[[prolific]:[feedbackTime]],13,FALSE)=VLOOKUP(L$1,Table1[],2,FALSE),1,0)</f>
        <v>1</v>
      </c>
      <c r="M71" s="5">
        <f>IF(VLOOKUP($B71,Table2[[prolific]:[feedbackTime]],14,FALSE)=VLOOKUP(M$1,Table1[],2,FALSE),1,0)</f>
        <v>1</v>
      </c>
      <c r="N71" s="5">
        <f t="shared" si="34"/>
        <v>6</v>
      </c>
      <c r="O71" s="7">
        <f t="shared" si="35"/>
        <v>1</v>
      </c>
      <c r="P71" s="5">
        <f>IF(VLOOKUP($B71,Table2[[prolific]:[feedbackTime]],15,FALSE)=VLOOKUP(P$1,Table1[],2,FALSE),1,0)</f>
        <v>1</v>
      </c>
      <c r="Q71" s="5">
        <f>IF(VLOOKUP($B71,Table2[[prolific]:[feedbackTime]],16,FALSE)=VLOOKUP(Q$1,Table1[],2,FALSE),1,0)</f>
        <v>1</v>
      </c>
      <c r="R71" s="5">
        <f>IF(VLOOKUP($B71,Table2[[prolific]:[feedbackTime]],17,FALSE)=VLOOKUP(R$1,Table1[],2,FALSE),1,0)</f>
        <v>0</v>
      </c>
      <c r="S71" s="5">
        <f>IF(VLOOKUP($B71,Table2[[prolific]:[feedbackTime]],18,FALSE)=VLOOKUP(S$1,Table1[],2,FALSE),1,0)</f>
        <v>0</v>
      </c>
      <c r="T71" s="5">
        <f>IF(VLOOKUP($B71,Table2[[prolific]:[feedbackTime]],19,FALSE)=VLOOKUP(T$1,Table1[],2,FALSE),1,0)</f>
        <v>1</v>
      </c>
      <c r="U71" s="5">
        <f>IF(VLOOKUP($B71,Table2[[prolific]:[feedbackTime]],20,FALSE)=VLOOKUP(U$1,Table1[],2,FALSE),1,0)</f>
        <v>1</v>
      </c>
      <c r="V71" s="5">
        <f>IF(VLOOKUP($B71,Table2[[prolific]:[feedbackTime]],21,FALSE)=VLOOKUP(V$1,Table1[],2,FALSE),1,0)</f>
        <v>0</v>
      </c>
      <c r="W71" s="5">
        <f>IF(VLOOKUP($B71,Table2[[prolific]:[feedbackTime]],22,FALSE)=VLOOKUP(W$1,Table1[],2,FALSE),1,0)</f>
        <v>1</v>
      </c>
      <c r="X71" s="5">
        <f t="shared" si="36"/>
        <v>5</v>
      </c>
      <c r="Y71" s="7">
        <f t="shared" si="37"/>
        <v>0.625</v>
      </c>
      <c r="Z71" s="5">
        <f>IF(VLOOKUP($B71,Table2[[prolific]:[feedbackTime]],23,FALSE)=VLOOKUP(Z$1,Table1[],2,FALSE),1,0)</f>
        <v>1</v>
      </c>
      <c r="AA71" s="5">
        <f>IF(VLOOKUP($B71,Table2[[prolific]:[feedbackTime]],24,FALSE)=VLOOKUP(AA$1,Table1[],2,FALSE),1,0)</f>
        <v>1</v>
      </c>
      <c r="AB71" s="5">
        <f>IF(VLOOKUP($B71,Table2[[prolific]:[feedbackTime]],25,FALSE)=VLOOKUP(AB$1,Table1[],2,FALSE),1,0)</f>
        <v>0</v>
      </c>
      <c r="AC71" s="5">
        <f>IF(VLOOKUP($B71,Table2[[prolific]:[feedbackTime]],26,FALSE)=VLOOKUP(AC$1,Table1[],2,FALSE),1,0)</f>
        <v>1</v>
      </c>
      <c r="AD71" s="5">
        <f>IF(VLOOKUP($B71,Table2[[prolific]:[feedbackTime]],27,FALSE)=VLOOKUP(AD$1,Table1[],2,FALSE),1,0)</f>
        <v>0</v>
      </c>
      <c r="AE71" s="5">
        <f>IF(VLOOKUP($B71,Table2[[prolific]:[feedbackTime]],28,FALSE)=VLOOKUP(AE$1,Table1[],2,FALSE),1,0)</f>
        <v>1</v>
      </c>
      <c r="AF71" s="5">
        <f>IF(VLOOKUP($B71,Table2[[prolific]:[feedbackTime]],29,FALSE)=VLOOKUP(AF$1,Table1[],2,FALSE),1,0)</f>
        <v>1</v>
      </c>
      <c r="AG71" s="5">
        <f>IF(VLOOKUP($B71,Table2[[prolific]:[feedbackTime]],30,FALSE)=VLOOKUP(AG$1,Table1[],2,FALSE),1,0)</f>
        <v>0</v>
      </c>
      <c r="AH71" s="5">
        <f t="shared" si="38"/>
        <v>5</v>
      </c>
      <c r="AI71" s="7">
        <f t="shared" si="39"/>
        <v>0.625</v>
      </c>
      <c r="AJ71" s="7">
        <f t="shared" si="40"/>
        <v>0.72727272727272729</v>
      </c>
      <c r="AK71" s="5">
        <f t="shared" si="41"/>
        <v>16</v>
      </c>
    </row>
    <row r="72" spans="1:37" x14ac:dyDescent="0.25">
      <c r="A72">
        <f t="shared" si="42"/>
        <v>1</v>
      </c>
      <c r="B72" s="5" t="s">
        <v>1164</v>
      </c>
      <c r="C72" s="5">
        <f>IF(VLOOKUP($B72,Table2[[prolific]:[feedbackTime]],6,FALSE)=VLOOKUP(C$1,Table1[],2,FALSE),1,0)</f>
        <v>1</v>
      </c>
      <c r="D72" s="5">
        <f>IF(VLOOKUP($B72,Table2[[prolific]:[feedbackTime]],7,FALSE)=VLOOKUP(D$1,Table1[],2,FALSE),1,0)</f>
        <v>1</v>
      </c>
      <c r="E72" s="5">
        <f>IF(VLOOKUP($B72,Table2[[prolific]:[feedbackTime]],8,FALSE)=VLOOKUP(E$1,Table1[],2,FALSE),1,0)</f>
        <v>1</v>
      </c>
      <c r="F72" s="5">
        <f t="shared" si="32"/>
        <v>3</v>
      </c>
      <c r="G72" s="7">
        <f t="shared" si="33"/>
        <v>1</v>
      </c>
      <c r="H72" s="5">
        <f>IF(VLOOKUP($B72,Table2[[prolific]:[feedbackTime]],9,FALSE)=VLOOKUP(H$1,Table1[],2,FALSE),1,0)</f>
        <v>1</v>
      </c>
      <c r="I72" s="5">
        <f>IF(VLOOKUP($B72,Table2[[prolific]:[feedbackTime]],10,FALSE)=VLOOKUP(I$1,Table1[],2,FALSE),1,0)</f>
        <v>0</v>
      </c>
      <c r="J72" s="5">
        <f>IF(VLOOKUP($B72,Table2[[prolific]:[feedbackTime]],11,FALSE)=VLOOKUP(J$1,Table1[],2,FALSE),1,0)</f>
        <v>1</v>
      </c>
      <c r="K72" s="5">
        <f>IF(VLOOKUP($B72,Table2[[prolific]:[feedbackTime]],12,FALSE)=VLOOKUP(K$1,Table1[],2,FALSE),1,0)</f>
        <v>1</v>
      </c>
      <c r="L72" s="5">
        <f>IF(VLOOKUP($B72,Table2[[prolific]:[feedbackTime]],13,FALSE)=VLOOKUP(L$1,Table1[],2,FALSE),1,0)</f>
        <v>0</v>
      </c>
      <c r="M72" s="5">
        <f>IF(VLOOKUP($B72,Table2[[prolific]:[feedbackTime]],14,FALSE)=VLOOKUP(M$1,Table1[],2,FALSE),1,0)</f>
        <v>1</v>
      </c>
      <c r="N72" s="5">
        <f t="shared" si="34"/>
        <v>4</v>
      </c>
      <c r="O72" s="7">
        <f t="shared" si="35"/>
        <v>0.66666666666666663</v>
      </c>
      <c r="P72" s="5">
        <f>IF(VLOOKUP($B72,Table2[[prolific]:[feedbackTime]],15,FALSE)=VLOOKUP(P$1,Table1[],2,FALSE),1,0)</f>
        <v>1</v>
      </c>
      <c r="Q72" s="5">
        <f>IF(VLOOKUP($B72,Table2[[prolific]:[feedbackTime]],16,FALSE)=VLOOKUP(Q$1,Table1[],2,FALSE),1,0)</f>
        <v>1</v>
      </c>
      <c r="R72" s="5">
        <f>IF(VLOOKUP($B72,Table2[[prolific]:[feedbackTime]],17,FALSE)=VLOOKUP(R$1,Table1[],2,FALSE),1,0)</f>
        <v>1</v>
      </c>
      <c r="S72" s="5">
        <f>IF(VLOOKUP($B72,Table2[[prolific]:[feedbackTime]],18,FALSE)=VLOOKUP(S$1,Table1[],2,FALSE),1,0)</f>
        <v>1</v>
      </c>
      <c r="T72" s="5">
        <f>IF(VLOOKUP($B72,Table2[[prolific]:[feedbackTime]],19,FALSE)=VLOOKUP(T$1,Table1[],2,FALSE),1,0)</f>
        <v>1</v>
      </c>
      <c r="U72" s="5">
        <f>IF(VLOOKUP($B72,Table2[[prolific]:[feedbackTime]],20,FALSE)=VLOOKUP(U$1,Table1[],2,FALSE),1,0)</f>
        <v>1</v>
      </c>
      <c r="V72" s="5">
        <f>IF(VLOOKUP($B72,Table2[[prolific]:[feedbackTime]],21,FALSE)=VLOOKUP(V$1,Table1[],2,FALSE),1,0)</f>
        <v>1</v>
      </c>
      <c r="W72" s="5">
        <f>IF(VLOOKUP($B72,Table2[[prolific]:[feedbackTime]],22,FALSE)=VLOOKUP(W$1,Table1[],2,FALSE),1,0)</f>
        <v>1</v>
      </c>
      <c r="X72" s="5">
        <f t="shared" si="36"/>
        <v>8</v>
      </c>
      <c r="Y72" s="7">
        <f t="shared" si="37"/>
        <v>1</v>
      </c>
      <c r="Z72" s="5">
        <f>IF(VLOOKUP($B72,Table2[[prolific]:[feedbackTime]],23,FALSE)=VLOOKUP(Z$1,Table1[],2,FALSE),1,0)</f>
        <v>1</v>
      </c>
      <c r="AA72" s="5">
        <f>IF(VLOOKUP($B72,Table2[[prolific]:[feedbackTime]],24,FALSE)=VLOOKUP(AA$1,Table1[],2,FALSE),1,0)</f>
        <v>1</v>
      </c>
      <c r="AB72" s="5">
        <f>IF(VLOOKUP($B72,Table2[[prolific]:[feedbackTime]],25,FALSE)=VLOOKUP(AB$1,Table1[],2,FALSE),1,0)</f>
        <v>1</v>
      </c>
      <c r="AC72" s="5">
        <f>IF(VLOOKUP($B72,Table2[[prolific]:[feedbackTime]],26,FALSE)=VLOOKUP(AC$1,Table1[],2,FALSE),1,0)</f>
        <v>1</v>
      </c>
      <c r="AD72" s="5">
        <f>IF(VLOOKUP($B72,Table2[[prolific]:[feedbackTime]],27,FALSE)=VLOOKUP(AD$1,Table1[],2,FALSE),1,0)</f>
        <v>1</v>
      </c>
      <c r="AE72" s="5">
        <f>IF(VLOOKUP($B72,Table2[[prolific]:[feedbackTime]],28,FALSE)=VLOOKUP(AE$1,Table1[],2,FALSE),1,0)</f>
        <v>1</v>
      </c>
      <c r="AF72" s="5">
        <f>IF(VLOOKUP($B72,Table2[[prolific]:[feedbackTime]],29,FALSE)=VLOOKUP(AF$1,Table1[],2,FALSE),1,0)</f>
        <v>1</v>
      </c>
      <c r="AG72" s="5">
        <f>IF(VLOOKUP($B72,Table2[[prolific]:[feedbackTime]],30,FALSE)=VLOOKUP(AG$1,Table1[],2,FALSE),1,0)</f>
        <v>1</v>
      </c>
      <c r="AH72" s="5">
        <f t="shared" si="38"/>
        <v>8</v>
      </c>
      <c r="AI72" s="7">
        <f t="shared" si="39"/>
        <v>1</v>
      </c>
      <c r="AJ72" s="7">
        <f t="shared" si="40"/>
        <v>0.90909090909090906</v>
      </c>
      <c r="AK72" s="5">
        <f t="shared" si="41"/>
        <v>20</v>
      </c>
    </row>
    <row r="73" spans="1:37" x14ac:dyDescent="0.25">
      <c r="A73">
        <f t="shared" si="42"/>
        <v>1</v>
      </c>
      <c r="B73" s="5" t="s">
        <v>1165</v>
      </c>
      <c r="C73" s="5">
        <f>IF(VLOOKUP($B73,Table2[[prolific]:[feedbackTime]],6,FALSE)=VLOOKUP(C$1,Table1[],2,FALSE),1,0)</f>
        <v>1</v>
      </c>
      <c r="D73" s="5">
        <f>IF(VLOOKUP($B73,Table2[[prolific]:[feedbackTime]],7,FALSE)=VLOOKUP(D$1,Table1[],2,FALSE),1,0)</f>
        <v>1</v>
      </c>
      <c r="E73" s="5">
        <f>IF(VLOOKUP($B73,Table2[[prolific]:[feedbackTime]],8,FALSE)=VLOOKUP(E$1,Table1[],2,FALSE),1,0)</f>
        <v>1</v>
      </c>
      <c r="F73" s="5">
        <f t="shared" si="32"/>
        <v>3</v>
      </c>
      <c r="G73" s="7">
        <f t="shared" si="33"/>
        <v>1</v>
      </c>
      <c r="H73" s="5">
        <f>IF(VLOOKUP($B73,Table2[[prolific]:[feedbackTime]],9,FALSE)=VLOOKUP(H$1,Table1[],2,FALSE),1,0)</f>
        <v>1</v>
      </c>
      <c r="I73" s="5">
        <f>IF(VLOOKUP($B73,Table2[[prolific]:[feedbackTime]],10,FALSE)=VLOOKUP(I$1,Table1[],2,FALSE),1,0)</f>
        <v>0</v>
      </c>
      <c r="J73" s="5">
        <f>IF(VLOOKUP($B73,Table2[[prolific]:[feedbackTime]],11,FALSE)=VLOOKUP(J$1,Table1[],2,FALSE),1,0)</f>
        <v>1</v>
      </c>
      <c r="K73" s="5">
        <f>IF(VLOOKUP($B73,Table2[[prolific]:[feedbackTime]],12,FALSE)=VLOOKUP(K$1,Table1[],2,FALSE),1,0)</f>
        <v>1</v>
      </c>
      <c r="L73" s="5">
        <f>IF(VLOOKUP($B73,Table2[[prolific]:[feedbackTime]],13,FALSE)=VLOOKUP(L$1,Table1[],2,FALSE),1,0)</f>
        <v>1</v>
      </c>
      <c r="M73" s="5">
        <f>IF(VLOOKUP($B73,Table2[[prolific]:[feedbackTime]],14,FALSE)=VLOOKUP(M$1,Table1[],2,FALSE),1,0)</f>
        <v>0</v>
      </c>
      <c r="N73" s="5">
        <f t="shared" si="34"/>
        <v>4</v>
      </c>
      <c r="O73" s="7">
        <f t="shared" si="35"/>
        <v>0.66666666666666663</v>
      </c>
      <c r="P73" s="5">
        <f>IF(VLOOKUP($B73,Table2[[prolific]:[feedbackTime]],15,FALSE)=VLOOKUP(P$1,Table1[],2,FALSE),1,0)</f>
        <v>1</v>
      </c>
      <c r="Q73" s="5">
        <f>IF(VLOOKUP($B73,Table2[[prolific]:[feedbackTime]],16,FALSE)=VLOOKUP(Q$1,Table1[],2,FALSE),1,0)</f>
        <v>1</v>
      </c>
      <c r="R73" s="5">
        <f>IF(VLOOKUP($B73,Table2[[prolific]:[feedbackTime]],17,FALSE)=VLOOKUP(R$1,Table1[],2,FALSE),1,0)</f>
        <v>1</v>
      </c>
      <c r="S73" s="5">
        <f>IF(VLOOKUP($B73,Table2[[prolific]:[feedbackTime]],18,FALSE)=VLOOKUP(S$1,Table1[],2,FALSE),1,0)</f>
        <v>0</v>
      </c>
      <c r="T73" s="5">
        <f>IF(VLOOKUP($B73,Table2[[prolific]:[feedbackTime]],19,FALSE)=VLOOKUP(T$1,Table1[],2,FALSE),1,0)</f>
        <v>1</v>
      </c>
      <c r="U73" s="5">
        <f>IF(VLOOKUP($B73,Table2[[prolific]:[feedbackTime]],20,FALSE)=VLOOKUP(U$1,Table1[],2,FALSE),1,0)</f>
        <v>0</v>
      </c>
      <c r="V73" s="5">
        <f>IF(VLOOKUP($B73,Table2[[prolific]:[feedbackTime]],21,FALSE)=VLOOKUP(V$1,Table1[],2,FALSE),1,0)</f>
        <v>0</v>
      </c>
      <c r="W73" s="5">
        <f>IF(VLOOKUP($B73,Table2[[prolific]:[feedbackTime]],22,FALSE)=VLOOKUP(W$1,Table1[],2,FALSE),1,0)</f>
        <v>1</v>
      </c>
      <c r="X73" s="5">
        <f t="shared" si="36"/>
        <v>5</v>
      </c>
      <c r="Y73" s="7">
        <f t="shared" si="37"/>
        <v>0.625</v>
      </c>
      <c r="Z73" s="5">
        <f>IF(VLOOKUP($B73,Table2[[prolific]:[feedbackTime]],23,FALSE)=VLOOKUP(Z$1,Table1[],2,FALSE),1,0)</f>
        <v>1</v>
      </c>
      <c r="AA73" s="5">
        <f>IF(VLOOKUP($B73,Table2[[prolific]:[feedbackTime]],24,FALSE)=VLOOKUP(AA$1,Table1[],2,FALSE),1,0)</f>
        <v>1</v>
      </c>
      <c r="AB73" s="5">
        <f>IF(VLOOKUP($B73,Table2[[prolific]:[feedbackTime]],25,FALSE)=VLOOKUP(AB$1,Table1[],2,FALSE),1,0)</f>
        <v>0</v>
      </c>
      <c r="AC73" s="5">
        <f>IF(VLOOKUP($B73,Table2[[prolific]:[feedbackTime]],26,FALSE)=VLOOKUP(AC$1,Table1[],2,FALSE),1,0)</f>
        <v>1</v>
      </c>
      <c r="AD73" s="5">
        <f>IF(VLOOKUP($B73,Table2[[prolific]:[feedbackTime]],27,FALSE)=VLOOKUP(AD$1,Table1[],2,FALSE),1,0)</f>
        <v>0</v>
      </c>
      <c r="AE73" s="5">
        <f>IF(VLOOKUP($B73,Table2[[prolific]:[feedbackTime]],28,FALSE)=VLOOKUP(AE$1,Table1[],2,FALSE),1,0)</f>
        <v>1</v>
      </c>
      <c r="AF73" s="5">
        <f>IF(VLOOKUP($B73,Table2[[prolific]:[feedbackTime]],29,FALSE)=VLOOKUP(AF$1,Table1[],2,FALSE),1,0)</f>
        <v>1</v>
      </c>
      <c r="AG73" s="5">
        <f>IF(VLOOKUP($B73,Table2[[prolific]:[feedbackTime]],30,FALSE)=VLOOKUP(AG$1,Table1[],2,FALSE),1,0)</f>
        <v>0</v>
      </c>
      <c r="AH73" s="5">
        <f t="shared" si="38"/>
        <v>5</v>
      </c>
      <c r="AI73" s="7">
        <f t="shared" si="39"/>
        <v>0.625</v>
      </c>
      <c r="AJ73" s="7">
        <f t="shared" si="40"/>
        <v>0.63636363636363635</v>
      </c>
      <c r="AK73" s="5">
        <f t="shared" si="41"/>
        <v>14</v>
      </c>
    </row>
    <row r="74" spans="1:37" x14ac:dyDescent="0.25">
      <c r="A74">
        <f t="shared" si="42"/>
        <v>1</v>
      </c>
      <c r="B74" s="5" t="s">
        <v>1166</v>
      </c>
      <c r="C74" s="5">
        <f>IF(VLOOKUP($B74,Table2[[prolific]:[feedbackTime]],6,FALSE)=VLOOKUP(C$1,Table1[],2,FALSE),1,0)</f>
        <v>1</v>
      </c>
      <c r="D74" s="5">
        <f>IF(VLOOKUP($B74,Table2[[prolific]:[feedbackTime]],7,FALSE)=VLOOKUP(D$1,Table1[],2,FALSE),1,0)</f>
        <v>1</v>
      </c>
      <c r="E74" s="5">
        <f>IF(VLOOKUP($B74,Table2[[prolific]:[feedbackTime]],8,FALSE)=VLOOKUP(E$1,Table1[],2,FALSE),1,0)</f>
        <v>1</v>
      </c>
      <c r="F74" s="5">
        <f t="shared" si="32"/>
        <v>3</v>
      </c>
      <c r="G74" s="7">
        <f t="shared" si="33"/>
        <v>1</v>
      </c>
      <c r="H74" s="5">
        <f>IF(VLOOKUP($B74,Table2[[prolific]:[feedbackTime]],9,FALSE)=VLOOKUP(H$1,Table1[],2,FALSE),1,0)</f>
        <v>1</v>
      </c>
      <c r="I74" s="5">
        <f>IF(VLOOKUP($B74,Table2[[prolific]:[feedbackTime]],10,FALSE)=VLOOKUP(I$1,Table1[],2,FALSE),1,0)</f>
        <v>1</v>
      </c>
      <c r="J74" s="5">
        <f>IF(VLOOKUP($B74,Table2[[prolific]:[feedbackTime]],11,FALSE)=VLOOKUP(J$1,Table1[],2,FALSE),1,0)</f>
        <v>1</v>
      </c>
      <c r="K74" s="5">
        <f>IF(VLOOKUP($B74,Table2[[prolific]:[feedbackTime]],12,FALSE)=VLOOKUP(K$1,Table1[],2,FALSE),1,0)</f>
        <v>1</v>
      </c>
      <c r="L74" s="5">
        <f>IF(VLOOKUP($B74,Table2[[prolific]:[feedbackTime]],13,FALSE)=VLOOKUP(L$1,Table1[],2,FALSE),1,0)</f>
        <v>1</v>
      </c>
      <c r="M74" s="5">
        <f>IF(VLOOKUP($B74,Table2[[prolific]:[feedbackTime]],14,FALSE)=VLOOKUP(M$1,Table1[],2,FALSE),1,0)</f>
        <v>1</v>
      </c>
      <c r="N74" s="5">
        <f t="shared" si="34"/>
        <v>6</v>
      </c>
      <c r="O74" s="7">
        <f t="shared" si="35"/>
        <v>1</v>
      </c>
      <c r="P74" s="5">
        <f>IF(VLOOKUP($B74,Table2[[prolific]:[feedbackTime]],15,FALSE)=VLOOKUP(P$1,Table1[],2,FALSE),1,0)</f>
        <v>1</v>
      </c>
      <c r="Q74" s="5">
        <f>IF(VLOOKUP($B74,Table2[[prolific]:[feedbackTime]],16,FALSE)=VLOOKUP(Q$1,Table1[],2,FALSE),1,0)</f>
        <v>1</v>
      </c>
      <c r="R74" s="5">
        <f>IF(VLOOKUP($B74,Table2[[prolific]:[feedbackTime]],17,FALSE)=VLOOKUP(R$1,Table1[],2,FALSE),1,0)</f>
        <v>1</v>
      </c>
      <c r="S74" s="5">
        <f>IF(VLOOKUP($B74,Table2[[prolific]:[feedbackTime]],18,FALSE)=VLOOKUP(S$1,Table1[],2,FALSE),1,0)</f>
        <v>0</v>
      </c>
      <c r="T74" s="5">
        <f>IF(VLOOKUP($B74,Table2[[prolific]:[feedbackTime]],19,FALSE)=VLOOKUP(T$1,Table1[],2,FALSE),1,0)</f>
        <v>1</v>
      </c>
      <c r="U74" s="5">
        <f>IF(VLOOKUP($B74,Table2[[prolific]:[feedbackTime]],20,FALSE)=VLOOKUP(U$1,Table1[],2,FALSE),1,0)</f>
        <v>1</v>
      </c>
      <c r="V74" s="5">
        <f>IF(VLOOKUP($B74,Table2[[prolific]:[feedbackTime]],21,FALSE)=VLOOKUP(V$1,Table1[],2,FALSE),1,0)</f>
        <v>1</v>
      </c>
      <c r="W74" s="5">
        <f>IF(VLOOKUP($B74,Table2[[prolific]:[feedbackTime]],22,FALSE)=VLOOKUP(W$1,Table1[],2,FALSE),1,0)</f>
        <v>1</v>
      </c>
      <c r="X74" s="5">
        <f t="shared" si="36"/>
        <v>7</v>
      </c>
      <c r="Y74" s="7">
        <f t="shared" si="37"/>
        <v>0.875</v>
      </c>
      <c r="Z74" s="5">
        <f>IF(VLOOKUP($B74,Table2[[prolific]:[feedbackTime]],23,FALSE)=VLOOKUP(Z$1,Table1[],2,FALSE),1,0)</f>
        <v>1</v>
      </c>
      <c r="AA74" s="5">
        <f>IF(VLOOKUP($B74,Table2[[prolific]:[feedbackTime]],24,FALSE)=VLOOKUP(AA$1,Table1[],2,FALSE),1,0)</f>
        <v>1</v>
      </c>
      <c r="AB74" s="5">
        <f>IF(VLOOKUP($B74,Table2[[prolific]:[feedbackTime]],25,FALSE)=VLOOKUP(AB$1,Table1[],2,FALSE),1,0)</f>
        <v>1</v>
      </c>
      <c r="AC74" s="5">
        <f>IF(VLOOKUP($B74,Table2[[prolific]:[feedbackTime]],26,FALSE)=VLOOKUP(AC$1,Table1[],2,FALSE),1,0)</f>
        <v>1</v>
      </c>
      <c r="AD74" s="5">
        <f>IF(VLOOKUP($B74,Table2[[prolific]:[feedbackTime]],27,FALSE)=VLOOKUP(AD$1,Table1[],2,FALSE),1,0)</f>
        <v>0</v>
      </c>
      <c r="AE74" s="5">
        <f>IF(VLOOKUP($B74,Table2[[prolific]:[feedbackTime]],28,FALSE)=VLOOKUP(AE$1,Table1[],2,FALSE),1,0)</f>
        <v>1</v>
      </c>
      <c r="AF74" s="5">
        <f>IF(VLOOKUP($B74,Table2[[prolific]:[feedbackTime]],29,FALSE)=VLOOKUP(AF$1,Table1[],2,FALSE),1,0)</f>
        <v>1</v>
      </c>
      <c r="AG74" s="5">
        <f>IF(VLOOKUP($B74,Table2[[prolific]:[feedbackTime]],30,FALSE)=VLOOKUP(AG$1,Table1[],2,FALSE),1,0)</f>
        <v>1</v>
      </c>
      <c r="AH74" s="5">
        <f t="shared" si="38"/>
        <v>7</v>
      </c>
      <c r="AI74" s="7">
        <f t="shared" si="39"/>
        <v>0.875</v>
      </c>
      <c r="AJ74" s="7">
        <f t="shared" si="40"/>
        <v>0.90909090909090906</v>
      </c>
      <c r="AK74" s="5">
        <f t="shared" si="41"/>
        <v>20</v>
      </c>
    </row>
    <row r="75" spans="1:37" x14ac:dyDescent="0.25">
      <c r="A75">
        <f t="shared" si="42"/>
        <v>1</v>
      </c>
      <c r="B75" s="5" t="s">
        <v>1151</v>
      </c>
      <c r="C75" s="5">
        <f>IF(VLOOKUP($B75,Table2[[prolific]:[feedbackTime]],6,FALSE)=VLOOKUP(C$1,Table1[],2,FALSE),1,0)</f>
        <v>0</v>
      </c>
      <c r="D75" s="5">
        <f>IF(VLOOKUP($B75,Table2[[prolific]:[feedbackTime]],7,FALSE)=VLOOKUP(D$1,Table1[],2,FALSE),1,0)</f>
        <v>0</v>
      </c>
      <c r="E75" s="5">
        <f>IF(VLOOKUP($B75,Table2[[prolific]:[feedbackTime]],8,FALSE)=VLOOKUP(E$1,Table1[],2,FALSE),1,0)</f>
        <v>1</v>
      </c>
      <c r="F75" s="5">
        <f t="shared" si="32"/>
        <v>1</v>
      </c>
      <c r="G75" s="7">
        <f t="shared" si="33"/>
        <v>0.33333333333333331</v>
      </c>
      <c r="H75" s="5">
        <f>IF(VLOOKUP($B75,Table2[[prolific]:[feedbackTime]],9,FALSE)=VLOOKUP(H$1,Table1[],2,FALSE),1,0)</f>
        <v>1</v>
      </c>
      <c r="I75" s="5">
        <f>IF(VLOOKUP($B75,Table2[[prolific]:[feedbackTime]],10,FALSE)=VLOOKUP(I$1,Table1[],2,FALSE),1,0)</f>
        <v>1</v>
      </c>
      <c r="J75" s="5">
        <f>IF(VLOOKUP($B75,Table2[[prolific]:[feedbackTime]],11,FALSE)=VLOOKUP(J$1,Table1[],2,FALSE),1,0)</f>
        <v>0</v>
      </c>
      <c r="K75" s="5">
        <f>IF(VLOOKUP($B75,Table2[[prolific]:[feedbackTime]],12,FALSE)=VLOOKUP(K$1,Table1[],2,FALSE),1,0)</f>
        <v>1</v>
      </c>
      <c r="L75" s="5">
        <f>IF(VLOOKUP($B75,Table2[[prolific]:[feedbackTime]],13,FALSE)=VLOOKUP(L$1,Table1[],2,FALSE),1,0)</f>
        <v>0</v>
      </c>
      <c r="M75" s="5">
        <f>IF(VLOOKUP($B75,Table2[[prolific]:[feedbackTime]],14,FALSE)=VLOOKUP(M$1,Table1[],2,FALSE),1,0)</f>
        <v>1</v>
      </c>
      <c r="N75" s="5">
        <f t="shared" si="34"/>
        <v>4</v>
      </c>
      <c r="O75" s="7">
        <f t="shared" si="35"/>
        <v>0.66666666666666663</v>
      </c>
      <c r="P75" s="5">
        <f>IF(VLOOKUP($B75,Table2[[prolific]:[feedbackTime]],15,FALSE)=VLOOKUP(P$1,Table1[],2,FALSE),1,0)</f>
        <v>1</v>
      </c>
      <c r="Q75" s="5">
        <f>IF(VLOOKUP($B75,Table2[[prolific]:[feedbackTime]],16,FALSE)=VLOOKUP(Q$1,Table1[],2,FALSE),1,0)</f>
        <v>1</v>
      </c>
      <c r="R75" s="5">
        <f>IF(VLOOKUP($B75,Table2[[prolific]:[feedbackTime]],17,FALSE)=VLOOKUP(R$1,Table1[],2,FALSE),1,0)</f>
        <v>1</v>
      </c>
      <c r="S75" s="5">
        <f>IF(VLOOKUP($B75,Table2[[prolific]:[feedbackTime]],18,FALSE)=VLOOKUP(S$1,Table1[],2,FALSE),1,0)</f>
        <v>1</v>
      </c>
      <c r="T75" s="5">
        <f>IF(VLOOKUP($B75,Table2[[prolific]:[feedbackTime]],19,FALSE)=VLOOKUP(T$1,Table1[],2,FALSE),1,0)</f>
        <v>1</v>
      </c>
      <c r="U75" s="5">
        <f>IF(VLOOKUP($B75,Table2[[prolific]:[feedbackTime]],20,FALSE)=VLOOKUP(U$1,Table1[],2,FALSE),1,0)</f>
        <v>0</v>
      </c>
      <c r="V75" s="5">
        <f>IF(VLOOKUP($B75,Table2[[prolific]:[feedbackTime]],21,FALSE)=VLOOKUP(V$1,Table1[],2,FALSE),1,0)</f>
        <v>1</v>
      </c>
      <c r="W75" s="5">
        <f>IF(VLOOKUP($B75,Table2[[prolific]:[feedbackTime]],22,FALSE)=VLOOKUP(W$1,Table1[],2,FALSE),1,0)</f>
        <v>1</v>
      </c>
      <c r="X75" s="5">
        <f t="shared" si="36"/>
        <v>7</v>
      </c>
      <c r="Y75" s="7">
        <f t="shared" si="37"/>
        <v>0.875</v>
      </c>
      <c r="Z75" s="5">
        <f>IF(VLOOKUP($B75,Table2[[prolific]:[feedbackTime]],23,FALSE)=VLOOKUP(Z$1,Table1[],2,FALSE),1,0)</f>
        <v>1</v>
      </c>
      <c r="AA75" s="5">
        <f>IF(VLOOKUP($B75,Table2[[prolific]:[feedbackTime]],24,FALSE)=VLOOKUP(AA$1,Table1[],2,FALSE),1,0)</f>
        <v>1</v>
      </c>
      <c r="AB75" s="5">
        <f>IF(VLOOKUP($B75,Table2[[prolific]:[feedbackTime]],25,FALSE)=VLOOKUP(AB$1,Table1[],2,FALSE),1,0)</f>
        <v>1</v>
      </c>
      <c r="AC75" s="5">
        <f>IF(VLOOKUP($B75,Table2[[prolific]:[feedbackTime]],26,FALSE)=VLOOKUP(AC$1,Table1[],2,FALSE),1,0)</f>
        <v>1</v>
      </c>
      <c r="AD75" s="5">
        <f>IF(VLOOKUP($B75,Table2[[prolific]:[feedbackTime]],27,FALSE)=VLOOKUP(AD$1,Table1[],2,FALSE),1,0)</f>
        <v>0</v>
      </c>
      <c r="AE75" s="5">
        <f>IF(VLOOKUP($B75,Table2[[prolific]:[feedbackTime]],28,FALSE)=VLOOKUP(AE$1,Table1[],2,FALSE),1,0)</f>
        <v>1</v>
      </c>
      <c r="AF75" s="5">
        <f>IF(VLOOKUP($B75,Table2[[prolific]:[feedbackTime]],29,FALSE)=VLOOKUP(AF$1,Table1[],2,FALSE),1,0)</f>
        <v>1</v>
      </c>
      <c r="AG75" s="5">
        <f>IF(VLOOKUP($B75,Table2[[prolific]:[feedbackTime]],30,FALSE)=VLOOKUP(AG$1,Table1[],2,FALSE),1,0)</f>
        <v>1</v>
      </c>
      <c r="AH75" s="5">
        <f t="shared" si="38"/>
        <v>7</v>
      </c>
      <c r="AI75" s="7">
        <f t="shared" si="39"/>
        <v>0.875</v>
      </c>
      <c r="AJ75" s="7">
        <f t="shared" si="40"/>
        <v>0.81818181818181823</v>
      </c>
      <c r="AK75" s="5">
        <f t="shared" si="41"/>
        <v>18</v>
      </c>
    </row>
    <row r="76" spans="1:37" x14ac:dyDescent="0.25">
      <c r="A76">
        <f t="shared" si="42"/>
        <v>2</v>
      </c>
      <c r="B76" s="5" t="s">
        <v>1167</v>
      </c>
      <c r="C76" s="5">
        <f>IF(VLOOKUP($B76,Table2[[prolific]:[feedbackTime]],6,FALSE)=VLOOKUP(C$1,Table1[],2,FALSE),1,0)</f>
        <v>1</v>
      </c>
      <c r="D76" s="5">
        <f>IF(VLOOKUP($B76,Table2[[prolific]:[feedbackTime]],7,FALSE)=VLOOKUP(D$1,Table1[],2,FALSE),1,0)</f>
        <v>1</v>
      </c>
      <c r="E76" s="5">
        <f>IF(VLOOKUP($B76,Table2[[prolific]:[feedbackTime]],8,FALSE)=VLOOKUP(E$1,Table1[],2,FALSE),1,0)</f>
        <v>1</v>
      </c>
      <c r="F76" s="5">
        <f t="shared" si="32"/>
        <v>3</v>
      </c>
      <c r="G76" s="7">
        <f t="shared" si="33"/>
        <v>1</v>
      </c>
      <c r="H76" s="5">
        <f>IF(VLOOKUP($B76,Table2[[prolific]:[feedbackTime]],9,FALSE)=VLOOKUP(H$1,Table1[],2,FALSE),1,0)</f>
        <v>1</v>
      </c>
      <c r="I76" s="5">
        <f>IF(VLOOKUP($B76,Table2[[prolific]:[feedbackTime]],10,FALSE)=VLOOKUP(I$1,Table1[],2,FALSE),1,0)</f>
        <v>0</v>
      </c>
      <c r="J76" s="5">
        <f>IF(VLOOKUP($B76,Table2[[prolific]:[feedbackTime]],11,FALSE)=VLOOKUP(J$1,Table1[],2,FALSE),1,0)</f>
        <v>0</v>
      </c>
      <c r="K76" s="5">
        <f>IF(VLOOKUP($B76,Table2[[prolific]:[feedbackTime]],12,FALSE)=VLOOKUP(K$1,Table1[],2,FALSE),1,0)</f>
        <v>0</v>
      </c>
      <c r="L76" s="5">
        <f>IF(VLOOKUP($B76,Table2[[prolific]:[feedbackTime]],13,FALSE)=VLOOKUP(L$1,Table1[],2,FALSE),1,0)</f>
        <v>0</v>
      </c>
      <c r="M76" s="5">
        <f>IF(VLOOKUP($B76,Table2[[prolific]:[feedbackTime]],14,FALSE)=VLOOKUP(M$1,Table1[],2,FALSE),1,0)</f>
        <v>1</v>
      </c>
      <c r="N76" s="5">
        <f t="shared" si="34"/>
        <v>2</v>
      </c>
      <c r="O76" s="7">
        <f t="shared" si="35"/>
        <v>0.33333333333333331</v>
      </c>
      <c r="P76" s="5">
        <f>IF(VLOOKUP($B76,Table2[[prolific]:[feedbackTime]],15,FALSE)=VLOOKUP(P$1,Table1[],2,FALSE),1,0)</f>
        <v>1</v>
      </c>
      <c r="Q76" s="5">
        <f>IF(VLOOKUP($B76,Table2[[prolific]:[feedbackTime]],16,FALSE)=VLOOKUP(Q$1,Table1[],2,FALSE),1,0)</f>
        <v>1</v>
      </c>
      <c r="R76" s="5">
        <f>IF(VLOOKUP($B76,Table2[[prolific]:[feedbackTime]],17,FALSE)=VLOOKUP(R$1,Table1[],2,FALSE),1,0)</f>
        <v>0</v>
      </c>
      <c r="S76" s="5">
        <f>IF(VLOOKUP($B76,Table2[[prolific]:[feedbackTime]],18,FALSE)=VLOOKUP(S$1,Table1[],2,FALSE),1,0)</f>
        <v>0</v>
      </c>
      <c r="T76" s="5">
        <f>IF(VLOOKUP($B76,Table2[[prolific]:[feedbackTime]],19,FALSE)=VLOOKUP(T$1,Table1[],2,FALSE),1,0)</f>
        <v>0</v>
      </c>
      <c r="U76" s="5">
        <f>IF(VLOOKUP($B76,Table2[[prolific]:[feedbackTime]],20,FALSE)=VLOOKUP(U$1,Table1[],2,FALSE),1,0)</f>
        <v>0</v>
      </c>
      <c r="V76" s="5">
        <f>IF(VLOOKUP($B76,Table2[[prolific]:[feedbackTime]],21,FALSE)=VLOOKUP(V$1,Table1[],2,FALSE),1,0)</f>
        <v>0</v>
      </c>
      <c r="W76" s="5">
        <f>IF(VLOOKUP($B76,Table2[[prolific]:[feedbackTime]],22,FALSE)=VLOOKUP(W$1,Table1[],2,FALSE),1,0)</f>
        <v>0</v>
      </c>
      <c r="X76" s="5">
        <f t="shared" si="36"/>
        <v>2</v>
      </c>
      <c r="Y76" s="7">
        <f t="shared" si="37"/>
        <v>0.25</v>
      </c>
      <c r="Z76" s="5">
        <f>IF(VLOOKUP($B76,Table2[[prolific]:[feedbackTime]],23,FALSE)=VLOOKUP(Z$1,Table1[],2,FALSE),1,0)</f>
        <v>1</v>
      </c>
      <c r="AA76" s="5">
        <f>IF(VLOOKUP($B76,Table2[[prolific]:[feedbackTime]],24,FALSE)=VLOOKUP(AA$1,Table1[],2,FALSE),1,0)</f>
        <v>1</v>
      </c>
      <c r="AB76" s="5">
        <f>IF(VLOOKUP($B76,Table2[[prolific]:[feedbackTime]],25,FALSE)=VLOOKUP(AB$1,Table1[],2,FALSE),1,0)</f>
        <v>1</v>
      </c>
      <c r="AC76" s="5">
        <f>IF(VLOOKUP($B76,Table2[[prolific]:[feedbackTime]],26,FALSE)=VLOOKUP(AC$1,Table1[],2,FALSE),1,0)</f>
        <v>0</v>
      </c>
      <c r="AD76" s="5">
        <f>IF(VLOOKUP($B76,Table2[[prolific]:[feedbackTime]],27,FALSE)=VLOOKUP(AD$1,Table1[],2,FALSE),1,0)</f>
        <v>1</v>
      </c>
      <c r="AE76" s="5">
        <f>IF(VLOOKUP($B76,Table2[[prolific]:[feedbackTime]],28,FALSE)=VLOOKUP(AE$1,Table1[],2,FALSE),1,0)</f>
        <v>1</v>
      </c>
      <c r="AF76" s="5">
        <f>IF(VLOOKUP($B76,Table2[[prolific]:[feedbackTime]],29,FALSE)=VLOOKUP(AF$1,Table1[],2,FALSE),1,0)</f>
        <v>1</v>
      </c>
      <c r="AG76" s="5">
        <f>IF(VLOOKUP($B76,Table2[[prolific]:[feedbackTime]],30,FALSE)=VLOOKUP(AG$1,Table1[],2,FALSE),1,0)</f>
        <v>0</v>
      </c>
      <c r="AH76" s="5">
        <f t="shared" si="38"/>
        <v>6</v>
      </c>
      <c r="AI76" s="7">
        <f t="shared" si="39"/>
        <v>0.75</v>
      </c>
      <c r="AJ76" s="7">
        <f t="shared" si="40"/>
        <v>0.45454545454545453</v>
      </c>
      <c r="AK76" s="5">
        <f t="shared" si="41"/>
        <v>10</v>
      </c>
    </row>
    <row r="77" spans="1:37" x14ac:dyDescent="0.25">
      <c r="A77">
        <f t="shared" si="42"/>
        <v>1</v>
      </c>
      <c r="B77" s="5" t="s">
        <v>1152</v>
      </c>
      <c r="C77" s="5">
        <f>IF(VLOOKUP($B77,Table2[[prolific]:[feedbackTime]],6,FALSE)=VLOOKUP(C$1,Table1[],2,FALSE),1,0)</f>
        <v>1</v>
      </c>
      <c r="D77" s="5">
        <f>IF(VLOOKUP($B77,Table2[[prolific]:[feedbackTime]],7,FALSE)=VLOOKUP(D$1,Table1[],2,FALSE),1,0)</f>
        <v>0</v>
      </c>
      <c r="E77" s="5">
        <f>IF(VLOOKUP($B77,Table2[[prolific]:[feedbackTime]],8,FALSE)=VLOOKUP(E$1,Table1[],2,FALSE),1,0)</f>
        <v>1</v>
      </c>
      <c r="F77" s="5">
        <f t="shared" si="32"/>
        <v>2</v>
      </c>
      <c r="G77" s="7">
        <f t="shared" si="33"/>
        <v>0.66666666666666663</v>
      </c>
      <c r="H77" s="5">
        <f>IF(VLOOKUP($B77,Table2[[prolific]:[feedbackTime]],9,FALSE)=VLOOKUP(H$1,Table1[],2,FALSE),1,0)</f>
        <v>1</v>
      </c>
      <c r="I77" s="5">
        <f>IF(VLOOKUP($B77,Table2[[prolific]:[feedbackTime]],10,FALSE)=VLOOKUP(I$1,Table1[],2,FALSE),1,0)</f>
        <v>1</v>
      </c>
      <c r="J77" s="5">
        <f>IF(VLOOKUP($B77,Table2[[prolific]:[feedbackTime]],11,FALSE)=VLOOKUP(J$1,Table1[],2,FALSE),1,0)</f>
        <v>1</v>
      </c>
      <c r="K77" s="5">
        <f>IF(VLOOKUP($B77,Table2[[prolific]:[feedbackTime]],12,FALSE)=VLOOKUP(K$1,Table1[],2,FALSE),1,0)</f>
        <v>1</v>
      </c>
      <c r="L77" s="5">
        <f>IF(VLOOKUP($B77,Table2[[prolific]:[feedbackTime]],13,FALSE)=VLOOKUP(L$1,Table1[],2,FALSE),1,0)</f>
        <v>0</v>
      </c>
      <c r="M77" s="5">
        <f>IF(VLOOKUP($B77,Table2[[prolific]:[feedbackTime]],14,FALSE)=VLOOKUP(M$1,Table1[],2,FALSE),1,0)</f>
        <v>0</v>
      </c>
      <c r="N77" s="5">
        <f t="shared" si="34"/>
        <v>4</v>
      </c>
      <c r="O77" s="7">
        <f t="shared" si="35"/>
        <v>0.66666666666666663</v>
      </c>
      <c r="P77" s="5">
        <f>IF(VLOOKUP($B77,Table2[[prolific]:[feedbackTime]],15,FALSE)=VLOOKUP(P$1,Table1[],2,FALSE),1,0)</f>
        <v>1</v>
      </c>
      <c r="Q77" s="5">
        <f>IF(VLOOKUP($B77,Table2[[prolific]:[feedbackTime]],16,FALSE)=VLOOKUP(Q$1,Table1[],2,FALSE),1,0)</f>
        <v>1</v>
      </c>
      <c r="R77" s="5">
        <f>IF(VLOOKUP($B77,Table2[[prolific]:[feedbackTime]],17,FALSE)=VLOOKUP(R$1,Table1[],2,FALSE),1,0)</f>
        <v>1</v>
      </c>
      <c r="S77" s="5">
        <f>IF(VLOOKUP($B77,Table2[[prolific]:[feedbackTime]],18,FALSE)=VLOOKUP(S$1,Table1[],2,FALSE),1,0)</f>
        <v>0</v>
      </c>
      <c r="T77" s="5">
        <f>IF(VLOOKUP($B77,Table2[[prolific]:[feedbackTime]],19,FALSE)=VLOOKUP(T$1,Table1[],2,FALSE),1,0)</f>
        <v>1</v>
      </c>
      <c r="U77" s="5">
        <f>IF(VLOOKUP($B77,Table2[[prolific]:[feedbackTime]],20,FALSE)=VLOOKUP(U$1,Table1[],2,FALSE),1,0)</f>
        <v>1</v>
      </c>
      <c r="V77" s="5">
        <f>IF(VLOOKUP($B77,Table2[[prolific]:[feedbackTime]],21,FALSE)=VLOOKUP(V$1,Table1[],2,FALSE),1,0)</f>
        <v>1</v>
      </c>
      <c r="W77" s="5">
        <f>IF(VLOOKUP($B77,Table2[[prolific]:[feedbackTime]],22,FALSE)=VLOOKUP(W$1,Table1[],2,FALSE),1,0)</f>
        <v>0</v>
      </c>
      <c r="X77" s="5">
        <f t="shared" si="36"/>
        <v>6</v>
      </c>
      <c r="Y77" s="7">
        <f t="shared" si="37"/>
        <v>0.75</v>
      </c>
      <c r="Z77" s="5">
        <f>IF(VLOOKUP($B77,Table2[[prolific]:[feedbackTime]],23,FALSE)=VLOOKUP(Z$1,Table1[],2,FALSE),1,0)</f>
        <v>1</v>
      </c>
      <c r="AA77" s="5">
        <f>IF(VLOOKUP($B77,Table2[[prolific]:[feedbackTime]],24,FALSE)=VLOOKUP(AA$1,Table1[],2,FALSE),1,0)</f>
        <v>1</v>
      </c>
      <c r="AB77" s="5">
        <f>IF(VLOOKUP($B77,Table2[[prolific]:[feedbackTime]],25,FALSE)=VLOOKUP(AB$1,Table1[],2,FALSE),1,0)</f>
        <v>1</v>
      </c>
      <c r="AC77" s="5">
        <f>IF(VLOOKUP($B77,Table2[[prolific]:[feedbackTime]],26,FALSE)=VLOOKUP(AC$1,Table1[],2,FALSE),1,0)</f>
        <v>1</v>
      </c>
      <c r="AD77" s="5">
        <f>IF(VLOOKUP($B77,Table2[[prolific]:[feedbackTime]],27,FALSE)=VLOOKUP(AD$1,Table1[],2,FALSE),1,0)</f>
        <v>1</v>
      </c>
      <c r="AE77" s="5">
        <f>IF(VLOOKUP($B77,Table2[[prolific]:[feedbackTime]],28,FALSE)=VLOOKUP(AE$1,Table1[],2,FALSE),1,0)</f>
        <v>0</v>
      </c>
      <c r="AF77" s="5">
        <f>IF(VLOOKUP($B77,Table2[[prolific]:[feedbackTime]],29,FALSE)=VLOOKUP(AF$1,Table1[],2,FALSE),1,0)</f>
        <v>1</v>
      </c>
      <c r="AG77" s="5">
        <f>IF(VLOOKUP($B77,Table2[[prolific]:[feedbackTime]],30,FALSE)=VLOOKUP(AG$1,Table1[],2,FALSE),1,0)</f>
        <v>1</v>
      </c>
      <c r="AH77" s="5">
        <f t="shared" si="38"/>
        <v>7</v>
      </c>
      <c r="AI77" s="7">
        <f t="shared" si="39"/>
        <v>0.875</v>
      </c>
      <c r="AJ77" s="7">
        <f t="shared" si="40"/>
        <v>0.77272727272727271</v>
      </c>
      <c r="AK77" s="5">
        <f t="shared" si="41"/>
        <v>17</v>
      </c>
    </row>
    <row r="78" spans="1:37" x14ac:dyDescent="0.25">
      <c r="A78">
        <f t="shared" si="42"/>
        <v>1</v>
      </c>
      <c r="B78" s="5" t="s">
        <v>1168</v>
      </c>
      <c r="C78" s="5">
        <f>IF(VLOOKUP($B78,Table2[[prolific]:[feedbackTime]],6,FALSE)=VLOOKUP(C$1,Table1[],2,FALSE),1,0)</f>
        <v>1</v>
      </c>
      <c r="D78" s="5">
        <f>IF(VLOOKUP($B78,Table2[[prolific]:[feedbackTime]],7,FALSE)=VLOOKUP(D$1,Table1[],2,FALSE),1,0)</f>
        <v>1</v>
      </c>
      <c r="E78" s="5">
        <f>IF(VLOOKUP($B78,Table2[[prolific]:[feedbackTime]],8,FALSE)=VLOOKUP(E$1,Table1[],2,FALSE),1,0)</f>
        <v>1</v>
      </c>
      <c r="F78" s="5">
        <f t="shared" si="32"/>
        <v>3</v>
      </c>
      <c r="G78" s="7">
        <f t="shared" si="33"/>
        <v>1</v>
      </c>
      <c r="H78" s="5">
        <f>IF(VLOOKUP($B78,Table2[[prolific]:[feedbackTime]],9,FALSE)=VLOOKUP(H$1,Table1[],2,FALSE),1,0)</f>
        <v>1</v>
      </c>
      <c r="I78" s="5">
        <f>IF(VLOOKUP($B78,Table2[[prolific]:[feedbackTime]],10,FALSE)=VLOOKUP(I$1,Table1[],2,FALSE),1,0)</f>
        <v>1</v>
      </c>
      <c r="J78" s="5">
        <f>IF(VLOOKUP($B78,Table2[[prolific]:[feedbackTime]],11,FALSE)=VLOOKUP(J$1,Table1[],2,FALSE),1,0)</f>
        <v>1</v>
      </c>
      <c r="K78" s="5">
        <f>IF(VLOOKUP($B78,Table2[[prolific]:[feedbackTime]],12,FALSE)=VLOOKUP(K$1,Table1[],2,FALSE),1,0)</f>
        <v>1</v>
      </c>
      <c r="L78" s="5">
        <f>IF(VLOOKUP($B78,Table2[[prolific]:[feedbackTime]],13,FALSE)=VLOOKUP(L$1,Table1[],2,FALSE),1,0)</f>
        <v>1</v>
      </c>
      <c r="M78" s="5">
        <f>IF(VLOOKUP($B78,Table2[[prolific]:[feedbackTime]],14,FALSE)=VLOOKUP(M$1,Table1[],2,FALSE),1,0)</f>
        <v>1</v>
      </c>
      <c r="N78" s="5">
        <f t="shared" si="34"/>
        <v>6</v>
      </c>
      <c r="O78" s="7">
        <f t="shared" si="35"/>
        <v>1</v>
      </c>
      <c r="P78" s="5">
        <f>IF(VLOOKUP($B78,Table2[[prolific]:[feedbackTime]],15,FALSE)=VLOOKUP(P$1,Table1[],2,FALSE),1,0)</f>
        <v>1</v>
      </c>
      <c r="Q78" s="5">
        <f>IF(VLOOKUP($B78,Table2[[prolific]:[feedbackTime]],16,FALSE)=VLOOKUP(Q$1,Table1[],2,FALSE),1,0)</f>
        <v>1</v>
      </c>
      <c r="R78" s="5">
        <f>IF(VLOOKUP($B78,Table2[[prolific]:[feedbackTime]],17,FALSE)=VLOOKUP(R$1,Table1[],2,FALSE),1,0)</f>
        <v>1</v>
      </c>
      <c r="S78" s="5">
        <f>IF(VLOOKUP($B78,Table2[[prolific]:[feedbackTime]],18,FALSE)=VLOOKUP(S$1,Table1[],2,FALSE),1,0)</f>
        <v>1</v>
      </c>
      <c r="T78" s="5">
        <f>IF(VLOOKUP($B78,Table2[[prolific]:[feedbackTime]],19,FALSE)=VLOOKUP(T$1,Table1[],2,FALSE),1,0)</f>
        <v>1</v>
      </c>
      <c r="U78" s="5">
        <f>IF(VLOOKUP($B78,Table2[[prolific]:[feedbackTime]],20,FALSE)=VLOOKUP(U$1,Table1[],2,FALSE),1,0)</f>
        <v>0</v>
      </c>
      <c r="V78" s="5">
        <f>IF(VLOOKUP($B78,Table2[[prolific]:[feedbackTime]],21,FALSE)=VLOOKUP(V$1,Table1[],2,FALSE),1,0)</f>
        <v>1</v>
      </c>
      <c r="W78" s="5">
        <f>IF(VLOOKUP($B78,Table2[[prolific]:[feedbackTime]],22,FALSE)=VLOOKUP(W$1,Table1[],2,FALSE),1,0)</f>
        <v>1</v>
      </c>
      <c r="X78" s="5">
        <f t="shared" si="36"/>
        <v>7</v>
      </c>
      <c r="Y78" s="7">
        <f t="shared" si="37"/>
        <v>0.875</v>
      </c>
      <c r="Z78" s="5">
        <f>IF(VLOOKUP($B78,Table2[[prolific]:[feedbackTime]],23,FALSE)=VLOOKUP(Z$1,Table1[],2,FALSE),1,0)</f>
        <v>1</v>
      </c>
      <c r="AA78" s="5">
        <f>IF(VLOOKUP($B78,Table2[[prolific]:[feedbackTime]],24,FALSE)=VLOOKUP(AA$1,Table1[],2,FALSE),1,0)</f>
        <v>1</v>
      </c>
      <c r="AB78" s="5">
        <f>IF(VLOOKUP($B78,Table2[[prolific]:[feedbackTime]],25,FALSE)=VLOOKUP(AB$1,Table1[],2,FALSE),1,0)</f>
        <v>0</v>
      </c>
      <c r="AC78" s="5">
        <f>IF(VLOOKUP($B78,Table2[[prolific]:[feedbackTime]],26,FALSE)=VLOOKUP(AC$1,Table1[],2,FALSE),1,0)</f>
        <v>1</v>
      </c>
      <c r="AD78" s="5">
        <f>IF(VLOOKUP($B78,Table2[[prolific]:[feedbackTime]],27,FALSE)=VLOOKUP(AD$1,Table1[],2,FALSE),1,0)</f>
        <v>1</v>
      </c>
      <c r="AE78" s="5">
        <f>IF(VLOOKUP($B78,Table2[[prolific]:[feedbackTime]],28,FALSE)=VLOOKUP(AE$1,Table1[],2,FALSE),1,0)</f>
        <v>1</v>
      </c>
      <c r="AF78" s="5">
        <f>IF(VLOOKUP($B78,Table2[[prolific]:[feedbackTime]],29,FALSE)=VLOOKUP(AF$1,Table1[],2,FALSE),1,0)</f>
        <v>1</v>
      </c>
      <c r="AG78" s="5">
        <f>IF(VLOOKUP($B78,Table2[[prolific]:[feedbackTime]],30,FALSE)=VLOOKUP(AG$1,Table1[],2,FALSE),1,0)</f>
        <v>1</v>
      </c>
      <c r="AH78" s="5">
        <f t="shared" si="38"/>
        <v>7</v>
      </c>
      <c r="AI78" s="7">
        <f t="shared" si="39"/>
        <v>0.875</v>
      </c>
      <c r="AJ78" s="7">
        <f t="shared" si="40"/>
        <v>0.90909090909090906</v>
      </c>
      <c r="AK78" s="5">
        <f t="shared" si="41"/>
        <v>20</v>
      </c>
    </row>
    <row r="79" spans="1:37" x14ac:dyDescent="0.25">
      <c r="A79">
        <f t="shared" si="42"/>
        <v>1</v>
      </c>
      <c r="B79" s="5" t="s">
        <v>1170</v>
      </c>
      <c r="C79" s="5">
        <f>IF(VLOOKUP($B79,Table2[[prolific]:[feedbackTime]],6,FALSE)=VLOOKUP(C$1,Table1[],2,FALSE),1,0)</f>
        <v>1</v>
      </c>
      <c r="D79" s="5">
        <f>IF(VLOOKUP($B79,Table2[[prolific]:[feedbackTime]],7,FALSE)=VLOOKUP(D$1,Table1[],2,FALSE),1,0)</f>
        <v>1</v>
      </c>
      <c r="E79" s="5">
        <f>IF(VLOOKUP($B79,Table2[[prolific]:[feedbackTime]],8,FALSE)=VLOOKUP(E$1,Table1[],2,FALSE),1,0)</f>
        <v>1</v>
      </c>
      <c r="F79" s="5">
        <f t="shared" si="32"/>
        <v>3</v>
      </c>
      <c r="G79" s="7">
        <f t="shared" si="33"/>
        <v>1</v>
      </c>
      <c r="H79" s="5">
        <f>IF(VLOOKUP($B79,Table2[[prolific]:[feedbackTime]],9,FALSE)=VLOOKUP(H$1,Table1[],2,FALSE),1,0)</f>
        <v>1</v>
      </c>
      <c r="I79" s="5">
        <f>IF(VLOOKUP($B79,Table2[[prolific]:[feedbackTime]],10,FALSE)=VLOOKUP(I$1,Table1[],2,FALSE),1,0)</f>
        <v>1</v>
      </c>
      <c r="J79" s="5">
        <f>IF(VLOOKUP($B79,Table2[[prolific]:[feedbackTime]],11,FALSE)=VLOOKUP(J$1,Table1[],2,FALSE),1,0)</f>
        <v>1</v>
      </c>
      <c r="K79" s="5">
        <f>IF(VLOOKUP($B79,Table2[[prolific]:[feedbackTime]],12,FALSE)=VLOOKUP(K$1,Table1[],2,FALSE),1,0)</f>
        <v>1</v>
      </c>
      <c r="L79" s="5">
        <f>IF(VLOOKUP($B79,Table2[[prolific]:[feedbackTime]],13,FALSE)=VLOOKUP(L$1,Table1[],2,FALSE),1,0)</f>
        <v>1</v>
      </c>
      <c r="M79" s="5">
        <f>IF(VLOOKUP($B79,Table2[[prolific]:[feedbackTime]],14,FALSE)=VLOOKUP(M$1,Table1[],2,FALSE),1,0)</f>
        <v>0</v>
      </c>
      <c r="N79" s="5">
        <f t="shared" si="34"/>
        <v>5</v>
      </c>
      <c r="O79" s="7">
        <f t="shared" si="35"/>
        <v>0.83333333333333337</v>
      </c>
      <c r="P79" s="5">
        <f>IF(VLOOKUP($B79,Table2[[prolific]:[feedbackTime]],15,FALSE)=VLOOKUP(P$1,Table1[],2,FALSE),1,0)</f>
        <v>1</v>
      </c>
      <c r="Q79" s="5">
        <f>IF(VLOOKUP($B79,Table2[[prolific]:[feedbackTime]],16,FALSE)=VLOOKUP(Q$1,Table1[],2,FALSE),1,0)</f>
        <v>1</v>
      </c>
      <c r="R79" s="5">
        <f>IF(VLOOKUP($B79,Table2[[prolific]:[feedbackTime]],17,FALSE)=VLOOKUP(R$1,Table1[],2,FALSE),1,0)</f>
        <v>1</v>
      </c>
      <c r="S79" s="5">
        <f>IF(VLOOKUP($B79,Table2[[prolific]:[feedbackTime]],18,FALSE)=VLOOKUP(S$1,Table1[],2,FALSE),1,0)</f>
        <v>1</v>
      </c>
      <c r="T79" s="5">
        <f>IF(VLOOKUP($B79,Table2[[prolific]:[feedbackTime]],19,FALSE)=VLOOKUP(T$1,Table1[],2,FALSE),1,0)</f>
        <v>1</v>
      </c>
      <c r="U79" s="5">
        <f>IF(VLOOKUP($B79,Table2[[prolific]:[feedbackTime]],20,FALSE)=VLOOKUP(U$1,Table1[],2,FALSE),1,0)</f>
        <v>1</v>
      </c>
      <c r="V79" s="5">
        <f>IF(VLOOKUP($B79,Table2[[prolific]:[feedbackTime]],21,FALSE)=VLOOKUP(V$1,Table1[],2,FALSE),1,0)</f>
        <v>0</v>
      </c>
      <c r="W79" s="5">
        <f>IF(VLOOKUP($B79,Table2[[prolific]:[feedbackTime]],22,FALSE)=VLOOKUP(W$1,Table1[],2,FALSE),1,0)</f>
        <v>1</v>
      </c>
      <c r="X79" s="5">
        <f t="shared" si="36"/>
        <v>7</v>
      </c>
      <c r="Y79" s="7">
        <f t="shared" si="37"/>
        <v>0.875</v>
      </c>
      <c r="Z79" s="5">
        <f>IF(VLOOKUP($B79,Table2[[prolific]:[feedbackTime]],23,FALSE)=VLOOKUP(Z$1,Table1[],2,FALSE),1,0)</f>
        <v>1</v>
      </c>
      <c r="AA79" s="5">
        <f>IF(VLOOKUP($B79,Table2[[prolific]:[feedbackTime]],24,FALSE)=VLOOKUP(AA$1,Table1[],2,FALSE),1,0)</f>
        <v>1</v>
      </c>
      <c r="AB79" s="5">
        <f>IF(VLOOKUP($B79,Table2[[prolific]:[feedbackTime]],25,FALSE)=VLOOKUP(AB$1,Table1[],2,FALSE),1,0)</f>
        <v>1</v>
      </c>
      <c r="AC79" s="5">
        <f>IF(VLOOKUP($B79,Table2[[prolific]:[feedbackTime]],26,FALSE)=VLOOKUP(AC$1,Table1[],2,FALSE),1,0)</f>
        <v>1</v>
      </c>
      <c r="AD79" s="5">
        <f>IF(VLOOKUP($B79,Table2[[prolific]:[feedbackTime]],27,FALSE)=VLOOKUP(AD$1,Table1[],2,FALSE),1,0)</f>
        <v>1</v>
      </c>
      <c r="AE79" s="5">
        <f>IF(VLOOKUP($B79,Table2[[prolific]:[feedbackTime]],28,FALSE)=VLOOKUP(AE$1,Table1[],2,FALSE),1,0)</f>
        <v>1</v>
      </c>
      <c r="AF79" s="5">
        <f>IF(VLOOKUP($B79,Table2[[prolific]:[feedbackTime]],29,FALSE)=VLOOKUP(AF$1,Table1[],2,FALSE),1,0)</f>
        <v>1</v>
      </c>
      <c r="AG79" s="5">
        <f>IF(VLOOKUP($B79,Table2[[prolific]:[feedbackTime]],30,FALSE)=VLOOKUP(AG$1,Table1[],2,FALSE),1,0)</f>
        <v>1</v>
      </c>
      <c r="AH79" s="5">
        <f t="shared" si="38"/>
        <v>8</v>
      </c>
      <c r="AI79" s="7">
        <f t="shared" si="39"/>
        <v>1</v>
      </c>
      <c r="AJ79" s="7">
        <f t="shared" si="40"/>
        <v>0.90909090909090906</v>
      </c>
      <c r="AK79" s="5">
        <f t="shared" si="41"/>
        <v>20</v>
      </c>
    </row>
    <row r="80" spans="1:37" x14ac:dyDescent="0.25">
      <c r="A80">
        <f t="shared" si="42"/>
        <v>1</v>
      </c>
      <c r="B80" s="5" t="s">
        <v>1171</v>
      </c>
      <c r="C80" s="5">
        <f>IF(VLOOKUP($B80,Table2[[prolific]:[feedbackTime]],6,FALSE)=VLOOKUP(C$1,Table1[],2,FALSE),1,0)</f>
        <v>1</v>
      </c>
      <c r="D80" s="5">
        <f>IF(VLOOKUP($B80,Table2[[prolific]:[feedbackTime]],7,FALSE)=VLOOKUP(D$1,Table1[],2,FALSE),1,0)</f>
        <v>1</v>
      </c>
      <c r="E80" s="5">
        <f>IF(VLOOKUP($B80,Table2[[prolific]:[feedbackTime]],8,FALSE)=VLOOKUP(E$1,Table1[],2,FALSE),1,0)</f>
        <v>1</v>
      </c>
      <c r="F80" s="5">
        <f t="shared" si="32"/>
        <v>3</v>
      </c>
      <c r="G80" s="7">
        <f t="shared" si="33"/>
        <v>1</v>
      </c>
      <c r="H80" s="5">
        <f>IF(VLOOKUP($B80,Table2[[prolific]:[feedbackTime]],9,FALSE)=VLOOKUP(H$1,Table1[],2,FALSE),1,0)</f>
        <v>1</v>
      </c>
      <c r="I80" s="5">
        <f>IF(VLOOKUP($B80,Table2[[prolific]:[feedbackTime]],10,FALSE)=VLOOKUP(I$1,Table1[],2,FALSE),1,0)</f>
        <v>1</v>
      </c>
      <c r="J80" s="5">
        <f>IF(VLOOKUP($B80,Table2[[prolific]:[feedbackTime]],11,FALSE)=VLOOKUP(J$1,Table1[],2,FALSE),1,0)</f>
        <v>1</v>
      </c>
      <c r="K80" s="5">
        <f>IF(VLOOKUP($B80,Table2[[prolific]:[feedbackTime]],12,FALSE)=VLOOKUP(K$1,Table1[],2,FALSE),1,0)</f>
        <v>1</v>
      </c>
      <c r="L80" s="5">
        <f>IF(VLOOKUP($B80,Table2[[prolific]:[feedbackTime]],13,FALSE)=VLOOKUP(L$1,Table1[],2,FALSE),1,0)</f>
        <v>1</v>
      </c>
      <c r="M80" s="5">
        <f>IF(VLOOKUP($B80,Table2[[prolific]:[feedbackTime]],14,FALSE)=VLOOKUP(M$1,Table1[],2,FALSE),1,0)</f>
        <v>1</v>
      </c>
      <c r="N80" s="5">
        <f t="shared" si="34"/>
        <v>6</v>
      </c>
      <c r="O80" s="7">
        <f t="shared" si="35"/>
        <v>1</v>
      </c>
      <c r="P80" s="5">
        <f>IF(VLOOKUP($B80,Table2[[prolific]:[feedbackTime]],15,FALSE)=VLOOKUP(P$1,Table1[],2,FALSE),1,0)</f>
        <v>1</v>
      </c>
      <c r="Q80" s="5">
        <f>IF(VLOOKUP($B80,Table2[[prolific]:[feedbackTime]],16,FALSE)=VLOOKUP(Q$1,Table1[],2,FALSE),1,0)</f>
        <v>1</v>
      </c>
      <c r="R80" s="5">
        <f>IF(VLOOKUP($B80,Table2[[prolific]:[feedbackTime]],17,FALSE)=VLOOKUP(R$1,Table1[],2,FALSE),1,0)</f>
        <v>1</v>
      </c>
      <c r="S80" s="5">
        <f>IF(VLOOKUP($B80,Table2[[prolific]:[feedbackTime]],18,FALSE)=VLOOKUP(S$1,Table1[],2,FALSE),1,0)</f>
        <v>1</v>
      </c>
      <c r="T80" s="5">
        <f>IF(VLOOKUP($B80,Table2[[prolific]:[feedbackTime]],19,FALSE)=VLOOKUP(T$1,Table1[],2,FALSE),1,0)</f>
        <v>1</v>
      </c>
      <c r="U80" s="5">
        <f>IF(VLOOKUP($B80,Table2[[prolific]:[feedbackTime]],20,FALSE)=VLOOKUP(U$1,Table1[],2,FALSE),1,0)</f>
        <v>1</v>
      </c>
      <c r="V80" s="5">
        <f>IF(VLOOKUP($B80,Table2[[prolific]:[feedbackTime]],21,FALSE)=VLOOKUP(V$1,Table1[],2,FALSE),1,0)</f>
        <v>1</v>
      </c>
      <c r="W80" s="5">
        <f>IF(VLOOKUP($B80,Table2[[prolific]:[feedbackTime]],22,FALSE)=VLOOKUP(W$1,Table1[],2,FALSE),1,0)</f>
        <v>1</v>
      </c>
      <c r="X80" s="5">
        <f t="shared" si="36"/>
        <v>8</v>
      </c>
      <c r="Y80" s="7">
        <f t="shared" si="37"/>
        <v>1</v>
      </c>
      <c r="Z80" s="5">
        <f>IF(VLOOKUP($B80,Table2[[prolific]:[feedbackTime]],23,FALSE)=VLOOKUP(Z$1,Table1[],2,FALSE),1,0)</f>
        <v>1</v>
      </c>
      <c r="AA80" s="5">
        <f>IF(VLOOKUP($B80,Table2[[prolific]:[feedbackTime]],24,FALSE)=VLOOKUP(AA$1,Table1[],2,FALSE),1,0)</f>
        <v>1</v>
      </c>
      <c r="AB80" s="5">
        <f>IF(VLOOKUP($B80,Table2[[prolific]:[feedbackTime]],25,FALSE)=VLOOKUP(AB$1,Table1[],2,FALSE),1,0)</f>
        <v>1</v>
      </c>
      <c r="AC80" s="5">
        <f>IF(VLOOKUP($B80,Table2[[prolific]:[feedbackTime]],26,FALSE)=VLOOKUP(AC$1,Table1[],2,FALSE),1,0)</f>
        <v>1</v>
      </c>
      <c r="AD80" s="5">
        <f>IF(VLOOKUP($B80,Table2[[prolific]:[feedbackTime]],27,FALSE)=VLOOKUP(AD$1,Table1[],2,FALSE),1,0)</f>
        <v>0</v>
      </c>
      <c r="AE80" s="5">
        <f>IF(VLOOKUP($B80,Table2[[prolific]:[feedbackTime]],28,FALSE)=VLOOKUP(AE$1,Table1[],2,FALSE),1,0)</f>
        <v>1</v>
      </c>
      <c r="AF80" s="5">
        <f>IF(VLOOKUP($B80,Table2[[prolific]:[feedbackTime]],29,FALSE)=VLOOKUP(AF$1,Table1[],2,FALSE),1,0)</f>
        <v>1</v>
      </c>
      <c r="AG80" s="5">
        <f>IF(VLOOKUP($B80,Table2[[prolific]:[feedbackTime]],30,FALSE)=VLOOKUP(AG$1,Table1[],2,FALSE),1,0)</f>
        <v>1</v>
      </c>
      <c r="AH80" s="5">
        <f t="shared" si="38"/>
        <v>7</v>
      </c>
      <c r="AI80" s="7">
        <f t="shared" si="39"/>
        <v>0.875</v>
      </c>
      <c r="AJ80" s="7">
        <f t="shared" si="40"/>
        <v>0.95454545454545459</v>
      </c>
      <c r="AK80" s="5">
        <f t="shared" si="41"/>
        <v>21</v>
      </c>
    </row>
    <row r="81" spans="1:37" x14ac:dyDescent="0.25">
      <c r="A81">
        <f t="shared" si="42"/>
        <v>1</v>
      </c>
      <c r="B81" s="5" t="s">
        <v>1172</v>
      </c>
      <c r="C81" s="5">
        <f>IF(VLOOKUP($B81,Table2[[prolific]:[feedbackTime]],6,FALSE)=VLOOKUP(C$1,Table1[],2,FALSE),1,0)</f>
        <v>1</v>
      </c>
      <c r="D81" s="5">
        <f>IF(VLOOKUP($B81,Table2[[prolific]:[feedbackTime]],7,FALSE)=VLOOKUP(D$1,Table1[],2,FALSE),1,0)</f>
        <v>1</v>
      </c>
      <c r="E81" s="5">
        <f>IF(VLOOKUP($B81,Table2[[prolific]:[feedbackTime]],8,FALSE)=VLOOKUP(E$1,Table1[],2,FALSE),1,0)</f>
        <v>1</v>
      </c>
      <c r="F81" s="5">
        <f t="shared" si="32"/>
        <v>3</v>
      </c>
      <c r="G81" s="7">
        <f t="shared" si="33"/>
        <v>1</v>
      </c>
      <c r="H81" s="5">
        <f>IF(VLOOKUP($B81,Table2[[prolific]:[feedbackTime]],9,FALSE)=VLOOKUP(H$1,Table1[],2,FALSE),1,0)</f>
        <v>1</v>
      </c>
      <c r="I81" s="5">
        <f>IF(VLOOKUP($B81,Table2[[prolific]:[feedbackTime]],10,FALSE)=VLOOKUP(I$1,Table1[],2,FALSE),1,0)</f>
        <v>0</v>
      </c>
      <c r="J81" s="5">
        <f>IF(VLOOKUP($B81,Table2[[prolific]:[feedbackTime]],11,FALSE)=VLOOKUP(J$1,Table1[],2,FALSE),1,0)</f>
        <v>0</v>
      </c>
      <c r="K81" s="5">
        <f>IF(VLOOKUP($B81,Table2[[prolific]:[feedbackTime]],12,FALSE)=VLOOKUP(K$1,Table1[],2,FALSE),1,0)</f>
        <v>0</v>
      </c>
      <c r="L81" s="5">
        <f>IF(VLOOKUP($B81,Table2[[prolific]:[feedbackTime]],13,FALSE)=VLOOKUP(L$1,Table1[],2,FALSE),1,0)</f>
        <v>0</v>
      </c>
      <c r="M81" s="5">
        <f>IF(VLOOKUP($B81,Table2[[prolific]:[feedbackTime]],14,FALSE)=VLOOKUP(M$1,Table1[],2,FALSE),1,0)</f>
        <v>1</v>
      </c>
      <c r="N81" s="5">
        <f t="shared" si="34"/>
        <v>2</v>
      </c>
      <c r="O81" s="7">
        <f t="shared" si="35"/>
        <v>0.33333333333333331</v>
      </c>
      <c r="P81" s="5">
        <f>IF(VLOOKUP($B81,Table2[[prolific]:[feedbackTime]],15,FALSE)=VLOOKUP(P$1,Table1[],2,FALSE),1,0)</f>
        <v>1</v>
      </c>
      <c r="Q81" s="5">
        <f>IF(VLOOKUP($B81,Table2[[prolific]:[feedbackTime]],16,FALSE)=VLOOKUP(Q$1,Table1[],2,FALSE),1,0)</f>
        <v>1</v>
      </c>
      <c r="R81" s="5">
        <f>IF(VLOOKUP($B81,Table2[[prolific]:[feedbackTime]],17,FALSE)=VLOOKUP(R$1,Table1[],2,FALSE),1,0)</f>
        <v>0</v>
      </c>
      <c r="S81" s="5">
        <f>IF(VLOOKUP($B81,Table2[[prolific]:[feedbackTime]],18,FALSE)=VLOOKUP(S$1,Table1[],2,FALSE),1,0)</f>
        <v>1</v>
      </c>
      <c r="T81" s="5">
        <f>IF(VLOOKUP($B81,Table2[[prolific]:[feedbackTime]],19,FALSE)=VLOOKUP(T$1,Table1[],2,FALSE),1,0)</f>
        <v>1</v>
      </c>
      <c r="U81" s="5">
        <f>IF(VLOOKUP($B81,Table2[[prolific]:[feedbackTime]],20,FALSE)=VLOOKUP(U$1,Table1[],2,FALSE),1,0)</f>
        <v>1</v>
      </c>
      <c r="V81" s="5">
        <f>IF(VLOOKUP($B81,Table2[[prolific]:[feedbackTime]],21,FALSE)=VLOOKUP(V$1,Table1[],2,FALSE),1,0)</f>
        <v>0</v>
      </c>
      <c r="W81" s="5">
        <f>IF(VLOOKUP($B81,Table2[[prolific]:[feedbackTime]],22,FALSE)=VLOOKUP(W$1,Table1[],2,FALSE),1,0)</f>
        <v>0</v>
      </c>
      <c r="X81" s="5">
        <f t="shared" si="36"/>
        <v>5</v>
      </c>
      <c r="Y81" s="7">
        <f t="shared" si="37"/>
        <v>0.625</v>
      </c>
      <c r="Z81" s="5">
        <f>IF(VLOOKUP($B81,Table2[[prolific]:[feedbackTime]],23,FALSE)=VLOOKUP(Z$1,Table1[],2,FALSE),1,0)</f>
        <v>1</v>
      </c>
      <c r="AA81" s="5">
        <f>IF(VLOOKUP($B81,Table2[[prolific]:[feedbackTime]],24,FALSE)=VLOOKUP(AA$1,Table1[],2,FALSE),1,0)</f>
        <v>1</v>
      </c>
      <c r="AB81" s="5">
        <f>IF(VLOOKUP($B81,Table2[[prolific]:[feedbackTime]],25,FALSE)=VLOOKUP(AB$1,Table1[],2,FALSE),1,0)</f>
        <v>1</v>
      </c>
      <c r="AC81" s="5">
        <f>IF(VLOOKUP($B81,Table2[[prolific]:[feedbackTime]],26,FALSE)=VLOOKUP(AC$1,Table1[],2,FALSE),1,0)</f>
        <v>1</v>
      </c>
      <c r="AD81" s="5">
        <f>IF(VLOOKUP($B81,Table2[[prolific]:[feedbackTime]],27,FALSE)=VLOOKUP(AD$1,Table1[],2,FALSE),1,0)</f>
        <v>0</v>
      </c>
      <c r="AE81" s="5">
        <f>IF(VLOOKUP($B81,Table2[[prolific]:[feedbackTime]],28,FALSE)=VLOOKUP(AE$1,Table1[],2,FALSE),1,0)</f>
        <v>1</v>
      </c>
      <c r="AF81" s="5">
        <f>IF(VLOOKUP($B81,Table2[[prolific]:[feedbackTime]],29,FALSE)=VLOOKUP(AF$1,Table1[],2,FALSE),1,0)</f>
        <v>1</v>
      </c>
      <c r="AG81" s="5">
        <f>IF(VLOOKUP($B81,Table2[[prolific]:[feedbackTime]],30,FALSE)=VLOOKUP(AG$1,Table1[],2,FALSE),1,0)</f>
        <v>0</v>
      </c>
      <c r="AH81" s="5">
        <f t="shared" si="38"/>
        <v>6</v>
      </c>
      <c r="AI81" s="7">
        <f t="shared" si="39"/>
        <v>0.75</v>
      </c>
      <c r="AJ81" s="7">
        <f t="shared" si="40"/>
        <v>0.59090909090909094</v>
      </c>
      <c r="AK81" s="5">
        <f t="shared" si="41"/>
        <v>13</v>
      </c>
    </row>
    <row r="82" spans="1:37" x14ac:dyDescent="0.25">
      <c r="A82">
        <f t="shared" si="42"/>
        <v>1</v>
      </c>
      <c r="B82" s="5" t="s">
        <v>1173</v>
      </c>
      <c r="C82" s="5">
        <f>IF(VLOOKUP($B82,Table2[[prolific]:[feedbackTime]],6,FALSE)=VLOOKUP(C$1,Table1[],2,FALSE),1,0)</f>
        <v>1</v>
      </c>
      <c r="D82" s="5">
        <f>IF(VLOOKUP($B82,Table2[[prolific]:[feedbackTime]],7,FALSE)=VLOOKUP(D$1,Table1[],2,FALSE),1,0)</f>
        <v>1</v>
      </c>
      <c r="E82" s="5">
        <f>IF(VLOOKUP($B82,Table2[[prolific]:[feedbackTime]],8,FALSE)=VLOOKUP(E$1,Table1[],2,FALSE),1,0)</f>
        <v>1</v>
      </c>
      <c r="F82" s="5">
        <f t="shared" si="32"/>
        <v>3</v>
      </c>
      <c r="G82" s="7">
        <f t="shared" si="33"/>
        <v>1</v>
      </c>
      <c r="H82" s="5">
        <f>IF(VLOOKUP($B82,Table2[[prolific]:[feedbackTime]],9,FALSE)=VLOOKUP(H$1,Table1[],2,FALSE),1,0)</f>
        <v>1</v>
      </c>
      <c r="I82" s="5">
        <f>IF(VLOOKUP($B82,Table2[[prolific]:[feedbackTime]],10,FALSE)=VLOOKUP(I$1,Table1[],2,FALSE),1,0)</f>
        <v>1</v>
      </c>
      <c r="J82" s="5">
        <f>IF(VLOOKUP($B82,Table2[[prolific]:[feedbackTime]],11,FALSE)=VLOOKUP(J$1,Table1[],2,FALSE),1,0)</f>
        <v>1</v>
      </c>
      <c r="K82" s="5">
        <f>IF(VLOOKUP($B82,Table2[[prolific]:[feedbackTime]],12,FALSE)=VLOOKUP(K$1,Table1[],2,FALSE),1,0)</f>
        <v>1</v>
      </c>
      <c r="L82" s="5">
        <f>IF(VLOOKUP($B82,Table2[[prolific]:[feedbackTime]],13,FALSE)=VLOOKUP(L$1,Table1[],2,FALSE),1,0)</f>
        <v>1</v>
      </c>
      <c r="M82" s="5">
        <f>IF(VLOOKUP($B82,Table2[[prolific]:[feedbackTime]],14,FALSE)=VLOOKUP(M$1,Table1[],2,FALSE),1,0)</f>
        <v>1</v>
      </c>
      <c r="N82" s="5">
        <f t="shared" si="34"/>
        <v>6</v>
      </c>
      <c r="O82" s="7">
        <f t="shared" si="35"/>
        <v>1</v>
      </c>
      <c r="P82" s="5">
        <f>IF(VLOOKUP($B82,Table2[[prolific]:[feedbackTime]],15,FALSE)=VLOOKUP(P$1,Table1[],2,FALSE),1,0)</f>
        <v>1</v>
      </c>
      <c r="Q82" s="5">
        <f>IF(VLOOKUP($B82,Table2[[prolific]:[feedbackTime]],16,FALSE)=VLOOKUP(Q$1,Table1[],2,FALSE),1,0)</f>
        <v>1</v>
      </c>
      <c r="R82" s="5">
        <f>IF(VLOOKUP($B82,Table2[[prolific]:[feedbackTime]],17,FALSE)=VLOOKUP(R$1,Table1[],2,FALSE),1,0)</f>
        <v>1</v>
      </c>
      <c r="S82" s="5">
        <f>IF(VLOOKUP($B82,Table2[[prolific]:[feedbackTime]],18,FALSE)=VLOOKUP(S$1,Table1[],2,FALSE),1,0)</f>
        <v>1</v>
      </c>
      <c r="T82" s="5">
        <f>IF(VLOOKUP($B82,Table2[[prolific]:[feedbackTime]],19,FALSE)=VLOOKUP(T$1,Table1[],2,FALSE),1,0)</f>
        <v>1</v>
      </c>
      <c r="U82" s="5">
        <f>IF(VLOOKUP($B82,Table2[[prolific]:[feedbackTime]],20,FALSE)=VLOOKUP(U$1,Table1[],2,FALSE),1,0)</f>
        <v>1</v>
      </c>
      <c r="V82" s="5">
        <f>IF(VLOOKUP($B82,Table2[[prolific]:[feedbackTime]],21,FALSE)=VLOOKUP(V$1,Table1[],2,FALSE),1,0)</f>
        <v>0</v>
      </c>
      <c r="W82" s="5">
        <f>IF(VLOOKUP($B82,Table2[[prolific]:[feedbackTime]],22,FALSE)=VLOOKUP(W$1,Table1[],2,FALSE),1,0)</f>
        <v>1</v>
      </c>
      <c r="X82" s="5">
        <f t="shared" si="36"/>
        <v>7</v>
      </c>
      <c r="Y82" s="7">
        <f t="shared" si="37"/>
        <v>0.875</v>
      </c>
      <c r="Z82" s="5">
        <f>IF(VLOOKUP($B82,Table2[[prolific]:[feedbackTime]],23,FALSE)=VLOOKUP(Z$1,Table1[],2,FALSE),1,0)</f>
        <v>1</v>
      </c>
      <c r="AA82" s="5">
        <f>IF(VLOOKUP($B82,Table2[[prolific]:[feedbackTime]],24,FALSE)=VLOOKUP(AA$1,Table1[],2,FALSE),1,0)</f>
        <v>1</v>
      </c>
      <c r="AB82" s="5">
        <f>IF(VLOOKUP($B82,Table2[[prolific]:[feedbackTime]],25,FALSE)=VLOOKUP(AB$1,Table1[],2,FALSE),1,0)</f>
        <v>1</v>
      </c>
      <c r="AC82" s="5">
        <f>IF(VLOOKUP($B82,Table2[[prolific]:[feedbackTime]],26,FALSE)=VLOOKUP(AC$1,Table1[],2,FALSE),1,0)</f>
        <v>1</v>
      </c>
      <c r="AD82" s="5">
        <f>IF(VLOOKUP($B82,Table2[[prolific]:[feedbackTime]],27,FALSE)=VLOOKUP(AD$1,Table1[],2,FALSE),1,0)</f>
        <v>0</v>
      </c>
      <c r="AE82" s="5">
        <f>IF(VLOOKUP($B82,Table2[[prolific]:[feedbackTime]],28,FALSE)=VLOOKUP(AE$1,Table1[],2,FALSE),1,0)</f>
        <v>1</v>
      </c>
      <c r="AF82" s="5">
        <f>IF(VLOOKUP($B82,Table2[[prolific]:[feedbackTime]],29,FALSE)=VLOOKUP(AF$1,Table1[],2,FALSE),1,0)</f>
        <v>1</v>
      </c>
      <c r="AG82" s="5">
        <f>IF(VLOOKUP($B82,Table2[[prolific]:[feedbackTime]],30,FALSE)=VLOOKUP(AG$1,Table1[],2,FALSE),1,0)</f>
        <v>1</v>
      </c>
      <c r="AH82" s="5">
        <f t="shared" si="38"/>
        <v>7</v>
      </c>
      <c r="AI82" s="7">
        <f t="shared" si="39"/>
        <v>0.875</v>
      </c>
      <c r="AJ82" s="7">
        <f t="shared" si="40"/>
        <v>0.90909090909090906</v>
      </c>
      <c r="AK82" s="5">
        <f t="shared" si="41"/>
        <v>20</v>
      </c>
    </row>
    <row r="83" spans="1:37" x14ac:dyDescent="0.25">
      <c r="A83">
        <f t="shared" si="42"/>
        <v>1</v>
      </c>
      <c r="B83" s="5" t="s">
        <v>1232</v>
      </c>
      <c r="C83" s="5" t="e">
        <f>IF(VLOOKUP($B83,Table2[[prolific]:[feedbackTime]],6,FALSE)=VLOOKUP(C$1,Table1[],2,FALSE),1,0)</f>
        <v>#N/A</v>
      </c>
      <c r="D83" s="5" t="e">
        <f>IF(VLOOKUP($B83,Table2[[prolific]:[feedbackTime]],7,FALSE)=VLOOKUP(D$1,Table1[],2,FALSE),1,0)</f>
        <v>#N/A</v>
      </c>
      <c r="E83" s="5" t="e">
        <f>IF(VLOOKUP($B83,Table2[[prolific]:[feedbackTime]],8,FALSE)=VLOOKUP(E$1,Table1[],2,FALSE),1,0)</f>
        <v>#N/A</v>
      </c>
      <c r="F83" s="5" t="e">
        <f t="shared" si="32"/>
        <v>#N/A</v>
      </c>
      <c r="G83" s="7" t="e">
        <f t="shared" si="33"/>
        <v>#N/A</v>
      </c>
      <c r="H83" s="5" t="e">
        <f>IF(VLOOKUP($B83,Table2[[prolific]:[feedbackTime]],9,FALSE)=VLOOKUP(H$1,Table1[],2,FALSE),1,0)</f>
        <v>#N/A</v>
      </c>
      <c r="I83" s="5" t="e">
        <f>IF(VLOOKUP($B83,Table2[[prolific]:[feedbackTime]],10,FALSE)=VLOOKUP(I$1,Table1[],2,FALSE),1,0)</f>
        <v>#N/A</v>
      </c>
      <c r="J83" s="5" t="e">
        <f>IF(VLOOKUP($B83,Table2[[prolific]:[feedbackTime]],11,FALSE)=VLOOKUP(J$1,Table1[],2,FALSE),1,0)</f>
        <v>#N/A</v>
      </c>
      <c r="K83" s="5" t="e">
        <f>IF(VLOOKUP($B83,Table2[[prolific]:[feedbackTime]],12,FALSE)=VLOOKUP(K$1,Table1[],2,FALSE),1,0)</f>
        <v>#N/A</v>
      </c>
      <c r="L83" s="5" t="e">
        <f>IF(VLOOKUP($B83,Table2[[prolific]:[feedbackTime]],13,FALSE)=VLOOKUP(L$1,Table1[],2,FALSE),1,0)</f>
        <v>#N/A</v>
      </c>
      <c r="M83" s="5" t="e">
        <f>IF(VLOOKUP($B83,Table2[[prolific]:[feedbackTime]],14,FALSE)=VLOOKUP(M$1,Table1[],2,FALSE),1,0)</f>
        <v>#N/A</v>
      </c>
      <c r="N83" s="5" t="e">
        <f t="shared" si="34"/>
        <v>#N/A</v>
      </c>
      <c r="O83" s="7" t="e">
        <f t="shared" si="35"/>
        <v>#N/A</v>
      </c>
      <c r="P83" s="5" t="e">
        <f>IF(VLOOKUP($B83,Table2[[prolific]:[feedbackTime]],15,FALSE)=VLOOKUP(P$1,Table1[],2,FALSE),1,0)</f>
        <v>#N/A</v>
      </c>
      <c r="Q83" s="5" t="e">
        <f>IF(VLOOKUP($B83,Table2[[prolific]:[feedbackTime]],16,FALSE)=VLOOKUP(Q$1,Table1[],2,FALSE),1,0)</f>
        <v>#N/A</v>
      </c>
      <c r="R83" s="5" t="e">
        <f>IF(VLOOKUP($B83,Table2[[prolific]:[feedbackTime]],17,FALSE)=VLOOKUP(R$1,Table1[],2,FALSE),1,0)</f>
        <v>#N/A</v>
      </c>
      <c r="S83" s="5" t="e">
        <f>IF(VLOOKUP($B83,Table2[[prolific]:[feedbackTime]],18,FALSE)=VLOOKUP(S$1,Table1[],2,FALSE),1,0)</f>
        <v>#N/A</v>
      </c>
      <c r="T83" s="5" t="e">
        <f>IF(VLOOKUP($B83,Table2[[prolific]:[feedbackTime]],19,FALSE)=VLOOKUP(T$1,Table1[],2,FALSE),1,0)</f>
        <v>#N/A</v>
      </c>
      <c r="U83" s="5" t="e">
        <f>IF(VLOOKUP($B83,Table2[[prolific]:[feedbackTime]],20,FALSE)=VLOOKUP(U$1,Table1[],2,FALSE),1,0)</f>
        <v>#N/A</v>
      </c>
      <c r="V83" s="5" t="e">
        <f>IF(VLOOKUP($B83,Table2[[prolific]:[feedbackTime]],21,FALSE)=VLOOKUP(V$1,Table1[],2,FALSE),1,0)</f>
        <v>#N/A</v>
      </c>
      <c r="W83" s="5" t="e">
        <f>IF(VLOOKUP($B83,Table2[[prolific]:[feedbackTime]],22,FALSE)=VLOOKUP(W$1,Table1[],2,FALSE),1,0)</f>
        <v>#N/A</v>
      </c>
      <c r="X83" s="5" t="e">
        <f t="shared" si="36"/>
        <v>#N/A</v>
      </c>
      <c r="Y83" s="7" t="e">
        <f t="shared" si="37"/>
        <v>#N/A</v>
      </c>
      <c r="Z83" s="5" t="e">
        <f>IF(VLOOKUP($B83,Table2[[prolific]:[feedbackTime]],23,FALSE)=VLOOKUP(Z$1,Table1[],2,FALSE),1,0)</f>
        <v>#N/A</v>
      </c>
      <c r="AA83" s="5" t="e">
        <f>IF(VLOOKUP($B83,Table2[[prolific]:[feedbackTime]],24,FALSE)=VLOOKUP(AA$1,Table1[],2,FALSE),1,0)</f>
        <v>#N/A</v>
      </c>
      <c r="AB83" s="5" t="e">
        <f>IF(VLOOKUP($B83,Table2[[prolific]:[feedbackTime]],25,FALSE)=VLOOKUP(AB$1,Table1[],2,FALSE),1,0)</f>
        <v>#N/A</v>
      </c>
      <c r="AC83" s="5" t="e">
        <f>IF(VLOOKUP($B83,Table2[[prolific]:[feedbackTime]],26,FALSE)=VLOOKUP(AC$1,Table1[],2,FALSE),1,0)</f>
        <v>#N/A</v>
      </c>
      <c r="AD83" s="5" t="e">
        <f>IF(VLOOKUP($B83,Table2[[prolific]:[feedbackTime]],27,FALSE)=VLOOKUP(AD$1,Table1[],2,FALSE),1,0)</f>
        <v>#N/A</v>
      </c>
      <c r="AE83" s="5" t="e">
        <f>IF(VLOOKUP($B83,Table2[[prolific]:[feedbackTime]],28,FALSE)=VLOOKUP(AE$1,Table1[],2,FALSE),1,0)</f>
        <v>#N/A</v>
      </c>
      <c r="AF83" s="5" t="e">
        <f>IF(VLOOKUP($B83,Table2[[prolific]:[feedbackTime]],29,FALSE)=VLOOKUP(AF$1,Table1[],2,FALSE),1,0)</f>
        <v>#N/A</v>
      </c>
      <c r="AG83" s="5" t="e">
        <f>IF(VLOOKUP($B83,Table2[[prolific]:[feedbackTime]],30,FALSE)=VLOOKUP(AG$1,Table1[],2,FALSE),1,0)</f>
        <v>#N/A</v>
      </c>
      <c r="AH83" s="5" t="e">
        <f t="shared" si="38"/>
        <v>#N/A</v>
      </c>
      <c r="AI83" s="7" t="e">
        <f t="shared" si="39"/>
        <v>#N/A</v>
      </c>
      <c r="AJ83" s="7" t="e">
        <f t="shared" si="40"/>
        <v>#N/A</v>
      </c>
      <c r="AK83" s="5" t="e">
        <f t="shared" si="41"/>
        <v>#N/A</v>
      </c>
    </row>
    <row r="84" spans="1:37" x14ac:dyDescent="0.25">
      <c r="A84">
        <f t="shared" si="42"/>
        <v>1</v>
      </c>
      <c r="B84" s="5" t="s">
        <v>1174</v>
      </c>
      <c r="C84" s="5">
        <f>IF(VLOOKUP($B84,Table2[[prolific]:[feedbackTime]],6,FALSE)=VLOOKUP(C$1,Table1[],2,FALSE),1,0)</f>
        <v>1</v>
      </c>
      <c r="D84" s="5">
        <f>IF(VLOOKUP($B84,Table2[[prolific]:[feedbackTime]],7,FALSE)=VLOOKUP(D$1,Table1[],2,FALSE),1,0)</f>
        <v>1</v>
      </c>
      <c r="E84" s="5">
        <f>IF(VLOOKUP($B84,Table2[[prolific]:[feedbackTime]],8,FALSE)=VLOOKUP(E$1,Table1[],2,FALSE),1,0)</f>
        <v>1</v>
      </c>
      <c r="F84" s="5">
        <f t="shared" si="32"/>
        <v>3</v>
      </c>
      <c r="G84" s="7">
        <f t="shared" si="33"/>
        <v>1</v>
      </c>
      <c r="H84" s="5">
        <f>IF(VLOOKUP($B84,Table2[[prolific]:[feedbackTime]],9,FALSE)=VLOOKUP(H$1,Table1[],2,FALSE),1,0)</f>
        <v>1</v>
      </c>
      <c r="I84" s="5">
        <f>IF(VLOOKUP($B84,Table2[[prolific]:[feedbackTime]],10,FALSE)=VLOOKUP(I$1,Table1[],2,FALSE),1,0)</f>
        <v>1</v>
      </c>
      <c r="J84" s="5">
        <f>IF(VLOOKUP($B84,Table2[[prolific]:[feedbackTime]],11,FALSE)=VLOOKUP(J$1,Table1[],2,FALSE),1,0)</f>
        <v>1</v>
      </c>
      <c r="K84" s="5">
        <f>IF(VLOOKUP($B84,Table2[[prolific]:[feedbackTime]],12,FALSE)=VLOOKUP(K$1,Table1[],2,FALSE),1,0)</f>
        <v>1</v>
      </c>
      <c r="L84" s="5">
        <f>IF(VLOOKUP($B84,Table2[[prolific]:[feedbackTime]],13,FALSE)=VLOOKUP(L$1,Table1[],2,FALSE),1,0)</f>
        <v>1</v>
      </c>
      <c r="M84" s="5">
        <f>IF(VLOOKUP($B84,Table2[[prolific]:[feedbackTime]],14,FALSE)=VLOOKUP(M$1,Table1[],2,FALSE),1,0)</f>
        <v>0</v>
      </c>
      <c r="N84" s="5">
        <f t="shared" si="34"/>
        <v>5</v>
      </c>
      <c r="O84" s="7">
        <f t="shared" si="35"/>
        <v>0.83333333333333337</v>
      </c>
      <c r="P84" s="5">
        <f>IF(VLOOKUP($B84,Table2[[prolific]:[feedbackTime]],15,FALSE)=VLOOKUP(P$1,Table1[],2,FALSE),1,0)</f>
        <v>1</v>
      </c>
      <c r="Q84" s="5">
        <f>IF(VLOOKUP($B84,Table2[[prolific]:[feedbackTime]],16,FALSE)=VLOOKUP(Q$1,Table1[],2,FALSE),1,0)</f>
        <v>1</v>
      </c>
      <c r="R84" s="5">
        <f>IF(VLOOKUP($B84,Table2[[prolific]:[feedbackTime]],17,FALSE)=VLOOKUP(R$1,Table1[],2,FALSE),1,0)</f>
        <v>1</v>
      </c>
      <c r="S84" s="5">
        <f>IF(VLOOKUP($B84,Table2[[prolific]:[feedbackTime]],18,FALSE)=VLOOKUP(S$1,Table1[],2,FALSE),1,0)</f>
        <v>1</v>
      </c>
      <c r="T84" s="5">
        <f>IF(VLOOKUP($B84,Table2[[prolific]:[feedbackTime]],19,FALSE)=VLOOKUP(T$1,Table1[],2,FALSE),1,0)</f>
        <v>1</v>
      </c>
      <c r="U84" s="5">
        <f>IF(VLOOKUP($B84,Table2[[prolific]:[feedbackTime]],20,FALSE)=VLOOKUP(U$1,Table1[],2,FALSE),1,0)</f>
        <v>0</v>
      </c>
      <c r="V84" s="5">
        <f>IF(VLOOKUP($B84,Table2[[prolific]:[feedbackTime]],21,FALSE)=VLOOKUP(V$1,Table1[],2,FALSE),1,0)</f>
        <v>0</v>
      </c>
      <c r="W84" s="5">
        <f>IF(VLOOKUP($B84,Table2[[prolific]:[feedbackTime]],22,FALSE)=VLOOKUP(W$1,Table1[],2,FALSE),1,0)</f>
        <v>1</v>
      </c>
      <c r="X84" s="5">
        <f t="shared" si="36"/>
        <v>6</v>
      </c>
      <c r="Y84" s="7">
        <f t="shared" si="37"/>
        <v>0.75</v>
      </c>
      <c r="Z84" s="5">
        <f>IF(VLOOKUP($B84,Table2[[prolific]:[feedbackTime]],23,FALSE)=VLOOKUP(Z$1,Table1[],2,FALSE),1,0)</f>
        <v>1</v>
      </c>
      <c r="AA84" s="5">
        <f>IF(VLOOKUP($B84,Table2[[prolific]:[feedbackTime]],24,FALSE)=VLOOKUP(AA$1,Table1[],2,FALSE),1,0)</f>
        <v>1</v>
      </c>
      <c r="AB84" s="5">
        <f>IF(VLOOKUP($B84,Table2[[prolific]:[feedbackTime]],25,FALSE)=VLOOKUP(AB$1,Table1[],2,FALSE),1,0)</f>
        <v>1</v>
      </c>
      <c r="AC84" s="5">
        <f>IF(VLOOKUP($B84,Table2[[prolific]:[feedbackTime]],26,FALSE)=VLOOKUP(AC$1,Table1[],2,FALSE),1,0)</f>
        <v>1</v>
      </c>
      <c r="AD84" s="5">
        <f>IF(VLOOKUP($B84,Table2[[prolific]:[feedbackTime]],27,FALSE)=VLOOKUP(AD$1,Table1[],2,FALSE),1,0)</f>
        <v>1</v>
      </c>
      <c r="AE84" s="5">
        <f>IF(VLOOKUP($B84,Table2[[prolific]:[feedbackTime]],28,FALSE)=VLOOKUP(AE$1,Table1[],2,FALSE),1,0)</f>
        <v>1</v>
      </c>
      <c r="AF84" s="5">
        <f>IF(VLOOKUP($B84,Table2[[prolific]:[feedbackTime]],29,FALSE)=VLOOKUP(AF$1,Table1[],2,FALSE),1,0)</f>
        <v>1</v>
      </c>
      <c r="AG84" s="5">
        <f>IF(VLOOKUP($B84,Table2[[prolific]:[feedbackTime]],30,FALSE)=VLOOKUP(AG$1,Table1[],2,FALSE),1,0)</f>
        <v>1</v>
      </c>
      <c r="AH84" s="5">
        <f t="shared" si="38"/>
        <v>8</v>
      </c>
      <c r="AI84" s="7">
        <f t="shared" si="39"/>
        <v>1</v>
      </c>
      <c r="AJ84" s="7">
        <f t="shared" si="40"/>
        <v>0.86363636363636365</v>
      </c>
      <c r="AK84" s="5">
        <f t="shared" si="41"/>
        <v>19</v>
      </c>
    </row>
    <row r="85" spans="1:37" x14ac:dyDescent="0.25">
      <c r="A85">
        <f t="shared" si="42"/>
        <v>1</v>
      </c>
      <c r="B85" s="5" t="s">
        <v>1175</v>
      </c>
      <c r="C85" s="5">
        <f>IF(VLOOKUP($B85,Table2[[prolific]:[feedbackTime]],6,FALSE)=VLOOKUP(C$1,Table1[],2,FALSE),1,0)</f>
        <v>1</v>
      </c>
      <c r="D85" s="5">
        <f>IF(VLOOKUP($B85,Table2[[prolific]:[feedbackTime]],7,FALSE)=VLOOKUP(D$1,Table1[],2,FALSE),1,0)</f>
        <v>1</v>
      </c>
      <c r="E85" s="5">
        <f>IF(VLOOKUP($B85,Table2[[prolific]:[feedbackTime]],8,FALSE)=VLOOKUP(E$1,Table1[],2,FALSE),1,0)</f>
        <v>1</v>
      </c>
      <c r="F85" s="5">
        <f t="shared" si="32"/>
        <v>3</v>
      </c>
      <c r="G85" s="7">
        <f t="shared" si="33"/>
        <v>1</v>
      </c>
      <c r="H85" s="5">
        <f>IF(VLOOKUP($B85,Table2[[prolific]:[feedbackTime]],9,FALSE)=VLOOKUP(H$1,Table1[],2,FALSE),1,0)</f>
        <v>1</v>
      </c>
      <c r="I85" s="5">
        <f>IF(VLOOKUP($B85,Table2[[prolific]:[feedbackTime]],10,FALSE)=VLOOKUP(I$1,Table1[],2,FALSE),1,0)</f>
        <v>1</v>
      </c>
      <c r="J85" s="5">
        <f>IF(VLOOKUP($B85,Table2[[prolific]:[feedbackTime]],11,FALSE)=VLOOKUP(J$1,Table1[],2,FALSE),1,0)</f>
        <v>1</v>
      </c>
      <c r="K85" s="5">
        <f>IF(VLOOKUP($B85,Table2[[prolific]:[feedbackTime]],12,FALSE)=VLOOKUP(K$1,Table1[],2,FALSE),1,0)</f>
        <v>1</v>
      </c>
      <c r="L85" s="5">
        <f>IF(VLOOKUP($B85,Table2[[prolific]:[feedbackTime]],13,FALSE)=VLOOKUP(L$1,Table1[],2,FALSE),1,0)</f>
        <v>1</v>
      </c>
      <c r="M85" s="5">
        <f>IF(VLOOKUP($B85,Table2[[prolific]:[feedbackTime]],14,FALSE)=VLOOKUP(M$1,Table1[],2,FALSE),1,0)</f>
        <v>0</v>
      </c>
      <c r="N85" s="5">
        <f t="shared" si="34"/>
        <v>5</v>
      </c>
      <c r="O85" s="7">
        <f t="shared" si="35"/>
        <v>0.83333333333333337</v>
      </c>
      <c r="P85" s="5">
        <f>IF(VLOOKUP($B85,Table2[[prolific]:[feedbackTime]],15,FALSE)=VLOOKUP(P$1,Table1[],2,FALSE),1,0)</f>
        <v>1</v>
      </c>
      <c r="Q85" s="5">
        <f>IF(VLOOKUP($B85,Table2[[prolific]:[feedbackTime]],16,FALSE)=VLOOKUP(Q$1,Table1[],2,FALSE),1,0)</f>
        <v>1</v>
      </c>
      <c r="R85" s="5">
        <f>IF(VLOOKUP($B85,Table2[[prolific]:[feedbackTime]],17,FALSE)=VLOOKUP(R$1,Table1[],2,FALSE),1,0)</f>
        <v>1</v>
      </c>
      <c r="S85" s="5">
        <f>IF(VLOOKUP($B85,Table2[[prolific]:[feedbackTime]],18,FALSE)=VLOOKUP(S$1,Table1[],2,FALSE),1,0)</f>
        <v>0</v>
      </c>
      <c r="T85" s="5">
        <f>IF(VLOOKUP($B85,Table2[[prolific]:[feedbackTime]],19,FALSE)=VLOOKUP(T$1,Table1[],2,FALSE),1,0)</f>
        <v>1</v>
      </c>
      <c r="U85" s="5">
        <f>IF(VLOOKUP($B85,Table2[[prolific]:[feedbackTime]],20,FALSE)=VLOOKUP(U$1,Table1[],2,FALSE),1,0)</f>
        <v>1</v>
      </c>
      <c r="V85" s="5">
        <f>IF(VLOOKUP($B85,Table2[[prolific]:[feedbackTime]],21,FALSE)=VLOOKUP(V$1,Table1[],2,FALSE),1,0)</f>
        <v>1</v>
      </c>
      <c r="W85" s="5">
        <f>IF(VLOOKUP($B85,Table2[[prolific]:[feedbackTime]],22,FALSE)=VLOOKUP(W$1,Table1[],2,FALSE),1,0)</f>
        <v>1</v>
      </c>
      <c r="X85" s="5">
        <f t="shared" si="36"/>
        <v>7</v>
      </c>
      <c r="Y85" s="7">
        <f t="shared" si="37"/>
        <v>0.875</v>
      </c>
      <c r="Z85" s="5">
        <f>IF(VLOOKUP($B85,Table2[[prolific]:[feedbackTime]],23,FALSE)=VLOOKUP(Z$1,Table1[],2,FALSE),1,0)</f>
        <v>1</v>
      </c>
      <c r="AA85" s="5">
        <f>IF(VLOOKUP($B85,Table2[[prolific]:[feedbackTime]],24,FALSE)=VLOOKUP(AA$1,Table1[],2,FALSE),1,0)</f>
        <v>1</v>
      </c>
      <c r="AB85" s="5">
        <f>IF(VLOOKUP($B85,Table2[[prolific]:[feedbackTime]],25,FALSE)=VLOOKUP(AB$1,Table1[],2,FALSE),1,0)</f>
        <v>1</v>
      </c>
      <c r="AC85" s="5">
        <f>IF(VLOOKUP($B85,Table2[[prolific]:[feedbackTime]],26,FALSE)=VLOOKUP(AC$1,Table1[],2,FALSE),1,0)</f>
        <v>1</v>
      </c>
      <c r="AD85" s="5">
        <f>IF(VLOOKUP($B85,Table2[[prolific]:[feedbackTime]],27,FALSE)=VLOOKUP(AD$1,Table1[],2,FALSE),1,0)</f>
        <v>1</v>
      </c>
      <c r="AE85" s="5">
        <f>IF(VLOOKUP($B85,Table2[[prolific]:[feedbackTime]],28,FALSE)=VLOOKUP(AE$1,Table1[],2,FALSE),1,0)</f>
        <v>0</v>
      </c>
      <c r="AF85" s="5">
        <f>IF(VLOOKUP($B85,Table2[[prolific]:[feedbackTime]],29,FALSE)=VLOOKUP(AF$1,Table1[],2,FALSE),1,0)</f>
        <v>1</v>
      </c>
      <c r="AG85" s="5">
        <f>IF(VLOOKUP($B85,Table2[[prolific]:[feedbackTime]],30,FALSE)=VLOOKUP(AG$1,Table1[],2,FALSE),1,0)</f>
        <v>1</v>
      </c>
      <c r="AH85" s="5">
        <f t="shared" si="38"/>
        <v>7</v>
      </c>
      <c r="AI85" s="7">
        <f t="shared" si="39"/>
        <v>0.875</v>
      </c>
      <c r="AJ85" s="7">
        <f t="shared" si="40"/>
        <v>0.86363636363636365</v>
      </c>
      <c r="AK85" s="5">
        <f t="shared" si="41"/>
        <v>19</v>
      </c>
    </row>
    <row r="86" spans="1:37" x14ac:dyDescent="0.25">
      <c r="A86">
        <f t="shared" si="42"/>
        <v>1</v>
      </c>
      <c r="B86" s="5" t="s">
        <v>1176</v>
      </c>
      <c r="C86" s="5">
        <f>IF(VLOOKUP($B86,Table2[[prolific]:[feedbackTime]],6,FALSE)=VLOOKUP(C$1,Table1[],2,FALSE),1,0)</f>
        <v>1</v>
      </c>
      <c r="D86" s="5">
        <f>IF(VLOOKUP($B86,Table2[[prolific]:[feedbackTime]],7,FALSE)=VLOOKUP(D$1,Table1[],2,FALSE),1,0)</f>
        <v>1</v>
      </c>
      <c r="E86" s="5">
        <f>IF(VLOOKUP($B86,Table2[[prolific]:[feedbackTime]],8,FALSE)=VLOOKUP(E$1,Table1[],2,FALSE),1,0)</f>
        <v>1</v>
      </c>
      <c r="F86" s="5">
        <f t="shared" si="32"/>
        <v>3</v>
      </c>
      <c r="G86" s="7">
        <f t="shared" si="33"/>
        <v>1</v>
      </c>
      <c r="H86" s="5">
        <f>IF(VLOOKUP($B86,Table2[[prolific]:[feedbackTime]],9,FALSE)=VLOOKUP(H$1,Table1[],2,FALSE),1,0)</f>
        <v>1</v>
      </c>
      <c r="I86" s="5">
        <f>IF(VLOOKUP($B86,Table2[[prolific]:[feedbackTime]],10,FALSE)=VLOOKUP(I$1,Table1[],2,FALSE),1,0)</f>
        <v>1</v>
      </c>
      <c r="J86" s="5">
        <f>IF(VLOOKUP($B86,Table2[[prolific]:[feedbackTime]],11,FALSE)=VLOOKUP(J$1,Table1[],2,FALSE),1,0)</f>
        <v>1</v>
      </c>
      <c r="K86" s="5">
        <f>IF(VLOOKUP($B86,Table2[[prolific]:[feedbackTime]],12,FALSE)=VLOOKUP(K$1,Table1[],2,FALSE),1,0)</f>
        <v>1</v>
      </c>
      <c r="L86" s="5">
        <f>IF(VLOOKUP($B86,Table2[[prolific]:[feedbackTime]],13,FALSE)=VLOOKUP(L$1,Table1[],2,FALSE),1,0)</f>
        <v>1</v>
      </c>
      <c r="M86" s="5">
        <f>IF(VLOOKUP($B86,Table2[[prolific]:[feedbackTime]],14,FALSE)=VLOOKUP(M$1,Table1[],2,FALSE),1,0)</f>
        <v>1</v>
      </c>
      <c r="N86" s="5">
        <f t="shared" si="34"/>
        <v>6</v>
      </c>
      <c r="O86" s="7">
        <f t="shared" si="35"/>
        <v>1</v>
      </c>
      <c r="P86" s="5">
        <f>IF(VLOOKUP($B86,Table2[[prolific]:[feedbackTime]],15,FALSE)=VLOOKUP(P$1,Table1[],2,FALSE),1,0)</f>
        <v>1</v>
      </c>
      <c r="Q86" s="5">
        <f>IF(VLOOKUP($B86,Table2[[prolific]:[feedbackTime]],16,FALSE)=VLOOKUP(Q$1,Table1[],2,FALSE),1,0)</f>
        <v>1</v>
      </c>
      <c r="R86" s="5">
        <f>IF(VLOOKUP($B86,Table2[[prolific]:[feedbackTime]],17,FALSE)=VLOOKUP(R$1,Table1[],2,FALSE),1,0)</f>
        <v>1</v>
      </c>
      <c r="S86" s="5">
        <f>IF(VLOOKUP($B86,Table2[[prolific]:[feedbackTime]],18,FALSE)=VLOOKUP(S$1,Table1[],2,FALSE),1,0)</f>
        <v>1</v>
      </c>
      <c r="T86" s="5">
        <f>IF(VLOOKUP($B86,Table2[[prolific]:[feedbackTime]],19,FALSE)=VLOOKUP(T$1,Table1[],2,FALSE),1,0)</f>
        <v>1</v>
      </c>
      <c r="U86" s="5">
        <f>IF(VLOOKUP($B86,Table2[[prolific]:[feedbackTime]],20,FALSE)=VLOOKUP(U$1,Table1[],2,FALSE),1,0)</f>
        <v>1</v>
      </c>
      <c r="V86" s="5">
        <f>IF(VLOOKUP($B86,Table2[[prolific]:[feedbackTime]],21,FALSE)=VLOOKUP(V$1,Table1[],2,FALSE),1,0)</f>
        <v>1</v>
      </c>
      <c r="W86" s="5">
        <f>IF(VLOOKUP($B86,Table2[[prolific]:[feedbackTime]],22,FALSE)=VLOOKUP(W$1,Table1[],2,FALSE),1,0)</f>
        <v>1</v>
      </c>
      <c r="X86" s="5">
        <f t="shared" si="36"/>
        <v>8</v>
      </c>
      <c r="Y86" s="7">
        <f t="shared" si="37"/>
        <v>1</v>
      </c>
      <c r="Z86" s="5">
        <f>IF(VLOOKUP($B86,Table2[[prolific]:[feedbackTime]],23,FALSE)=VLOOKUP(Z$1,Table1[],2,FALSE),1,0)</f>
        <v>1</v>
      </c>
      <c r="AA86" s="5">
        <f>IF(VLOOKUP($B86,Table2[[prolific]:[feedbackTime]],24,FALSE)=VLOOKUP(AA$1,Table1[],2,FALSE),1,0)</f>
        <v>1</v>
      </c>
      <c r="AB86" s="5">
        <f>IF(VLOOKUP($B86,Table2[[prolific]:[feedbackTime]],25,FALSE)=VLOOKUP(AB$1,Table1[],2,FALSE),1,0)</f>
        <v>0</v>
      </c>
      <c r="AC86" s="5">
        <f>IF(VLOOKUP($B86,Table2[[prolific]:[feedbackTime]],26,FALSE)=VLOOKUP(AC$1,Table1[],2,FALSE),1,0)</f>
        <v>1</v>
      </c>
      <c r="AD86" s="5">
        <f>IF(VLOOKUP($B86,Table2[[prolific]:[feedbackTime]],27,FALSE)=VLOOKUP(AD$1,Table1[],2,FALSE),1,0)</f>
        <v>0</v>
      </c>
      <c r="AE86" s="5">
        <f>IF(VLOOKUP($B86,Table2[[prolific]:[feedbackTime]],28,FALSE)=VLOOKUP(AE$1,Table1[],2,FALSE),1,0)</f>
        <v>1</v>
      </c>
      <c r="AF86" s="5">
        <f>IF(VLOOKUP($B86,Table2[[prolific]:[feedbackTime]],29,FALSE)=VLOOKUP(AF$1,Table1[],2,FALSE),1,0)</f>
        <v>1</v>
      </c>
      <c r="AG86" s="5">
        <f>IF(VLOOKUP($B86,Table2[[prolific]:[feedbackTime]],30,FALSE)=VLOOKUP(AG$1,Table1[],2,FALSE),1,0)</f>
        <v>1</v>
      </c>
      <c r="AH86" s="5">
        <f t="shared" si="38"/>
        <v>6</v>
      </c>
      <c r="AI86" s="7">
        <f t="shared" si="39"/>
        <v>0.75</v>
      </c>
      <c r="AJ86" s="7">
        <f t="shared" si="40"/>
        <v>0.90909090909090906</v>
      </c>
      <c r="AK86" s="5">
        <f t="shared" si="41"/>
        <v>20</v>
      </c>
    </row>
    <row r="87" spans="1:37" x14ac:dyDescent="0.25">
      <c r="A87">
        <f t="shared" si="42"/>
        <v>1</v>
      </c>
      <c r="B87" s="5" t="s">
        <v>1177</v>
      </c>
      <c r="C87" s="5">
        <f>IF(VLOOKUP($B87,Table2[[prolific]:[feedbackTime]],6,FALSE)=VLOOKUP(C$1,Table1[],2,FALSE),1,0)</f>
        <v>1</v>
      </c>
      <c r="D87" s="5">
        <f>IF(VLOOKUP($B87,Table2[[prolific]:[feedbackTime]],7,FALSE)=VLOOKUP(D$1,Table1[],2,FALSE),1,0)</f>
        <v>1</v>
      </c>
      <c r="E87" s="5">
        <f>IF(VLOOKUP($B87,Table2[[prolific]:[feedbackTime]],8,FALSE)=VLOOKUP(E$1,Table1[],2,FALSE),1,0)</f>
        <v>1</v>
      </c>
      <c r="F87" s="5">
        <f t="shared" si="32"/>
        <v>3</v>
      </c>
      <c r="G87" s="7">
        <f t="shared" si="33"/>
        <v>1</v>
      </c>
      <c r="H87" s="5">
        <f>IF(VLOOKUP($B87,Table2[[prolific]:[feedbackTime]],9,FALSE)=VLOOKUP(H$1,Table1[],2,FALSE),1,0)</f>
        <v>1</v>
      </c>
      <c r="I87" s="5">
        <f>IF(VLOOKUP($B87,Table2[[prolific]:[feedbackTime]],10,FALSE)=VLOOKUP(I$1,Table1[],2,FALSE),1,0)</f>
        <v>1</v>
      </c>
      <c r="J87" s="5">
        <f>IF(VLOOKUP($B87,Table2[[prolific]:[feedbackTime]],11,FALSE)=VLOOKUP(J$1,Table1[],2,FALSE),1,0)</f>
        <v>0</v>
      </c>
      <c r="K87" s="5">
        <f>IF(VLOOKUP($B87,Table2[[prolific]:[feedbackTime]],12,FALSE)=VLOOKUP(K$1,Table1[],2,FALSE),1,0)</f>
        <v>1</v>
      </c>
      <c r="L87" s="5">
        <f>IF(VLOOKUP($B87,Table2[[prolific]:[feedbackTime]],13,FALSE)=VLOOKUP(L$1,Table1[],2,FALSE),1,0)</f>
        <v>0</v>
      </c>
      <c r="M87" s="5">
        <f>IF(VLOOKUP($B87,Table2[[prolific]:[feedbackTime]],14,FALSE)=VLOOKUP(M$1,Table1[],2,FALSE),1,0)</f>
        <v>0</v>
      </c>
      <c r="N87" s="5">
        <f t="shared" si="34"/>
        <v>3</v>
      </c>
      <c r="O87" s="7">
        <f t="shared" si="35"/>
        <v>0.5</v>
      </c>
      <c r="P87" s="5">
        <f>IF(VLOOKUP($B87,Table2[[prolific]:[feedbackTime]],15,FALSE)=VLOOKUP(P$1,Table1[],2,FALSE),1,0)</f>
        <v>1</v>
      </c>
      <c r="Q87" s="5">
        <f>IF(VLOOKUP($B87,Table2[[prolific]:[feedbackTime]],16,FALSE)=VLOOKUP(Q$1,Table1[],2,FALSE),1,0)</f>
        <v>1</v>
      </c>
      <c r="R87" s="5">
        <f>IF(VLOOKUP($B87,Table2[[prolific]:[feedbackTime]],17,FALSE)=VLOOKUP(R$1,Table1[],2,FALSE),1,0)</f>
        <v>1</v>
      </c>
      <c r="S87" s="5">
        <f>IF(VLOOKUP($B87,Table2[[prolific]:[feedbackTime]],18,FALSE)=VLOOKUP(S$1,Table1[],2,FALSE),1,0)</f>
        <v>0</v>
      </c>
      <c r="T87" s="5">
        <f>IF(VLOOKUP($B87,Table2[[prolific]:[feedbackTime]],19,FALSE)=VLOOKUP(T$1,Table1[],2,FALSE),1,0)</f>
        <v>1</v>
      </c>
      <c r="U87" s="5">
        <f>IF(VLOOKUP($B87,Table2[[prolific]:[feedbackTime]],20,FALSE)=VLOOKUP(U$1,Table1[],2,FALSE),1,0)</f>
        <v>1</v>
      </c>
      <c r="V87" s="5">
        <f>IF(VLOOKUP($B87,Table2[[prolific]:[feedbackTime]],21,FALSE)=VLOOKUP(V$1,Table1[],2,FALSE),1,0)</f>
        <v>1</v>
      </c>
      <c r="W87" s="5">
        <f>IF(VLOOKUP($B87,Table2[[prolific]:[feedbackTime]],22,FALSE)=VLOOKUP(W$1,Table1[],2,FALSE),1,0)</f>
        <v>1</v>
      </c>
      <c r="X87" s="5">
        <f t="shared" si="36"/>
        <v>7</v>
      </c>
      <c r="Y87" s="7">
        <f t="shared" si="37"/>
        <v>0.875</v>
      </c>
      <c r="Z87" s="5">
        <f>IF(VLOOKUP($B87,Table2[[prolific]:[feedbackTime]],23,FALSE)=VLOOKUP(Z$1,Table1[],2,FALSE),1,0)</f>
        <v>1</v>
      </c>
      <c r="AA87" s="5">
        <f>IF(VLOOKUP($B87,Table2[[prolific]:[feedbackTime]],24,FALSE)=VLOOKUP(AA$1,Table1[],2,FALSE),1,0)</f>
        <v>1</v>
      </c>
      <c r="AB87" s="5">
        <f>IF(VLOOKUP($B87,Table2[[prolific]:[feedbackTime]],25,FALSE)=VLOOKUP(AB$1,Table1[],2,FALSE),1,0)</f>
        <v>1</v>
      </c>
      <c r="AC87" s="5">
        <f>IF(VLOOKUP($B87,Table2[[prolific]:[feedbackTime]],26,FALSE)=VLOOKUP(AC$1,Table1[],2,FALSE),1,0)</f>
        <v>1</v>
      </c>
      <c r="AD87" s="5">
        <f>IF(VLOOKUP($B87,Table2[[prolific]:[feedbackTime]],27,FALSE)=VLOOKUP(AD$1,Table1[],2,FALSE),1,0)</f>
        <v>1</v>
      </c>
      <c r="AE87" s="5">
        <f>IF(VLOOKUP($B87,Table2[[prolific]:[feedbackTime]],28,FALSE)=VLOOKUP(AE$1,Table1[],2,FALSE),1,0)</f>
        <v>1</v>
      </c>
      <c r="AF87" s="5">
        <f>IF(VLOOKUP($B87,Table2[[prolific]:[feedbackTime]],29,FALSE)=VLOOKUP(AF$1,Table1[],2,FALSE),1,0)</f>
        <v>1</v>
      </c>
      <c r="AG87" s="5">
        <f>IF(VLOOKUP($B87,Table2[[prolific]:[feedbackTime]],30,FALSE)=VLOOKUP(AG$1,Table1[],2,FALSE),1,0)</f>
        <v>1</v>
      </c>
      <c r="AH87" s="5">
        <f t="shared" si="38"/>
        <v>8</v>
      </c>
      <c r="AI87" s="7">
        <f t="shared" si="39"/>
        <v>1</v>
      </c>
      <c r="AJ87" s="7">
        <f t="shared" si="40"/>
        <v>0.81818181818181823</v>
      </c>
      <c r="AK87" s="5">
        <f t="shared" si="41"/>
        <v>18</v>
      </c>
    </row>
    <row r="88" spans="1:37" x14ac:dyDescent="0.25">
      <c r="A88">
        <f t="shared" si="42"/>
        <v>1</v>
      </c>
      <c r="B88" s="5" t="s">
        <v>1178</v>
      </c>
      <c r="C88" s="5">
        <f>IF(VLOOKUP($B88,Table2[[prolific]:[feedbackTime]],6,FALSE)=VLOOKUP(C$1,Table1[],2,FALSE),1,0)</f>
        <v>1</v>
      </c>
      <c r="D88" s="5">
        <f>IF(VLOOKUP($B88,Table2[[prolific]:[feedbackTime]],7,FALSE)=VLOOKUP(D$1,Table1[],2,FALSE),1,0)</f>
        <v>1</v>
      </c>
      <c r="E88" s="5">
        <f>IF(VLOOKUP($B88,Table2[[prolific]:[feedbackTime]],8,FALSE)=VLOOKUP(E$1,Table1[],2,FALSE),1,0)</f>
        <v>1</v>
      </c>
      <c r="F88" s="5">
        <f t="shared" si="32"/>
        <v>3</v>
      </c>
      <c r="G88" s="7">
        <f t="shared" si="33"/>
        <v>1</v>
      </c>
      <c r="H88" s="5">
        <f>IF(VLOOKUP($B88,Table2[[prolific]:[feedbackTime]],9,FALSE)=VLOOKUP(H$1,Table1[],2,FALSE),1,0)</f>
        <v>1</v>
      </c>
      <c r="I88" s="5">
        <f>IF(VLOOKUP($B88,Table2[[prolific]:[feedbackTime]],10,FALSE)=VLOOKUP(I$1,Table1[],2,FALSE),1,0)</f>
        <v>1</v>
      </c>
      <c r="J88" s="5">
        <f>IF(VLOOKUP($B88,Table2[[prolific]:[feedbackTime]],11,FALSE)=VLOOKUP(J$1,Table1[],2,FALSE),1,0)</f>
        <v>1</v>
      </c>
      <c r="K88" s="5">
        <f>IF(VLOOKUP($B88,Table2[[prolific]:[feedbackTime]],12,FALSE)=VLOOKUP(K$1,Table1[],2,FALSE),1,0)</f>
        <v>1</v>
      </c>
      <c r="L88" s="5">
        <f>IF(VLOOKUP($B88,Table2[[prolific]:[feedbackTime]],13,FALSE)=VLOOKUP(L$1,Table1[],2,FALSE),1,0)</f>
        <v>1</v>
      </c>
      <c r="M88" s="5">
        <f>IF(VLOOKUP($B88,Table2[[prolific]:[feedbackTime]],14,FALSE)=VLOOKUP(M$1,Table1[],2,FALSE),1,0)</f>
        <v>1</v>
      </c>
      <c r="N88" s="5">
        <f t="shared" si="34"/>
        <v>6</v>
      </c>
      <c r="O88" s="7">
        <f t="shared" si="35"/>
        <v>1</v>
      </c>
      <c r="P88" s="5">
        <f>IF(VLOOKUP($B88,Table2[[prolific]:[feedbackTime]],15,FALSE)=VLOOKUP(P$1,Table1[],2,FALSE),1,0)</f>
        <v>1</v>
      </c>
      <c r="Q88" s="5">
        <f>IF(VLOOKUP($B88,Table2[[prolific]:[feedbackTime]],16,FALSE)=VLOOKUP(Q$1,Table1[],2,FALSE),1,0)</f>
        <v>1</v>
      </c>
      <c r="R88" s="5">
        <f>IF(VLOOKUP($B88,Table2[[prolific]:[feedbackTime]],17,FALSE)=VLOOKUP(R$1,Table1[],2,FALSE),1,0)</f>
        <v>1</v>
      </c>
      <c r="S88" s="5">
        <f>IF(VLOOKUP($B88,Table2[[prolific]:[feedbackTime]],18,FALSE)=VLOOKUP(S$1,Table1[],2,FALSE),1,0)</f>
        <v>1</v>
      </c>
      <c r="T88" s="5">
        <f>IF(VLOOKUP($B88,Table2[[prolific]:[feedbackTime]],19,FALSE)=VLOOKUP(T$1,Table1[],2,FALSE),1,0)</f>
        <v>1</v>
      </c>
      <c r="U88" s="5">
        <f>IF(VLOOKUP($B88,Table2[[prolific]:[feedbackTime]],20,FALSE)=VLOOKUP(U$1,Table1[],2,FALSE),1,0)</f>
        <v>1</v>
      </c>
      <c r="V88" s="5">
        <f>IF(VLOOKUP($B88,Table2[[prolific]:[feedbackTime]],21,FALSE)=VLOOKUP(V$1,Table1[],2,FALSE),1,0)</f>
        <v>1</v>
      </c>
      <c r="W88" s="5">
        <f>IF(VLOOKUP($B88,Table2[[prolific]:[feedbackTime]],22,FALSE)=VLOOKUP(W$1,Table1[],2,FALSE),1,0)</f>
        <v>1</v>
      </c>
      <c r="X88" s="5">
        <f t="shared" si="36"/>
        <v>8</v>
      </c>
      <c r="Y88" s="7">
        <f t="shared" si="37"/>
        <v>1</v>
      </c>
      <c r="Z88" s="5">
        <f>IF(VLOOKUP($B88,Table2[[prolific]:[feedbackTime]],23,FALSE)=VLOOKUP(Z$1,Table1[],2,FALSE),1,0)</f>
        <v>1</v>
      </c>
      <c r="AA88" s="5">
        <f>IF(VLOOKUP($B88,Table2[[prolific]:[feedbackTime]],24,FALSE)=VLOOKUP(AA$1,Table1[],2,FALSE),1,0)</f>
        <v>1</v>
      </c>
      <c r="AB88" s="5">
        <f>IF(VLOOKUP($B88,Table2[[prolific]:[feedbackTime]],25,FALSE)=VLOOKUP(AB$1,Table1[],2,FALSE),1,0)</f>
        <v>1</v>
      </c>
      <c r="AC88" s="5">
        <f>IF(VLOOKUP($B88,Table2[[prolific]:[feedbackTime]],26,FALSE)=VLOOKUP(AC$1,Table1[],2,FALSE),1,0)</f>
        <v>1</v>
      </c>
      <c r="AD88" s="5">
        <f>IF(VLOOKUP($B88,Table2[[prolific]:[feedbackTime]],27,FALSE)=VLOOKUP(AD$1,Table1[],2,FALSE),1,0)</f>
        <v>0</v>
      </c>
      <c r="AE88" s="5">
        <f>IF(VLOOKUP($B88,Table2[[prolific]:[feedbackTime]],28,FALSE)=VLOOKUP(AE$1,Table1[],2,FALSE),1,0)</f>
        <v>1</v>
      </c>
      <c r="AF88" s="5">
        <f>IF(VLOOKUP($B88,Table2[[prolific]:[feedbackTime]],29,FALSE)=VLOOKUP(AF$1,Table1[],2,FALSE),1,0)</f>
        <v>1</v>
      </c>
      <c r="AG88" s="5">
        <f>IF(VLOOKUP($B88,Table2[[prolific]:[feedbackTime]],30,FALSE)=VLOOKUP(AG$1,Table1[],2,FALSE),1,0)</f>
        <v>1</v>
      </c>
      <c r="AH88" s="5">
        <f t="shared" si="38"/>
        <v>7</v>
      </c>
      <c r="AI88" s="7">
        <f t="shared" si="39"/>
        <v>0.875</v>
      </c>
      <c r="AJ88" s="7">
        <f t="shared" si="40"/>
        <v>0.95454545454545459</v>
      </c>
      <c r="AK88" s="5">
        <f t="shared" si="41"/>
        <v>21</v>
      </c>
    </row>
    <row r="89" spans="1:37" x14ac:dyDescent="0.25">
      <c r="A89">
        <f t="shared" si="42"/>
        <v>1</v>
      </c>
      <c r="B89" s="5" t="s">
        <v>1179</v>
      </c>
      <c r="C89" s="5">
        <f>IF(VLOOKUP($B89,Table2[[prolific]:[feedbackTime]],6,FALSE)=VLOOKUP(C$1,Table1[],2,FALSE),1,0)</f>
        <v>1</v>
      </c>
      <c r="D89" s="5">
        <f>IF(VLOOKUP($B89,Table2[[prolific]:[feedbackTime]],7,FALSE)=VLOOKUP(D$1,Table1[],2,FALSE),1,0)</f>
        <v>1</v>
      </c>
      <c r="E89" s="5">
        <f>IF(VLOOKUP($B89,Table2[[prolific]:[feedbackTime]],8,FALSE)=VLOOKUP(E$1,Table1[],2,FALSE),1,0)</f>
        <v>1</v>
      </c>
      <c r="F89" s="5">
        <f t="shared" si="32"/>
        <v>3</v>
      </c>
      <c r="G89" s="7">
        <f t="shared" si="33"/>
        <v>1</v>
      </c>
      <c r="H89" s="5">
        <f>IF(VLOOKUP($B89,Table2[[prolific]:[feedbackTime]],9,FALSE)=VLOOKUP(H$1,Table1[],2,FALSE),1,0)</f>
        <v>0</v>
      </c>
      <c r="I89" s="5">
        <f>IF(VLOOKUP($B89,Table2[[prolific]:[feedbackTime]],10,FALSE)=VLOOKUP(I$1,Table1[],2,FALSE),1,0)</f>
        <v>0</v>
      </c>
      <c r="J89" s="5">
        <f>IF(VLOOKUP($B89,Table2[[prolific]:[feedbackTime]],11,FALSE)=VLOOKUP(J$1,Table1[],2,FALSE),1,0)</f>
        <v>1</v>
      </c>
      <c r="K89" s="5">
        <f>IF(VLOOKUP($B89,Table2[[prolific]:[feedbackTime]],12,FALSE)=VLOOKUP(K$1,Table1[],2,FALSE),1,0)</f>
        <v>0</v>
      </c>
      <c r="L89" s="5">
        <f>IF(VLOOKUP($B89,Table2[[prolific]:[feedbackTime]],13,FALSE)=VLOOKUP(L$1,Table1[],2,FALSE),1,0)</f>
        <v>0</v>
      </c>
      <c r="M89" s="5">
        <f>IF(VLOOKUP($B89,Table2[[prolific]:[feedbackTime]],14,FALSE)=VLOOKUP(M$1,Table1[],2,FALSE),1,0)</f>
        <v>1</v>
      </c>
      <c r="N89" s="5">
        <f t="shared" si="34"/>
        <v>2</v>
      </c>
      <c r="O89" s="7">
        <f t="shared" si="35"/>
        <v>0.33333333333333331</v>
      </c>
      <c r="P89" s="5">
        <f>IF(VLOOKUP($B89,Table2[[prolific]:[feedbackTime]],15,FALSE)=VLOOKUP(P$1,Table1[],2,FALSE),1,0)</f>
        <v>1</v>
      </c>
      <c r="Q89" s="5">
        <f>IF(VLOOKUP($B89,Table2[[prolific]:[feedbackTime]],16,FALSE)=VLOOKUP(Q$1,Table1[],2,FALSE),1,0)</f>
        <v>1</v>
      </c>
      <c r="R89" s="5">
        <f>IF(VLOOKUP($B89,Table2[[prolific]:[feedbackTime]],17,FALSE)=VLOOKUP(R$1,Table1[],2,FALSE),1,0)</f>
        <v>0</v>
      </c>
      <c r="S89" s="5">
        <f>IF(VLOOKUP($B89,Table2[[prolific]:[feedbackTime]],18,FALSE)=VLOOKUP(S$1,Table1[],2,FALSE),1,0)</f>
        <v>1</v>
      </c>
      <c r="T89" s="5">
        <f>IF(VLOOKUP($B89,Table2[[prolific]:[feedbackTime]],19,FALSE)=VLOOKUP(T$1,Table1[],2,FALSE),1,0)</f>
        <v>1</v>
      </c>
      <c r="U89" s="5">
        <f>IF(VLOOKUP($B89,Table2[[prolific]:[feedbackTime]],20,FALSE)=VLOOKUP(U$1,Table1[],2,FALSE),1,0)</f>
        <v>1</v>
      </c>
      <c r="V89" s="5">
        <f>IF(VLOOKUP($B89,Table2[[prolific]:[feedbackTime]],21,FALSE)=VLOOKUP(V$1,Table1[],2,FALSE),1,0)</f>
        <v>1</v>
      </c>
      <c r="W89" s="5">
        <f>IF(VLOOKUP($B89,Table2[[prolific]:[feedbackTime]],22,FALSE)=VLOOKUP(W$1,Table1[],2,FALSE),1,0)</f>
        <v>0</v>
      </c>
      <c r="X89" s="5">
        <f t="shared" si="36"/>
        <v>6</v>
      </c>
      <c r="Y89" s="7">
        <f t="shared" si="37"/>
        <v>0.75</v>
      </c>
      <c r="Z89" s="5">
        <f>IF(VLOOKUP($B89,Table2[[prolific]:[feedbackTime]],23,FALSE)=VLOOKUP(Z$1,Table1[],2,FALSE),1,0)</f>
        <v>1</v>
      </c>
      <c r="AA89" s="5">
        <f>IF(VLOOKUP($B89,Table2[[prolific]:[feedbackTime]],24,FALSE)=VLOOKUP(AA$1,Table1[],2,FALSE),1,0)</f>
        <v>1</v>
      </c>
      <c r="AB89" s="5">
        <f>IF(VLOOKUP($B89,Table2[[prolific]:[feedbackTime]],25,FALSE)=VLOOKUP(AB$1,Table1[],2,FALSE),1,0)</f>
        <v>0</v>
      </c>
      <c r="AC89" s="5">
        <f>IF(VLOOKUP($B89,Table2[[prolific]:[feedbackTime]],26,FALSE)=VLOOKUP(AC$1,Table1[],2,FALSE),1,0)</f>
        <v>1</v>
      </c>
      <c r="AD89" s="5">
        <f>IF(VLOOKUP($B89,Table2[[prolific]:[feedbackTime]],27,FALSE)=VLOOKUP(AD$1,Table1[],2,FALSE),1,0)</f>
        <v>1</v>
      </c>
      <c r="AE89" s="5">
        <f>IF(VLOOKUP($B89,Table2[[prolific]:[feedbackTime]],28,FALSE)=VLOOKUP(AE$1,Table1[],2,FALSE),1,0)</f>
        <v>0</v>
      </c>
      <c r="AF89" s="5">
        <f>IF(VLOOKUP($B89,Table2[[prolific]:[feedbackTime]],29,FALSE)=VLOOKUP(AF$1,Table1[],2,FALSE),1,0)</f>
        <v>1</v>
      </c>
      <c r="AG89" s="5">
        <f>IF(VLOOKUP($B89,Table2[[prolific]:[feedbackTime]],30,FALSE)=VLOOKUP(AG$1,Table1[],2,FALSE),1,0)</f>
        <v>1</v>
      </c>
      <c r="AH89" s="5">
        <f t="shared" si="38"/>
        <v>6</v>
      </c>
      <c r="AI89" s="7">
        <f t="shared" si="39"/>
        <v>0.75</v>
      </c>
      <c r="AJ89" s="7">
        <f t="shared" si="40"/>
        <v>0.63636363636363635</v>
      </c>
      <c r="AK89" s="5">
        <f t="shared" si="41"/>
        <v>14</v>
      </c>
    </row>
    <row r="90" spans="1:37" x14ac:dyDescent="0.25">
      <c r="A90">
        <f t="shared" si="42"/>
        <v>1</v>
      </c>
      <c r="B90" s="5" t="s">
        <v>1180</v>
      </c>
      <c r="C90" s="5">
        <f>IF(VLOOKUP($B90,Table2[[prolific]:[feedbackTime]],6,FALSE)=VLOOKUP(C$1,Table1[],2,FALSE),1,0)</f>
        <v>1</v>
      </c>
      <c r="D90" s="5">
        <f>IF(VLOOKUP($B90,Table2[[prolific]:[feedbackTime]],7,FALSE)=VLOOKUP(D$1,Table1[],2,FALSE),1,0)</f>
        <v>1</v>
      </c>
      <c r="E90" s="5">
        <f>IF(VLOOKUP($B90,Table2[[prolific]:[feedbackTime]],8,FALSE)=VLOOKUP(E$1,Table1[],2,FALSE),1,0)</f>
        <v>1</v>
      </c>
      <c r="F90" s="5">
        <f t="shared" si="32"/>
        <v>3</v>
      </c>
      <c r="G90" s="7">
        <f t="shared" si="33"/>
        <v>1</v>
      </c>
      <c r="H90" s="5">
        <f>IF(VLOOKUP($B90,Table2[[prolific]:[feedbackTime]],9,FALSE)=VLOOKUP(H$1,Table1[],2,FALSE),1,0)</f>
        <v>1</v>
      </c>
      <c r="I90" s="5">
        <f>IF(VLOOKUP($B90,Table2[[prolific]:[feedbackTime]],10,FALSE)=VLOOKUP(I$1,Table1[],2,FALSE),1,0)</f>
        <v>0</v>
      </c>
      <c r="J90" s="5">
        <f>IF(VLOOKUP($B90,Table2[[prolific]:[feedbackTime]],11,FALSE)=VLOOKUP(J$1,Table1[],2,FALSE),1,0)</f>
        <v>0</v>
      </c>
      <c r="K90" s="5">
        <f>IF(VLOOKUP($B90,Table2[[prolific]:[feedbackTime]],12,FALSE)=VLOOKUP(K$1,Table1[],2,FALSE),1,0)</f>
        <v>1</v>
      </c>
      <c r="L90" s="5">
        <f>IF(VLOOKUP($B90,Table2[[prolific]:[feedbackTime]],13,FALSE)=VLOOKUP(L$1,Table1[],2,FALSE),1,0)</f>
        <v>1</v>
      </c>
      <c r="M90" s="5">
        <f>IF(VLOOKUP($B90,Table2[[prolific]:[feedbackTime]],14,FALSE)=VLOOKUP(M$1,Table1[],2,FALSE),1,0)</f>
        <v>0</v>
      </c>
      <c r="N90" s="5">
        <f t="shared" si="34"/>
        <v>3</v>
      </c>
      <c r="O90" s="7">
        <f t="shared" si="35"/>
        <v>0.5</v>
      </c>
      <c r="P90" s="5">
        <f>IF(VLOOKUP($B90,Table2[[prolific]:[feedbackTime]],15,FALSE)=VLOOKUP(P$1,Table1[],2,FALSE),1,0)</f>
        <v>1</v>
      </c>
      <c r="Q90" s="5">
        <f>IF(VLOOKUP($B90,Table2[[prolific]:[feedbackTime]],16,FALSE)=VLOOKUP(Q$1,Table1[],2,FALSE),1,0)</f>
        <v>1</v>
      </c>
      <c r="R90" s="5">
        <f>IF(VLOOKUP($B90,Table2[[prolific]:[feedbackTime]],17,FALSE)=VLOOKUP(R$1,Table1[],2,FALSE),1,0)</f>
        <v>1</v>
      </c>
      <c r="S90" s="5">
        <f>IF(VLOOKUP($B90,Table2[[prolific]:[feedbackTime]],18,FALSE)=VLOOKUP(S$1,Table1[],2,FALSE),1,0)</f>
        <v>1</v>
      </c>
      <c r="T90" s="5">
        <f>IF(VLOOKUP($B90,Table2[[prolific]:[feedbackTime]],19,FALSE)=VLOOKUP(T$1,Table1[],2,FALSE),1,0)</f>
        <v>1</v>
      </c>
      <c r="U90" s="5">
        <f>IF(VLOOKUP($B90,Table2[[prolific]:[feedbackTime]],20,FALSE)=VLOOKUP(U$1,Table1[],2,FALSE),1,0)</f>
        <v>1</v>
      </c>
      <c r="V90" s="5">
        <f>IF(VLOOKUP($B90,Table2[[prolific]:[feedbackTime]],21,FALSE)=VLOOKUP(V$1,Table1[],2,FALSE),1,0)</f>
        <v>0</v>
      </c>
      <c r="W90" s="5">
        <f>IF(VLOOKUP($B90,Table2[[prolific]:[feedbackTime]],22,FALSE)=VLOOKUP(W$1,Table1[],2,FALSE),1,0)</f>
        <v>0</v>
      </c>
      <c r="X90" s="5">
        <f t="shared" si="36"/>
        <v>6</v>
      </c>
      <c r="Y90" s="7">
        <f t="shared" si="37"/>
        <v>0.75</v>
      </c>
      <c r="Z90" s="5">
        <f>IF(VLOOKUP($B90,Table2[[prolific]:[feedbackTime]],23,FALSE)=VLOOKUP(Z$1,Table1[],2,FALSE),1,0)</f>
        <v>1</v>
      </c>
      <c r="AA90" s="5">
        <f>IF(VLOOKUP($B90,Table2[[prolific]:[feedbackTime]],24,FALSE)=VLOOKUP(AA$1,Table1[],2,FALSE),1,0)</f>
        <v>1</v>
      </c>
      <c r="AB90" s="5">
        <f>IF(VLOOKUP($B90,Table2[[prolific]:[feedbackTime]],25,FALSE)=VLOOKUP(AB$1,Table1[],2,FALSE),1,0)</f>
        <v>1</v>
      </c>
      <c r="AC90" s="5">
        <f>IF(VLOOKUP($B90,Table2[[prolific]:[feedbackTime]],26,FALSE)=VLOOKUP(AC$1,Table1[],2,FALSE),1,0)</f>
        <v>1</v>
      </c>
      <c r="AD90" s="5">
        <f>IF(VLOOKUP($B90,Table2[[prolific]:[feedbackTime]],27,FALSE)=VLOOKUP(AD$1,Table1[],2,FALSE),1,0)</f>
        <v>0</v>
      </c>
      <c r="AE90" s="5">
        <f>IF(VLOOKUP($B90,Table2[[prolific]:[feedbackTime]],28,FALSE)=VLOOKUP(AE$1,Table1[],2,FALSE),1,0)</f>
        <v>0</v>
      </c>
      <c r="AF90" s="5">
        <f>IF(VLOOKUP($B90,Table2[[prolific]:[feedbackTime]],29,FALSE)=VLOOKUP(AF$1,Table1[],2,FALSE),1,0)</f>
        <v>0</v>
      </c>
      <c r="AG90" s="5">
        <f>IF(VLOOKUP($B90,Table2[[prolific]:[feedbackTime]],30,FALSE)=VLOOKUP(AG$1,Table1[],2,FALSE),1,0)</f>
        <v>0</v>
      </c>
      <c r="AH90" s="5">
        <f t="shared" si="38"/>
        <v>4</v>
      </c>
      <c r="AI90" s="7">
        <f t="shared" si="39"/>
        <v>0.5</v>
      </c>
      <c r="AJ90" s="7">
        <f t="shared" si="40"/>
        <v>0.59090909090909094</v>
      </c>
      <c r="AK90" s="5">
        <f t="shared" si="41"/>
        <v>13</v>
      </c>
    </row>
    <row r="91" spans="1:37" x14ac:dyDescent="0.25">
      <c r="A91">
        <f t="shared" si="42"/>
        <v>1</v>
      </c>
      <c r="B91" s="5" t="s">
        <v>1181</v>
      </c>
      <c r="C91" s="5">
        <f>IF(VLOOKUP($B91,Table2[[prolific]:[feedbackTime]],6,FALSE)=VLOOKUP(C$1,Table1[],2,FALSE),1,0)</f>
        <v>1</v>
      </c>
      <c r="D91" s="5">
        <f>IF(VLOOKUP($B91,Table2[[prolific]:[feedbackTime]],7,FALSE)=VLOOKUP(D$1,Table1[],2,FALSE),1,0)</f>
        <v>1</v>
      </c>
      <c r="E91" s="5">
        <f>IF(VLOOKUP($B91,Table2[[prolific]:[feedbackTime]],8,FALSE)=VLOOKUP(E$1,Table1[],2,FALSE),1,0)</f>
        <v>1</v>
      </c>
      <c r="F91" s="5">
        <f t="shared" si="32"/>
        <v>3</v>
      </c>
      <c r="G91" s="7">
        <f t="shared" si="33"/>
        <v>1</v>
      </c>
      <c r="H91" s="5">
        <f>IF(VLOOKUP($B91,Table2[[prolific]:[feedbackTime]],9,FALSE)=VLOOKUP(H$1,Table1[],2,FALSE),1,0)</f>
        <v>1</v>
      </c>
      <c r="I91" s="5">
        <f>IF(VLOOKUP($B91,Table2[[prolific]:[feedbackTime]],10,FALSE)=VLOOKUP(I$1,Table1[],2,FALSE),1,0)</f>
        <v>1</v>
      </c>
      <c r="J91" s="5">
        <f>IF(VLOOKUP($B91,Table2[[prolific]:[feedbackTime]],11,FALSE)=VLOOKUP(J$1,Table1[],2,FALSE),1,0)</f>
        <v>1</v>
      </c>
      <c r="K91" s="5">
        <f>IF(VLOOKUP($B91,Table2[[prolific]:[feedbackTime]],12,FALSE)=VLOOKUP(K$1,Table1[],2,FALSE),1,0)</f>
        <v>1</v>
      </c>
      <c r="L91" s="5">
        <f>IF(VLOOKUP($B91,Table2[[prolific]:[feedbackTime]],13,FALSE)=VLOOKUP(L$1,Table1[],2,FALSE),1,0)</f>
        <v>1</v>
      </c>
      <c r="M91" s="5">
        <f>IF(VLOOKUP($B91,Table2[[prolific]:[feedbackTime]],14,FALSE)=VLOOKUP(M$1,Table1[],2,FALSE),1,0)</f>
        <v>1</v>
      </c>
      <c r="N91" s="5">
        <f t="shared" si="34"/>
        <v>6</v>
      </c>
      <c r="O91" s="7">
        <f t="shared" si="35"/>
        <v>1</v>
      </c>
      <c r="P91" s="5">
        <f>IF(VLOOKUP($B91,Table2[[prolific]:[feedbackTime]],15,FALSE)=VLOOKUP(P$1,Table1[],2,FALSE),1,0)</f>
        <v>1</v>
      </c>
      <c r="Q91" s="5">
        <f>IF(VLOOKUP($B91,Table2[[prolific]:[feedbackTime]],16,FALSE)=VLOOKUP(Q$1,Table1[],2,FALSE),1,0)</f>
        <v>1</v>
      </c>
      <c r="R91" s="5">
        <f>IF(VLOOKUP($B91,Table2[[prolific]:[feedbackTime]],17,FALSE)=VLOOKUP(R$1,Table1[],2,FALSE),1,0)</f>
        <v>1</v>
      </c>
      <c r="S91" s="5">
        <f>IF(VLOOKUP($B91,Table2[[prolific]:[feedbackTime]],18,FALSE)=VLOOKUP(S$1,Table1[],2,FALSE),1,0)</f>
        <v>1</v>
      </c>
      <c r="T91" s="5">
        <f>IF(VLOOKUP($B91,Table2[[prolific]:[feedbackTime]],19,FALSE)=VLOOKUP(T$1,Table1[],2,FALSE),1,0)</f>
        <v>1</v>
      </c>
      <c r="U91" s="5">
        <f>IF(VLOOKUP($B91,Table2[[prolific]:[feedbackTime]],20,FALSE)=VLOOKUP(U$1,Table1[],2,FALSE),1,0)</f>
        <v>1</v>
      </c>
      <c r="V91" s="5">
        <f>IF(VLOOKUP($B91,Table2[[prolific]:[feedbackTime]],21,FALSE)=VLOOKUP(V$1,Table1[],2,FALSE),1,0)</f>
        <v>1</v>
      </c>
      <c r="W91" s="5">
        <f>IF(VLOOKUP($B91,Table2[[prolific]:[feedbackTime]],22,FALSE)=VLOOKUP(W$1,Table1[],2,FALSE),1,0)</f>
        <v>1</v>
      </c>
      <c r="X91" s="5">
        <f t="shared" si="36"/>
        <v>8</v>
      </c>
      <c r="Y91" s="7">
        <f t="shared" si="37"/>
        <v>1</v>
      </c>
      <c r="Z91" s="5">
        <f>IF(VLOOKUP($B91,Table2[[prolific]:[feedbackTime]],23,FALSE)=VLOOKUP(Z$1,Table1[],2,FALSE),1,0)</f>
        <v>1</v>
      </c>
      <c r="AA91" s="5">
        <f>IF(VLOOKUP($B91,Table2[[prolific]:[feedbackTime]],24,FALSE)=VLOOKUP(AA$1,Table1[],2,FALSE),1,0)</f>
        <v>1</v>
      </c>
      <c r="AB91" s="5">
        <f>IF(VLOOKUP($B91,Table2[[prolific]:[feedbackTime]],25,FALSE)=VLOOKUP(AB$1,Table1[],2,FALSE),1,0)</f>
        <v>1</v>
      </c>
      <c r="AC91" s="5">
        <f>IF(VLOOKUP($B91,Table2[[prolific]:[feedbackTime]],26,FALSE)=VLOOKUP(AC$1,Table1[],2,FALSE),1,0)</f>
        <v>1</v>
      </c>
      <c r="AD91" s="5">
        <f>IF(VLOOKUP($B91,Table2[[prolific]:[feedbackTime]],27,FALSE)=VLOOKUP(AD$1,Table1[],2,FALSE),1,0)</f>
        <v>0</v>
      </c>
      <c r="AE91" s="5">
        <f>IF(VLOOKUP($B91,Table2[[prolific]:[feedbackTime]],28,FALSE)=VLOOKUP(AE$1,Table1[],2,FALSE),1,0)</f>
        <v>1</v>
      </c>
      <c r="AF91" s="5">
        <f>IF(VLOOKUP($B91,Table2[[prolific]:[feedbackTime]],29,FALSE)=VLOOKUP(AF$1,Table1[],2,FALSE),1,0)</f>
        <v>1</v>
      </c>
      <c r="AG91" s="5">
        <f>IF(VLOOKUP($B91,Table2[[prolific]:[feedbackTime]],30,FALSE)=VLOOKUP(AG$1,Table1[],2,FALSE),1,0)</f>
        <v>1</v>
      </c>
      <c r="AH91" s="5">
        <f t="shared" si="38"/>
        <v>7</v>
      </c>
      <c r="AI91" s="7">
        <f t="shared" si="39"/>
        <v>0.875</v>
      </c>
      <c r="AJ91" s="7">
        <f t="shared" si="40"/>
        <v>0.95454545454545459</v>
      </c>
      <c r="AK91" s="5">
        <f t="shared" si="41"/>
        <v>21</v>
      </c>
    </row>
    <row r="92" spans="1:37" x14ac:dyDescent="0.25">
      <c r="A92">
        <f t="shared" si="42"/>
        <v>1</v>
      </c>
      <c r="B92" s="5" t="s">
        <v>1182</v>
      </c>
      <c r="C92" s="5">
        <f>IF(VLOOKUP($B92,Table2[[prolific]:[feedbackTime]],6,FALSE)=VLOOKUP(C$1,Table1[],2,FALSE),1,0)</f>
        <v>1</v>
      </c>
      <c r="D92" s="5">
        <f>IF(VLOOKUP($B92,Table2[[prolific]:[feedbackTime]],7,FALSE)=VLOOKUP(D$1,Table1[],2,FALSE),1,0)</f>
        <v>1</v>
      </c>
      <c r="E92" s="5">
        <f>IF(VLOOKUP($B92,Table2[[prolific]:[feedbackTime]],8,FALSE)=VLOOKUP(E$1,Table1[],2,FALSE),1,0)</f>
        <v>1</v>
      </c>
      <c r="F92" s="5">
        <f t="shared" si="32"/>
        <v>3</v>
      </c>
      <c r="G92" s="7">
        <f t="shared" si="33"/>
        <v>1</v>
      </c>
      <c r="H92" s="5">
        <f>IF(VLOOKUP($B92,Table2[[prolific]:[feedbackTime]],9,FALSE)=VLOOKUP(H$1,Table1[],2,FALSE),1,0)</f>
        <v>1</v>
      </c>
      <c r="I92" s="5">
        <f>IF(VLOOKUP($B92,Table2[[prolific]:[feedbackTime]],10,FALSE)=VLOOKUP(I$1,Table1[],2,FALSE),1,0)</f>
        <v>1</v>
      </c>
      <c r="J92" s="5">
        <f>IF(VLOOKUP($B92,Table2[[prolific]:[feedbackTime]],11,FALSE)=VLOOKUP(J$1,Table1[],2,FALSE),1,0)</f>
        <v>1</v>
      </c>
      <c r="K92" s="5">
        <f>IF(VLOOKUP($B92,Table2[[prolific]:[feedbackTime]],12,FALSE)=VLOOKUP(K$1,Table1[],2,FALSE),1,0)</f>
        <v>1</v>
      </c>
      <c r="L92" s="5">
        <f>IF(VLOOKUP($B92,Table2[[prolific]:[feedbackTime]],13,FALSE)=VLOOKUP(L$1,Table1[],2,FALSE),1,0)</f>
        <v>0</v>
      </c>
      <c r="M92" s="5">
        <f>IF(VLOOKUP($B92,Table2[[prolific]:[feedbackTime]],14,FALSE)=VLOOKUP(M$1,Table1[],2,FALSE),1,0)</f>
        <v>0</v>
      </c>
      <c r="N92" s="5">
        <f t="shared" si="34"/>
        <v>4</v>
      </c>
      <c r="O92" s="7">
        <f t="shared" si="35"/>
        <v>0.66666666666666663</v>
      </c>
      <c r="P92" s="5">
        <f>IF(VLOOKUP($B92,Table2[[prolific]:[feedbackTime]],15,FALSE)=VLOOKUP(P$1,Table1[],2,FALSE),1,0)</f>
        <v>1</v>
      </c>
      <c r="Q92" s="5">
        <f>IF(VLOOKUP($B92,Table2[[prolific]:[feedbackTime]],16,FALSE)=VLOOKUP(Q$1,Table1[],2,FALSE),1,0)</f>
        <v>1</v>
      </c>
      <c r="R92" s="5">
        <f>IF(VLOOKUP($B92,Table2[[prolific]:[feedbackTime]],17,FALSE)=VLOOKUP(R$1,Table1[],2,FALSE),1,0)</f>
        <v>0</v>
      </c>
      <c r="S92" s="5">
        <f>IF(VLOOKUP($B92,Table2[[prolific]:[feedbackTime]],18,FALSE)=VLOOKUP(S$1,Table1[],2,FALSE),1,0)</f>
        <v>1</v>
      </c>
      <c r="T92" s="5">
        <f>IF(VLOOKUP($B92,Table2[[prolific]:[feedbackTime]],19,FALSE)=VLOOKUP(T$1,Table1[],2,FALSE),1,0)</f>
        <v>1</v>
      </c>
      <c r="U92" s="5">
        <f>IF(VLOOKUP($B92,Table2[[prolific]:[feedbackTime]],20,FALSE)=VLOOKUP(U$1,Table1[],2,FALSE),1,0)</f>
        <v>1</v>
      </c>
      <c r="V92" s="5">
        <f>IF(VLOOKUP($B92,Table2[[prolific]:[feedbackTime]],21,FALSE)=VLOOKUP(V$1,Table1[],2,FALSE),1,0)</f>
        <v>0</v>
      </c>
      <c r="W92" s="5">
        <f>IF(VLOOKUP($B92,Table2[[prolific]:[feedbackTime]],22,FALSE)=VLOOKUP(W$1,Table1[],2,FALSE),1,0)</f>
        <v>1</v>
      </c>
      <c r="X92" s="5">
        <f t="shared" si="36"/>
        <v>6</v>
      </c>
      <c r="Y92" s="7">
        <f t="shared" si="37"/>
        <v>0.75</v>
      </c>
      <c r="Z92" s="5">
        <f>IF(VLOOKUP($B92,Table2[[prolific]:[feedbackTime]],23,FALSE)=VLOOKUP(Z$1,Table1[],2,FALSE),1,0)</f>
        <v>1</v>
      </c>
      <c r="AA92" s="5">
        <f>IF(VLOOKUP($B92,Table2[[prolific]:[feedbackTime]],24,FALSE)=VLOOKUP(AA$1,Table1[],2,FALSE),1,0)</f>
        <v>1</v>
      </c>
      <c r="AB92" s="5">
        <f>IF(VLOOKUP($B92,Table2[[prolific]:[feedbackTime]],25,FALSE)=VLOOKUP(AB$1,Table1[],2,FALSE),1,0)</f>
        <v>1</v>
      </c>
      <c r="AC92" s="5">
        <f>IF(VLOOKUP($B92,Table2[[prolific]:[feedbackTime]],26,FALSE)=VLOOKUP(AC$1,Table1[],2,FALSE),1,0)</f>
        <v>1</v>
      </c>
      <c r="AD92" s="5">
        <f>IF(VLOOKUP($B92,Table2[[prolific]:[feedbackTime]],27,FALSE)=VLOOKUP(AD$1,Table1[],2,FALSE),1,0)</f>
        <v>1</v>
      </c>
      <c r="AE92" s="5">
        <f>IF(VLOOKUP($B92,Table2[[prolific]:[feedbackTime]],28,FALSE)=VLOOKUP(AE$1,Table1[],2,FALSE),1,0)</f>
        <v>0</v>
      </c>
      <c r="AF92" s="5">
        <f>IF(VLOOKUP($B92,Table2[[prolific]:[feedbackTime]],29,FALSE)=VLOOKUP(AF$1,Table1[],2,FALSE),1,0)</f>
        <v>1</v>
      </c>
      <c r="AG92" s="5">
        <f>IF(VLOOKUP($B92,Table2[[prolific]:[feedbackTime]],30,FALSE)=VLOOKUP(AG$1,Table1[],2,FALSE),1,0)</f>
        <v>1</v>
      </c>
      <c r="AH92" s="5">
        <f t="shared" si="38"/>
        <v>7</v>
      </c>
      <c r="AI92" s="7">
        <f t="shared" si="39"/>
        <v>0.875</v>
      </c>
      <c r="AJ92" s="7">
        <f t="shared" si="40"/>
        <v>0.77272727272727271</v>
      </c>
      <c r="AK92" s="5">
        <f t="shared" si="41"/>
        <v>17</v>
      </c>
    </row>
    <row r="93" spans="1:37" x14ac:dyDescent="0.25">
      <c r="A93">
        <f t="shared" si="42"/>
        <v>1</v>
      </c>
      <c r="B93" s="5" t="s">
        <v>1183</v>
      </c>
      <c r="C93" s="5">
        <f>IF(VLOOKUP($B93,Table2[[prolific]:[feedbackTime]],6,FALSE)=VLOOKUP(C$1,Table1[],2,FALSE),1,0)</f>
        <v>1</v>
      </c>
      <c r="D93" s="5">
        <f>IF(VLOOKUP($B93,Table2[[prolific]:[feedbackTime]],7,FALSE)=VLOOKUP(D$1,Table1[],2,FALSE),1,0)</f>
        <v>1</v>
      </c>
      <c r="E93" s="5">
        <f>IF(VLOOKUP($B93,Table2[[prolific]:[feedbackTime]],8,FALSE)=VLOOKUP(E$1,Table1[],2,FALSE),1,0)</f>
        <v>1</v>
      </c>
      <c r="F93" s="5">
        <f t="shared" si="32"/>
        <v>3</v>
      </c>
      <c r="G93" s="7">
        <f t="shared" si="33"/>
        <v>1</v>
      </c>
      <c r="H93" s="5">
        <f>IF(VLOOKUP($B93,Table2[[prolific]:[feedbackTime]],9,FALSE)=VLOOKUP(H$1,Table1[],2,FALSE),1,0)</f>
        <v>1</v>
      </c>
      <c r="I93" s="5">
        <f>IF(VLOOKUP($B93,Table2[[prolific]:[feedbackTime]],10,FALSE)=VLOOKUP(I$1,Table1[],2,FALSE),1,0)</f>
        <v>1</v>
      </c>
      <c r="J93" s="5">
        <f>IF(VLOOKUP($B93,Table2[[prolific]:[feedbackTime]],11,FALSE)=VLOOKUP(J$1,Table1[],2,FALSE),1,0)</f>
        <v>1</v>
      </c>
      <c r="K93" s="5">
        <f>IF(VLOOKUP($B93,Table2[[prolific]:[feedbackTime]],12,FALSE)=VLOOKUP(K$1,Table1[],2,FALSE),1,0)</f>
        <v>1</v>
      </c>
      <c r="L93" s="5">
        <f>IF(VLOOKUP($B93,Table2[[prolific]:[feedbackTime]],13,FALSE)=VLOOKUP(L$1,Table1[],2,FALSE),1,0)</f>
        <v>1</v>
      </c>
      <c r="M93" s="5">
        <f>IF(VLOOKUP($B93,Table2[[prolific]:[feedbackTime]],14,FALSE)=VLOOKUP(M$1,Table1[],2,FALSE),1,0)</f>
        <v>1</v>
      </c>
      <c r="N93" s="5">
        <f t="shared" si="34"/>
        <v>6</v>
      </c>
      <c r="O93" s="7">
        <f t="shared" si="35"/>
        <v>1</v>
      </c>
      <c r="P93" s="5">
        <f>IF(VLOOKUP($B93,Table2[[prolific]:[feedbackTime]],15,FALSE)=VLOOKUP(P$1,Table1[],2,FALSE),1,0)</f>
        <v>1</v>
      </c>
      <c r="Q93" s="5">
        <f>IF(VLOOKUP($B93,Table2[[prolific]:[feedbackTime]],16,FALSE)=VLOOKUP(Q$1,Table1[],2,FALSE),1,0)</f>
        <v>1</v>
      </c>
      <c r="R93" s="5">
        <f>IF(VLOOKUP($B93,Table2[[prolific]:[feedbackTime]],17,FALSE)=VLOOKUP(R$1,Table1[],2,FALSE),1,0)</f>
        <v>1</v>
      </c>
      <c r="S93" s="5">
        <f>IF(VLOOKUP($B93,Table2[[prolific]:[feedbackTime]],18,FALSE)=VLOOKUP(S$1,Table1[],2,FALSE),1,0)</f>
        <v>1</v>
      </c>
      <c r="T93" s="5">
        <f>IF(VLOOKUP($B93,Table2[[prolific]:[feedbackTime]],19,FALSE)=VLOOKUP(T$1,Table1[],2,FALSE),1,0)</f>
        <v>1</v>
      </c>
      <c r="U93" s="5">
        <f>IF(VLOOKUP($B93,Table2[[prolific]:[feedbackTime]],20,FALSE)=VLOOKUP(U$1,Table1[],2,FALSE),1,0)</f>
        <v>1</v>
      </c>
      <c r="V93" s="5">
        <f>IF(VLOOKUP($B93,Table2[[prolific]:[feedbackTime]],21,FALSE)=VLOOKUP(V$1,Table1[],2,FALSE),1,0)</f>
        <v>1</v>
      </c>
      <c r="W93" s="5">
        <f>IF(VLOOKUP($B93,Table2[[prolific]:[feedbackTime]],22,FALSE)=VLOOKUP(W$1,Table1[],2,FALSE),1,0)</f>
        <v>1</v>
      </c>
      <c r="X93" s="5">
        <f t="shared" si="36"/>
        <v>8</v>
      </c>
      <c r="Y93" s="7">
        <f t="shared" si="37"/>
        <v>1</v>
      </c>
      <c r="Z93" s="5">
        <f>IF(VLOOKUP($B93,Table2[[prolific]:[feedbackTime]],23,FALSE)=VLOOKUP(Z$1,Table1[],2,FALSE),1,0)</f>
        <v>1</v>
      </c>
      <c r="AA93" s="5">
        <f>IF(VLOOKUP($B93,Table2[[prolific]:[feedbackTime]],24,FALSE)=VLOOKUP(AA$1,Table1[],2,FALSE),1,0)</f>
        <v>1</v>
      </c>
      <c r="AB93" s="5">
        <f>IF(VLOOKUP($B93,Table2[[prolific]:[feedbackTime]],25,FALSE)=VLOOKUP(AB$1,Table1[],2,FALSE),1,0)</f>
        <v>1</v>
      </c>
      <c r="AC93" s="5">
        <f>IF(VLOOKUP($B93,Table2[[prolific]:[feedbackTime]],26,FALSE)=VLOOKUP(AC$1,Table1[],2,FALSE),1,0)</f>
        <v>1</v>
      </c>
      <c r="AD93" s="5">
        <f>IF(VLOOKUP($B93,Table2[[prolific]:[feedbackTime]],27,FALSE)=VLOOKUP(AD$1,Table1[],2,FALSE),1,0)</f>
        <v>1</v>
      </c>
      <c r="AE93" s="5">
        <f>IF(VLOOKUP($B93,Table2[[prolific]:[feedbackTime]],28,FALSE)=VLOOKUP(AE$1,Table1[],2,FALSE),1,0)</f>
        <v>1</v>
      </c>
      <c r="AF93" s="5">
        <f>IF(VLOOKUP($B93,Table2[[prolific]:[feedbackTime]],29,FALSE)=VLOOKUP(AF$1,Table1[],2,FALSE),1,0)</f>
        <v>1</v>
      </c>
      <c r="AG93" s="5">
        <f>IF(VLOOKUP($B93,Table2[[prolific]:[feedbackTime]],30,FALSE)=VLOOKUP(AG$1,Table1[],2,FALSE),1,0)</f>
        <v>0</v>
      </c>
      <c r="AH93" s="5">
        <f t="shared" si="38"/>
        <v>7</v>
      </c>
      <c r="AI93" s="7">
        <f t="shared" si="39"/>
        <v>0.875</v>
      </c>
      <c r="AJ93" s="7">
        <f t="shared" si="40"/>
        <v>0.95454545454545459</v>
      </c>
      <c r="AK93" s="5">
        <f t="shared" si="41"/>
        <v>21</v>
      </c>
    </row>
    <row r="94" spans="1:37" x14ac:dyDescent="0.25">
      <c r="A94">
        <f t="shared" si="42"/>
        <v>1</v>
      </c>
      <c r="B94" s="5" t="s">
        <v>1080</v>
      </c>
      <c r="C94" s="5">
        <f>IF(VLOOKUP($B94,Table2[[prolific]:[feedbackTime]],6,FALSE)=VLOOKUP(C$1,Table1[],2,FALSE),1,0)</f>
        <v>1</v>
      </c>
      <c r="D94" s="5">
        <f>IF(VLOOKUP($B94,Table2[[prolific]:[feedbackTime]],7,FALSE)=VLOOKUP(D$1,Table1[],2,FALSE),1,0)</f>
        <v>1</v>
      </c>
      <c r="E94" s="5">
        <f>IF(VLOOKUP($B94,Table2[[prolific]:[feedbackTime]],8,FALSE)=VLOOKUP(E$1,Table1[],2,FALSE),1,0)</f>
        <v>1</v>
      </c>
      <c r="F94" s="5">
        <f t="shared" ref="F94:F124" si="43">SUM(C94:E94)</f>
        <v>3</v>
      </c>
      <c r="G94" s="7">
        <f t="shared" ref="G94:G124" si="44">F94/3</f>
        <v>1</v>
      </c>
      <c r="H94" s="5">
        <f>IF(VLOOKUP($B94,Table2[[prolific]:[feedbackTime]],9,FALSE)=VLOOKUP(H$1,Table1[],2,FALSE),1,0)</f>
        <v>1</v>
      </c>
      <c r="I94" s="5">
        <f>IF(VLOOKUP($B94,Table2[[prolific]:[feedbackTime]],10,FALSE)=VLOOKUP(I$1,Table1[],2,FALSE),1,0)</f>
        <v>1</v>
      </c>
      <c r="J94" s="5">
        <f>IF(VLOOKUP($B94,Table2[[prolific]:[feedbackTime]],11,FALSE)=VLOOKUP(J$1,Table1[],2,FALSE),1,0)</f>
        <v>1</v>
      </c>
      <c r="K94" s="5">
        <f>IF(VLOOKUP($B94,Table2[[prolific]:[feedbackTime]],12,FALSE)=VLOOKUP(K$1,Table1[],2,FALSE),1,0)</f>
        <v>1</v>
      </c>
      <c r="L94" s="5">
        <f>IF(VLOOKUP($B94,Table2[[prolific]:[feedbackTime]],13,FALSE)=VLOOKUP(L$1,Table1[],2,FALSE),1,0)</f>
        <v>0</v>
      </c>
      <c r="M94" s="5">
        <f>IF(VLOOKUP($B94,Table2[[prolific]:[feedbackTime]],14,FALSE)=VLOOKUP(M$1,Table1[],2,FALSE),1,0)</f>
        <v>1</v>
      </c>
      <c r="N94" s="5">
        <f t="shared" ref="N94:N124" si="45">SUM(H94:M94)</f>
        <v>5</v>
      </c>
      <c r="O94" s="7">
        <f t="shared" ref="O94:O124" si="46">N94/6</f>
        <v>0.83333333333333337</v>
      </c>
      <c r="P94" s="5">
        <f>IF(VLOOKUP($B94,Table2[[prolific]:[feedbackTime]],15,FALSE)=VLOOKUP(P$1,Table1[],2,FALSE),1,0)</f>
        <v>1</v>
      </c>
      <c r="Q94" s="5">
        <f>IF(VLOOKUP($B94,Table2[[prolific]:[feedbackTime]],16,FALSE)=VLOOKUP(Q$1,Table1[],2,FALSE),1,0)</f>
        <v>1</v>
      </c>
      <c r="R94" s="5">
        <f>IF(VLOOKUP($B94,Table2[[prolific]:[feedbackTime]],17,FALSE)=VLOOKUP(R$1,Table1[],2,FALSE),1,0)</f>
        <v>1</v>
      </c>
      <c r="S94" s="5">
        <f>IF(VLOOKUP($B94,Table2[[prolific]:[feedbackTime]],18,FALSE)=VLOOKUP(S$1,Table1[],2,FALSE),1,0)</f>
        <v>0</v>
      </c>
      <c r="T94" s="5">
        <f>IF(VLOOKUP($B94,Table2[[prolific]:[feedbackTime]],19,FALSE)=VLOOKUP(T$1,Table1[],2,FALSE),1,0)</f>
        <v>1</v>
      </c>
      <c r="U94" s="5">
        <f>IF(VLOOKUP($B94,Table2[[prolific]:[feedbackTime]],20,FALSE)=VLOOKUP(U$1,Table1[],2,FALSE),1,0)</f>
        <v>1</v>
      </c>
      <c r="V94" s="5">
        <f>IF(VLOOKUP($B94,Table2[[prolific]:[feedbackTime]],21,FALSE)=VLOOKUP(V$1,Table1[],2,FALSE),1,0)</f>
        <v>0</v>
      </c>
      <c r="W94" s="5">
        <f>IF(VLOOKUP($B94,Table2[[prolific]:[feedbackTime]],22,FALSE)=VLOOKUP(W$1,Table1[],2,FALSE),1,0)</f>
        <v>1</v>
      </c>
      <c r="X94" s="5">
        <f t="shared" ref="X94:X124" si="47">SUM(P94:W94)</f>
        <v>6</v>
      </c>
      <c r="Y94" s="7">
        <f t="shared" ref="Y94:Y124" si="48">X94/8</f>
        <v>0.75</v>
      </c>
      <c r="Z94" s="5">
        <f>IF(VLOOKUP($B94,Table2[[prolific]:[feedbackTime]],23,FALSE)=VLOOKUP(Z$1,Table1[],2,FALSE),1,0)</f>
        <v>1</v>
      </c>
      <c r="AA94" s="5">
        <f>IF(VLOOKUP($B94,Table2[[prolific]:[feedbackTime]],24,FALSE)=VLOOKUP(AA$1,Table1[],2,FALSE),1,0)</f>
        <v>1</v>
      </c>
      <c r="AB94" s="5">
        <f>IF(VLOOKUP($B94,Table2[[prolific]:[feedbackTime]],25,FALSE)=VLOOKUP(AB$1,Table1[],2,FALSE),1,0)</f>
        <v>0</v>
      </c>
      <c r="AC94" s="5">
        <f>IF(VLOOKUP($B94,Table2[[prolific]:[feedbackTime]],26,FALSE)=VLOOKUP(AC$1,Table1[],2,FALSE),1,0)</f>
        <v>1</v>
      </c>
      <c r="AD94" s="5">
        <f>IF(VLOOKUP($B94,Table2[[prolific]:[feedbackTime]],27,FALSE)=VLOOKUP(AD$1,Table1[],2,FALSE),1,0)</f>
        <v>0</v>
      </c>
      <c r="AE94" s="5">
        <f>IF(VLOOKUP($B94,Table2[[prolific]:[feedbackTime]],28,FALSE)=VLOOKUP(AE$1,Table1[],2,FALSE),1,0)</f>
        <v>1</v>
      </c>
      <c r="AF94" s="5">
        <f>IF(VLOOKUP($B94,Table2[[prolific]:[feedbackTime]],29,FALSE)=VLOOKUP(AF$1,Table1[],2,FALSE),1,0)</f>
        <v>1</v>
      </c>
      <c r="AG94" s="5">
        <f>IF(VLOOKUP($B94,Table2[[prolific]:[feedbackTime]],30,FALSE)=VLOOKUP(AG$1,Table1[],2,FALSE),1,0)</f>
        <v>1</v>
      </c>
      <c r="AH94" s="5">
        <f t="shared" ref="AH94:AH124" si="49">SUM(Z94:AG94)</f>
        <v>6</v>
      </c>
      <c r="AI94" s="7">
        <f t="shared" ref="AI94:AI124" si="50">AH94/8</f>
        <v>0.75</v>
      </c>
      <c r="AJ94" s="7">
        <f t="shared" ref="AJ94:AJ124" si="51">(N94+X94+AH94)/22</f>
        <v>0.77272727272727271</v>
      </c>
      <c r="AK94" s="5">
        <f t="shared" ref="AK94:AK124" si="52">(N94+X94+AH94)</f>
        <v>17</v>
      </c>
    </row>
    <row r="95" spans="1:37" x14ac:dyDescent="0.25">
      <c r="A95">
        <f t="shared" si="42"/>
        <v>1</v>
      </c>
      <c r="B95" s="5" t="s">
        <v>1081</v>
      </c>
      <c r="C95" s="5">
        <f>IF(VLOOKUP($B95,Table2[[prolific]:[feedbackTime]],6,FALSE)=VLOOKUP(C$1,Table1[],2,FALSE),1,0)</f>
        <v>1</v>
      </c>
      <c r="D95" s="5">
        <f>IF(VLOOKUP($B95,Table2[[prolific]:[feedbackTime]],7,FALSE)=VLOOKUP(D$1,Table1[],2,FALSE),1,0)</f>
        <v>1</v>
      </c>
      <c r="E95" s="5">
        <f>IF(VLOOKUP($B95,Table2[[prolific]:[feedbackTime]],8,FALSE)=VLOOKUP(E$1,Table1[],2,FALSE),1,0)</f>
        <v>1</v>
      </c>
      <c r="F95" s="5">
        <f t="shared" si="43"/>
        <v>3</v>
      </c>
      <c r="G95" s="7">
        <f t="shared" si="44"/>
        <v>1</v>
      </c>
      <c r="H95" s="5">
        <f>IF(VLOOKUP($B95,Table2[[prolific]:[feedbackTime]],9,FALSE)=VLOOKUP(H$1,Table1[],2,FALSE),1,0)</f>
        <v>0</v>
      </c>
      <c r="I95" s="5">
        <f>IF(VLOOKUP($B95,Table2[[prolific]:[feedbackTime]],10,FALSE)=VLOOKUP(I$1,Table1[],2,FALSE),1,0)</f>
        <v>1</v>
      </c>
      <c r="J95" s="5">
        <f>IF(VLOOKUP($B95,Table2[[prolific]:[feedbackTime]],11,FALSE)=VLOOKUP(J$1,Table1[],2,FALSE),1,0)</f>
        <v>0</v>
      </c>
      <c r="K95" s="5">
        <f>IF(VLOOKUP($B95,Table2[[prolific]:[feedbackTime]],12,FALSE)=VLOOKUP(K$1,Table1[],2,FALSE),1,0)</f>
        <v>1</v>
      </c>
      <c r="L95" s="5">
        <f>IF(VLOOKUP($B95,Table2[[prolific]:[feedbackTime]],13,FALSE)=VLOOKUP(L$1,Table1[],2,FALSE),1,0)</f>
        <v>0</v>
      </c>
      <c r="M95" s="5">
        <f>IF(VLOOKUP($B95,Table2[[prolific]:[feedbackTime]],14,FALSE)=VLOOKUP(M$1,Table1[],2,FALSE),1,0)</f>
        <v>0</v>
      </c>
      <c r="N95" s="5">
        <f t="shared" si="45"/>
        <v>2</v>
      </c>
      <c r="O95" s="7">
        <f t="shared" si="46"/>
        <v>0.33333333333333331</v>
      </c>
      <c r="P95" s="5">
        <f>IF(VLOOKUP($B95,Table2[[prolific]:[feedbackTime]],15,FALSE)=VLOOKUP(P$1,Table1[],2,FALSE),1,0)</f>
        <v>1</v>
      </c>
      <c r="Q95" s="5">
        <f>IF(VLOOKUP($B95,Table2[[prolific]:[feedbackTime]],16,FALSE)=VLOOKUP(Q$1,Table1[],2,FALSE),1,0)</f>
        <v>1</v>
      </c>
      <c r="R95" s="5">
        <f>IF(VLOOKUP($B95,Table2[[prolific]:[feedbackTime]],17,FALSE)=VLOOKUP(R$1,Table1[],2,FALSE),1,0)</f>
        <v>1</v>
      </c>
      <c r="S95" s="5">
        <f>IF(VLOOKUP($B95,Table2[[prolific]:[feedbackTime]],18,FALSE)=VLOOKUP(S$1,Table1[],2,FALSE),1,0)</f>
        <v>1</v>
      </c>
      <c r="T95" s="5">
        <f>IF(VLOOKUP($B95,Table2[[prolific]:[feedbackTime]],19,FALSE)=VLOOKUP(T$1,Table1[],2,FALSE),1,0)</f>
        <v>1</v>
      </c>
      <c r="U95" s="5">
        <f>IF(VLOOKUP($B95,Table2[[prolific]:[feedbackTime]],20,FALSE)=VLOOKUP(U$1,Table1[],2,FALSE),1,0)</f>
        <v>1</v>
      </c>
      <c r="V95" s="5">
        <f>IF(VLOOKUP($B95,Table2[[prolific]:[feedbackTime]],21,FALSE)=VLOOKUP(V$1,Table1[],2,FALSE),1,0)</f>
        <v>0</v>
      </c>
      <c r="W95" s="5">
        <f>IF(VLOOKUP($B95,Table2[[prolific]:[feedbackTime]],22,FALSE)=VLOOKUP(W$1,Table1[],2,FALSE),1,0)</f>
        <v>1</v>
      </c>
      <c r="X95" s="5">
        <f t="shared" si="47"/>
        <v>7</v>
      </c>
      <c r="Y95" s="7">
        <f t="shared" si="48"/>
        <v>0.875</v>
      </c>
      <c r="Z95" s="5">
        <f>IF(VLOOKUP($B95,Table2[[prolific]:[feedbackTime]],23,FALSE)=VLOOKUP(Z$1,Table1[],2,FALSE),1,0)</f>
        <v>1</v>
      </c>
      <c r="AA95" s="5">
        <f>IF(VLOOKUP($B95,Table2[[prolific]:[feedbackTime]],24,FALSE)=VLOOKUP(AA$1,Table1[],2,FALSE),1,0)</f>
        <v>0</v>
      </c>
      <c r="AB95" s="5">
        <f>IF(VLOOKUP($B95,Table2[[prolific]:[feedbackTime]],25,FALSE)=VLOOKUP(AB$1,Table1[],2,FALSE),1,0)</f>
        <v>1</v>
      </c>
      <c r="AC95" s="5">
        <f>IF(VLOOKUP($B95,Table2[[prolific]:[feedbackTime]],26,FALSE)=VLOOKUP(AC$1,Table1[],2,FALSE),1,0)</f>
        <v>1</v>
      </c>
      <c r="AD95" s="5">
        <f>IF(VLOOKUP($B95,Table2[[prolific]:[feedbackTime]],27,FALSE)=VLOOKUP(AD$1,Table1[],2,FALSE),1,0)</f>
        <v>0</v>
      </c>
      <c r="AE95" s="5">
        <f>IF(VLOOKUP($B95,Table2[[prolific]:[feedbackTime]],28,FALSE)=VLOOKUP(AE$1,Table1[],2,FALSE),1,0)</f>
        <v>0</v>
      </c>
      <c r="AF95" s="5">
        <f>IF(VLOOKUP($B95,Table2[[prolific]:[feedbackTime]],29,FALSE)=VLOOKUP(AF$1,Table1[],2,FALSE),1,0)</f>
        <v>1</v>
      </c>
      <c r="AG95" s="5">
        <f>IF(VLOOKUP($B95,Table2[[prolific]:[feedbackTime]],30,FALSE)=VLOOKUP(AG$1,Table1[],2,FALSE),1,0)</f>
        <v>1</v>
      </c>
      <c r="AH95" s="5">
        <f t="shared" si="49"/>
        <v>5</v>
      </c>
      <c r="AI95" s="7">
        <f t="shared" si="50"/>
        <v>0.625</v>
      </c>
      <c r="AJ95" s="7">
        <f t="shared" si="51"/>
        <v>0.63636363636363635</v>
      </c>
      <c r="AK95" s="5">
        <f t="shared" si="52"/>
        <v>14</v>
      </c>
    </row>
    <row r="96" spans="1:37" x14ac:dyDescent="0.25">
      <c r="A96">
        <f t="shared" si="42"/>
        <v>1</v>
      </c>
      <c r="B96" s="5" t="s">
        <v>1082</v>
      </c>
      <c r="C96" s="5">
        <f>IF(VLOOKUP($B96,Table2[[prolific]:[feedbackTime]],6,FALSE)=VLOOKUP(C$1,Table1[],2,FALSE),1,0)</f>
        <v>1</v>
      </c>
      <c r="D96" s="5">
        <f>IF(VLOOKUP($B96,Table2[[prolific]:[feedbackTime]],7,FALSE)=VLOOKUP(D$1,Table1[],2,FALSE),1,0)</f>
        <v>1</v>
      </c>
      <c r="E96" s="5">
        <f>IF(VLOOKUP($B96,Table2[[prolific]:[feedbackTime]],8,FALSE)=VLOOKUP(E$1,Table1[],2,FALSE),1,0)</f>
        <v>1</v>
      </c>
      <c r="F96" s="5">
        <f t="shared" si="43"/>
        <v>3</v>
      </c>
      <c r="G96" s="7">
        <f t="shared" si="44"/>
        <v>1</v>
      </c>
      <c r="H96" s="5">
        <f>IF(VLOOKUP($B96,Table2[[prolific]:[feedbackTime]],9,FALSE)=VLOOKUP(H$1,Table1[],2,FALSE),1,0)</f>
        <v>0</v>
      </c>
      <c r="I96" s="5">
        <f>IF(VLOOKUP($B96,Table2[[prolific]:[feedbackTime]],10,FALSE)=VLOOKUP(I$1,Table1[],2,FALSE),1,0)</f>
        <v>1</v>
      </c>
      <c r="J96" s="5">
        <f>IF(VLOOKUP($B96,Table2[[prolific]:[feedbackTime]],11,FALSE)=VLOOKUP(J$1,Table1[],2,FALSE),1,0)</f>
        <v>0</v>
      </c>
      <c r="K96" s="5">
        <f>IF(VLOOKUP($B96,Table2[[prolific]:[feedbackTime]],12,FALSE)=VLOOKUP(K$1,Table1[],2,FALSE),1,0)</f>
        <v>1</v>
      </c>
      <c r="L96" s="5">
        <f>IF(VLOOKUP($B96,Table2[[prolific]:[feedbackTime]],13,FALSE)=VLOOKUP(L$1,Table1[],2,FALSE),1,0)</f>
        <v>0</v>
      </c>
      <c r="M96" s="5">
        <f>IF(VLOOKUP($B96,Table2[[prolific]:[feedbackTime]],14,FALSE)=VLOOKUP(M$1,Table1[],2,FALSE),1,0)</f>
        <v>0</v>
      </c>
      <c r="N96" s="5">
        <f t="shared" si="45"/>
        <v>2</v>
      </c>
      <c r="O96" s="7">
        <f t="shared" si="46"/>
        <v>0.33333333333333331</v>
      </c>
      <c r="P96" s="5">
        <f>IF(VLOOKUP($B96,Table2[[prolific]:[feedbackTime]],15,FALSE)=VLOOKUP(P$1,Table1[],2,FALSE),1,0)</f>
        <v>0</v>
      </c>
      <c r="Q96" s="5">
        <f>IF(VLOOKUP($B96,Table2[[prolific]:[feedbackTime]],16,FALSE)=VLOOKUP(Q$1,Table1[],2,FALSE),1,0)</f>
        <v>1</v>
      </c>
      <c r="R96" s="5">
        <f>IF(VLOOKUP($B96,Table2[[prolific]:[feedbackTime]],17,FALSE)=VLOOKUP(R$1,Table1[],2,FALSE),1,0)</f>
        <v>1</v>
      </c>
      <c r="S96" s="5">
        <f>IF(VLOOKUP($B96,Table2[[prolific]:[feedbackTime]],18,FALSE)=VLOOKUP(S$1,Table1[],2,FALSE),1,0)</f>
        <v>1</v>
      </c>
      <c r="T96" s="5">
        <f>IF(VLOOKUP($B96,Table2[[prolific]:[feedbackTime]],19,FALSE)=VLOOKUP(T$1,Table1[],2,FALSE),1,0)</f>
        <v>1</v>
      </c>
      <c r="U96" s="5">
        <f>IF(VLOOKUP($B96,Table2[[prolific]:[feedbackTime]],20,FALSE)=VLOOKUP(U$1,Table1[],2,FALSE),1,0)</f>
        <v>1</v>
      </c>
      <c r="V96" s="5">
        <f>IF(VLOOKUP($B96,Table2[[prolific]:[feedbackTime]],21,FALSE)=VLOOKUP(V$1,Table1[],2,FALSE),1,0)</f>
        <v>0</v>
      </c>
      <c r="W96" s="5">
        <f>IF(VLOOKUP($B96,Table2[[prolific]:[feedbackTime]],22,FALSE)=VLOOKUP(W$1,Table1[],2,FALSE),1,0)</f>
        <v>1</v>
      </c>
      <c r="X96" s="5">
        <f t="shared" si="47"/>
        <v>6</v>
      </c>
      <c r="Y96" s="7">
        <f t="shared" si="48"/>
        <v>0.75</v>
      </c>
      <c r="Z96" s="5">
        <f>IF(VLOOKUP($B96,Table2[[prolific]:[feedbackTime]],23,FALSE)=VLOOKUP(Z$1,Table1[],2,FALSE),1,0)</f>
        <v>1</v>
      </c>
      <c r="AA96" s="5">
        <f>IF(VLOOKUP($B96,Table2[[prolific]:[feedbackTime]],24,FALSE)=VLOOKUP(AA$1,Table1[],2,FALSE),1,0)</f>
        <v>0</v>
      </c>
      <c r="AB96" s="5">
        <f>IF(VLOOKUP($B96,Table2[[prolific]:[feedbackTime]],25,FALSE)=VLOOKUP(AB$1,Table1[],2,FALSE),1,0)</f>
        <v>1</v>
      </c>
      <c r="AC96" s="5">
        <f>IF(VLOOKUP($B96,Table2[[prolific]:[feedbackTime]],26,FALSE)=VLOOKUP(AC$1,Table1[],2,FALSE),1,0)</f>
        <v>1</v>
      </c>
      <c r="AD96" s="5">
        <f>IF(VLOOKUP($B96,Table2[[prolific]:[feedbackTime]],27,FALSE)=VLOOKUP(AD$1,Table1[],2,FALSE),1,0)</f>
        <v>0</v>
      </c>
      <c r="AE96" s="5">
        <f>IF(VLOOKUP($B96,Table2[[prolific]:[feedbackTime]],28,FALSE)=VLOOKUP(AE$1,Table1[],2,FALSE),1,0)</f>
        <v>1</v>
      </c>
      <c r="AF96" s="5">
        <f>IF(VLOOKUP($B96,Table2[[prolific]:[feedbackTime]],29,FALSE)=VLOOKUP(AF$1,Table1[],2,FALSE),1,0)</f>
        <v>1</v>
      </c>
      <c r="AG96" s="5">
        <f>IF(VLOOKUP($B96,Table2[[prolific]:[feedbackTime]],30,FALSE)=VLOOKUP(AG$1,Table1[],2,FALSE),1,0)</f>
        <v>1</v>
      </c>
      <c r="AH96" s="5">
        <f t="shared" si="49"/>
        <v>6</v>
      </c>
      <c r="AI96" s="7">
        <f t="shared" si="50"/>
        <v>0.75</v>
      </c>
      <c r="AJ96" s="7">
        <f t="shared" si="51"/>
        <v>0.63636363636363635</v>
      </c>
      <c r="AK96" s="5">
        <f t="shared" si="52"/>
        <v>14</v>
      </c>
    </row>
    <row r="97" spans="1:37" x14ac:dyDescent="0.25">
      <c r="A97">
        <f t="shared" si="42"/>
        <v>1</v>
      </c>
      <c r="B97" s="5" t="s">
        <v>1083</v>
      </c>
      <c r="C97" s="5">
        <f>IF(VLOOKUP($B97,Table2[[prolific]:[feedbackTime]],6,FALSE)=VLOOKUP(C$1,Table1[],2,FALSE),1,0)</f>
        <v>1</v>
      </c>
      <c r="D97" s="5">
        <f>IF(VLOOKUP($B97,Table2[[prolific]:[feedbackTime]],7,FALSE)=VLOOKUP(D$1,Table1[],2,FALSE),1,0)</f>
        <v>1</v>
      </c>
      <c r="E97" s="5">
        <f>IF(VLOOKUP($B97,Table2[[prolific]:[feedbackTime]],8,FALSE)=VLOOKUP(E$1,Table1[],2,FALSE),1,0)</f>
        <v>1</v>
      </c>
      <c r="F97" s="5">
        <f t="shared" si="43"/>
        <v>3</v>
      </c>
      <c r="G97" s="7">
        <f t="shared" si="44"/>
        <v>1</v>
      </c>
      <c r="H97" s="5">
        <f>IF(VLOOKUP($B97,Table2[[prolific]:[feedbackTime]],9,FALSE)=VLOOKUP(H$1,Table1[],2,FALSE),1,0)</f>
        <v>1</v>
      </c>
      <c r="I97" s="5">
        <f>IF(VLOOKUP($B97,Table2[[prolific]:[feedbackTime]],10,FALSE)=VLOOKUP(I$1,Table1[],2,FALSE),1,0)</f>
        <v>1</v>
      </c>
      <c r="J97" s="5">
        <f>IF(VLOOKUP($B97,Table2[[prolific]:[feedbackTime]],11,FALSE)=VLOOKUP(J$1,Table1[],2,FALSE),1,0)</f>
        <v>1</v>
      </c>
      <c r="K97" s="5">
        <f>IF(VLOOKUP($B97,Table2[[prolific]:[feedbackTime]],12,FALSE)=VLOOKUP(K$1,Table1[],2,FALSE),1,0)</f>
        <v>1</v>
      </c>
      <c r="L97" s="5">
        <f>IF(VLOOKUP($B97,Table2[[prolific]:[feedbackTime]],13,FALSE)=VLOOKUP(L$1,Table1[],2,FALSE),1,0)</f>
        <v>0</v>
      </c>
      <c r="M97" s="5">
        <f>IF(VLOOKUP($B97,Table2[[prolific]:[feedbackTime]],14,FALSE)=VLOOKUP(M$1,Table1[],2,FALSE),1,0)</f>
        <v>1</v>
      </c>
      <c r="N97" s="5">
        <f t="shared" si="45"/>
        <v>5</v>
      </c>
      <c r="O97" s="7">
        <f t="shared" si="46"/>
        <v>0.83333333333333337</v>
      </c>
      <c r="P97" s="5">
        <f>IF(VLOOKUP($B97,Table2[[prolific]:[feedbackTime]],15,FALSE)=VLOOKUP(P$1,Table1[],2,FALSE),1,0)</f>
        <v>1</v>
      </c>
      <c r="Q97" s="5">
        <f>IF(VLOOKUP($B97,Table2[[prolific]:[feedbackTime]],16,FALSE)=VLOOKUP(Q$1,Table1[],2,FALSE),1,0)</f>
        <v>1</v>
      </c>
      <c r="R97" s="5">
        <f>IF(VLOOKUP($B97,Table2[[prolific]:[feedbackTime]],17,FALSE)=VLOOKUP(R$1,Table1[],2,FALSE),1,0)</f>
        <v>1</v>
      </c>
      <c r="S97" s="5">
        <f>IF(VLOOKUP($B97,Table2[[prolific]:[feedbackTime]],18,FALSE)=VLOOKUP(S$1,Table1[],2,FALSE),1,0)</f>
        <v>1</v>
      </c>
      <c r="T97" s="5">
        <f>IF(VLOOKUP($B97,Table2[[prolific]:[feedbackTime]],19,FALSE)=VLOOKUP(T$1,Table1[],2,FALSE),1,0)</f>
        <v>1</v>
      </c>
      <c r="U97" s="5">
        <f>IF(VLOOKUP($B97,Table2[[prolific]:[feedbackTime]],20,FALSE)=VLOOKUP(U$1,Table1[],2,FALSE),1,0)</f>
        <v>1</v>
      </c>
      <c r="V97" s="5">
        <f>IF(VLOOKUP($B97,Table2[[prolific]:[feedbackTime]],21,FALSE)=VLOOKUP(V$1,Table1[],2,FALSE),1,0)</f>
        <v>0</v>
      </c>
      <c r="W97" s="5">
        <f>IF(VLOOKUP($B97,Table2[[prolific]:[feedbackTime]],22,FALSE)=VLOOKUP(W$1,Table1[],2,FALSE),1,0)</f>
        <v>0</v>
      </c>
      <c r="X97" s="5">
        <f t="shared" si="47"/>
        <v>6</v>
      </c>
      <c r="Y97" s="7">
        <f t="shared" si="48"/>
        <v>0.75</v>
      </c>
      <c r="Z97" s="5">
        <f>IF(VLOOKUP($B97,Table2[[prolific]:[feedbackTime]],23,FALSE)=VLOOKUP(Z$1,Table1[],2,FALSE),1,0)</f>
        <v>1</v>
      </c>
      <c r="AA97" s="5">
        <f>IF(VLOOKUP($B97,Table2[[prolific]:[feedbackTime]],24,FALSE)=VLOOKUP(AA$1,Table1[],2,FALSE),1,0)</f>
        <v>0</v>
      </c>
      <c r="AB97" s="5">
        <f>IF(VLOOKUP($B97,Table2[[prolific]:[feedbackTime]],25,FALSE)=VLOOKUP(AB$1,Table1[],2,FALSE),1,0)</f>
        <v>1</v>
      </c>
      <c r="AC97" s="5">
        <f>IF(VLOOKUP($B97,Table2[[prolific]:[feedbackTime]],26,FALSE)=VLOOKUP(AC$1,Table1[],2,FALSE),1,0)</f>
        <v>1</v>
      </c>
      <c r="AD97" s="5">
        <f>IF(VLOOKUP($B97,Table2[[prolific]:[feedbackTime]],27,FALSE)=VLOOKUP(AD$1,Table1[],2,FALSE),1,0)</f>
        <v>1</v>
      </c>
      <c r="AE97" s="5">
        <f>IF(VLOOKUP($B97,Table2[[prolific]:[feedbackTime]],28,FALSE)=VLOOKUP(AE$1,Table1[],2,FALSE),1,0)</f>
        <v>1</v>
      </c>
      <c r="AF97" s="5">
        <f>IF(VLOOKUP($B97,Table2[[prolific]:[feedbackTime]],29,FALSE)=VLOOKUP(AF$1,Table1[],2,FALSE),1,0)</f>
        <v>1</v>
      </c>
      <c r="AG97" s="5">
        <f>IF(VLOOKUP($B97,Table2[[prolific]:[feedbackTime]],30,FALSE)=VLOOKUP(AG$1,Table1[],2,FALSE),1,0)</f>
        <v>1</v>
      </c>
      <c r="AH97" s="5">
        <f t="shared" si="49"/>
        <v>7</v>
      </c>
      <c r="AI97" s="7">
        <f t="shared" si="50"/>
        <v>0.875</v>
      </c>
      <c r="AJ97" s="7">
        <f t="shared" si="51"/>
        <v>0.81818181818181823</v>
      </c>
      <c r="AK97" s="5">
        <f t="shared" si="52"/>
        <v>18</v>
      </c>
    </row>
    <row r="98" spans="1:37" x14ac:dyDescent="0.25">
      <c r="A98">
        <f t="shared" ref="A98:A129" si="53">COUNTIF(B:B,B98)</f>
        <v>1</v>
      </c>
      <c r="B98" s="5" t="s">
        <v>1233</v>
      </c>
      <c r="C98" s="5" t="e">
        <f>IF(VLOOKUP($B98,Table2[[prolific]:[feedbackTime]],6,FALSE)=VLOOKUP(C$1,Table1[],2,FALSE),1,0)</f>
        <v>#N/A</v>
      </c>
      <c r="D98" s="5" t="e">
        <f>IF(VLOOKUP($B98,Table2[[prolific]:[feedbackTime]],7,FALSE)=VLOOKUP(D$1,Table1[],2,FALSE),1,0)</f>
        <v>#N/A</v>
      </c>
      <c r="E98" s="5" t="e">
        <f>IF(VLOOKUP($B98,Table2[[prolific]:[feedbackTime]],8,FALSE)=VLOOKUP(E$1,Table1[],2,FALSE),1,0)</f>
        <v>#N/A</v>
      </c>
      <c r="F98" s="5" t="e">
        <f t="shared" si="43"/>
        <v>#N/A</v>
      </c>
      <c r="G98" s="7" t="e">
        <f t="shared" si="44"/>
        <v>#N/A</v>
      </c>
      <c r="H98" s="5" t="e">
        <f>IF(VLOOKUP($B98,Table2[[prolific]:[feedbackTime]],9,FALSE)=VLOOKUP(H$1,Table1[],2,FALSE),1,0)</f>
        <v>#N/A</v>
      </c>
      <c r="I98" s="5" t="e">
        <f>IF(VLOOKUP($B98,Table2[[prolific]:[feedbackTime]],10,FALSE)=VLOOKUP(I$1,Table1[],2,FALSE),1,0)</f>
        <v>#N/A</v>
      </c>
      <c r="J98" s="5" t="e">
        <f>IF(VLOOKUP($B98,Table2[[prolific]:[feedbackTime]],11,FALSE)=VLOOKUP(J$1,Table1[],2,FALSE),1,0)</f>
        <v>#N/A</v>
      </c>
      <c r="K98" s="5" t="e">
        <f>IF(VLOOKUP($B98,Table2[[prolific]:[feedbackTime]],12,FALSE)=VLOOKUP(K$1,Table1[],2,FALSE),1,0)</f>
        <v>#N/A</v>
      </c>
      <c r="L98" s="5" t="e">
        <f>IF(VLOOKUP($B98,Table2[[prolific]:[feedbackTime]],13,FALSE)=VLOOKUP(L$1,Table1[],2,FALSE),1,0)</f>
        <v>#N/A</v>
      </c>
      <c r="M98" s="5" t="e">
        <f>IF(VLOOKUP($B98,Table2[[prolific]:[feedbackTime]],14,FALSE)=VLOOKUP(M$1,Table1[],2,FALSE),1,0)</f>
        <v>#N/A</v>
      </c>
      <c r="N98" s="5" t="e">
        <f t="shared" si="45"/>
        <v>#N/A</v>
      </c>
      <c r="O98" s="7" t="e">
        <f t="shared" si="46"/>
        <v>#N/A</v>
      </c>
      <c r="P98" s="5" t="e">
        <f>IF(VLOOKUP($B98,Table2[[prolific]:[feedbackTime]],15,FALSE)=VLOOKUP(P$1,Table1[],2,FALSE),1,0)</f>
        <v>#N/A</v>
      </c>
      <c r="Q98" s="5" t="e">
        <f>IF(VLOOKUP($B98,Table2[[prolific]:[feedbackTime]],16,FALSE)=VLOOKUP(Q$1,Table1[],2,FALSE),1,0)</f>
        <v>#N/A</v>
      </c>
      <c r="R98" s="5" t="e">
        <f>IF(VLOOKUP($B98,Table2[[prolific]:[feedbackTime]],17,FALSE)=VLOOKUP(R$1,Table1[],2,FALSE),1,0)</f>
        <v>#N/A</v>
      </c>
      <c r="S98" s="5" t="e">
        <f>IF(VLOOKUP($B98,Table2[[prolific]:[feedbackTime]],18,FALSE)=VLOOKUP(S$1,Table1[],2,FALSE),1,0)</f>
        <v>#N/A</v>
      </c>
      <c r="T98" s="5" t="e">
        <f>IF(VLOOKUP($B98,Table2[[prolific]:[feedbackTime]],19,FALSE)=VLOOKUP(T$1,Table1[],2,FALSE),1,0)</f>
        <v>#N/A</v>
      </c>
      <c r="U98" s="5" t="e">
        <f>IF(VLOOKUP($B98,Table2[[prolific]:[feedbackTime]],20,FALSE)=VLOOKUP(U$1,Table1[],2,FALSE),1,0)</f>
        <v>#N/A</v>
      </c>
      <c r="V98" s="5" t="e">
        <f>IF(VLOOKUP($B98,Table2[[prolific]:[feedbackTime]],21,FALSE)=VLOOKUP(V$1,Table1[],2,FALSE),1,0)</f>
        <v>#N/A</v>
      </c>
      <c r="W98" s="5" t="e">
        <f>IF(VLOOKUP($B98,Table2[[prolific]:[feedbackTime]],22,FALSE)=VLOOKUP(W$1,Table1[],2,FALSE),1,0)</f>
        <v>#N/A</v>
      </c>
      <c r="X98" s="5" t="e">
        <f t="shared" si="47"/>
        <v>#N/A</v>
      </c>
      <c r="Y98" s="7" t="e">
        <f t="shared" si="48"/>
        <v>#N/A</v>
      </c>
      <c r="Z98" s="5" t="e">
        <f>IF(VLOOKUP($B98,Table2[[prolific]:[feedbackTime]],23,FALSE)=VLOOKUP(Z$1,Table1[],2,FALSE),1,0)</f>
        <v>#N/A</v>
      </c>
      <c r="AA98" s="5" t="e">
        <f>IF(VLOOKUP($B98,Table2[[prolific]:[feedbackTime]],24,FALSE)=VLOOKUP(AA$1,Table1[],2,FALSE),1,0)</f>
        <v>#N/A</v>
      </c>
      <c r="AB98" s="5" t="e">
        <f>IF(VLOOKUP($B98,Table2[[prolific]:[feedbackTime]],25,FALSE)=VLOOKUP(AB$1,Table1[],2,FALSE),1,0)</f>
        <v>#N/A</v>
      </c>
      <c r="AC98" s="5" t="e">
        <f>IF(VLOOKUP($B98,Table2[[prolific]:[feedbackTime]],26,FALSE)=VLOOKUP(AC$1,Table1[],2,FALSE),1,0)</f>
        <v>#N/A</v>
      </c>
      <c r="AD98" s="5" t="e">
        <f>IF(VLOOKUP($B98,Table2[[prolific]:[feedbackTime]],27,FALSE)=VLOOKUP(AD$1,Table1[],2,FALSE),1,0)</f>
        <v>#N/A</v>
      </c>
      <c r="AE98" s="5" t="e">
        <f>IF(VLOOKUP($B98,Table2[[prolific]:[feedbackTime]],28,FALSE)=VLOOKUP(AE$1,Table1[],2,FALSE),1,0)</f>
        <v>#N/A</v>
      </c>
      <c r="AF98" s="5" t="e">
        <f>IF(VLOOKUP($B98,Table2[[prolific]:[feedbackTime]],29,FALSE)=VLOOKUP(AF$1,Table1[],2,FALSE),1,0)</f>
        <v>#N/A</v>
      </c>
      <c r="AG98" s="5" t="e">
        <f>IF(VLOOKUP($B98,Table2[[prolific]:[feedbackTime]],30,FALSE)=VLOOKUP(AG$1,Table1[],2,FALSE),1,0)</f>
        <v>#N/A</v>
      </c>
      <c r="AH98" s="5" t="e">
        <f t="shared" si="49"/>
        <v>#N/A</v>
      </c>
      <c r="AI98" s="7" t="e">
        <f t="shared" si="50"/>
        <v>#N/A</v>
      </c>
      <c r="AJ98" s="7" t="e">
        <f t="shared" si="51"/>
        <v>#N/A</v>
      </c>
      <c r="AK98" s="5" t="e">
        <f t="shared" si="52"/>
        <v>#N/A</v>
      </c>
    </row>
    <row r="99" spans="1:37" x14ac:dyDescent="0.25">
      <c r="A99">
        <f t="shared" si="53"/>
        <v>1</v>
      </c>
      <c r="B99" s="5" t="s">
        <v>1084</v>
      </c>
      <c r="C99" s="5">
        <f>IF(VLOOKUP($B99,Table2[[prolific]:[feedbackTime]],6,FALSE)=VLOOKUP(C$1,Table1[],2,FALSE),1,0)</f>
        <v>1</v>
      </c>
      <c r="D99" s="5">
        <f>IF(VLOOKUP($B99,Table2[[prolific]:[feedbackTime]],7,FALSE)=VLOOKUP(D$1,Table1[],2,FALSE),1,0)</f>
        <v>1</v>
      </c>
      <c r="E99" s="5">
        <f>IF(VLOOKUP($B99,Table2[[prolific]:[feedbackTime]],8,FALSE)=VLOOKUP(E$1,Table1[],2,FALSE),1,0)</f>
        <v>1</v>
      </c>
      <c r="F99" s="5">
        <f t="shared" si="43"/>
        <v>3</v>
      </c>
      <c r="G99" s="7">
        <f t="shared" si="44"/>
        <v>1</v>
      </c>
      <c r="H99" s="5">
        <f>IF(VLOOKUP($B99,Table2[[prolific]:[feedbackTime]],9,FALSE)=VLOOKUP(H$1,Table1[],2,FALSE),1,0)</f>
        <v>1</v>
      </c>
      <c r="I99" s="5">
        <f>IF(VLOOKUP($B99,Table2[[prolific]:[feedbackTime]],10,FALSE)=VLOOKUP(I$1,Table1[],2,FALSE),1,0)</f>
        <v>0</v>
      </c>
      <c r="J99" s="5">
        <f>IF(VLOOKUP($B99,Table2[[prolific]:[feedbackTime]],11,FALSE)=VLOOKUP(J$1,Table1[],2,FALSE),1,0)</f>
        <v>0</v>
      </c>
      <c r="K99" s="5">
        <f>IF(VLOOKUP($B99,Table2[[prolific]:[feedbackTime]],12,FALSE)=VLOOKUP(K$1,Table1[],2,FALSE),1,0)</f>
        <v>1</v>
      </c>
      <c r="L99" s="5">
        <f>IF(VLOOKUP($B99,Table2[[prolific]:[feedbackTime]],13,FALSE)=VLOOKUP(L$1,Table1[],2,FALSE),1,0)</f>
        <v>0</v>
      </c>
      <c r="M99" s="5">
        <f>IF(VLOOKUP($B99,Table2[[prolific]:[feedbackTime]],14,FALSE)=VLOOKUP(M$1,Table1[],2,FALSE),1,0)</f>
        <v>1</v>
      </c>
      <c r="N99" s="5">
        <f t="shared" si="45"/>
        <v>3</v>
      </c>
      <c r="O99" s="7">
        <f t="shared" si="46"/>
        <v>0.5</v>
      </c>
      <c r="P99" s="5">
        <f>IF(VLOOKUP($B99,Table2[[prolific]:[feedbackTime]],15,FALSE)=VLOOKUP(P$1,Table1[],2,FALSE),1,0)</f>
        <v>1</v>
      </c>
      <c r="Q99" s="5">
        <f>IF(VLOOKUP($B99,Table2[[prolific]:[feedbackTime]],16,FALSE)=VLOOKUP(Q$1,Table1[],2,FALSE),1,0)</f>
        <v>1</v>
      </c>
      <c r="R99" s="5">
        <f>IF(VLOOKUP($B99,Table2[[prolific]:[feedbackTime]],17,FALSE)=VLOOKUP(R$1,Table1[],2,FALSE),1,0)</f>
        <v>1</v>
      </c>
      <c r="S99" s="5">
        <f>IF(VLOOKUP($B99,Table2[[prolific]:[feedbackTime]],18,FALSE)=VLOOKUP(S$1,Table1[],2,FALSE),1,0)</f>
        <v>1</v>
      </c>
      <c r="T99" s="5">
        <f>IF(VLOOKUP($B99,Table2[[prolific]:[feedbackTime]],19,FALSE)=VLOOKUP(T$1,Table1[],2,FALSE),1,0)</f>
        <v>1</v>
      </c>
      <c r="U99" s="5">
        <f>IF(VLOOKUP($B99,Table2[[prolific]:[feedbackTime]],20,FALSE)=VLOOKUP(U$1,Table1[],2,FALSE),1,0)</f>
        <v>1</v>
      </c>
      <c r="V99" s="5">
        <f>IF(VLOOKUP($B99,Table2[[prolific]:[feedbackTime]],21,FALSE)=VLOOKUP(V$1,Table1[],2,FALSE),1,0)</f>
        <v>0</v>
      </c>
      <c r="W99" s="5">
        <f>IF(VLOOKUP($B99,Table2[[prolific]:[feedbackTime]],22,FALSE)=VLOOKUP(W$1,Table1[],2,FALSE),1,0)</f>
        <v>1</v>
      </c>
      <c r="X99" s="5">
        <f t="shared" si="47"/>
        <v>7</v>
      </c>
      <c r="Y99" s="7">
        <f t="shared" si="48"/>
        <v>0.875</v>
      </c>
      <c r="Z99" s="5">
        <f>IF(VLOOKUP($B99,Table2[[prolific]:[feedbackTime]],23,FALSE)=VLOOKUP(Z$1,Table1[],2,FALSE),1,0)</f>
        <v>1</v>
      </c>
      <c r="AA99" s="5">
        <f>IF(VLOOKUP($B99,Table2[[prolific]:[feedbackTime]],24,FALSE)=VLOOKUP(AA$1,Table1[],2,FALSE),1,0)</f>
        <v>0</v>
      </c>
      <c r="AB99" s="5">
        <f>IF(VLOOKUP($B99,Table2[[prolific]:[feedbackTime]],25,FALSE)=VLOOKUP(AB$1,Table1[],2,FALSE),1,0)</f>
        <v>0</v>
      </c>
      <c r="AC99" s="5">
        <f>IF(VLOOKUP($B99,Table2[[prolific]:[feedbackTime]],26,FALSE)=VLOOKUP(AC$1,Table1[],2,FALSE),1,0)</f>
        <v>1</v>
      </c>
      <c r="AD99" s="5">
        <f>IF(VLOOKUP($B99,Table2[[prolific]:[feedbackTime]],27,FALSE)=VLOOKUP(AD$1,Table1[],2,FALSE),1,0)</f>
        <v>0</v>
      </c>
      <c r="AE99" s="5">
        <f>IF(VLOOKUP($B99,Table2[[prolific]:[feedbackTime]],28,FALSE)=VLOOKUP(AE$1,Table1[],2,FALSE),1,0)</f>
        <v>0</v>
      </c>
      <c r="AF99" s="5">
        <f>IF(VLOOKUP($B99,Table2[[prolific]:[feedbackTime]],29,FALSE)=VLOOKUP(AF$1,Table1[],2,FALSE),1,0)</f>
        <v>1</v>
      </c>
      <c r="AG99" s="5">
        <f>IF(VLOOKUP($B99,Table2[[prolific]:[feedbackTime]],30,FALSE)=VLOOKUP(AG$1,Table1[],2,FALSE),1,0)</f>
        <v>1</v>
      </c>
      <c r="AH99" s="5">
        <f t="shared" si="49"/>
        <v>4</v>
      </c>
      <c r="AI99" s="7">
        <f t="shared" si="50"/>
        <v>0.5</v>
      </c>
      <c r="AJ99" s="7">
        <f t="shared" si="51"/>
        <v>0.63636363636363635</v>
      </c>
      <c r="AK99" s="5">
        <f t="shared" si="52"/>
        <v>14</v>
      </c>
    </row>
    <row r="100" spans="1:37" x14ac:dyDescent="0.25">
      <c r="A100">
        <f t="shared" si="53"/>
        <v>1</v>
      </c>
      <c r="B100" s="5" t="s">
        <v>1085</v>
      </c>
      <c r="C100" s="5">
        <f>IF(VLOOKUP($B100,Table2[[prolific]:[feedbackTime]],6,FALSE)=VLOOKUP(C$1,Table1[],2,FALSE),1,0)</f>
        <v>1</v>
      </c>
      <c r="D100" s="5">
        <f>IF(VLOOKUP($B100,Table2[[prolific]:[feedbackTime]],7,FALSE)=VLOOKUP(D$1,Table1[],2,FALSE),1,0)</f>
        <v>1</v>
      </c>
      <c r="E100" s="5">
        <f>IF(VLOOKUP($B100,Table2[[prolific]:[feedbackTime]],8,FALSE)=VLOOKUP(E$1,Table1[],2,FALSE),1,0)</f>
        <v>1</v>
      </c>
      <c r="F100" s="5">
        <f t="shared" si="43"/>
        <v>3</v>
      </c>
      <c r="G100" s="7">
        <f t="shared" si="44"/>
        <v>1</v>
      </c>
      <c r="H100" s="5">
        <f>IF(VLOOKUP($B100,Table2[[prolific]:[feedbackTime]],9,FALSE)=VLOOKUP(H$1,Table1[],2,FALSE),1,0)</f>
        <v>1</v>
      </c>
      <c r="I100" s="5">
        <f>IF(VLOOKUP($B100,Table2[[prolific]:[feedbackTime]],10,FALSE)=VLOOKUP(I$1,Table1[],2,FALSE),1,0)</f>
        <v>1</v>
      </c>
      <c r="J100" s="5">
        <f>IF(VLOOKUP($B100,Table2[[prolific]:[feedbackTime]],11,FALSE)=VLOOKUP(J$1,Table1[],2,FALSE),1,0)</f>
        <v>1</v>
      </c>
      <c r="K100" s="5">
        <f>IF(VLOOKUP($B100,Table2[[prolific]:[feedbackTime]],12,FALSE)=VLOOKUP(K$1,Table1[],2,FALSE),1,0)</f>
        <v>1</v>
      </c>
      <c r="L100" s="5">
        <f>IF(VLOOKUP($B100,Table2[[prolific]:[feedbackTime]],13,FALSE)=VLOOKUP(L$1,Table1[],2,FALSE),1,0)</f>
        <v>0</v>
      </c>
      <c r="M100" s="5">
        <f>IF(VLOOKUP($B100,Table2[[prolific]:[feedbackTime]],14,FALSE)=VLOOKUP(M$1,Table1[],2,FALSE),1,0)</f>
        <v>1</v>
      </c>
      <c r="N100" s="5">
        <f t="shared" si="45"/>
        <v>5</v>
      </c>
      <c r="O100" s="7">
        <f t="shared" si="46"/>
        <v>0.83333333333333337</v>
      </c>
      <c r="P100" s="5">
        <f>IF(VLOOKUP($B100,Table2[[prolific]:[feedbackTime]],15,FALSE)=VLOOKUP(P$1,Table1[],2,FALSE),1,0)</f>
        <v>1</v>
      </c>
      <c r="Q100" s="5">
        <f>IF(VLOOKUP($B100,Table2[[prolific]:[feedbackTime]],16,FALSE)=VLOOKUP(Q$1,Table1[],2,FALSE),1,0)</f>
        <v>1</v>
      </c>
      <c r="R100" s="5">
        <f>IF(VLOOKUP($B100,Table2[[prolific]:[feedbackTime]],17,FALSE)=VLOOKUP(R$1,Table1[],2,FALSE),1,0)</f>
        <v>1</v>
      </c>
      <c r="S100" s="5">
        <f>IF(VLOOKUP($B100,Table2[[prolific]:[feedbackTime]],18,FALSE)=VLOOKUP(S$1,Table1[],2,FALSE),1,0)</f>
        <v>0</v>
      </c>
      <c r="T100" s="5">
        <f>IF(VLOOKUP($B100,Table2[[prolific]:[feedbackTime]],19,FALSE)=VLOOKUP(T$1,Table1[],2,FALSE),1,0)</f>
        <v>1</v>
      </c>
      <c r="U100" s="5">
        <f>IF(VLOOKUP($B100,Table2[[prolific]:[feedbackTime]],20,FALSE)=VLOOKUP(U$1,Table1[],2,FALSE),1,0)</f>
        <v>1</v>
      </c>
      <c r="V100" s="5">
        <f>IF(VLOOKUP($B100,Table2[[prolific]:[feedbackTime]],21,FALSE)=VLOOKUP(V$1,Table1[],2,FALSE),1,0)</f>
        <v>0</v>
      </c>
      <c r="W100" s="5">
        <f>IF(VLOOKUP($B100,Table2[[prolific]:[feedbackTime]],22,FALSE)=VLOOKUP(W$1,Table1[],2,FALSE),1,0)</f>
        <v>1</v>
      </c>
      <c r="X100" s="5">
        <f t="shared" si="47"/>
        <v>6</v>
      </c>
      <c r="Y100" s="7">
        <f t="shared" si="48"/>
        <v>0.75</v>
      </c>
      <c r="Z100" s="5">
        <f>IF(VLOOKUP($B100,Table2[[prolific]:[feedbackTime]],23,FALSE)=VLOOKUP(Z$1,Table1[],2,FALSE),1,0)</f>
        <v>1</v>
      </c>
      <c r="AA100" s="5">
        <f>IF(VLOOKUP($B100,Table2[[prolific]:[feedbackTime]],24,FALSE)=VLOOKUP(AA$1,Table1[],2,FALSE),1,0)</f>
        <v>0</v>
      </c>
      <c r="AB100" s="5">
        <f>IF(VLOOKUP($B100,Table2[[prolific]:[feedbackTime]],25,FALSE)=VLOOKUP(AB$1,Table1[],2,FALSE),1,0)</f>
        <v>0</v>
      </c>
      <c r="AC100" s="5">
        <f>IF(VLOOKUP($B100,Table2[[prolific]:[feedbackTime]],26,FALSE)=VLOOKUP(AC$1,Table1[],2,FALSE),1,0)</f>
        <v>1</v>
      </c>
      <c r="AD100" s="5">
        <f>IF(VLOOKUP($B100,Table2[[prolific]:[feedbackTime]],27,FALSE)=VLOOKUP(AD$1,Table1[],2,FALSE),1,0)</f>
        <v>0</v>
      </c>
      <c r="AE100" s="5">
        <f>IF(VLOOKUP($B100,Table2[[prolific]:[feedbackTime]],28,FALSE)=VLOOKUP(AE$1,Table1[],2,FALSE),1,0)</f>
        <v>1</v>
      </c>
      <c r="AF100" s="5">
        <f>IF(VLOOKUP($B100,Table2[[prolific]:[feedbackTime]],29,FALSE)=VLOOKUP(AF$1,Table1[],2,FALSE),1,0)</f>
        <v>1</v>
      </c>
      <c r="AG100" s="5">
        <f>IF(VLOOKUP($B100,Table2[[prolific]:[feedbackTime]],30,FALSE)=VLOOKUP(AG$1,Table1[],2,FALSE),1,0)</f>
        <v>1</v>
      </c>
      <c r="AH100" s="5">
        <f t="shared" si="49"/>
        <v>5</v>
      </c>
      <c r="AI100" s="7">
        <f t="shared" si="50"/>
        <v>0.625</v>
      </c>
      <c r="AJ100" s="7">
        <f t="shared" si="51"/>
        <v>0.72727272727272729</v>
      </c>
      <c r="AK100" s="5">
        <f t="shared" si="52"/>
        <v>16</v>
      </c>
    </row>
    <row r="101" spans="1:37" x14ac:dyDescent="0.25">
      <c r="A101">
        <f t="shared" si="53"/>
        <v>1</v>
      </c>
      <c r="B101" s="5" t="s">
        <v>1086</v>
      </c>
      <c r="C101" s="5">
        <f>IF(VLOOKUP($B101,Table2[[prolific]:[feedbackTime]],6,FALSE)=VLOOKUP(C$1,Table1[],2,FALSE),1,0)</f>
        <v>1</v>
      </c>
      <c r="D101" s="5">
        <f>IF(VLOOKUP($B101,Table2[[prolific]:[feedbackTime]],7,FALSE)=VLOOKUP(D$1,Table1[],2,FALSE),1,0)</f>
        <v>1</v>
      </c>
      <c r="E101" s="5">
        <f>IF(VLOOKUP($B101,Table2[[prolific]:[feedbackTime]],8,FALSE)=VLOOKUP(E$1,Table1[],2,FALSE),1,0)</f>
        <v>1</v>
      </c>
      <c r="F101" s="5">
        <f t="shared" si="43"/>
        <v>3</v>
      </c>
      <c r="G101" s="7">
        <f t="shared" si="44"/>
        <v>1</v>
      </c>
      <c r="H101" s="5">
        <f>IF(VLOOKUP($B101,Table2[[prolific]:[feedbackTime]],9,FALSE)=VLOOKUP(H$1,Table1[],2,FALSE),1,0)</f>
        <v>1</v>
      </c>
      <c r="I101" s="5">
        <f>IF(VLOOKUP($B101,Table2[[prolific]:[feedbackTime]],10,FALSE)=VLOOKUP(I$1,Table1[],2,FALSE),1,0)</f>
        <v>1</v>
      </c>
      <c r="J101" s="5">
        <f>IF(VLOOKUP($B101,Table2[[prolific]:[feedbackTime]],11,FALSE)=VLOOKUP(J$1,Table1[],2,FALSE),1,0)</f>
        <v>0</v>
      </c>
      <c r="K101" s="5">
        <f>IF(VLOOKUP($B101,Table2[[prolific]:[feedbackTime]],12,FALSE)=VLOOKUP(K$1,Table1[],2,FALSE),1,0)</f>
        <v>1</v>
      </c>
      <c r="L101" s="5">
        <f>IF(VLOOKUP($B101,Table2[[prolific]:[feedbackTime]],13,FALSE)=VLOOKUP(L$1,Table1[],2,FALSE),1,0)</f>
        <v>0</v>
      </c>
      <c r="M101" s="5">
        <f>IF(VLOOKUP($B101,Table2[[prolific]:[feedbackTime]],14,FALSE)=VLOOKUP(M$1,Table1[],2,FALSE),1,0)</f>
        <v>1</v>
      </c>
      <c r="N101" s="5">
        <f t="shared" si="45"/>
        <v>4</v>
      </c>
      <c r="O101" s="7">
        <f t="shared" si="46"/>
        <v>0.66666666666666663</v>
      </c>
      <c r="P101" s="5">
        <f>IF(VLOOKUP($B101,Table2[[prolific]:[feedbackTime]],15,FALSE)=VLOOKUP(P$1,Table1[],2,FALSE),1,0)</f>
        <v>1</v>
      </c>
      <c r="Q101" s="5">
        <f>IF(VLOOKUP($B101,Table2[[prolific]:[feedbackTime]],16,FALSE)=VLOOKUP(Q$1,Table1[],2,FALSE),1,0)</f>
        <v>1</v>
      </c>
      <c r="R101" s="5">
        <f>IF(VLOOKUP($B101,Table2[[prolific]:[feedbackTime]],17,FALSE)=VLOOKUP(R$1,Table1[],2,FALSE),1,0)</f>
        <v>1</v>
      </c>
      <c r="S101" s="5">
        <f>IF(VLOOKUP($B101,Table2[[prolific]:[feedbackTime]],18,FALSE)=VLOOKUP(S$1,Table1[],2,FALSE),1,0)</f>
        <v>1</v>
      </c>
      <c r="T101" s="5">
        <f>IF(VLOOKUP($B101,Table2[[prolific]:[feedbackTime]],19,FALSE)=VLOOKUP(T$1,Table1[],2,FALSE),1,0)</f>
        <v>1</v>
      </c>
      <c r="U101" s="5">
        <f>IF(VLOOKUP($B101,Table2[[prolific]:[feedbackTime]],20,FALSE)=VLOOKUP(U$1,Table1[],2,FALSE),1,0)</f>
        <v>1</v>
      </c>
      <c r="V101" s="5">
        <f>IF(VLOOKUP($B101,Table2[[prolific]:[feedbackTime]],21,FALSE)=VLOOKUP(V$1,Table1[],2,FALSE),1,0)</f>
        <v>0</v>
      </c>
      <c r="W101" s="5">
        <f>IF(VLOOKUP($B101,Table2[[prolific]:[feedbackTime]],22,FALSE)=VLOOKUP(W$1,Table1[],2,FALSE),1,0)</f>
        <v>1</v>
      </c>
      <c r="X101" s="5">
        <f t="shared" si="47"/>
        <v>7</v>
      </c>
      <c r="Y101" s="7">
        <f t="shared" si="48"/>
        <v>0.875</v>
      </c>
      <c r="Z101" s="5">
        <f>IF(VLOOKUP($B101,Table2[[prolific]:[feedbackTime]],23,FALSE)=VLOOKUP(Z$1,Table1[],2,FALSE),1,0)</f>
        <v>1</v>
      </c>
      <c r="AA101" s="5">
        <f>IF(VLOOKUP($B101,Table2[[prolific]:[feedbackTime]],24,FALSE)=VLOOKUP(AA$1,Table1[],2,FALSE),1,0)</f>
        <v>0</v>
      </c>
      <c r="AB101" s="5">
        <f>IF(VLOOKUP($B101,Table2[[prolific]:[feedbackTime]],25,FALSE)=VLOOKUP(AB$1,Table1[],2,FALSE),1,0)</f>
        <v>1</v>
      </c>
      <c r="AC101" s="5">
        <f>IF(VLOOKUP($B101,Table2[[prolific]:[feedbackTime]],26,FALSE)=VLOOKUP(AC$1,Table1[],2,FALSE),1,0)</f>
        <v>1</v>
      </c>
      <c r="AD101" s="5">
        <f>IF(VLOOKUP($B101,Table2[[prolific]:[feedbackTime]],27,FALSE)=VLOOKUP(AD$1,Table1[],2,FALSE),1,0)</f>
        <v>0</v>
      </c>
      <c r="AE101" s="5">
        <f>IF(VLOOKUP($B101,Table2[[prolific]:[feedbackTime]],28,FALSE)=VLOOKUP(AE$1,Table1[],2,FALSE),1,0)</f>
        <v>1</v>
      </c>
      <c r="AF101" s="5">
        <f>IF(VLOOKUP($B101,Table2[[prolific]:[feedbackTime]],29,FALSE)=VLOOKUP(AF$1,Table1[],2,FALSE),1,0)</f>
        <v>1</v>
      </c>
      <c r="AG101" s="5">
        <f>IF(VLOOKUP($B101,Table2[[prolific]:[feedbackTime]],30,FALSE)=VLOOKUP(AG$1,Table1[],2,FALSE),1,0)</f>
        <v>1</v>
      </c>
      <c r="AH101" s="5">
        <f t="shared" si="49"/>
        <v>6</v>
      </c>
      <c r="AI101" s="7">
        <f t="shared" si="50"/>
        <v>0.75</v>
      </c>
      <c r="AJ101" s="7">
        <f t="shared" si="51"/>
        <v>0.77272727272727271</v>
      </c>
      <c r="AK101" s="5">
        <f t="shared" si="52"/>
        <v>17</v>
      </c>
    </row>
    <row r="102" spans="1:37" x14ac:dyDescent="0.25">
      <c r="A102">
        <f t="shared" si="53"/>
        <v>1</v>
      </c>
      <c r="B102" s="5" t="s">
        <v>1234</v>
      </c>
      <c r="C102" s="5" t="e">
        <f>IF(VLOOKUP($B102,Table2[[prolific]:[feedbackTime]],6,FALSE)=VLOOKUP(C$1,Table1[],2,FALSE),1,0)</f>
        <v>#N/A</v>
      </c>
      <c r="D102" s="5" t="e">
        <f>IF(VLOOKUP($B102,Table2[[prolific]:[feedbackTime]],7,FALSE)=VLOOKUP(D$1,Table1[],2,FALSE),1,0)</f>
        <v>#N/A</v>
      </c>
      <c r="E102" s="5" t="e">
        <f>IF(VLOOKUP($B102,Table2[[prolific]:[feedbackTime]],8,FALSE)=VLOOKUP(E$1,Table1[],2,FALSE),1,0)</f>
        <v>#N/A</v>
      </c>
      <c r="F102" s="5" t="e">
        <f t="shared" si="43"/>
        <v>#N/A</v>
      </c>
      <c r="G102" s="7" t="e">
        <f t="shared" si="44"/>
        <v>#N/A</v>
      </c>
      <c r="H102" s="5" t="e">
        <f>IF(VLOOKUP($B102,Table2[[prolific]:[feedbackTime]],9,FALSE)=VLOOKUP(H$1,Table1[],2,FALSE),1,0)</f>
        <v>#N/A</v>
      </c>
      <c r="I102" s="5" t="e">
        <f>IF(VLOOKUP($B102,Table2[[prolific]:[feedbackTime]],10,FALSE)=VLOOKUP(I$1,Table1[],2,FALSE),1,0)</f>
        <v>#N/A</v>
      </c>
      <c r="J102" s="5" t="e">
        <f>IF(VLOOKUP($B102,Table2[[prolific]:[feedbackTime]],11,FALSE)=VLOOKUP(J$1,Table1[],2,FALSE),1,0)</f>
        <v>#N/A</v>
      </c>
      <c r="K102" s="5" t="e">
        <f>IF(VLOOKUP($B102,Table2[[prolific]:[feedbackTime]],12,FALSE)=VLOOKUP(K$1,Table1[],2,FALSE),1,0)</f>
        <v>#N/A</v>
      </c>
      <c r="L102" s="5" t="e">
        <f>IF(VLOOKUP($B102,Table2[[prolific]:[feedbackTime]],13,FALSE)=VLOOKUP(L$1,Table1[],2,FALSE),1,0)</f>
        <v>#N/A</v>
      </c>
      <c r="M102" s="5" t="e">
        <f>IF(VLOOKUP($B102,Table2[[prolific]:[feedbackTime]],14,FALSE)=VLOOKUP(M$1,Table1[],2,FALSE),1,0)</f>
        <v>#N/A</v>
      </c>
      <c r="N102" s="5" t="e">
        <f t="shared" si="45"/>
        <v>#N/A</v>
      </c>
      <c r="O102" s="7" t="e">
        <f t="shared" si="46"/>
        <v>#N/A</v>
      </c>
      <c r="P102" s="5" t="e">
        <f>IF(VLOOKUP($B102,Table2[[prolific]:[feedbackTime]],15,FALSE)=VLOOKUP(P$1,Table1[],2,FALSE),1,0)</f>
        <v>#N/A</v>
      </c>
      <c r="Q102" s="5" t="e">
        <f>IF(VLOOKUP($B102,Table2[[prolific]:[feedbackTime]],16,FALSE)=VLOOKUP(Q$1,Table1[],2,FALSE),1,0)</f>
        <v>#N/A</v>
      </c>
      <c r="R102" s="5" t="e">
        <f>IF(VLOOKUP($B102,Table2[[prolific]:[feedbackTime]],17,FALSE)=VLOOKUP(R$1,Table1[],2,FALSE),1,0)</f>
        <v>#N/A</v>
      </c>
      <c r="S102" s="5" t="e">
        <f>IF(VLOOKUP($B102,Table2[[prolific]:[feedbackTime]],18,FALSE)=VLOOKUP(S$1,Table1[],2,FALSE),1,0)</f>
        <v>#N/A</v>
      </c>
      <c r="T102" s="5" t="e">
        <f>IF(VLOOKUP($B102,Table2[[prolific]:[feedbackTime]],19,FALSE)=VLOOKUP(T$1,Table1[],2,FALSE),1,0)</f>
        <v>#N/A</v>
      </c>
      <c r="U102" s="5" t="e">
        <f>IF(VLOOKUP($B102,Table2[[prolific]:[feedbackTime]],20,FALSE)=VLOOKUP(U$1,Table1[],2,FALSE),1,0)</f>
        <v>#N/A</v>
      </c>
      <c r="V102" s="5" t="e">
        <f>IF(VLOOKUP($B102,Table2[[prolific]:[feedbackTime]],21,FALSE)=VLOOKUP(V$1,Table1[],2,FALSE),1,0)</f>
        <v>#N/A</v>
      </c>
      <c r="W102" s="5" t="e">
        <f>IF(VLOOKUP($B102,Table2[[prolific]:[feedbackTime]],22,FALSE)=VLOOKUP(W$1,Table1[],2,FALSE),1,0)</f>
        <v>#N/A</v>
      </c>
      <c r="X102" s="5" t="e">
        <f t="shared" si="47"/>
        <v>#N/A</v>
      </c>
      <c r="Y102" s="7" t="e">
        <f t="shared" si="48"/>
        <v>#N/A</v>
      </c>
      <c r="Z102" s="5" t="e">
        <f>IF(VLOOKUP($B102,Table2[[prolific]:[feedbackTime]],23,FALSE)=VLOOKUP(Z$1,Table1[],2,FALSE),1,0)</f>
        <v>#N/A</v>
      </c>
      <c r="AA102" s="5" t="e">
        <f>IF(VLOOKUP($B102,Table2[[prolific]:[feedbackTime]],24,FALSE)=VLOOKUP(AA$1,Table1[],2,FALSE),1,0)</f>
        <v>#N/A</v>
      </c>
      <c r="AB102" s="5" t="e">
        <f>IF(VLOOKUP($B102,Table2[[prolific]:[feedbackTime]],25,FALSE)=VLOOKUP(AB$1,Table1[],2,FALSE),1,0)</f>
        <v>#N/A</v>
      </c>
      <c r="AC102" s="5" t="e">
        <f>IF(VLOOKUP($B102,Table2[[prolific]:[feedbackTime]],26,FALSE)=VLOOKUP(AC$1,Table1[],2,FALSE),1,0)</f>
        <v>#N/A</v>
      </c>
      <c r="AD102" s="5" t="e">
        <f>IF(VLOOKUP($B102,Table2[[prolific]:[feedbackTime]],27,FALSE)=VLOOKUP(AD$1,Table1[],2,FALSE),1,0)</f>
        <v>#N/A</v>
      </c>
      <c r="AE102" s="5" t="e">
        <f>IF(VLOOKUP($B102,Table2[[prolific]:[feedbackTime]],28,FALSE)=VLOOKUP(AE$1,Table1[],2,FALSE),1,0)</f>
        <v>#N/A</v>
      </c>
      <c r="AF102" s="5" t="e">
        <f>IF(VLOOKUP($B102,Table2[[prolific]:[feedbackTime]],29,FALSE)=VLOOKUP(AF$1,Table1[],2,FALSE),1,0)</f>
        <v>#N/A</v>
      </c>
      <c r="AG102" s="5" t="e">
        <f>IF(VLOOKUP($B102,Table2[[prolific]:[feedbackTime]],30,FALSE)=VLOOKUP(AG$1,Table1[],2,FALSE),1,0)</f>
        <v>#N/A</v>
      </c>
      <c r="AH102" s="5" t="e">
        <f t="shared" si="49"/>
        <v>#N/A</v>
      </c>
      <c r="AI102" s="7" t="e">
        <f t="shared" si="50"/>
        <v>#N/A</v>
      </c>
      <c r="AJ102" s="7" t="e">
        <f t="shared" si="51"/>
        <v>#N/A</v>
      </c>
      <c r="AK102" s="5" t="e">
        <f t="shared" si="52"/>
        <v>#N/A</v>
      </c>
    </row>
    <row r="103" spans="1:37" x14ac:dyDescent="0.25">
      <c r="A103">
        <f t="shared" si="53"/>
        <v>1</v>
      </c>
      <c r="B103" s="5" t="s">
        <v>1087</v>
      </c>
      <c r="C103" s="5">
        <f>IF(VLOOKUP($B103,Table2[[prolific]:[feedbackTime]],6,FALSE)=VLOOKUP(C$1,Table1[],2,FALSE),1,0)</f>
        <v>1</v>
      </c>
      <c r="D103" s="5">
        <f>IF(VLOOKUP($B103,Table2[[prolific]:[feedbackTime]],7,FALSE)=VLOOKUP(D$1,Table1[],2,FALSE),1,0)</f>
        <v>1</v>
      </c>
      <c r="E103" s="5">
        <f>IF(VLOOKUP($B103,Table2[[prolific]:[feedbackTime]],8,FALSE)=VLOOKUP(E$1,Table1[],2,FALSE),1,0)</f>
        <v>1</v>
      </c>
      <c r="F103" s="5">
        <f t="shared" si="43"/>
        <v>3</v>
      </c>
      <c r="G103" s="7">
        <f t="shared" si="44"/>
        <v>1</v>
      </c>
      <c r="H103" s="5">
        <f>IF(VLOOKUP($B103,Table2[[prolific]:[feedbackTime]],9,FALSE)=VLOOKUP(H$1,Table1[],2,FALSE),1,0)</f>
        <v>0</v>
      </c>
      <c r="I103" s="5">
        <f>IF(VLOOKUP($B103,Table2[[prolific]:[feedbackTime]],10,FALSE)=VLOOKUP(I$1,Table1[],2,FALSE),1,0)</f>
        <v>0</v>
      </c>
      <c r="J103" s="5">
        <f>IF(VLOOKUP($B103,Table2[[prolific]:[feedbackTime]],11,FALSE)=VLOOKUP(J$1,Table1[],2,FALSE),1,0)</f>
        <v>1</v>
      </c>
      <c r="K103" s="5">
        <f>IF(VLOOKUP($B103,Table2[[prolific]:[feedbackTime]],12,FALSE)=VLOOKUP(K$1,Table1[],2,FALSE),1,0)</f>
        <v>1</v>
      </c>
      <c r="L103" s="5">
        <f>IF(VLOOKUP($B103,Table2[[prolific]:[feedbackTime]],13,FALSE)=VLOOKUP(L$1,Table1[],2,FALSE),1,0)</f>
        <v>0</v>
      </c>
      <c r="M103" s="5">
        <f>IF(VLOOKUP($B103,Table2[[prolific]:[feedbackTime]],14,FALSE)=VLOOKUP(M$1,Table1[],2,FALSE),1,0)</f>
        <v>0</v>
      </c>
      <c r="N103" s="5">
        <f t="shared" si="45"/>
        <v>2</v>
      </c>
      <c r="O103" s="7">
        <f t="shared" si="46"/>
        <v>0.33333333333333331</v>
      </c>
      <c r="P103" s="5">
        <f>IF(VLOOKUP($B103,Table2[[prolific]:[feedbackTime]],15,FALSE)=VLOOKUP(P$1,Table1[],2,FALSE),1,0)</f>
        <v>1</v>
      </c>
      <c r="Q103" s="5">
        <f>IF(VLOOKUP($B103,Table2[[prolific]:[feedbackTime]],16,FALSE)=VLOOKUP(Q$1,Table1[],2,FALSE),1,0)</f>
        <v>1</v>
      </c>
      <c r="R103" s="5">
        <f>IF(VLOOKUP($B103,Table2[[prolific]:[feedbackTime]],17,FALSE)=VLOOKUP(R$1,Table1[],2,FALSE),1,0)</f>
        <v>0</v>
      </c>
      <c r="S103" s="5">
        <f>IF(VLOOKUP($B103,Table2[[prolific]:[feedbackTime]],18,FALSE)=VLOOKUP(S$1,Table1[],2,FALSE),1,0)</f>
        <v>1</v>
      </c>
      <c r="T103" s="5">
        <f>IF(VLOOKUP($B103,Table2[[prolific]:[feedbackTime]],19,FALSE)=VLOOKUP(T$1,Table1[],2,FALSE),1,0)</f>
        <v>0</v>
      </c>
      <c r="U103" s="5">
        <f>IF(VLOOKUP($B103,Table2[[prolific]:[feedbackTime]],20,FALSE)=VLOOKUP(U$1,Table1[],2,FALSE),1,0)</f>
        <v>0</v>
      </c>
      <c r="V103" s="5">
        <f>IF(VLOOKUP($B103,Table2[[prolific]:[feedbackTime]],21,FALSE)=VLOOKUP(V$1,Table1[],2,FALSE),1,0)</f>
        <v>0</v>
      </c>
      <c r="W103" s="5">
        <f>IF(VLOOKUP($B103,Table2[[prolific]:[feedbackTime]],22,FALSE)=VLOOKUP(W$1,Table1[],2,FALSE),1,0)</f>
        <v>1</v>
      </c>
      <c r="X103" s="5">
        <f t="shared" si="47"/>
        <v>4</v>
      </c>
      <c r="Y103" s="7">
        <f t="shared" si="48"/>
        <v>0.5</v>
      </c>
      <c r="Z103" s="5">
        <f>IF(VLOOKUP($B103,Table2[[prolific]:[feedbackTime]],23,FALSE)=VLOOKUP(Z$1,Table1[],2,FALSE),1,0)</f>
        <v>1</v>
      </c>
      <c r="AA103" s="5">
        <f>IF(VLOOKUP($B103,Table2[[prolific]:[feedbackTime]],24,FALSE)=VLOOKUP(AA$1,Table1[],2,FALSE),1,0)</f>
        <v>0</v>
      </c>
      <c r="AB103" s="5">
        <f>IF(VLOOKUP($B103,Table2[[prolific]:[feedbackTime]],25,FALSE)=VLOOKUP(AB$1,Table1[],2,FALSE),1,0)</f>
        <v>1</v>
      </c>
      <c r="AC103" s="5">
        <f>IF(VLOOKUP($B103,Table2[[prolific]:[feedbackTime]],26,FALSE)=VLOOKUP(AC$1,Table1[],2,FALSE),1,0)</f>
        <v>1</v>
      </c>
      <c r="AD103" s="5">
        <f>IF(VLOOKUP($B103,Table2[[prolific]:[feedbackTime]],27,FALSE)=VLOOKUP(AD$1,Table1[],2,FALSE),1,0)</f>
        <v>1</v>
      </c>
      <c r="AE103" s="5">
        <f>IF(VLOOKUP($B103,Table2[[prolific]:[feedbackTime]],28,FALSE)=VLOOKUP(AE$1,Table1[],2,FALSE),1,0)</f>
        <v>0</v>
      </c>
      <c r="AF103" s="5">
        <f>IF(VLOOKUP($B103,Table2[[prolific]:[feedbackTime]],29,FALSE)=VLOOKUP(AF$1,Table1[],2,FALSE),1,0)</f>
        <v>1</v>
      </c>
      <c r="AG103" s="5">
        <f>IF(VLOOKUP($B103,Table2[[prolific]:[feedbackTime]],30,FALSE)=VLOOKUP(AG$1,Table1[],2,FALSE),1,0)</f>
        <v>1</v>
      </c>
      <c r="AH103" s="5">
        <f t="shared" si="49"/>
        <v>6</v>
      </c>
      <c r="AI103" s="7">
        <f t="shared" si="50"/>
        <v>0.75</v>
      </c>
      <c r="AJ103" s="7">
        <f t="shared" si="51"/>
        <v>0.54545454545454541</v>
      </c>
      <c r="AK103" s="5">
        <f t="shared" si="52"/>
        <v>12</v>
      </c>
    </row>
    <row r="104" spans="1:37" x14ac:dyDescent="0.25">
      <c r="A104">
        <f t="shared" si="53"/>
        <v>1</v>
      </c>
      <c r="B104" s="5" t="s">
        <v>1088</v>
      </c>
      <c r="C104" s="5">
        <f>IF(VLOOKUP($B104,Table2[[prolific]:[feedbackTime]],6,FALSE)=VLOOKUP(C$1,Table1[],2,FALSE),1,0)</f>
        <v>1</v>
      </c>
      <c r="D104" s="5">
        <f>IF(VLOOKUP($B104,Table2[[prolific]:[feedbackTime]],7,FALSE)=VLOOKUP(D$1,Table1[],2,FALSE),1,0)</f>
        <v>1</v>
      </c>
      <c r="E104" s="5">
        <f>IF(VLOOKUP($B104,Table2[[prolific]:[feedbackTime]],8,FALSE)=VLOOKUP(E$1,Table1[],2,FALSE),1,0)</f>
        <v>1</v>
      </c>
      <c r="F104" s="5">
        <f t="shared" si="43"/>
        <v>3</v>
      </c>
      <c r="G104" s="7">
        <f t="shared" si="44"/>
        <v>1</v>
      </c>
      <c r="H104" s="5">
        <f>IF(VLOOKUP($B104,Table2[[prolific]:[feedbackTime]],9,FALSE)=VLOOKUP(H$1,Table1[],2,FALSE),1,0)</f>
        <v>0</v>
      </c>
      <c r="I104" s="5">
        <f>IF(VLOOKUP($B104,Table2[[prolific]:[feedbackTime]],10,FALSE)=VLOOKUP(I$1,Table1[],2,FALSE),1,0)</f>
        <v>1</v>
      </c>
      <c r="J104" s="5">
        <f>IF(VLOOKUP($B104,Table2[[prolific]:[feedbackTime]],11,FALSE)=VLOOKUP(J$1,Table1[],2,FALSE),1,0)</f>
        <v>0</v>
      </c>
      <c r="K104" s="5">
        <f>IF(VLOOKUP($B104,Table2[[prolific]:[feedbackTime]],12,FALSE)=VLOOKUP(K$1,Table1[],2,FALSE),1,0)</f>
        <v>1</v>
      </c>
      <c r="L104" s="5">
        <f>IF(VLOOKUP($B104,Table2[[prolific]:[feedbackTime]],13,FALSE)=VLOOKUP(L$1,Table1[],2,FALSE),1,0)</f>
        <v>0</v>
      </c>
      <c r="M104" s="5">
        <f>IF(VLOOKUP($B104,Table2[[prolific]:[feedbackTime]],14,FALSE)=VLOOKUP(M$1,Table1[],2,FALSE),1,0)</f>
        <v>1</v>
      </c>
      <c r="N104" s="5">
        <f t="shared" si="45"/>
        <v>3</v>
      </c>
      <c r="O104" s="7">
        <f t="shared" si="46"/>
        <v>0.5</v>
      </c>
      <c r="P104" s="5">
        <f>IF(VLOOKUP($B104,Table2[[prolific]:[feedbackTime]],15,FALSE)=VLOOKUP(P$1,Table1[],2,FALSE),1,0)</f>
        <v>1</v>
      </c>
      <c r="Q104" s="5">
        <f>IF(VLOOKUP($B104,Table2[[prolific]:[feedbackTime]],16,FALSE)=VLOOKUP(Q$1,Table1[],2,FALSE),1,0)</f>
        <v>1</v>
      </c>
      <c r="R104" s="5">
        <f>IF(VLOOKUP($B104,Table2[[prolific]:[feedbackTime]],17,FALSE)=VLOOKUP(R$1,Table1[],2,FALSE),1,0)</f>
        <v>0</v>
      </c>
      <c r="S104" s="5">
        <f>IF(VLOOKUP($B104,Table2[[prolific]:[feedbackTime]],18,FALSE)=VLOOKUP(S$1,Table1[],2,FALSE),1,0)</f>
        <v>1</v>
      </c>
      <c r="T104" s="5">
        <f>IF(VLOOKUP($B104,Table2[[prolific]:[feedbackTime]],19,FALSE)=VLOOKUP(T$1,Table1[],2,FALSE),1,0)</f>
        <v>1</v>
      </c>
      <c r="U104" s="5">
        <f>IF(VLOOKUP($B104,Table2[[prolific]:[feedbackTime]],20,FALSE)=VLOOKUP(U$1,Table1[],2,FALSE),1,0)</f>
        <v>1</v>
      </c>
      <c r="V104" s="5">
        <f>IF(VLOOKUP($B104,Table2[[prolific]:[feedbackTime]],21,FALSE)=VLOOKUP(V$1,Table1[],2,FALSE),1,0)</f>
        <v>0</v>
      </c>
      <c r="W104" s="5">
        <f>IF(VLOOKUP($B104,Table2[[prolific]:[feedbackTime]],22,FALSE)=VLOOKUP(W$1,Table1[],2,FALSE),1,0)</f>
        <v>0</v>
      </c>
      <c r="X104" s="5">
        <f t="shared" si="47"/>
        <v>5</v>
      </c>
      <c r="Y104" s="7">
        <f t="shared" si="48"/>
        <v>0.625</v>
      </c>
      <c r="Z104" s="5">
        <f>IF(VLOOKUP($B104,Table2[[prolific]:[feedbackTime]],23,FALSE)=VLOOKUP(Z$1,Table1[],2,FALSE),1,0)</f>
        <v>1</v>
      </c>
      <c r="AA104" s="5">
        <f>IF(VLOOKUP($B104,Table2[[prolific]:[feedbackTime]],24,FALSE)=VLOOKUP(AA$1,Table1[],2,FALSE),1,0)</f>
        <v>0</v>
      </c>
      <c r="AB104" s="5">
        <f>IF(VLOOKUP($B104,Table2[[prolific]:[feedbackTime]],25,FALSE)=VLOOKUP(AB$1,Table1[],2,FALSE),1,0)</f>
        <v>0</v>
      </c>
      <c r="AC104" s="5">
        <f>IF(VLOOKUP($B104,Table2[[prolific]:[feedbackTime]],26,FALSE)=VLOOKUP(AC$1,Table1[],2,FALSE),1,0)</f>
        <v>0</v>
      </c>
      <c r="AD104" s="5">
        <f>IF(VLOOKUP($B104,Table2[[prolific]:[feedbackTime]],27,FALSE)=VLOOKUP(AD$1,Table1[],2,FALSE),1,0)</f>
        <v>1</v>
      </c>
      <c r="AE104" s="5">
        <f>IF(VLOOKUP($B104,Table2[[prolific]:[feedbackTime]],28,FALSE)=VLOOKUP(AE$1,Table1[],2,FALSE),1,0)</f>
        <v>1</v>
      </c>
      <c r="AF104" s="5">
        <f>IF(VLOOKUP($B104,Table2[[prolific]:[feedbackTime]],29,FALSE)=VLOOKUP(AF$1,Table1[],2,FALSE),1,0)</f>
        <v>1</v>
      </c>
      <c r="AG104" s="5">
        <f>IF(VLOOKUP($B104,Table2[[prolific]:[feedbackTime]],30,FALSE)=VLOOKUP(AG$1,Table1[],2,FALSE),1,0)</f>
        <v>1</v>
      </c>
      <c r="AH104" s="5">
        <f t="shared" si="49"/>
        <v>5</v>
      </c>
      <c r="AI104" s="7">
        <f t="shared" si="50"/>
        <v>0.625</v>
      </c>
      <c r="AJ104" s="7">
        <f t="shared" si="51"/>
        <v>0.59090909090909094</v>
      </c>
      <c r="AK104" s="5">
        <f t="shared" si="52"/>
        <v>13</v>
      </c>
    </row>
    <row r="105" spans="1:37" x14ac:dyDescent="0.25">
      <c r="A105">
        <f t="shared" si="53"/>
        <v>1</v>
      </c>
      <c r="B105" s="5" t="s">
        <v>1089</v>
      </c>
      <c r="C105" s="5">
        <f>IF(VLOOKUP($B105,Table2[[prolific]:[feedbackTime]],6,FALSE)=VLOOKUP(C$1,Table1[],2,FALSE),1,0)</f>
        <v>1</v>
      </c>
      <c r="D105" s="5">
        <f>IF(VLOOKUP($B105,Table2[[prolific]:[feedbackTime]],7,FALSE)=VLOOKUP(D$1,Table1[],2,FALSE),1,0)</f>
        <v>1</v>
      </c>
      <c r="E105" s="5">
        <f>IF(VLOOKUP($B105,Table2[[prolific]:[feedbackTime]],8,FALSE)=VLOOKUP(E$1,Table1[],2,FALSE),1,0)</f>
        <v>1</v>
      </c>
      <c r="F105" s="5">
        <f t="shared" si="43"/>
        <v>3</v>
      </c>
      <c r="G105" s="7">
        <f t="shared" si="44"/>
        <v>1</v>
      </c>
      <c r="H105" s="5">
        <f>IF(VLOOKUP($B105,Table2[[prolific]:[feedbackTime]],9,FALSE)=VLOOKUP(H$1,Table1[],2,FALSE),1,0)</f>
        <v>1</v>
      </c>
      <c r="I105" s="5">
        <f>IF(VLOOKUP($B105,Table2[[prolific]:[feedbackTime]],10,FALSE)=VLOOKUP(I$1,Table1[],2,FALSE),1,0)</f>
        <v>1</v>
      </c>
      <c r="J105" s="5">
        <f>IF(VLOOKUP($B105,Table2[[prolific]:[feedbackTime]],11,FALSE)=VLOOKUP(J$1,Table1[],2,FALSE),1,0)</f>
        <v>1</v>
      </c>
      <c r="K105" s="5">
        <f>IF(VLOOKUP($B105,Table2[[prolific]:[feedbackTime]],12,FALSE)=VLOOKUP(K$1,Table1[],2,FALSE),1,0)</f>
        <v>1</v>
      </c>
      <c r="L105" s="5">
        <f>IF(VLOOKUP($B105,Table2[[prolific]:[feedbackTime]],13,FALSE)=VLOOKUP(L$1,Table1[],2,FALSE),1,0)</f>
        <v>0</v>
      </c>
      <c r="M105" s="5">
        <f>IF(VLOOKUP($B105,Table2[[prolific]:[feedbackTime]],14,FALSE)=VLOOKUP(M$1,Table1[],2,FALSE),1,0)</f>
        <v>1</v>
      </c>
      <c r="N105" s="5">
        <f t="shared" si="45"/>
        <v>5</v>
      </c>
      <c r="O105" s="7">
        <f t="shared" si="46"/>
        <v>0.83333333333333337</v>
      </c>
      <c r="P105" s="5">
        <f>IF(VLOOKUP($B105,Table2[[prolific]:[feedbackTime]],15,FALSE)=VLOOKUP(P$1,Table1[],2,FALSE),1,0)</f>
        <v>1</v>
      </c>
      <c r="Q105" s="5">
        <f>IF(VLOOKUP($B105,Table2[[prolific]:[feedbackTime]],16,FALSE)=VLOOKUP(Q$1,Table1[],2,FALSE),1,0)</f>
        <v>1</v>
      </c>
      <c r="R105" s="5">
        <f>IF(VLOOKUP($B105,Table2[[prolific]:[feedbackTime]],17,FALSE)=VLOOKUP(R$1,Table1[],2,FALSE),1,0)</f>
        <v>1</v>
      </c>
      <c r="S105" s="5">
        <f>IF(VLOOKUP($B105,Table2[[prolific]:[feedbackTime]],18,FALSE)=VLOOKUP(S$1,Table1[],2,FALSE),1,0)</f>
        <v>1</v>
      </c>
      <c r="T105" s="5">
        <f>IF(VLOOKUP($B105,Table2[[prolific]:[feedbackTime]],19,FALSE)=VLOOKUP(T$1,Table1[],2,FALSE),1,0)</f>
        <v>1</v>
      </c>
      <c r="U105" s="5">
        <f>IF(VLOOKUP($B105,Table2[[prolific]:[feedbackTime]],20,FALSE)=VLOOKUP(U$1,Table1[],2,FALSE),1,0)</f>
        <v>1</v>
      </c>
      <c r="V105" s="5">
        <f>IF(VLOOKUP($B105,Table2[[prolific]:[feedbackTime]],21,FALSE)=VLOOKUP(V$1,Table1[],2,FALSE),1,0)</f>
        <v>0</v>
      </c>
      <c r="W105" s="5">
        <f>IF(VLOOKUP($B105,Table2[[prolific]:[feedbackTime]],22,FALSE)=VLOOKUP(W$1,Table1[],2,FALSE),1,0)</f>
        <v>0</v>
      </c>
      <c r="X105" s="5">
        <f t="shared" si="47"/>
        <v>6</v>
      </c>
      <c r="Y105" s="7">
        <f t="shared" si="48"/>
        <v>0.75</v>
      </c>
      <c r="Z105" s="5">
        <f>IF(VLOOKUP($B105,Table2[[prolific]:[feedbackTime]],23,FALSE)=VLOOKUP(Z$1,Table1[],2,FALSE),1,0)</f>
        <v>1</v>
      </c>
      <c r="AA105" s="5">
        <f>IF(VLOOKUP($B105,Table2[[prolific]:[feedbackTime]],24,FALSE)=VLOOKUP(AA$1,Table1[],2,FALSE),1,0)</f>
        <v>0</v>
      </c>
      <c r="AB105" s="5">
        <f>IF(VLOOKUP($B105,Table2[[prolific]:[feedbackTime]],25,FALSE)=VLOOKUP(AB$1,Table1[],2,FALSE),1,0)</f>
        <v>1</v>
      </c>
      <c r="AC105" s="5">
        <f>IF(VLOOKUP($B105,Table2[[prolific]:[feedbackTime]],26,FALSE)=VLOOKUP(AC$1,Table1[],2,FALSE),1,0)</f>
        <v>1</v>
      </c>
      <c r="AD105" s="5">
        <f>IF(VLOOKUP($B105,Table2[[prolific]:[feedbackTime]],27,FALSE)=VLOOKUP(AD$1,Table1[],2,FALSE),1,0)</f>
        <v>0</v>
      </c>
      <c r="AE105" s="5">
        <f>IF(VLOOKUP($B105,Table2[[prolific]:[feedbackTime]],28,FALSE)=VLOOKUP(AE$1,Table1[],2,FALSE),1,0)</f>
        <v>0</v>
      </c>
      <c r="AF105" s="5">
        <f>IF(VLOOKUP($B105,Table2[[prolific]:[feedbackTime]],29,FALSE)=VLOOKUP(AF$1,Table1[],2,FALSE),1,0)</f>
        <v>1</v>
      </c>
      <c r="AG105" s="5">
        <f>IF(VLOOKUP($B105,Table2[[prolific]:[feedbackTime]],30,FALSE)=VLOOKUP(AG$1,Table1[],2,FALSE),1,0)</f>
        <v>1</v>
      </c>
      <c r="AH105" s="5">
        <f t="shared" si="49"/>
        <v>5</v>
      </c>
      <c r="AI105" s="7">
        <f t="shared" si="50"/>
        <v>0.625</v>
      </c>
      <c r="AJ105" s="7">
        <f t="shared" si="51"/>
        <v>0.72727272727272729</v>
      </c>
      <c r="AK105" s="5">
        <f t="shared" si="52"/>
        <v>16</v>
      </c>
    </row>
    <row r="106" spans="1:37" x14ac:dyDescent="0.25">
      <c r="A106">
        <f t="shared" si="53"/>
        <v>1</v>
      </c>
      <c r="B106" s="5" t="s">
        <v>1090</v>
      </c>
      <c r="C106" s="5">
        <f>IF(VLOOKUP($B106,Table2[[prolific]:[feedbackTime]],6,FALSE)=VLOOKUP(C$1,Table1[],2,FALSE),1,0)</f>
        <v>1</v>
      </c>
      <c r="D106" s="5">
        <f>IF(VLOOKUP($B106,Table2[[prolific]:[feedbackTime]],7,FALSE)=VLOOKUP(D$1,Table1[],2,FALSE),1,0)</f>
        <v>1</v>
      </c>
      <c r="E106" s="5">
        <f>IF(VLOOKUP($B106,Table2[[prolific]:[feedbackTime]],8,FALSE)=VLOOKUP(E$1,Table1[],2,FALSE),1,0)</f>
        <v>1</v>
      </c>
      <c r="F106" s="5">
        <f t="shared" si="43"/>
        <v>3</v>
      </c>
      <c r="G106" s="7">
        <f t="shared" si="44"/>
        <v>1</v>
      </c>
      <c r="H106" s="5">
        <f>IF(VLOOKUP($B106,Table2[[prolific]:[feedbackTime]],9,FALSE)=VLOOKUP(H$1,Table1[],2,FALSE),1,0)</f>
        <v>1</v>
      </c>
      <c r="I106" s="5">
        <f>IF(VLOOKUP($B106,Table2[[prolific]:[feedbackTime]],10,FALSE)=VLOOKUP(I$1,Table1[],2,FALSE),1,0)</f>
        <v>1</v>
      </c>
      <c r="J106" s="5">
        <f>IF(VLOOKUP($B106,Table2[[prolific]:[feedbackTime]],11,FALSE)=VLOOKUP(J$1,Table1[],2,FALSE),1,0)</f>
        <v>0</v>
      </c>
      <c r="K106" s="5">
        <f>IF(VLOOKUP($B106,Table2[[prolific]:[feedbackTime]],12,FALSE)=VLOOKUP(K$1,Table1[],2,FALSE),1,0)</f>
        <v>1</v>
      </c>
      <c r="L106" s="5">
        <f>IF(VLOOKUP($B106,Table2[[prolific]:[feedbackTime]],13,FALSE)=VLOOKUP(L$1,Table1[],2,FALSE),1,0)</f>
        <v>1</v>
      </c>
      <c r="M106" s="5">
        <f>IF(VLOOKUP($B106,Table2[[prolific]:[feedbackTime]],14,FALSE)=VLOOKUP(M$1,Table1[],2,FALSE),1,0)</f>
        <v>0</v>
      </c>
      <c r="N106" s="5">
        <f t="shared" si="45"/>
        <v>4</v>
      </c>
      <c r="O106" s="7">
        <f t="shared" si="46"/>
        <v>0.66666666666666663</v>
      </c>
      <c r="P106" s="5">
        <f>IF(VLOOKUP($B106,Table2[[prolific]:[feedbackTime]],15,FALSE)=VLOOKUP(P$1,Table1[],2,FALSE),1,0)</f>
        <v>1</v>
      </c>
      <c r="Q106" s="5">
        <f>IF(VLOOKUP($B106,Table2[[prolific]:[feedbackTime]],16,FALSE)=VLOOKUP(Q$1,Table1[],2,FALSE),1,0)</f>
        <v>1</v>
      </c>
      <c r="R106" s="5">
        <f>IF(VLOOKUP($B106,Table2[[prolific]:[feedbackTime]],17,FALSE)=VLOOKUP(R$1,Table1[],2,FALSE),1,0)</f>
        <v>1</v>
      </c>
      <c r="S106" s="5">
        <f>IF(VLOOKUP($B106,Table2[[prolific]:[feedbackTime]],18,FALSE)=VLOOKUP(S$1,Table1[],2,FALSE),1,0)</f>
        <v>1</v>
      </c>
      <c r="T106" s="5">
        <f>IF(VLOOKUP($B106,Table2[[prolific]:[feedbackTime]],19,FALSE)=VLOOKUP(T$1,Table1[],2,FALSE),1,0)</f>
        <v>1</v>
      </c>
      <c r="U106" s="5">
        <f>IF(VLOOKUP($B106,Table2[[prolific]:[feedbackTime]],20,FALSE)=VLOOKUP(U$1,Table1[],2,FALSE),1,0)</f>
        <v>1</v>
      </c>
      <c r="V106" s="5">
        <f>IF(VLOOKUP($B106,Table2[[prolific]:[feedbackTime]],21,FALSE)=VLOOKUP(V$1,Table1[],2,FALSE),1,0)</f>
        <v>0</v>
      </c>
      <c r="W106" s="5">
        <f>IF(VLOOKUP($B106,Table2[[prolific]:[feedbackTime]],22,FALSE)=VLOOKUP(W$1,Table1[],2,FALSE),1,0)</f>
        <v>1</v>
      </c>
      <c r="X106" s="5">
        <f t="shared" si="47"/>
        <v>7</v>
      </c>
      <c r="Y106" s="7">
        <f t="shared" si="48"/>
        <v>0.875</v>
      </c>
      <c r="Z106" s="5">
        <f>IF(VLOOKUP($B106,Table2[[prolific]:[feedbackTime]],23,FALSE)=VLOOKUP(Z$1,Table1[],2,FALSE),1,0)</f>
        <v>1</v>
      </c>
      <c r="AA106" s="5">
        <f>IF(VLOOKUP($B106,Table2[[prolific]:[feedbackTime]],24,FALSE)=VLOOKUP(AA$1,Table1[],2,FALSE),1,0)</f>
        <v>0</v>
      </c>
      <c r="AB106" s="5">
        <f>IF(VLOOKUP($B106,Table2[[prolific]:[feedbackTime]],25,FALSE)=VLOOKUP(AB$1,Table1[],2,FALSE),1,0)</f>
        <v>1</v>
      </c>
      <c r="AC106" s="5">
        <f>IF(VLOOKUP($B106,Table2[[prolific]:[feedbackTime]],26,FALSE)=VLOOKUP(AC$1,Table1[],2,FALSE),1,0)</f>
        <v>1</v>
      </c>
      <c r="AD106" s="5">
        <f>IF(VLOOKUP($B106,Table2[[prolific]:[feedbackTime]],27,FALSE)=VLOOKUP(AD$1,Table1[],2,FALSE),1,0)</f>
        <v>0</v>
      </c>
      <c r="AE106" s="5">
        <f>IF(VLOOKUP($B106,Table2[[prolific]:[feedbackTime]],28,FALSE)=VLOOKUP(AE$1,Table1[],2,FALSE),1,0)</f>
        <v>1</v>
      </c>
      <c r="AF106" s="5">
        <f>IF(VLOOKUP($B106,Table2[[prolific]:[feedbackTime]],29,FALSE)=VLOOKUP(AF$1,Table1[],2,FALSE),1,0)</f>
        <v>1</v>
      </c>
      <c r="AG106" s="5">
        <f>IF(VLOOKUP($B106,Table2[[prolific]:[feedbackTime]],30,FALSE)=VLOOKUP(AG$1,Table1[],2,FALSE),1,0)</f>
        <v>1</v>
      </c>
      <c r="AH106" s="5">
        <f t="shared" si="49"/>
        <v>6</v>
      </c>
      <c r="AI106" s="7">
        <f t="shared" si="50"/>
        <v>0.75</v>
      </c>
      <c r="AJ106" s="7">
        <f t="shared" si="51"/>
        <v>0.77272727272727271</v>
      </c>
      <c r="AK106" s="5">
        <f t="shared" si="52"/>
        <v>17</v>
      </c>
    </row>
    <row r="107" spans="1:37" x14ac:dyDescent="0.25">
      <c r="A107">
        <f t="shared" si="53"/>
        <v>1</v>
      </c>
      <c r="B107" s="5" t="s">
        <v>1091</v>
      </c>
      <c r="C107" s="5">
        <f>IF(VLOOKUP($B107,Table2[[prolific]:[feedbackTime]],6,FALSE)=VLOOKUP(C$1,Table1[],2,FALSE),1,0)</f>
        <v>1</v>
      </c>
      <c r="D107" s="5">
        <f>IF(VLOOKUP($B107,Table2[[prolific]:[feedbackTime]],7,FALSE)=VLOOKUP(D$1,Table1[],2,FALSE),1,0)</f>
        <v>1</v>
      </c>
      <c r="E107" s="5">
        <f>IF(VLOOKUP($B107,Table2[[prolific]:[feedbackTime]],8,FALSE)=VLOOKUP(E$1,Table1[],2,FALSE),1,0)</f>
        <v>1</v>
      </c>
      <c r="F107" s="5">
        <f t="shared" si="43"/>
        <v>3</v>
      </c>
      <c r="G107" s="7">
        <f t="shared" si="44"/>
        <v>1</v>
      </c>
      <c r="H107" s="5">
        <f>IF(VLOOKUP($B107,Table2[[prolific]:[feedbackTime]],9,FALSE)=VLOOKUP(H$1,Table1[],2,FALSE),1,0)</f>
        <v>1</v>
      </c>
      <c r="I107" s="5">
        <f>IF(VLOOKUP($B107,Table2[[prolific]:[feedbackTime]],10,FALSE)=VLOOKUP(I$1,Table1[],2,FALSE),1,0)</f>
        <v>1</v>
      </c>
      <c r="J107" s="5">
        <f>IF(VLOOKUP($B107,Table2[[prolific]:[feedbackTime]],11,FALSE)=VLOOKUP(J$1,Table1[],2,FALSE),1,0)</f>
        <v>1</v>
      </c>
      <c r="K107" s="5">
        <f>IF(VLOOKUP($B107,Table2[[prolific]:[feedbackTime]],12,FALSE)=VLOOKUP(K$1,Table1[],2,FALSE),1,0)</f>
        <v>1</v>
      </c>
      <c r="L107" s="5">
        <f>IF(VLOOKUP($B107,Table2[[prolific]:[feedbackTime]],13,FALSE)=VLOOKUP(L$1,Table1[],2,FALSE),1,0)</f>
        <v>0</v>
      </c>
      <c r="M107" s="5">
        <f>IF(VLOOKUP($B107,Table2[[prolific]:[feedbackTime]],14,FALSE)=VLOOKUP(M$1,Table1[],2,FALSE),1,0)</f>
        <v>1</v>
      </c>
      <c r="N107" s="5">
        <f t="shared" si="45"/>
        <v>5</v>
      </c>
      <c r="O107" s="7">
        <f t="shared" si="46"/>
        <v>0.83333333333333337</v>
      </c>
      <c r="P107" s="5">
        <f>IF(VLOOKUP($B107,Table2[[prolific]:[feedbackTime]],15,FALSE)=VLOOKUP(P$1,Table1[],2,FALSE),1,0)</f>
        <v>1</v>
      </c>
      <c r="Q107" s="5">
        <f>IF(VLOOKUP($B107,Table2[[prolific]:[feedbackTime]],16,FALSE)=VLOOKUP(Q$1,Table1[],2,FALSE),1,0)</f>
        <v>1</v>
      </c>
      <c r="R107" s="5">
        <f>IF(VLOOKUP($B107,Table2[[prolific]:[feedbackTime]],17,FALSE)=VLOOKUP(R$1,Table1[],2,FALSE),1,0)</f>
        <v>1</v>
      </c>
      <c r="S107" s="5">
        <f>IF(VLOOKUP($B107,Table2[[prolific]:[feedbackTime]],18,FALSE)=VLOOKUP(S$1,Table1[],2,FALSE),1,0)</f>
        <v>1</v>
      </c>
      <c r="T107" s="5">
        <f>IF(VLOOKUP($B107,Table2[[prolific]:[feedbackTime]],19,FALSE)=VLOOKUP(T$1,Table1[],2,FALSE),1,0)</f>
        <v>0</v>
      </c>
      <c r="U107" s="5">
        <f>IF(VLOOKUP($B107,Table2[[prolific]:[feedbackTime]],20,FALSE)=VLOOKUP(U$1,Table1[],2,FALSE),1,0)</f>
        <v>1</v>
      </c>
      <c r="V107" s="5">
        <f>IF(VLOOKUP($B107,Table2[[prolific]:[feedbackTime]],21,FALSE)=VLOOKUP(V$1,Table1[],2,FALSE),1,0)</f>
        <v>0</v>
      </c>
      <c r="W107" s="5">
        <f>IF(VLOOKUP($B107,Table2[[prolific]:[feedbackTime]],22,FALSE)=VLOOKUP(W$1,Table1[],2,FALSE),1,0)</f>
        <v>1</v>
      </c>
      <c r="X107" s="5">
        <f t="shared" si="47"/>
        <v>6</v>
      </c>
      <c r="Y107" s="7">
        <f t="shared" si="48"/>
        <v>0.75</v>
      </c>
      <c r="Z107" s="5">
        <f>IF(VLOOKUP($B107,Table2[[prolific]:[feedbackTime]],23,FALSE)=VLOOKUP(Z$1,Table1[],2,FALSE),1,0)</f>
        <v>1</v>
      </c>
      <c r="AA107" s="5">
        <f>IF(VLOOKUP($B107,Table2[[prolific]:[feedbackTime]],24,FALSE)=VLOOKUP(AA$1,Table1[],2,FALSE),1,0)</f>
        <v>1</v>
      </c>
      <c r="AB107" s="5">
        <f>IF(VLOOKUP($B107,Table2[[prolific]:[feedbackTime]],25,FALSE)=VLOOKUP(AB$1,Table1[],2,FALSE),1,0)</f>
        <v>0</v>
      </c>
      <c r="AC107" s="5">
        <f>IF(VLOOKUP($B107,Table2[[prolific]:[feedbackTime]],26,FALSE)=VLOOKUP(AC$1,Table1[],2,FALSE),1,0)</f>
        <v>1</v>
      </c>
      <c r="AD107" s="5">
        <f>IF(VLOOKUP($B107,Table2[[prolific]:[feedbackTime]],27,FALSE)=VLOOKUP(AD$1,Table1[],2,FALSE),1,0)</f>
        <v>0</v>
      </c>
      <c r="AE107" s="5">
        <f>IF(VLOOKUP($B107,Table2[[prolific]:[feedbackTime]],28,FALSE)=VLOOKUP(AE$1,Table1[],2,FALSE),1,0)</f>
        <v>1</v>
      </c>
      <c r="AF107" s="5">
        <f>IF(VLOOKUP($B107,Table2[[prolific]:[feedbackTime]],29,FALSE)=VLOOKUP(AF$1,Table1[],2,FALSE),1,0)</f>
        <v>1</v>
      </c>
      <c r="AG107" s="5">
        <f>IF(VLOOKUP($B107,Table2[[prolific]:[feedbackTime]],30,FALSE)=VLOOKUP(AG$1,Table1[],2,FALSE),1,0)</f>
        <v>1</v>
      </c>
      <c r="AH107" s="5">
        <f t="shared" si="49"/>
        <v>6</v>
      </c>
      <c r="AI107" s="7">
        <f t="shared" si="50"/>
        <v>0.75</v>
      </c>
      <c r="AJ107" s="7">
        <f t="shared" si="51"/>
        <v>0.77272727272727271</v>
      </c>
      <c r="AK107" s="5">
        <f t="shared" si="52"/>
        <v>17</v>
      </c>
    </row>
    <row r="108" spans="1:37" x14ac:dyDescent="0.25">
      <c r="A108">
        <f t="shared" si="53"/>
        <v>1</v>
      </c>
      <c r="B108" s="5" t="s">
        <v>1119</v>
      </c>
      <c r="C108" s="5">
        <f>IF(VLOOKUP($B108,Table2[[prolific]:[feedbackTime]],6,FALSE)=VLOOKUP(C$1,Table1[],2,FALSE),1,0)</f>
        <v>0</v>
      </c>
      <c r="D108" s="5">
        <f>IF(VLOOKUP($B108,Table2[[prolific]:[feedbackTime]],7,FALSE)=VLOOKUP(D$1,Table1[],2,FALSE),1,0)</f>
        <v>0</v>
      </c>
      <c r="E108" s="5">
        <f>IF(VLOOKUP($B108,Table2[[prolific]:[feedbackTime]],8,FALSE)=VLOOKUP(E$1,Table1[],2,FALSE),1,0)</f>
        <v>1</v>
      </c>
      <c r="F108" s="5">
        <f t="shared" si="43"/>
        <v>1</v>
      </c>
      <c r="G108" s="7">
        <f t="shared" si="44"/>
        <v>0.33333333333333331</v>
      </c>
      <c r="H108" s="5">
        <f>IF(VLOOKUP($B108,Table2[[prolific]:[feedbackTime]],9,FALSE)=VLOOKUP(H$1,Table1[],2,FALSE),1,0)</f>
        <v>0</v>
      </c>
      <c r="I108" s="5">
        <f>IF(VLOOKUP($B108,Table2[[prolific]:[feedbackTime]],10,FALSE)=VLOOKUP(I$1,Table1[],2,FALSE),1,0)</f>
        <v>0</v>
      </c>
      <c r="J108" s="5">
        <f>IF(VLOOKUP($B108,Table2[[prolific]:[feedbackTime]],11,FALSE)=VLOOKUP(J$1,Table1[],2,FALSE),1,0)</f>
        <v>0</v>
      </c>
      <c r="K108" s="5">
        <f>IF(VLOOKUP($B108,Table2[[prolific]:[feedbackTime]],12,FALSE)=VLOOKUP(K$1,Table1[],2,FALSE),1,0)</f>
        <v>0</v>
      </c>
      <c r="L108" s="5">
        <f>IF(VLOOKUP($B108,Table2[[prolific]:[feedbackTime]],13,FALSE)=VLOOKUP(L$1,Table1[],2,FALSE),1,0)</f>
        <v>0</v>
      </c>
      <c r="M108" s="5">
        <f>IF(VLOOKUP($B108,Table2[[prolific]:[feedbackTime]],14,FALSE)=VLOOKUP(M$1,Table1[],2,FALSE),1,0)</f>
        <v>0</v>
      </c>
      <c r="N108" s="5">
        <f t="shared" si="45"/>
        <v>0</v>
      </c>
      <c r="O108" s="7">
        <f t="shared" si="46"/>
        <v>0</v>
      </c>
      <c r="P108" s="5">
        <f>IF(VLOOKUP($B108,Table2[[prolific]:[feedbackTime]],15,FALSE)=VLOOKUP(P$1,Table1[],2,FALSE),1,0)</f>
        <v>1</v>
      </c>
      <c r="Q108" s="5">
        <f>IF(VLOOKUP($B108,Table2[[prolific]:[feedbackTime]],16,FALSE)=VLOOKUP(Q$1,Table1[],2,FALSE),1,0)</f>
        <v>1</v>
      </c>
      <c r="R108" s="5">
        <f>IF(VLOOKUP($B108,Table2[[prolific]:[feedbackTime]],17,FALSE)=VLOOKUP(R$1,Table1[],2,FALSE),1,0)</f>
        <v>0</v>
      </c>
      <c r="S108" s="5">
        <f>IF(VLOOKUP($B108,Table2[[prolific]:[feedbackTime]],18,FALSE)=VLOOKUP(S$1,Table1[],2,FALSE),1,0)</f>
        <v>0</v>
      </c>
      <c r="T108" s="5">
        <f>IF(VLOOKUP($B108,Table2[[prolific]:[feedbackTime]],19,FALSE)=VLOOKUP(T$1,Table1[],2,FALSE),1,0)</f>
        <v>0</v>
      </c>
      <c r="U108" s="5">
        <f>IF(VLOOKUP($B108,Table2[[prolific]:[feedbackTime]],20,FALSE)=VLOOKUP(U$1,Table1[],2,FALSE),1,0)</f>
        <v>1</v>
      </c>
      <c r="V108" s="5">
        <f>IF(VLOOKUP($B108,Table2[[prolific]:[feedbackTime]],21,FALSE)=VLOOKUP(V$1,Table1[],2,FALSE),1,0)</f>
        <v>0</v>
      </c>
      <c r="W108" s="5">
        <f>IF(VLOOKUP($B108,Table2[[prolific]:[feedbackTime]],22,FALSE)=VLOOKUP(W$1,Table1[],2,FALSE),1,0)</f>
        <v>1</v>
      </c>
      <c r="X108" s="5">
        <f t="shared" si="47"/>
        <v>4</v>
      </c>
      <c r="Y108" s="7">
        <f t="shared" si="48"/>
        <v>0.5</v>
      </c>
      <c r="Z108" s="5">
        <f>IF(VLOOKUP($B108,Table2[[prolific]:[feedbackTime]],23,FALSE)=VLOOKUP(Z$1,Table1[],2,FALSE),1,0)</f>
        <v>1</v>
      </c>
      <c r="AA108" s="5">
        <f>IF(VLOOKUP($B108,Table2[[prolific]:[feedbackTime]],24,FALSE)=VLOOKUP(AA$1,Table1[],2,FALSE),1,0)</f>
        <v>1</v>
      </c>
      <c r="AB108" s="5">
        <f>IF(VLOOKUP($B108,Table2[[prolific]:[feedbackTime]],25,FALSE)=VLOOKUP(AB$1,Table1[],2,FALSE),1,0)</f>
        <v>1</v>
      </c>
      <c r="AC108" s="5">
        <f>IF(VLOOKUP($B108,Table2[[prolific]:[feedbackTime]],26,FALSE)=VLOOKUP(AC$1,Table1[],2,FALSE),1,0)</f>
        <v>1</v>
      </c>
      <c r="AD108" s="5">
        <f>IF(VLOOKUP($B108,Table2[[prolific]:[feedbackTime]],27,FALSE)=VLOOKUP(AD$1,Table1[],2,FALSE),1,0)</f>
        <v>0</v>
      </c>
      <c r="AE108" s="5">
        <f>IF(VLOOKUP($B108,Table2[[prolific]:[feedbackTime]],28,FALSE)=VLOOKUP(AE$1,Table1[],2,FALSE),1,0)</f>
        <v>1</v>
      </c>
      <c r="AF108" s="5">
        <f>IF(VLOOKUP($B108,Table2[[prolific]:[feedbackTime]],29,FALSE)=VLOOKUP(AF$1,Table1[],2,FALSE),1,0)</f>
        <v>0</v>
      </c>
      <c r="AG108" s="5">
        <f>IF(VLOOKUP($B108,Table2[[prolific]:[feedbackTime]],30,FALSE)=VLOOKUP(AG$1,Table1[],2,FALSE),1,0)</f>
        <v>1</v>
      </c>
      <c r="AH108" s="5">
        <f t="shared" si="49"/>
        <v>6</v>
      </c>
      <c r="AI108" s="7">
        <f t="shared" si="50"/>
        <v>0.75</v>
      </c>
      <c r="AJ108" s="7">
        <f t="shared" si="51"/>
        <v>0.45454545454545453</v>
      </c>
      <c r="AK108" s="5">
        <f t="shared" si="52"/>
        <v>10</v>
      </c>
    </row>
    <row r="109" spans="1:37" x14ac:dyDescent="0.25">
      <c r="A109">
        <f t="shared" si="53"/>
        <v>1</v>
      </c>
      <c r="B109" s="5" t="s">
        <v>1092</v>
      </c>
      <c r="C109" s="5">
        <f>IF(VLOOKUP($B109,Table2[[prolific]:[feedbackTime]],6,FALSE)=VLOOKUP(C$1,Table1[],2,FALSE),1,0)</f>
        <v>1</v>
      </c>
      <c r="D109" s="5">
        <f>IF(VLOOKUP($B109,Table2[[prolific]:[feedbackTime]],7,FALSE)=VLOOKUP(D$1,Table1[],2,FALSE),1,0)</f>
        <v>1</v>
      </c>
      <c r="E109" s="5">
        <f>IF(VLOOKUP($B109,Table2[[prolific]:[feedbackTime]],8,FALSE)=VLOOKUP(E$1,Table1[],2,FALSE),1,0)</f>
        <v>1</v>
      </c>
      <c r="F109" s="5">
        <f t="shared" si="43"/>
        <v>3</v>
      </c>
      <c r="G109" s="7">
        <f t="shared" si="44"/>
        <v>1</v>
      </c>
      <c r="H109" s="5">
        <f>IF(VLOOKUP($B109,Table2[[prolific]:[feedbackTime]],9,FALSE)=VLOOKUP(H$1,Table1[],2,FALSE),1,0)</f>
        <v>1</v>
      </c>
      <c r="I109" s="5">
        <f>IF(VLOOKUP($B109,Table2[[prolific]:[feedbackTime]],10,FALSE)=VLOOKUP(I$1,Table1[],2,FALSE),1,0)</f>
        <v>0</v>
      </c>
      <c r="J109" s="5">
        <f>IF(VLOOKUP($B109,Table2[[prolific]:[feedbackTime]],11,FALSE)=VLOOKUP(J$1,Table1[],2,FALSE),1,0)</f>
        <v>1</v>
      </c>
      <c r="K109" s="5">
        <f>IF(VLOOKUP($B109,Table2[[prolific]:[feedbackTime]],12,FALSE)=VLOOKUP(K$1,Table1[],2,FALSE),1,0)</f>
        <v>1</v>
      </c>
      <c r="L109" s="5">
        <f>IF(VLOOKUP($B109,Table2[[prolific]:[feedbackTime]],13,FALSE)=VLOOKUP(L$1,Table1[],2,FALSE),1,0)</f>
        <v>0</v>
      </c>
      <c r="M109" s="5">
        <f>IF(VLOOKUP($B109,Table2[[prolific]:[feedbackTime]],14,FALSE)=VLOOKUP(M$1,Table1[],2,FALSE),1,0)</f>
        <v>1</v>
      </c>
      <c r="N109" s="5">
        <f t="shared" si="45"/>
        <v>4</v>
      </c>
      <c r="O109" s="7">
        <f t="shared" si="46"/>
        <v>0.66666666666666663</v>
      </c>
      <c r="P109" s="5">
        <f>IF(VLOOKUP($B109,Table2[[prolific]:[feedbackTime]],15,FALSE)=VLOOKUP(P$1,Table1[],2,FALSE),1,0)</f>
        <v>1</v>
      </c>
      <c r="Q109" s="5">
        <f>IF(VLOOKUP($B109,Table2[[prolific]:[feedbackTime]],16,FALSE)=VLOOKUP(Q$1,Table1[],2,FALSE),1,0)</f>
        <v>1</v>
      </c>
      <c r="R109" s="5">
        <f>IF(VLOOKUP($B109,Table2[[prolific]:[feedbackTime]],17,FALSE)=VLOOKUP(R$1,Table1[],2,FALSE),1,0)</f>
        <v>1</v>
      </c>
      <c r="S109" s="5">
        <f>IF(VLOOKUP($B109,Table2[[prolific]:[feedbackTime]],18,FALSE)=VLOOKUP(S$1,Table1[],2,FALSE),1,0)</f>
        <v>1</v>
      </c>
      <c r="T109" s="5">
        <f>IF(VLOOKUP($B109,Table2[[prolific]:[feedbackTime]],19,FALSE)=VLOOKUP(T$1,Table1[],2,FALSE),1,0)</f>
        <v>1</v>
      </c>
      <c r="U109" s="5">
        <f>IF(VLOOKUP($B109,Table2[[prolific]:[feedbackTime]],20,FALSE)=VLOOKUP(U$1,Table1[],2,FALSE),1,0)</f>
        <v>1</v>
      </c>
      <c r="V109" s="5">
        <f>IF(VLOOKUP($B109,Table2[[prolific]:[feedbackTime]],21,FALSE)=VLOOKUP(V$1,Table1[],2,FALSE),1,0)</f>
        <v>0</v>
      </c>
      <c r="W109" s="5">
        <f>IF(VLOOKUP($B109,Table2[[prolific]:[feedbackTime]],22,FALSE)=VLOOKUP(W$1,Table1[],2,FALSE),1,0)</f>
        <v>0</v>
      </c>
      <c r="X109" s="5">
        <f t="shared" si="47"/>
        <v>6</v>
      </c>
      <c r="Y109" s="7">
        <f t="shared" si="48"/>
        <v>0.75</v>
      </c>
      <c r="Z109" s="5">
        <f>IF(VLOOKUP($B109,Table2[[prolific]:[feedbackTime]],23,FALSE)=VLOOKUP(Z$1,Table1[],2,FALSE),1,0)</f>
        <v>1</v>
      </c>
      <c r="AA109" s="5">
        <f>IF(VLOOKUP($B109,Table2[[prolific]:[feedbackTime]],24,FALSE)=VLOOKUP(AA$1,Table1[],2,FALSE),1,0)</f>
        <v>0</v>
      </c>
      <c r="AB109" s="5">
        <f>IF(VLOOKUP($B109,Table2[[prolific]:[feedbackTime]],25,FALSE)=VLOOKUP(AB$1,Table1[],2,FALSE),1,0)</f>
        <v>1</v>
      </c>
      <c r="AC109" s="5">
        <f>IF(VLOOKUP($B109,Table2[[prolific]:[feedbackTime]],26,FALSE)=VLOOKUP(AC$1,Table1[],2,FALSE),1,0)</f>
        <v>1</v>
      </c>
      <c r="AD109" s="5">
        <f>IF(VLOOKUP($B109,Table2[[prolific]:[feedbackTime]],27,FALSE)=VLOOKUP(AD$1,Table1[],2,FALSE),1,0)</f>
        <v>0</v>
      </c>
      <c r="AE109" s="5">
        <f>IF(VLOOKUP($B109,Table2[[prolific]:[feedbackTime]],28,FALSE)=VLOOKUP(AE$1,Table1[],2,FALSE),1,0)</f>
        <v>1</v>
      </c>
      <c r="AF109" s="5">
        <f>IF(VLOOKUP($B109,Table2[[prolific]:[feedbackTime]],29,FALSE)=VLOOKUP(AF$1,Table1[],2,FALSE),1,0)</f>
        <v>1</v>
      </c>
      <c r="AG109" s="5">
        <f>IF(VLOOKUP($B109,Table2[[prolific]:[feedbackTime]],30,FALSE)=VLOOKUP(AG$1,Table1[],2,FALSE),1,0)</f>
        <v>1</v>
      </c>
      <c r="AH109" s="5">
        <f t="shared" si="49"/>
        <v>6</v>
      </c>
      <c r="AI109" s="7">
        <f t="shared" si="50"/>
        <v>0.75</v>
      </c>
      <c r="AJ109" s="7">
        <f t="shared" si="51"/>
        <v>0.72727272727272729</v>
      </c>
      <c r="AK109" s="5">
        <f t="shared" si="52"/>
        <v>16</v>
      </c>
    </row>
    <row r="110" spans="1:37" x14ac:dyDescent="0.25">
      <c r="A110">
        <f t="shared" si="53"/>
        <v>1</v>
      </c>
      <c r="B110" s="5" t="s">
        <v>1235</v>
      </c>
      <c r="C110" s="5" t="e">
        <f>IF(VLOOKUP($B110,Table2[[prolific]:[feedbackTime]],6,FALSE)=VLOOKUP(C$1,Table1[],2,FALSE),1,0)</f>
        <v>#N/A</v>
      </c>
      <c r="D110" s="5" t="e">
        <f>IF(VLOOKUP($B110,Table2[[prolific]:[feedbackTime]],7,FALSE)=VLOOKUP(D$1,Table1[],2,FALSE),1,0)</f>
        <v>#N/A</v>
      </c>
      <c r="E110" s="5" t="e">
        <f>IF(VLOOKUP($B110,Table2[[prolific]:[feedbackTime]],8,FALSE)=VLOOKUP(E$1,Table1[],2,FALSE),1,0)</f>
        <v>#N/A</v>
      </c>
      <c r="F110" s="5" t="e">
        <f t="shared" si="43"/>
        <v>#N/A</v>
      </c>
      <c r="G110" s="7" t="e">
        <f t="shared" si="44"/>
        <v>#N/A</v>
      </c>
      <c r="H110" s="5" t="e">
        <f>IF(VLOOKUP($B110,Table2[[prolific]:[feedbackTime]],9,FALSE)=VLOOKUP(H$1,Table1[],2,FALSE),1,0)</f>
        <v>#N/A</v>
      </c>
      <c r="I110" s="5" t="e">
        <f>IF(VLOOKUP($B110,Table2[[prolific]:[feedbackTime]],10,FALSE)=VLOOKUP(I$1,Table1[],2,FALSE),1,0)</f>
        <v>#N/A</v>
      </c>
      <c r="J110" s="5" t="e">
        <f>IF(VLOOKUP($B110,Table2[[prolific]:[feedbackTime]],11,FALSE)=VLOOKUP(J$1,Table1[],2,FALSE),1,0)</f>
        <v>#N/A</v>
      </c>
      <c r="K110" s="5" t="e">
        <f>IF(VLOOKUP($B110,Table2[[prolific]:[feedbackTime]],12,FALSE)=VLOOKUP(K$1,Table1[],2,FALSE),1,0)</f>
        <v>#N/A</v>
      </c>
      <c r="L110" s="5" t="e">
        <f>IF(VLOOKUP($B110,Table2[[prolific]:[feedbackTime]],13,FALSE)=VLOOKUP(L$1,Table1[],2,FALSE),1,0)</f>
        <v>#N/A</v>
      </c>
      <c r="M110" s="5" t="e">
        <f>IF(VLOOKUP($B110,Table2[[prolific]:[feedbackTime]],14,FALSE)=VLOOKUP(M$1,Table1[],2,FALSE),1,0)</f>
        <v>#N/A</v>
      </c>
      <c r="N110" s="5" t="e">
        <f t="shared" si="45"/>
        <v>#N/A</v>
      </c>
      <c r="O110" s="7" t="e">
        <f t="shared" si="46"/>
        <v>#N/A</v>
      </c>
      <c r="P110" s="5" t="e">
        <f>IF(VLOOKUP($B110,Table2[[prolific]:[feedbackTime]],15,FALSE)=VLOOKUP(P$1,Table1[],2,FALSE),1,0)</f>
        <v>#N/A</v>
      </c>
      <c r="Q110" s="5" t="e">
        <f>IF(VLOOKUP($B110,Table2[[prolific]:[feedbackTime]],16,FALSE)=VLOOKUP(Q$1,Table1[],2,FALSE),1,0)</f>
        <v>#N/A</v>
      </c>
      <c r="R110" s="5" t="e">
        <f>IF(VLOOKUP($B110,Table2[[prolific]:[feedbackTime]],17,FALSE)=VLOOKUP(R$1,Table1[],2,FALSE),1,0)</f>
        <v>#N/A</v>
      </c>
      <c r="S110" s="5" t="e">
        <f>IF(VLOOKUP($B110,Table2[[prolific]:[feedbackTime]],18,FALSE)=VLOOKUP(S$1,Table1[],2,FALSE),1,0)</f>
        <v>#N/A</v>
      </c>
      <c r="T110" s="5" t="e">
        <f>IF(VLOOKUP($B110,Table2[[prolific]:[feedbackTime]],19,FALSE)=VLOOKUP(T$1,Table1[],2,FALSE),1,0)</f>
        <v>#N/A</v>
      </c>
      <c r="U110" s="5" t="e">
        <f>IF(VLOOKUP($B110,Table2[[prolific]:[feedbackTime]],20,FALSE)=VLOOKUP(U$1,Table1[],2,FALSE),1,0)</f>
        <v>#N/A</v>
      </c>
      <c r="V110" s="5" t="e">
        <f>IF(VLOOKUP($B110,Table2[[prolific]:[feedbackTime]],21,FALSE)=VLOOKUP(V$1,Table1[],2,FALSE),1,0)</f>
        <v>#N/A</v>
      </c>
      <c r="W110" s="5" t="e">
        <f>IF(VLOOKUP($B110,Table2[[prolific]:[feedbackTime]],22,FALSE)=VLOOKUP(W$1,Table1[],2,FALSE),1,0)</f>
        <v>#N/A</v>
      </c>
      <c r="X110" s="5" t="e">
        <f t="shared" si="47"/>
        <v>#N/A</v>
      </c>
      <c r="Y110" s="7" t="e">
        <f t="shared" si="48"/>
        <v>#N/A</v>
      </c>
      <c r="Z110" s="5" t="e">
        <f>IF(VLOOKUP($B110,Table2[[prolific]:[feedbackTime]],23,FALSE)=VLOOKUP(Z$1,Table1[],2,FALSE),1,0)</f>
        <v>#N/A</v>
      </c>
      <c r="AA110" s="5" t="e">
        <f>IF(VLOOKUP($B110,Table2[[prolific]:[feedbackTime]],24,FALSE)=VLOOKUP(AA$1,Table1[],2,FALSE),1,0)</f>
        <v>#N/A</v>
      </c>
      <c r="AB110" s="5" t="e">
        <f>IF(VLOOKUP($B110,Table2[[prolific]:[feedbackTime]],25,FALSE)=VLOOKUP(AB$1,Table1[],2,FALSE),1,0)</f>
        <v>#N/A</v>
      </c>
      <c r="AC110" s="5" t="e">
        <f>IF(VLOOKUP($B110,Table2[[prolific]:[feedbackTime]],26,FALSE)=VLOOKUP(AC$1,Table1[],2,FALSE),1,0)</f>
        <v>#N/A</v>
      </c>
      <c r="AD110" s="5" t="e">
        <f>IF(VLOOKUP($B110,Table2[[prolific]:[feedbackTime]],27,FALSE)=VLOOKUP(AD$1,Table1[],2,FALSE),1,0)</f>
        <v>#N/A</v>
      </c>
      <c r="AE110" s="5" t="e">
        <f>IF(VLOOKUP($B110,Table2[[prolific]:[feedbackTime]],28,FALSE)=VLOOKUP(AE$1,Table1[],2,FALSE),1,0)</f>
        <v>#N/A</v>
      </c>
      <c r="AF110" s="5" t="e">
        <f>IF(VLOOKUP($B110,Table2[[prolific]:[feedbackTime]],29,FALSE)=VLOOKUP(AF$1,Table1[],2,FALSE),1,0)</f>
        <v>#N/A</v>
      </c>
      <c r="AG110" s="5" t="e">
        <f>IF(VLOOKUP($B110,Table2[[prolific]:[feedbackTime]],30,FALSE)=VLOOKUP(AG$1,Table1[],2,FALSE),1,0)</f>
        <v>#N/A</v>
      </c>
      <c r="AH110" s="5" t="e">
        <f t="shared" si="49"/>
        <v>#N/A</v>
      </c>
      <c r="AI110" s="7" t="e">
        <f t="shared" si="50"/>
        <v>#N/A</v>
      </c>
      <c r="AJ110" s="7" t="e">
        <f t="shared" si="51"/>
        <v>#N/A</v>
      </c>
      <c r="AK110" s="5" t="e">
        <f t="shared" si="52"/>
        <v>#N/A</v>
      </c>
    </row>
    <row r="111" spans="1:37" x14ac:dyDescent="0.25">
      <c r="A111">
        <f t="shared" si="53"/>
        <v>1</v>
      </c>
      <c r="B111" s="5" t="s">
        <v>1093</v>
      </c>
      <c r="C111" s="5">
        <f>IF(VLOOKUP($B111,Table2[[prolific]:[feedbackTime]],6,FALSE)=VLOOKUP(C$1,Table1[],2,FALSE),1,0)</f>
        <v>1</v>
      </c>
      <c r="D111" s="5">
        <f>IF(VLOOKUP($B111,Table2[[prolific]:[feedbackTime]],7,FALSE)=VLOOKUP(D$1,Table1[],2,FALSE),1,0)</f>
        <v>1</v>
      </c>
      <c r="E111" s="5">
        <f>IF(VLOOKUP($B111,Table2[[prolific]:[feedbackTime]],8,FALSE)=VLOOKUP(E$1,Table1[],2,FALSE),1,0)</f>
        <v>1</v>
      </c>
      <c r="F111" s="5">
        <f t="shared" si="43"/>
        <v>3</v>
      </c>
      <c r="G111" s="7">
        <f t="shared" si="44"/>
        <v>1</v>
      </c>
      <c r="H111" s="5">
        <f>IF(VLOOKUP($B111,Table2[[prolific]:[feedbackTime]],9,FALSE)=VLOOKUP(H$1,Table1[],2,FALSE),1,0)</f>
        <v>1</v>
      </c>
      <c r="I111" s="5">
        <f>IF(VLOOKUP($B111,Table2[[prolific]:[feedbackTime]],10,FALSE)=VLOOKUP(I$1,Table1[],2,FALSE),1,0)</f>
        <v>1</v>
      </c>
      <c r="J111" s="5">
        <f>IF(VLOOKUP($B111,Table2[[prolific]:[feedbackTime]],11,FALSE)=VLOOKUP(J$1,Table1[],2,FALSE),1,0)</f>
        <v>1</v>
      </c>
      <c r="K111" s="5">
        <f>IF(VLOOKUP($B111,Table2[[prolific]:[feedbackTime]],12,FALSE)=VLOOKUP(K$1,Table1[],2,FALSE),1,0)</f>
        <v>1</v>
      </c>
      <c r="L111" s="5">
        <f>IF(VLOOKUP($B111,Table2[[prolific]:[feedbackTime]],13,FALSE)=VLOOKUP(L$1,Table1[],2,FALSE),1,0)</f>
        <v>0</v>
      </c>
      <c r="M111" s="5">
        <f>IF(VLOOKUP($B111,Table2[[prolific]:[feedbackTime]],14,FALSE)=VLOOKUP(M$1,Table1[],2,FALSE),1,0)</f>
        <v>0</v>
      </c>
      <c r="N111" s="5">
        <f t="shared" si="45"/>
        <v>4</v>
      </c>
      <c r="O111" s="7">
        <f t="shared" si="46"/>
        <v>0.66666666666666663</v>
      </c>
      <c r="P111" s="5">
        <f>IF(VLOOKUP($B111,Table2[[prolific]:[feedbackTime]],15,FALSE)=VLOOKUP(P$1,Table1[],2,FALSE),1,0)</f>
        <v>1</v>
      </c>
      <c r="Q111" s="5">
        <f>IF(VLOOKUP($B111,Table2[[prolific]:[feedbackTime]],16,FALSE)=VLOOKUP(Q$1,Table1[],2,FALSE),1,0)</f>
        <v>1</v>
      </c>
      <c r="R111" s="5">
        <f>IF(VLOOKUP($B111,Table2[[prolific]:[feedbackTime]],17,FALSE)=VLOOKUP(R$1,Table1[],2,FALSE),1,0)</f>
        <v>1</v>
      </c>
      <c r="S111" s="5">
        <f>IF(VLOOKUP($B111,Table2[[prolific]:[feedbackTime]],18,FALSE)=VLOOKUP(S$1,Table1[],2,FALSE),1,0)</f>
        <v>1</v>
      </c>
      <c r="T111" s="5">
        <f>IF(VLOOKUP($B111,Table2[[prolific]:[feedbackTime]],19,FALSE)=VLOOKUP(T$1,Table1[],2,FALSE),1,0)</f>
        <v>1</v>
      </c>
      <c r="U111" s="5">
        <f>IF(VLOOKUP($B111,Table2[[prolific]:[feedbackTime]],20,FALSE)=VLOOKUP(U$1,Table1[],2,FALSE),1,0)</f>
        <v>1</v>
      </c>
      <c r="V111" s="5">
        <f>IF(VLOOKUP($B111,Table2[[prolific]:[feedbackTime]],21,FALSE)=VLOOKUP(V$1,Table1[],2,FALSE),1,0)</f>
        <v>0</v>
      </c>
      <c r="W111" s="5">
        <f>IF(VLOOKUP($B111,Table2[[prolific]:[feedbackTime]],22,FALSE)=VLOOKUP(W$1,Table1[],2,FALSE),1,0)</f>
        <v>1</v>
      </c>
      <c r="X111" s="5">
        <f t="shared" si="47"/>
        <v>7</v>
      </c>
      <c r="Y111" s="7">
        <f t="shared" si="48"/>
        <v>0.875</v>
      </c>
      <c r="Z111" s="5">
        <f>IF(VLOOKUP($B111,Table2[[prolific]:[feedbackTime]],23,FALSE)=VLOOKUP(Z$1,Table1[],2,FALSE),1,0)</f>
        <v>1</v>
      </c>
      <c r="AA111" s="5">
        <f>IF(VLOOKUP($B111,Table2[[prolific]:[feedbackTime]],24,FALSE)=VLOOKUP(AA$1,Table1[],2,FALSE),1,0)</f>
        <v>1</v>
      </c>
      <c r="AB111" s="5">
        <f>IF(VLOOKUP($B111,Table2[[prolific]:[feedbackTime]],25,FALSE)=VLOOKUP(AB$1,Table1[],2,FALSE),1,0)</f>
        <v>0</v>
      </c>
      <c r="AC111" s="5">
        <f>IF(VLOOKUP($B111,Table2[[prolific]:[feedbackTime]],26,FALSE)=VLOOKUP(AC$1,Table1[],2,FALSE),1,0)</f>
        <v>1</v>
      </c>
      <c r="AD111" s="5">
        <f>IF(VLOOKUP($B111,Table2[[prolific]:[feedbackTime]],27,FALSE)=VLOOKUP(AD$1,Table1[],2,FALSE),1,0)</f>
        <v>0</v>
      </c>
      <c r="AE111" s="5">
        <f>IF(VLOOKUP($B111,Table2[[prolific]:[feedbackTime]],28,FALSE)=VLOOKUP(AE$1,Table1[],2,FALSE),1,0)</f>
        <v>1</v>
      </c>
      <c r="AF111" s="5">
        <f>IF(VLOOKUP($B111,Table2[[prolific]:[feedbackTime]],29,FALSE)=VLOOKUP(AF$1,Table1[],2,FALSE),1,0)</f>
        <v>1</v>
      </c>
      <c r="AG111" s="5">
        <f>IF(VLOOKUP($B111,Table2[[prolific]:[feedbackTime]],30,FALSE)=VLOOKUP(AG$1,Table1[],2,FALSE),1,0)</f>
        <v>1</v>
      </c>
      <c r="AH111" s="5">
        <f t="shared" si="49"/>
        <v>6</v>
      </c>
      <c r="AI111" s="7">
        <f t="shared" si="50"/>
        <v>0.75</v>
      </c>
      <c r="AJ111" s="7">
        <f t="shared" si="51"/>
        <v>0.77272727272727271</v>
      </c>
      <c r="AK111" s="5">
        <f t="shared" si="52"/>
        <v>17</v>
      </c>
    </row>
    <row r="112" spans="1:37" x14ac:dyDescent="0.25">
      <c r="A112">
        <f t="shared" si="53"/>
        <v>1</v>
      </c>
      <c r="B112" s="5" t="s">
        <v>1094</v>
      </c>
      <c r="C112" s="5">
        <f>IF(VLOOKUP($B112,Table2[[prolific]:[feedbackTime]],6,FALSE)=VLOOKUP(C$1,Table1[],2,FALSE),1,0)</f>
        <v>1</v>
      </c>
      <c r="D112" s="5">
        <f>IF(VLOOKUP($B112,Table2[[prolific]:[feedbackTime]],7,FALSE)=VLOOKUP(D$1,Table1[],2,FALSE),1,0)</f>
        <v>1</v>
      </c>
      <c r="E112" s="5">
        <f>IF(VLOOKUP($B112,Table2[[prolific]:[feedbackTime]],8,FALSE)=VLOOKUP(E$1,Table1[],2,FALSE),1,0)</f>
        <v>1</v>
      </c>
      <c r="F112" s="5">
        <f t="shared" si="43"/>
        <v>3</v>
      </c>
      <c r="G112" s="7">
        <f t="shared" si="44"/>
        <v>1</v>
      </c>
      <c r="H112" s="5">
        <f>IF(VLOOKUP($B112,Table2[[prolific]:[feedbackTime]],9,FALSE)=VLOOKUP(H$1,Table1[],2,FALSE),1,0)</f>
        <v>0</v>
      </c>
      <c r="I112" s="5">
        <f>IF(VLOOKUP($B112,Table2[[prolific]:[feedbackTime]],10,FALSE)=VLOOKUP(I$1,Table1[],2,FALSE),1,0)</f>
        <v>1</v>
      </c>
      <c r="J112" s="5">
        <f>IF(VLOOKUP($B112,Table2[[prolific]:[feedbackTime]],11,FALSE)=VLOOKUP(J$1,Table1[],2,FALSE),1,0)</f>
        <v>1</v>
      </c>
      <c r="K112" s="5">
        <f>IF(VLOOKUP($B112,Table2[[prolific]:[feedbackTime]],12,FALSE)=VLOOKUP(K$1,Table1[],2,FALSE),1,0)</f>
        <v>1</v>
      </c>
      <c r="L112" s="5">
        <f>IF(VLOOKUP($B112,Table2[[prolific]:[feedbackTime]],13,FALSE)=VLOOKUP(L$1,Table1[],2,FALSE),1,0)</f>
        <v>0</v>
      </c>
      <c r="M112" s="5">
        <f>IF(VLOOKUP($B112,Table2[[prolific]:[feedbackTime]],14,FALSE)=VLOOKUP(M$1,Table1[],2,FALSE),1,0)</f>
        <v>0</v>
      </c>
      <c r="N112" s="5">
        <f t="shared" si="45"/>
        <v>3</v>
      </c>
      <c r="O112" s="7">
        <f t="shared" si="46"/>
        <v>0.5</v>
      </c>
      <c r="P112" s="5">
        <f>IF(VLOOKUP($B112,Table2[[prolific]:[feedbackTime]],15,FALSE)=VLOOKUP(P$1,Table1[],2,FALSE),1,0)</f>
        <v>1</v>
      </c>
      <c r="Q112" s="5">
        <f>IF(VLOOKUP($B112,Table2[[prolific]:[feedbackTime]],16,FALSE)=VLOOKUP(Q$1,Table1[],2,FALSE),1,0)</f>
        <v>1</v>
      </c>
      <c r="R112" s="5">
        <f>IF(VLOOKUP($B112,Table2[[prolific]:[feedbackTime]],17,FALSE)=VLOOKUP(R$1,Table1[],2,FALSE),1,0)</f>
        <v>0</v>
      </c>
      <c r="S112" s="5">
        <f>IF(VLOOKUP($B112,Table2[[prolific]:[feedbackTime]],18,FALSE)=VLOOKUP(S$1,Table1[],2,FALSE),1,0)</f>
        <v>0</v>
      </c>
      <c r="T112" s="5">
        <f>IF(VLOOKUP($B112,Table2[[prolific]:[feedbackTime]],19,FALSE)=VLOOKUP(T$1,Table1[],2,FALSE),1,0)</f>
        <v>1</v>
      </c>
      <c r="U112" s="5">
        <f>IF(VLOOKUP($B112,Table2[[prolific]:[feedbackTime]],20,FALSE)=VLOOKUP(U$1,Table1[],2,FALSE),1,0)</f>
        <v>1</v>
      </c>
      <c r="V112" s="5">
        <f>IF(VLOOKUP($B112,Table2[[prolific]:[feedbackTime]],21,FALSE)=VLOOKUP(V$1,Table1[],2,FALSE),1,0)</f>
        <v>0</v>
      </c>
      <c r="W112" s="5">
        <f>IF(VLOOKUP($B112,Table2[[prolific]:[feedbackTime]],22,FALSE)=VLOOKUP(W$1,Table1[],2,FALSE),1,0)</f>
        <v>1</v>
      </c>
      <c r="X112" s="5">
        <f t="shared" si="47"/>
        <v>5</v>
      </c>
      <c r="Y112" s="7">
        <f t="shared" si="48"/>
        <v>0.625</v>
      </c>
      <c r="Z112" s="5">
        <f>IF(VLOOKUP($B112,Table2[[prolific]:[feedbackTime]],23,FALSE)=VLOOKUP(Z$1,Table1[],2,FALSE),1,0)</f>
        <v>1</v>
      </c>
      <c r="AA112" s="5">
        <f>IF(VLOOKUP($B112,Table2[[prolific]:[feedbackTime]],24,FALSE)=VLOOKUP(AA$1,Table1[],2,FALSE),1,0)</f>
        <v>0</v>
      </c>
      <c r="AB112" s="5">
        <f>IF(VLOOKUP($B112,Table2[[prolific]:[feedbackTime]],25,FALSE)=VLOOKUP(AB$1,Table1[],2,FALSE),1,0)</f>
        <v>1</v>
      </c>
      <c r="AC112" s="5">
        <f>IF(VLOOKUP($B112,Table2[[prolific]:[feedbackTime]],26,FALSE)=VLOOKUP(AC$1,Table1[],2,FALSE),1,0)</f>
        <v>0</v>
      </c>
      <c r="AD112" s="5">
        <f>IF(VLOOKUP($B112,Table2[[prolific]:[feedbackTime]],27,FALSE)=VLOOKUP(AD$1,Table1[],2,FALSE),1,0)</f>
        <v>1</v>
      </c>
      <c r="AE112" s="5">
        <f>IF(VLOOKUP($B112,Table2[[prolific]:[feedbackTime]],28,FALSE)=VLOOKUP(AE$1,Table1[],2,FALSE),1,0)</f>
        <v>0</v>
      </c>
      <c r="AF112" s="5">
        <f>IF(VLOOKUP($B112,Table2[[prolific]:[feedbackTime]],29,FALSE)=VLOOKUP(AF$1,Table1[],2,FALSE),1,0)</f>
        <v>1</v>
      </c>
      <c r="AG112" s="5">
        <f>IF(VLOOKUP($B112,Table2[[prolific]:[feedbackTime]],30,FALSE)=VLOOKUP(AG$1,Table1[],2,FALSE),1,0)</f>
        <v>1</v>
      </c>
      <c r="AH112" s="5">
        <f t="shared" si="49"/>
        <v>5</v>
      </c>
      <c r="AI112" s="7">
        <f t="shared" si="50"/>
        <v>0.625</v>
      </c>
      <c r="AJ112" s="7">
        <f t="shared" si="51"/>
        <v>0.59090909090909094</v>
      </c>
      <c r="AK112" s="5">
        <f t="shared" si="52"/>
        <v>13</v>
      </c>
    </row>
    <row r="113" spans="1:37" x14ac:dyDescent="0.25">
      <c r="A113">
        <f t="shared" si="53"/>
        <v>1</v>
      </c>
      <c r="B113" s="5" t="s">
        <v>1095</v>
      </c>
      <c r="C113" s="5">
        <f>IF(VLOOKUP($B113,Table2[[prolific]:[feedbackTime]],6,FALSE)=VLOOKUP(C$1,Table1[],2,FALSE),1,0)</f>
        <v>1</v>
      </c>
      <c r="D113" s="5">
        <f>IF(VLOOKUP($B113,Table2[[prolific]:[feedbackTime]],7,FALSE)=VLOOKUP(D$1,Table1[],2,FALSE),1,0)</f>
        <v>1</v>
      </c>
      <c r="E113" s="5">
        <f>IF(VLOOKUP($B113,Table2[[prolific]:[feedbackTime]],8,FALSE)=VLOOKUP(E$1,Table1[],2,FALSE),1,0)</f>
        <v>1</v>
      </c>
      <c r="F113" s="5">
        <f t="shared" si="43"/>
        <v>3</v>
      </c>
      <c r="G113" s="7">
        <f t="shared" si="44"/>
        <v>1</v>
      </c>
      <c r="H113" s="5">
        <f>IF(VLOOKUP($B113,Table2[[prolific]:[feedbackTime]],9,FALSE)=VLOOKUP(H$1,Table1[],2,FALSE),1,0)</f>
        <v>1</v>
      </c>
      <c r="I113" s="5">
        <f>IF(VLOOKUP($B113,Table2[[prolific]:[feedbackTime]],10,FALSE)=VLOOKUP(I$1,Table1[],2,FALSE),1,0)</f>
        <v>1</v>
      </c>
      <c r="J113" s="5">
        <f>IF(VLOOKUP($B113,Table2[[prolific]:[feedbackTime]],11,FALSE)=VLOOKUP(J$1,Table1[],2,FALSE),1,0)</f>
        <v>1</v>
      </c>
      <c r="K113" s="5">
        <f>IF(VLOOKUP($B113,Table2[[prolific]:[feedbackTime]],12,FALSE)=VLOOKUP(K$1,Table1[],2,FALSE),1,0)</f>
        <v>1</v>
      </c>
      <c r="L113" s="5">
        <f>IF(VLOOKUP($B113,Table2[[prolific]:[feedbackTime]],13,FALSE)=VLOOKUP(L$1,Table1[],2,FALSE),1,0)</f>
        <v>1</v>
      </c>
      <c r="M113" s="5">
        <f>IF(VLOOKUP($B113,Table2[[prolific]:[feedbackTime]],14,FALSE)=VLOOKUP(M$1,Table1[],2,FALSE),1,0)</f>
        <v>1</v>
      </c>
      <c r="N113" s="5">
        <f t="shared" si="45"/>
        <v>6</v>
      </c>
      <c r="O113" s="7">
        <f t="shared" si="46"/>
        <v>1</v>
      </c>
      <c r="P113" s="5">
        <f>IF(VLOOKUP($B113,Table2[[prolific]:[feedbackTime]],15,FALSE)=VLOOKUP(P$1,Table1[],2,FALSE),1,0)</f>
        <v>1</v>
      </c>
      <c r="Q113" s="5">
        <f>IF(VLOOKUP($B113,Table2[[prolific]:[feedbackTime]],16,FALSE)=VLOOKUP(Q$1,Table1[],2,FALSE),1,0)</f>
        <v>1</v>
      </c>
      <c r="R113" s="5">
        <f>IF(VLOOKUP($B113,Table2[[prolific]:[feedbackTime]],17,FALSE)=VLOOKUP(R$1,Table1[],2,FALSE),1,0)</f>
        <v>0</v>
      </c>
      <c r="S113" s="5">
        <f>IF(VLOOKUP($B113,Table2[[prolific]:[feedbackTime]],18,FALSE)=VLOOKUP(S$1,Table1[],2,FALSE),1,0)</f>
        <v>0</v>
      </c>
      <c r="T113" s="5">
        <f>IF(VLOOKUP($B113,Table2[[prolific]:[feedbackTime]],19,FALSE)=VLOOKUP(T$1,Table1[],2,FALSE),1,0)</f>
        <v>1</v>
      </c>
      <c r="U113" s="5">
        <f>IF(VLOOKUP($B113,Table2[[prolific]:[feedbackTime]],20,FALSE)=VLOOKUP(U$1,Table1[],2,FALSE),1,0)</f>
        <v>1</v>
      </c>
      <c r="V113" s="5">
        <f>IF(VLOOKUP($B113,Table2[[prolific]:[feedbackTime]],21,FALSE)=VLOOKUP(V$1,Table1[],2,FALSE),1,0)</f>
        <v>0</v>
      </c>
      <c r="W113" s="5">
        <f>IF(VLOOKUP($B113,Table2[[prolific]:[feedbackTime]],22,FALSE)=VLOOKUP(W$1,Table1[],2,FALSE),1,0)</f>
        <v>1</v>
      </c>
      <c r="X113" s="5">
        <f t="shared" si="47"/>
        <v>5</v>
      </c>
      <c r="Y113" s="7">
        <f t="shared" si="48"/>
        <v>0.625</v>
      </c>
      <c r="Z113" s="5">
        <f>IF(VLOOKUP($B113,Table2[[prolific]:[feedbackTime]],23,FALSE)=VLOOKUP(Z$1,Table1[],2,FALSE),1,0)</f>
        <v>1</v>
      </c>
      <c r="AA113" s="5">
        <f>IF(VLOOKUP($B113,Table2[[prolific]:[feedbackTime]],24,FALSE)=VLOOKUP(AA$1,Table1[],2,FALSE),1,0)</f>
        <v>1</v>
      </c>
      <c r="AB113" s="5">
        <f>IF(VLOOKUP($B113,Table2[[prolific]:[feedbackTime]],25,FALSE)=VLOOKUP(AB$1,Table1[],2,FALSE),1,0)</f>
        <v>1</v>
      </c>
      <c r="AC113" s="5">
        <f>IF(VLOOKUP($B113,Table2[[prolific]:[feedbackTime]],26,FALSE)=VLOOKUP(AC$1,Table1[],2,FALSE),1,0)</f>
        <v>0</v>
      </c>
      <c r="AD113" s="5">
        <f>IF(VLOOKUP($B113,Table2[[prolific]:[feedbackTime]],27,FALSE)=VLOOKUP(AD$1,Table1[],2,FALSE),1,0)</f>
        <v>0</v>
      </c>
      <c r="AE113" s="5">
        <f>IF(VLOOKUP($B113,Table2[[prolific]:[feedbackTime]],28,FALSE)=VLOOKUP(AE$1,Table1[],2,FALSE),1,0)</f>
        <v>1</v>
      </c>
      <c r="AF113" s="5">
        <f>IF(VLOOKUP($B113,Table2[[prolific]:[feedbackTime]],29,FALSE)=VLOOKUP(AF$1,Table1[],2,FALSE),1,0)</f>
        <v>1</v>
      </c>
      <c r="AG113" s="5">
        <f>IF(VLOOKUP($B113,Table2[[prolific]:[feedbackTime]],30,FALSE)=VLOOKUP(AG$1,Table1[],2,FALSE),1,0)</f>
        <v>1</v>
      </c>
      <c r="AH113" s="5">
        <f t="shared" si="49"/>
        <v>6</v>
      </c>
      <c r="AI113" s="7">
        <f t="shared" si="50"/>
        <v>0.75</v>
      </c>
      <c r="AJ113" s="7">
        <f t="shared" si="51"/>
        <v>0.77272727272727271</v>
      </c>
      <c r="AK113" s="5">
        <f t="shared" si="52"/>
        <v>17</v>
      </c>
    </row>
    <row r="114" spans="1:37" x14ac:dyDescent="0.25">
      <c r="A114">
        <f t="shared" si="53"/>
        <v>1</v>
      </c>
      <c r="B114" s="5" t="s">
        <v>1236</v>
      </c>
      <c r="C114" s="5" t="e">
        <f>IF(VLOOKUP($B114,Table2[[prolific]:[feedbackTime]],6,FALSE)=VLOOKUP(C$1,Table1[],2,FALSE),1,0)</f>
        <v>#N/A</v>
      </c>
      <c r="D114" s="5" t="e">
        <f>IF(VLOOKUP($B114,Table2[[prolific]:[feedbackTime]],7,FALSE)=VLOOKUP(D$1,Table1[],2,FALSE),1,0)</f>
        <v>#N/A</v>
      </c>
      <c r="E114" s="5" t="e">
        <f>IF(VLOOKUP($B114,Table2[[prolific]:[feedbackTime]],8,FALSE)=VLOOKUP(E$1,Table1[],2,FALSE),1,0)</f>
        <v>#N/A</v>
      </c>
      <c r="F114" s="5" t="e">
        <f t="shared" si="43"/>
        <v>#N/A</v>
      </c>
      <c r="G114" s="7" t="e">
        <f t="shared" si="44"/>
        <v>#N/A</v>
      </c>
      <c r="H114" s="5" t="e">
        <f>IF(VLOOKUP($B114,Table2[[prolific]:[feedbackTime]],9,FALSE)=VLOOKUP(H$1,Table1[],2,FALSE),1,0)</f>
        <v>#N/A</v>
      </c>
      <c r="I114" s="5" t="e">
        <f>IF(VLOOKUP($B114,Table2[[prolific]:[feedbackTime]],10,FALSE)=VLOOKUP(I$1,Table1[],2,FALSE),1,0)</f>
        <v>#N/A</v>
      </c>
      <c r="J114" s="5" t="e">
        <f>IF(VLOOKUP($B114,Table2[[prolific]:[feedbackTime]],11,FALSE)=VLOOKUP(J$1,Table1[],2,FALSE),1,0)</f>
        <v>#N/A</v>
      </c>
      <c r="K114" s="5" t="e">
        <f>IF(VLOOKUP($B114,Table2[[prolific]:[feedbackTime]],12,FALSE)=VLOOKUP(K$1,Table1[],2,FALSE),1,0)</f>
        <v>#N/A</v>
      </c>
      <c r="L114" s="5" t="e">
        <f>IF(VLOOKUP($B114,Table2[[prolific]:[feedbackTime]],13,FALSE)=VLOOKUP(L$1,Table1[],2,FALSE),1,0)</f>
        <v>#N/A</v>
      </c>
      <c r="M114" s="5" t="e">
        <f>IF(VLOOKUP($B114,Table2[[prolific]:[feedbackTime]],14,FALSE)=VLOOKUP(M$1,Table1[],2,FALSE),1,0)</f>
        <v>#N/A</v>
      </c>
      <c r="N114" s="5" t="e">
        <f t="shared" si="45"/>
        <v>#N/A</v>
      </c>
      <c r="O114" s="7" t="e">
        <f t="shared" si="46"/>
        <v>#N/A</v>
      </c>
      <c r="P114" s="5" t="e">
        <f>IF(VLOOKUP($B114,Table2[[prolific]:[feedbackTime]],15,FALSE)=VLOOKUP(P$1,Table1[],2,FALSE),1,0)</f>
        <v>#N/A</v>
      </c>
      <c r="Q114" s="5" t="e">
        <f>IF(VLOOKUP($B114,Table2[[prolific]:[feedbackTime]],16,FALSE)=VLOOKUP(Q$1,Table1[],2,FALSE),1,0)</f>
        <v>#N/A</v>
      </c>
      <c r="R114" s="5" t="e">
        <f>IF(VLOOKUP($B114,Table2[[prolific]:[feedbackTime]],17,FALSE)=VLOOKUP(R$1,Table1[],2,FALSE),1,0)</f>
        <v>#N/A</v>
      </c>
      <c r="S114" s="5" t="e">
        <f>IF(VLOOKUP($B114,Table2[[prolific]:[feedbackTime]],18,FALSE)=VLOOKUP(S$1,Table1[],2,FALSE),1,0)</f>
        <v>#N/A</v>
      </c>
      <c r="T114" s="5" t="e">
        <f>IF(VLOOKUP($B114,Table2[[prolific]:[feedbackTime]],19,FALSE)=VLOOKUP(T$1,Table1[],2,FALSE),1,0)</f>
        <v>#N/A</v>
      </c>
      <c r="U114" s="5" t="e">
        <f>IF(VLOOKUP($B114,Table2[[prolific]:[feedbackTime]],20,FALSE)=VLOOKUP(U$1,Table1[],2,FALSE),1,0)</f>
        <v>#N/A</v>
      </c>
      <c r="V114" s="5" t="e">
        <f>IF(VLOOKUP($B114,Table2[[prolific]:[feedbackTime]],21,FALSE)=VLOOKUP(V$1,Table1[],2,FALSE),1,0)</f>
        <v>#N/A</v>
      </c>
      <c r="W114" s="5" t="e">
        <f>IF(VLOOKUP($B114,Table2[[prolific]:[feedbackTime]],22,FALSE)=VLOOKUP(W$1,Table1[],2,FALSE),1,0)</f>
        <v>#N/A</v>
      </c>
      <c r="X114" s="5" t="e">
        <f t="shared" si="47"/>
        <v>#N/A</v>
      </c>
      <c r="Y114" s="7" t="e">
        <f t="shared" si="48"/>
        <v>#N/A</v>
      </c>
      <c r="Z114" s="5" t="e">
        <f>IF(VLOOKUP($B114,Table2[[prolific]:[feedbackTime]],23,FALSE)=VLOOKUP(Z$1,Table1[],2,FALSE),1,0)</f>
        <v>#N/A</v>
      </c>
      <c r="AA114" s="5" t="e">
        <f>IF(VLOOKUP($B114,Table2[[prolific]:[feedbackTime]],24,FALSE)=VLOOKUP(AA$1,Table1[],2,FALSE),1,0)</f>
        <v>#N/A</v>
      </c>
      <c r="AB114" s="5" t="e">
        <f>IF(VLOOKUP($B114,Table2[[prolific]:[feedbackTime]],25,FALSE)=VLOOKUP(AB$1,Table1[],2,FALSE),1,0)</f>
        <v>#N/A</v>
      </c>
      <c r="AC114" s="5" t="e">
        <f>IF(VLOOKUP($B114,Table2[[prolific]:[feedbackTime]],26,FALSE)=VLOOKUP(AC$1,Table1[],2,FALSE),1,0)</f>
        <v>#N/A</v>
      </c>
      <c r="AD114" s="5" t="e">
        <f>IF(VLOOKUP($B114,Table2[[prolific]:[feedbackTime]],27,FALSE)=VLOOKUP(AD$1,Table1[],2,FALSE),1,0)</f>
        <v>#N/A</v>
      </c>
      <c r="AE114" s="5" t="e">
        <f>IF(VLOOKUP($B114,Table2[[prolific]:[feedbackTime]],28,FALSE)=VLOOKUP(AE$1,Table1[],2,FALSE),1,0)</f>
        <v>#N/A</v>
      </c>
      <c r="AF114" s="5" t="e">
        <f>IF(VLOOKUP($B114,Table2[[prolific]:[feedbackTime]],29,FALSE)=VLOOKUP(AF$1,Table1[],2,FALSE),1,0)</f>
        <v>#N/A</v>
      </c>
      <c r="AG114" s="5" t="e">
        <f>IF(VLOOKUP($B114,Table2[[prolific]:[feedbackTime]],30,FALSE)=VLOOKUP(AG$1,Table1[],2,FALSE),1,0)</f>
        <v>#N/A</v>
      </c>
      <c r="AH114" s="5" t="e">
        <f t="shared" si="49"/>
        <v>#N/A</v>
      </c>
      <c r="AI114" s="7" t="e">
        <f t="shared" si="50"/>
        <v>#N/A</v>
      </c>
      <c r="AJ114" s="7" t="e">
        <f t="shared" si="51"/>
        <v>#N/A</v>
      </c>
      <c r="AK114" s="5" t="e">
        <f t="shared" si="52"/>
        <v>#N/A</v>
      </c>
    </row>
    <row r="115" spans="1:37" x14ac:dyDescent="0.25">
      <c r="A115">
        <f t="shared" si="53"/>
        <v>1</v>
      </c>
      <c r="B115" s="5" t="s">
        <v>1096</v>
      </c>
      <c r="C115" s="5">
        <f>IF(VLOOKUP($B115,Table2[[prolific]:[feedbackTime]],6,FALSE)=VLOOKUP(C$1,Table1[],2,FALSE),1,0)</f>
        <v>1</v>
      </c>
      <c r="D115" s="5">
        <f>IF(VLOOKUP($B115,Table2[[prolific]:[feedbackTime]],7,FALSE)=VLOOKUP(D$1,Table1[],2,FALSE),1,0)</f>
        <v>1</v>
      </c>
      <c r="E115" s="5">
        <f>IF(VLOOKUP($B115,Table2[[prolific]:[feedbackTime]],8,FALSE)=VLOOKUP(E$1,Table1[],2,FALSE),1,0)</f>
        <v>1</v>
      </c>
      <c r="F115" s="5">
        <f t="shared" si="43"/>
        <v>3</v>
      </c>
      <c r="G115" s="7">
        <f t="shared" si="44"/>
        <v>1</v>
      </c>
      <c r="H115" s="5">
        <f>IF(VLOOKUP($B115,Table2[[prolific]:[feedbackTime]],9,FALSE)=VLOOKUP(H$1,Table1[],2,FALSE),1,0)</f>
        <v>1</v>
      </c>
      <c r="I115" s="5">
        <f>IF(VLOOKUP($B115,Table2[[prolific]:[feedbackTime]],10,FALSE)=VLOOKUP(I$1,Table1[],2,FALSE),1,0)</f>
        <v>0</v>
      </c>
      <c r="J115" s="5">
        <f>IF(VLOOKUP($B115,Table2[[prolific]:[feedbackTime]],11,FALSE)=VLOOKUP(J$1,Table1[],2,FALSE),1,0)</f>
        <v>0</v>
      </c>
      <c r="K115" s="5">
        <f>IF(VLOOKUP($B115,Table2[[prolific]:[feedbackTime]],12,FALSE)=VLOOKUP(K$1,Table1[],2,FALSE),1,0)</f>
        <v>1</v>
      </c>
      <c r="L115" s="5">
        <f>IF(VLOOKUP($B115,Table2[[prolific]:[feedbackTime]],13,FALSE)=VLOOKUP(L$1,Table1[],2,FALSE),1,0)</f>
        <v>0</v>
      </c>
      <c r="M115" s="5">
        <f>IF(VLOOKUP($B115,Table2[[prolific]:[feedbackTime]],14,FALSE)=VLOOKUP(M$1,Table1[],2,FALSE),1,0)</f>
        <v>0</v>
      </c>
      <c r="N115" s="5">
        <f t="shared" si="45"/>
        <v>2</v>
      </c>
      <c r="O115" s="7">
        <f t="shared" si="46"/>
        <v>0.33333333333333331</v>
      </c>
      <c r="P115" s="5">
        <f>IF(VLOOKUP($B115,Table2[[prolific]:[feedbackTime]],15,FALSE)=VLOOKUP(P$1,Table1[],2,FALSE),1,0)</f>
        <v>1</v>
      </c>
      <c r="Q115" s="5">
        <f>IF(VLOOKUP($B115,Table2[[prolific]:[feedbackTime]],16,FALSE)=VLOOKUP(Q$1,Table1[],2,FALSE),1,0)</f>
        <v>1</v>
      </c>
      <c r="R115" s="5">
        <f>IF(VLOOKUP($B115,Table2[[prolific]:[feedbackTime]],17,FALSE)=VLOOKUP(R$1,Table1[],2,FALSE),1,0)</f>
        <v>1</v>
      </c>
      <c r="S115" s="5">
        <f>IF(VLOOKUP($B115,Table2[[prolific]:[feedbackTime]],18,FALSE)=VLOOKUP(S$1,Table1[],2,FALSE),1,0)</f>
        <v>1</v>
      </c>
      <c r="T115" s="5">
        <f>IF(VLOOKUP($B115,Table2[[prolific]:[feedbackTime]],19,FALSE)=VLOOKUP(T$1,Table1[],2,FALSE),1,0)</f>
        <v>1</v>
      </c>
      <c r="U115" s="5">
        <f>IF(VLOOKUP($B115,Table2[[prolific]:[feedbackTime]],20,FALSE)=VLOOKUP(U$1,Table1[],2,FALSE),1,0)</f>
        <v>1</v>
      </c>
      <c r="V115" s="5">
        <f>IF(VLOOKUP($B115,Table2[[prolific]:[feedbackTime]],21,FALSE)=VLOOKUP(V$1,Table1[],2,FALSE),1,0)</f>
        <v>0</v>
      </c>
      <c r="W115" s="5">
        <f>IF(VLOOKUP($B115,Table2[[prolific]:[feedbackTime]],22,FALSE)=VLOOKUP(W$1,Table1[],2,FALSE),1,0)</f>
        <v>0</v>
      </c>
      <c r="X115" s="5">
        <f t="shared" si="47"/>
        <v>6</v>
      </c>
      <c r="Y115" s="7">
        <f t="shared" si="48"/>
        <v>0.75</v>
      </c>
      <c r="Z115" s="5">
        <f>IF(VLOOKUP($B115,Table2[[prolific]:[feedbackTime]],23,FALSE)=VLOOKUP(Z$1,Table1[],2,FALSE),1,0)</f>
        <v>1</v>
      </c>
      <c r="AA115" s="5">
        <f>IF(VLOOKUP($B115,Table2[[prolific]:[feedbackTime]],24,FALSE)=VLOOKUP(AA$1,Table1[],2,FALSE),1,0)</f>
        <v>0</v>
      </c>
      <c r="AB115" s="5">
        <f>IF(VLOOKUP($B115,Table2[[prolific]:[feedbackTime]],25,FALSE)=VLOOKUP(AB$1,Table1[],2,FALSE),1,0)</f>
        <v>1</v>
      </c>
      <c r="AC115" s="5">
        <f>IF(VLOOKUP($B115,Table2[[prolific]:[feedbackTime]],26,FALSE)=VLOOKUP(AC$1,Table1[],2,FALSE),1,0)</f>
        <v>1</v>
      </c>
      <c r="AD115" s="5">
        <f>IF(VLOOKUP($B115,Table2[[prolific]:[feedbackTime]],27,FALSE)=VLOOKUP(AD$1,Table1[],2,FALSE),1,0)</f>
        <v>0</v>
      </c>
      <c r="AE115" s="5">
        <f>IF(VLOOKUP($B115,Table2[[prolific]:[feedbackTime]],28,FALSE)=VLOOKUP(AE$1,Table1[],2,FALSE),1,0)</f>
        <v>1</v>
      </c>
      <c r="AF115" s="5">
        <f>IF(VLOOKUP($B115,Table2[[prolific]:[feedbackTime]],29,FALSE)=VLOOKUP(AF$1,Table1[],2,FALSE),1,0)</f>
        <v>1</v>
      </c>
      <c r="AG115" s="5">
        <f>IF(VLOOKUP($B115,Table2[[prolific]:[feedbackTime]],30,FALSE)=VLOOKUP(AG$1,Table1[],2,FALSE),1,0)</f>
        <v>1</v>
      </c>
      <c r="AH115" s="5">
        <f t="shared" si="49"/>
        <v>6</v>
      </c>
      <c r="AI115" s="7">
        <f t="shared" si="50"/>
        <v>0.75</v>
      </c>
      <c r="AJ115" s="7">
        <f t="shared" si="51"/>
        <v>0.63636363636363635</v>
      </c>
      <c r="AK115" s="5">
        <f t="shared" si="52"/>
        <v>14</v>
      </c>
    </row>
    <row r="116" spans="1:37" x14ac:dyDescent="0.25">
      <c r="A116">
        <f t="shared" si="53"/>
        <v>1</v>
      </c>
      <c r="B116" s="5" t="s">
        <v>1097</v>
      </c>
      <c r="C116" s="5">
        <f>IF(VLOOKUP($B116,Table2[[prolific]:[feedbackTime]],6,FALSE)=VLOOKUP(C$1,Table1[],2,FALSE),1,0)</f>
        <v>1</v>
      </c>
      <c r="D116" s="5">
        <f>IF(VLOOKUP($B116,Table2[[prolific]:[feedbackTime]],7,FALSE)=VLOOKUP(D$1,Table1[],2,FALSE),1,0)</f>
        <v>1</v>
      </c>
      <c r="E116" s="5">
        <f>IF(VLOOKUP($B116,Table2[[prolific]:[feedbackTime]],8,FALSE)=VLOOKUP(E$1,Table1[],2,FALSE),1,0)</f>
        <v>1</v>
      </c>
      <c r="F116" s="5">
        <f t="shared" si="43"/>
        <v>3</v>
      </c>
      <c r="G116" s="7">
        <f t="shared" si="44"/>
        <v>1</v>
      </c>
      <c r="H116" s="5">
        <f>IF(VLOOKUP($B116,Table2[[prolific]:[feedbackTime]],9,FALSE)=VLOOKUP(H$1,Table1[],2,FALSE),1,0)</f>
        <v>1</v>
      </c>
      <c r="I116" s="5">
        <f>IF(VLOOKUP($B116,Table2[[prolific]:[feedbackTime]],10,FALSE)=VLOOKUP(I$1,Table1[],2,FALSE),1,0)</f>
        <v>1</v>
      </c>
      <c r="J116" s="5">
        <f>IF(VLOOKUP($B116,Table2[[prolific]:[feedbackTime]],11,FALSE)=VLOOKUP(J$1,Table1[],2,FALSE),1,0)</f>
        <v>1</v>
      </c>
      <c r="K116" s="5">
        <f>IF(VLOOKUP($B116,Table2[[prolific]:[feedbackTime]],12,FALSE)=VLOOKUP(K$1,Table1[],2,FALSE),1,0)</f>
        <v>1</v>
      </c>
      <c r="L116" s="5">
        <f>IF(VLOOKUP($B116,Table2[[prolific]:[feedbackTime]],13,FALSE)=VLOOKUP(L$1,Table1[],2,FALSE),1,0)</f>
        <v>1</v>
      </c>
      <c r="M116" s="5">
        <f>IF(VLOOKUP($B116,Table2[[prolific]:[feedbackTime]],14,FALSE)=VLOOKUP(M$1,Table1[],2,FALSE),1,0)</f>
        <v>1</v>
      </c>
      <c r="N116" s="5">
        <f t="shared" si="45"/>
        <v>6</v>
      </c>
      <c r="O116" s="7">
        <f t="shared" si="46"/>
        <v>1</v>
      </c>
      <c r="P116" s="5">
        <f>IF(VLOOKUP($B116,Table2[[prolific]:[feedbackTime]],15,FALSE)=VLOOKUP(P$1,Table1[],2,FALSE),1,0)</f>
        <v>1</v>
      </c>
      <c r="Q116" s="5">
        <f>IF(VLOOKUP($B116,Table2[[prolific]:[feedbackTime]],16,FALSE)=VLOOKUP(Q$1,Table1[],2,FALSE),1,0)</f>
        <v>1</v>
      </c>
      <c r="R116" s="5">
        <f>IF(VLOOKUP($B116,Table2[[prolific]:[feedbackTime]],17,FALSE)=VLOOKUP(R$1,Table1[],2,FALSE),1,0)</f>
        <v>1</v>
      </c>
      <c r="S116" s="5">
        <f>IF(VLOOKUP($B116,Table2[[prolific]:[feedbackTime]],18,FALSE)=VLOOKUP(S$1,Table1[],2,FALSE),1,0)</f>
        <v>1</v>
      </c>
      <c r="T116" s="5">
        <f>IF(VLOOKUP($B116,Table2[[prolific]:[feedbackTime]],19,FALSE)=VLOOKUP(T$1,Table1[],2,FALSE),1,0)</f>
        <v>1</v>
      </c>
      <c r="U116" s="5">
        <f>IF(VLOOKUP($B116,Table2[[prolific]:[feedbackTime]],20,FALSE)=VLOOKUP(U$1,Table1[],2,FALSE),1,0)</f>
        <v>1</v>
      </c>
      <c r="V116" s="5">
        <f>IF(VLOOKUP($B116,Table2[[prolific]:[feedbackTime]],21,FALSE)=VLOOKUP(V$1,Table1[],2,FALSE),1,0)</f>
        <v>0</v>
      </c>
      <c r="W116" s="5">
        <f>IF(VLOOKUP($B116,Table2[[prolific]:[feedbackTime]],22,FALSE)=VLOOKUP(W$1,Table1[],2,FALSE),1,0)</f>
        <v>1</v>
      </c>
      <c r="X116" s="5">
        <f t="shared" si="47"/>
        <v>7</v>
      </c>
      <c r="Y116" s="7">
        <f t="shared" si="48"/>
        <v>0.875</v>
      </c>
      <c r="Z116" s="5">
        <f>IF(VLOOKUP($B116,Table2[[prolific]:[feedbackTime]],23,FALSE)=VLOOKUP(Z$1,Table1[],2,FALSE),1,0)</f>
        <v>1</v>
      </c>
      <c r="AA116" s="5">
        <f>IF(VLOOKUP($B116,Table2[[prolific]:[feedbackTime]],24,FALSE)=VLOOKUP(AA$1,Table1[],2,FALSE),1,0)</f>
        <v>0</v>
      </c>
      <c r="AB116" s="5">
        <f>IF(VLOOKUP($B116,Table2[[prolific]:[feedbackTime]],25,FALSE)=VLOOKUP(AB$1,Table1[],2,FALSE),1,0)</f>
        <v>1</v>
      </c>
      <c r="AC116" s="5">
        <f>IF(VLOOKUP($B116,Table2[[prolific]:[feedbackTime]],26,FALSE)=VLOOKUP(AC$1,Table1[],2,FALSE),1,0)</f>
        <v>1</v>
      </c>
      <c r="AD116" s="5">
        <f>IF(VLOOKUP($B116,Table2[[prolific]:[feedbackTime]],27,FALSE)=VLOOKUP(AD$1,Table1[],2,FALSE),1,0)</f>
        <v>0</v>
      </c>
      <c r="AE116" s="5">
        <f>IF(VLOOKUP($B116,Table2[[prolific]:[feedbackTime]],28,FALSE)=VLOOKUP(AE$1,Table1[],2,FALSE),1,0)</f>
        <v>0</v>
      </c>
      <c r="AF116" s="5">
        <f>IF(VLOOKUP($B116,Table2[[prolific]:[feedbackTime]],29,FALSE)=VLOOKUP(AF$1,Table1[],2,FALSE),1,0)</f>
        <v>1</v>
      </c>
      <c r="AG116" s="5">
        <f>IF(VLOOKUP($B116,Table2[[prolific]:[feedbackTime]],30,FALSE)=VLOOKUP(AG$1,Table1[],2,FALSE),1,0)</f>
        <v>1</v>
      </c>
      <c r="AH116" s="5">
        <f t="shared" si="49"/>
        <v>5</v>
      </c>
      <c r="AI116" s="7">
        <f t="shared" si="50"/>
        <v>0.625</v>
      </c>
      <c r="AJ116" s="7">
        <f t="shared" si="51"/>
        <v>0.81818181818181823</v>
      </c>
      <c r="AK116" s="5">
        <f t="shared" si="52"/>
        <v>18</v>
      </c>
    </row>
    <row r="117" spans="1:37" x14ac:dyDescent="0.25">
      <c r="A117">
        <f t="shared" si="53"/>
        <v>1</v>
      </c>
      <c r="B117" s="5" t="s">
        <v>1098</v>
      </c>
      <c r="C117" s="5">
        <f>IF(VLOOKUP($B117,Table2[[prolific]:[feedbackTime]],6,FALSE)=VLOOKUP(C$1,Table1[],2,FALSE),1,0)</f>
        <v>1</v>
      </c>
      <c r="D117" s="5">
        <f>IF(VLOOKUP($B117,Table2[[prolific]:[feedbackTime]],7,FALSE)=VLOOKUP(D$1,Table1[],2,FALSE),1,0)</f>
        <v>1</v>
      </c>
      <c r="E117" s="5">
        <f>IF(VLOOKUP($B117,Table2[[prolific]:[feedbackTime]],8,FALSE)=VLOOKUP(E$1,Table1[],2,FALSE),1,0)</f>
        <v>1</v>
      </c>
      <c r="F117" s="5">
        <f t="shared" si="43"/>
        <v>3</v>
      </c>
      <c r="G117" s="7">
        <f t="shared" si="44"/>
        <v>1</v>
      </c>
      <c r="H117" s="5">
        <f>IF(VLOOKUP($B117,Table2[[prolific]:[feedbackTime]],9,FALSE)=VLOOKUP(H$1,Table1[],2,FALSE),1,0)</f>
        <v>1</v>
      </c>
      <c r="I117" s="5">
        <f>IF(VLOOKUP($B117,Table2[[prolific]:[feedbackTime]],10,FALSE)=VLOOKUP(I$1,Table1[],2,FALSE),1,0)</f>
        <v>1</v>
      </c>
      <c r="J117" s="5">
        <f>IF(VLOOKUP($B117,Table2[[prolific]:[feedbackTime]],11,FALSE)=VLOOKUP(J$1,Table1[],2,FALSE),1,0)</f>
        <v>1</v>
      </c>
      <c r="K117" s="5">
        <f>IF(VLOOKUP($B117,Table2[[prolific]:[feedbackTime]],12,FALSE)=VLOOKUP(K$1,Table1[],2,FALSE),1,0)</f>
        <v>1</v>
      </c>
      <c r="L117" s="5">
        <f>IF(VLOOKUP($B117,Table2[[prolific]:[feedbackTime]],13,FALSE)=VLOOKUP(L$1,Table1[],2,FALSE),1,0)</f>
        <v>0</v>
      </c>
      <c r="M117" s="5">
        <f>IF(VLOOKUP($B117,Table2[[prolific]:[feedbackTime]],14,FALSE)=VLOOKUP(M$1,Table1[],2,FALSE),1,0)</f>
        <v>0</v>
      </c>
      <c r="N117" s="5">
        <f t="shared" si="45"/>
        <v>4</v>
      </c>
      <c r="O117" s="7">
        <f t="shared" si="46"/>
        <v>0.66666666666666663</v>
      </c>
      <c r="P117" s="5">
        <f>IF(VLOOKUP($B117,Table2[[prolific]:[feedbackTime]],15,FALSE)=VLOOKUP(P$1,Table1[],2,FALSE),1,0)</f>
        <v>1</v>
      </c>
      <c r="Q117" s="5">
        <f>IF(VLOOKUP($B117,Table2[[prolific]:[feedbackTime]],16,FALSE)=VLOOKUP(Q$1,Table1[],2,FALSE),1,0)</f>
        <v>1</v>
      </c>
      <c r="R117" s="5">
        <f>IF(VLOOKUP($B117,Table2[[prolific]:[feedbackTime]],17,FALSE)=VLOOKUP(R$1,Table1[],2,FALSE),1,0)</f>
        <v>1</v>
      </c>
      <c r="S117" s="5">
        <f>IF(VLOOKUP($B117,Table2[[prolific]:[feedbackTime]],18,FALSE)=VLOOKUP(S$1,Table1[],2,FALSE),1,0)</f>
        <v>1</v>
      </c>
      <c r="T117" s="5">
        <f>IF(VLOOKUP($B117,Table2[[prolific]:[feedbackTime]],19,FALSE)=VLOOKUP(T$1,Table1[],2,FALSE),1,0)</f>
        <v>1</v>
      </c>
      <c r="U117" s="5">
        <f>IF(VLOOKUP($B117,Table2[[prolific]:[feedbackTime]],20,FALSE)=VLOOKUP(U$1,Table1[],2,FALSE),1,0)</f>
        <v>1</v>
      </c>
      <c r="V117" s="5">
        <f>IF(VLOOKUP($B117,Table2[[prolific]:[feedbackTime]],21,FALSE)=VLOOKUP(V$1,Table1[],2,FALSE),1,0)</f>
        <v>0</v>
      </c>
      <c r="W117" s="5">
        <f>IF(VLOOKUP($B117,Table2[[prolific]:[feedbackTime]],22,FALSE)=VLOOKUP(W$1,Table1[],2,FALSE),1,0)</f>
        <v>1</v>
      </c>
      <c r="X117" s="5">
        <f t="shared" si="47"/>
        <v>7</v>
      </c>
      <c r="Y117" s="7">
        <f t="shared" si="48"/>
        <v>0.875</v>
      </c>
      <c r="Z117" s="5">
        <f>IF(VLOOKUP($B117,Table2[[prolific]:[feedbackTime]],23,FALSE)=VLOOKUP(Z$1,Table1[],2,FALSE),1,0)</f>
        <v>1</v>
      </c>
      <c r="AA117" s="5">
        <f>IF(VLOOKUP($B117,Table2[[prolific]:[feedbackTime]],24,FALSE)=VLOOKUP(AA$1,Table1[],2,FALSE),1,0)</f>
        <v>0</v>
      </c>
      <c r="AB117" s="5">
        <f>IF(VLOOKUP($B117,Table2[[prolific]:[feedbackTime]],25,FALSE)=VLOOKUP(AB$1,Table1[],2,FALSE),1,0)</f>
        <v>1</v>
      </c>
      <c r="AC117" s="5">
        <f>IF(VLOOKUP($B117,Table2[[prolific]:[feedbackTime]],26,FALSE)=VLOOKUP(AC$1,Table1[],2,FALSE),1,0)</f>
        <v>1</v>
      </c>
      <c r="AD117" s="5">
        <f>IF(VLOOKUP($B117,Table2[[prolific]:[feedbackTime]],27,FALSE)=VLOOKUP(AD$1,Table1[],2,FALSE),1,0)</f>
        <v>0</v>
      </c>
      <c r="AE117" s="5">
        <f>IF(VLOOKUP($B117,Table2[[prolific]:[feedbackTime]],28,FALSE)=VLOOKUP(AE$1,Table1[],2,FALSE),1,0)</f>
        <v>1</v>
      </c>
      <c r="AF117" s="5">
        <f>IF(VLOOKUP($B117,Table2[[prolific]:[feedbackTime]],29,FALSE)=VLOOKUP(AF$1,Table1[],2,FALSE),1,0)</f>
        <v>1</v>
      </c>
      <c r="AG117" s="5">
        <f>IF(VLOOKUP($B117,Table2[[prolific]:[feedbackTime]],30,FALSE)=VLOOKUP(AG$1,Table1[],2,FALSE),1,0)</f>
        <v>1</v>
      </c>
      <c r="AH117" s="5">
        <f t="shared" si="49"/>
        <v>6</v>
      </c>
      <c r="AI117" s="7">
        <f t="shared" si="50"/>
        <v>0.75</v>
      </c>
      <c r="AJ117" s="7">
        <f t="shared" si="51"/>
        <v>0.77272727272727271</v>
      </c>
      <c r="AK117" s="5">
        <f t="shared" si="52"/>
        <v>17</v>
      </c>
    </row>
    <row r="118" spans="1:37" x14ac:dyDescent="0.25">
      <c r="A118">
        <f t="shared" si="53"/>
        <v>1</v>
      </c>
      <c r="B118" s="5" t="s">
        <v>1237</v>
      </c>
      <c r="C118" s="5" t="e">
        <f>IF(VLOOKUP($B118,Table2[[prolific]:[feedbackTime]],6,FALSE)=VLOOKUP(C$1,Table1[],2,FALSE),1,0)</f>
        <v>#N/A</v>
      </c>
      <c r="D118" s="5" t="e">
        <f>IF(VLOOKUP($B118,Table2[[prolific]:[feedbackTime]],7,FALSE)=VLOOKUP(D$1,Table1[],2,FALSE),1,0)</f>
        <v>#N/A</v>
      </c>
      <c r="E118" s="5" t="e">
        <f>IF(VLOOKUP($B118,Table2[[prolific]:[feedbackTime]],8,FALSE)=VLOOKUP(E$1,Table1[],2,FALSE),1,0)</f>
        <v>#N/A</v>
      </c>
      <c r="F118" s="5" t="e">
        <f t="shared" si="43"/>
        <v>#N/A</v>
      </c>
      <c r="G118" s="7" t="e">
        <f t="shared" si="44"/>
        <v>#N/A</v>
      </c>
      <c r="H118" s="5" t="e">
        <f>IF(VLOOKUP($B118,Table2[[prolific]:[feedbackTime]],9,FALSE)=VLOOKUP(H$1,Table1[],2,FALSE),1,0)</f>
        <v>#N/A</v>
      </c>
      <c r="I118" s="5" t="e">
        <f>IF(VLOOKUP($B118,Table2[[prolific]:[feedbackTime]],10,FALSE)=VLOOKUP(I$1,Table1[],2,FALSE),1,0)</f>
        <v>#N/A</v>
      </c>
      <c r="J118" s="5" t="e">
        <f>IF(VLOOKUP($B118,Table2[[prolific]:[feedbackTime]],11,FALSE)=VLOOKUP(J$1,Table1[],2,FALSE),1,0)</f>
        <v>#N/A</v>
      </c>
      <c r="K118" s="5" t="e">
        <f>IF(VLOOKUP($B118,Table2[[prolific]:[feedbackTime]],12,FALSE)=VLOOKUP(K$1,Table1[],2,FALSE),1,0)</f>
        <v>#N/A</v>
      </c>
      <c r="L118" s="5" t="e">
        <f>IF(VLOOKUP($B118,Table2[[prolific]:[feedbackTime]],13,FALSE)=VLOOKUP(L$1,Table1[],2,FALSE),1,0)</f>
        <v>#N/A</v>
      </c>
      <c r="M118" s="5" t="e">
        <f>IF(VLOOKUP($B118,Table2[[prolific]:[feedbackTime]],14,FALSE)=VLOOKUP(M$1,Table1[],2,FALSE),1,0)</f>
        <v>#N/A</v>
      </c>
      <c r="N118" s="5" t="e">
        <f t="shared" si="45"/>
        <v>#N/A</v>
      </c>
      <c r="O118" s="7" t="e">
        <f t="shared" si="46"/>
        <v>#N/A</v>
      </c>
      <c r="P118" s="5" t="e">
        <f>IF(VLOOKUP($B118,Table2[[prolific]:[feedbackTime]],15,FALSE)=VLOOKUP(P$1,Table1[],2,FALSE),1,0)</f>
        <v>#N/A</v>
      </c>
      <c r="Q118" s="5" t="e">
        <f>IF(VLOOKUP($B118,Table2[[prolific]:[feedbackTime]],16,FALSE)=VLOOKUP(Q$1,Table1[],2,FALSE),1,0)</f>
        <v>#N/A</v>
      </c>
      <c r="R118" s="5" t="e">
        <f>IF(VLOOKUP($B118,Table2[[prolific]:[feedbackTime]],17,FALSE)=VLOOKUP(R$1,Table1[],2,FALSE),1,0)</f>
        <v>#N/A</v>
      </c>
      <c r="S118" s="5" t="e">
        <f>IF(VLOOKUP($B118,Table2[[prolific]:[feedbackTime]],18,FALSE)=VLOOKUP(S$1,Table1[],2,FALSE),1,0)</f>
        <v>#N/A</v>
      </c>
      <c r="T118" s="5" t="e">
        <f>IF(VLOOKUP($B118,Table2[[prolific]:[feedbackTime]],19,FALSE)=VLOOKUP(T$1,Table1[],2,FALSE),1,0)</f>
        <v>#N/A</v>
      </c>
      <c r="U118" s="5" t="e">
        <f>IF(VLOOKUP($B118,Table2[[prolific]:[feedbackTime]],20,FALSE)=VLOOKUP(U$1,Table1[],2,FALSE),1,0)</f>
        <v>#N/A</v>
      </c>
      <c r="V118" s="5" t="e">
        <f>IF(VLOOKUP($B118,Table2[[prolific]:[feedbackTime]],21,FALSE)=VLOOKUP(V$1,Table1[],2,FALSE),1,0)</f>
        <v>#N/A</v>
      </c>
      <c r="W118" s="5" t="e">
        <f>IF(VLOOKUP($B118,Table2[[prolific]:[feedbackTime]],22,FALSE)=VLOOKUP(W$1,Table1[],2,FALSE),1,0)</f>
        <v>#N/A</v>
      </c>
      <c r="X118" s="5" t="e">
        <f t="shared" si="47"/>
        <v>#N/A</v>
      </c>
      <c r="Y118" s="7" t="e">
        <f t="shared" si="48"/>
        <v>#N/A</v>
      </c>
      <c r="Z118" s="5" t="e">
        <f>IF(VLOOKUP($B118,Table2[[prolific]:[feedbackTime]],23,FALSE)=VLOOKUP(Z$1,Table1[],2,FALSE),1,0)</f>
        <v>#N/A</v>
      </c>
      <c r="AA118" s="5" t="e">
        <f>IF(VLOOKUP($B118,Table2[[prolific]:[feedbackTime]],24,FALSE)=VLOOKUP(AA$1,Table1[],2,FALSE),1,0)</f>
        <v>#N/A</v>
      </c>
      <c r="AB118" s="5" t="e">
        <f>IF(VLOOKUP($B118,Table2[[prolific]:[feedbackTime]],25,FALSE)=VLOOKUP(AB$1,Table1[],2,FALSE),1,0)</f>
        <v>#N/A</v>
      </c>
      <c r="AC118" s="5" t="e">
        <f>IF(VLOOKUP($B118,Table2[[prolific]:[feedbackTime]],26,FALSE)=VLOOKUP(AC$1,Table1[],2,FALSE),1,0)</f>
        <v>#N/A</v>
      </c>
      <c r="AD118" s="5" t="e">
        <f>IF(VLOOKUP($B118,Table2[[prolific]:[feedbackTime]],27,FALSE)=VLOOKUP(AD$1,Table1[],2,FALSE),1,0)</f>
        <v>#N/A</v>
      </c>
      <c r="AE118" s="5" t="e">
        <f>IF(VLOOKUP($B118,Table2[[prolific]:[feedbackTime]],28,FALSE)=VLOOKUP(AE$1,Table1[],2,FALSE),1,0)</f>
        <v>#N/A</v>
      </c>
      <c r="AF118" s="5" t="e">
        <f>IF(VLOOKUP($B118,Table2[[prolific]:[feedbackTime]],29,FALSE)=VLOOKUP(AF$1,Table1[],2,FALSE),1,0)</f>
        <v>#N/A</v>
      </c>
      <c r="AG118" s="5" t="e">
        <f>IF(VLOOKUP($B118,Table2[[prolific]:[feedbackTime]],30,FALSE)=VLOOKUP(AG$1,Table1[],2,FALSE),1,0)</f>
        <v>#N/A</v>
      </c>
      <c r="AH118" s="5" t="e">
        <f t="shared" si="49"/>
        <v>#N/A</v>
      </c>
      <c r="AI118" s="7" t="e">
        <f t="shared" si="50"/>
        <v>#N/A</v>
      </c>
      <c r="AJ118" s="7" t="e">
        <f t="shared" si="51"/>
        <v>#N/A</v>
      </c>
      <c r="AK118" s="5" t="e">
        <f t="shared" si="52"/>
        <v>#N/A</v>
      </c>
    </row>
    <row r="119" spans="1:37" x14ac:dyDescent="0.25">
      <c r="A119">
        <f t="shared" si="53"/>
        <v>1</v>
      </c>
      <c r="B119" s="5" t="s">
        <v>1099</v>
      </c>
      <c r="C119" s="5">
        <f>IF(VLOOKUP($B119,Table2[[prolific]:[feedbackTime]],6,FALSE)=VLOOKUP(C$1,Table1[],2,FALSE),1,0)</f>
        <v>1</v>
      </c>
      <c r="D119" s="5">
        <f>IF(VLOOKUP($B119,Table2[[prolific]:[feedbackTime]],7,FALSE)=VLOOKUP(D$1,Table1[],2,FALSE),1,0)</f>
        <v>1</v>
      </c>
      <c r="E119" s="5">
        <f>IF(VLOOKUP($B119,Table2[[prolific]:[feedbackTime]],8,FALSE)=VLOOKUP(E$1,Table1[],2,FALSE),1,0)</f>
        <v>1</v>
      </c>
      <c r="F119" s="5">
        <f t="shared" si="43"/>
        <v>3</v>
      </c>
      <c r="G119" s="7">
        <f t="shared" si="44"/>
        <v>1</v>
      </c>
      <c r="H119" s="5">
        <f>IF(VLOOKUP($B119,Table2[[prolific]:[feedbackTime]],9,FALSE)=VLOOKUP(H$1,Table1[],2,FALSE),1,0)</f>
        <v>0</v>
      </c>
      <c r="I119" s="5">
        <f>IF(VLOOKUP($B119,Table2[[prolific]:[feedbackTime]],10,FALSE)=VLOOKUP(I$1,Table1[],2,FALSE),1,0)</f>
        <v>1</v>
      </c>
      <c r="J119" s="5">
        <f>IF(VLOOKUP($B119,Table2[[prolific]:[feedbackTime]],11,FALSE)=VLOOKUP(J$1,Table1[],2,FALSE),1,0)</f>
        <v>1</v>
      </c>
      <c r="K119" s="5">
        <f>IF(VLOOKUP($B119,Table2[[prolific]:[feedbackTime]],12,FALSE)=VLOOKUP(K$1,Table1[],2,FALSE),1,0)</f>
        <v>1</v>
      </c>
      <c r="L119" s="5">
        <f>IF(VLOOKUP($B119,Table2[[prolific]:[feedbackTime]],13,FALSE)=VLOOKUP(L$1,Table1[],2,FALSE),1,0)</f>
        <v>0</v>
      </c>
      <c r="M119" s="5">
        <f>IF(VLOOKUP($B119,Table2[[prolific]:[feedbackTime]],14,FALSE)=VLOOKUP(M$1,Table1[],2,FALSE),1,0)</f>
        <v>0</v>
      </c>
      <c r="N119" s="5">
        <f t="shared" si="45"/>
        <v>3</v>
      </c>
      <c r="O119" s="7">
        <f t="shared" si="46"/>
        <v>0.5</v>
      </c>
      <c r="P119" s="5">
        <f>IF(VLOOKUP($B119,Table2[[prolific]:[feedbackTime]],15,FALSE)=VLOOKUP(P$1,Table1[],2,FALSE),1,0)</f>
        <v>1</v>
      </c>
      <c r="Q119" s="5">
        <f>IF(VLOOKUP($B119,Table2[[prolific]:[feedbackTime]],16,FALSE)=VLOOKUP(Q$1,Table1[],2,FALSE),1,0)</f>
        <v>0</v>
      </c>
      <c r="R119" s="5">
        <f>IF(VLOOKUP($B119,Table2[[prolific]:[feedbackTime]],17,FALSE)=VLOOKUP(R$1,Table1[],2,FALSE),1,0)</f>
        <v>0</v>
      </c>
      <c r="S119" s="5">
        <f>IF(VLOOKUP($B119,Table2[[prolific]:[feedbackTime]],18,FALSE)=VLOOKUP(S$1,Table1[],2,FALSE),1,0)</f>
        <v>0</v>
      </c>
      <c r="T119" s="5">
        <f>IF(VLOOKUP($B119,Table2[[prolific]:[feedbackTime]],19,FALSE)=VLOOKUP(T$1,Table1[],2,FALSE),1,0)</f>
        <v>0</v>
      </c>
      <c r="U119" s="5">
        <f>IF(VLOOKUP($B119,Table2[[prolific]:[feedbackTime]],20,FALSE)=VLOOKUP(U$1,Table1[],2,FALSE),1,0)</f>
        <v>0</v>
      </c>
      <c r="V119" s="5">
        <f>IF(VLOOKUP($B119,Table2[[prolific]:[feedbackTime]],21,FALSE)=VLOOKUP(V$1,Table1[],2,FALSE),1,0)</f>
        <v>0</v>
      </c>
      <c r="W119" s="5">
        <f>IF(VLOOKUP($B119,Table2[[prolific]:[feedbackTime]],22,FALSE)=VLOOKUP(W$1,Table1[],2,FALSE),1,0)</f>
        <v>0</v>
      </c>
      <c r="X119" s="5">
        <f t="shared" si="47"/>
        <v>1</v>
      </c>
      <c r="Y119" s="7">
        <f t="shared" si="48"/>
        <v>0.125</v>
      </c>
      <c r="Z119" s="5">
        <f>IF(VLOOKUP($B119,Table2[[prolific]:[feedbackTime]],23,FALSE)=VLOOKUP(Z$1,Table1[],2,FALSE),1,0)</f>
        <v>0</v>
      </c>
      <c r="AA119" s="5">
        <f>IF(VLOOKUP($B119,Table2[[prolific]:[feedbackTime]],24,FALSE)=VLOOKUP(AA$1,Table1[],2,FALSE),1,0)</f>
        <v>0</v>
      </c>
      <c r="AB119" s="5">
        <f>IF(VLOOKUP($B119,Table2[[prolific]:[feedbackTime]],25,FALSE)=VLOOKUP(AB$1,Table1[],2,FALSE),1,0)</f>
        <v>0</v>
      </c>
      <c r="AC119" s="5">
        <f>IF(VLOOKUP($B119,Table2[[prolific]:[feedbackTime]],26,FALSE)=VLOOKUP(AC$1,Table1[],2,FALSE),1,0)</f>
        <v>0</v>
      </c>
      <c r="AD119" s="5">
        <f>IF(VLOOKUP($B119,Table2[[prolific]:[feedbackTime]],27,FALSE)=VLOOKUP(AD$1,Table1[],2,FALSE),1,0)</f>
        <v>0</v>
      </c>
      <c r="AE119" s="5">
        <f>IF(VLOOKUP($B119,Table2[[prolific]:[feedbackTime]],28,FALSE)=VLOOKUP(AE$1,Table1[],2,FALSE),1,0)</f>
        <v>0</v>
      </c>
      <c r="AF119" s="5">
        <f>IF(VLOOKUP($B119,Table2[[prolific]:[feedbackTime]],29,FALSE)=VLOOKUP(AF$1,Table1[],2,FALSE),1,0)</f>
        <v>1</v>
      </c>
      <c r="AG119" s="5">
        <f>IF(VLOOKUP($B119,Table2[[prolific]:[feedbackTime]],30,FALSE)=VLOOKUP(AG$1,Table1[],2,FALSE),1,0)</f>
        <v>0</v>
      </c>
      <c r="AH119" s="5">
        <f t="shared" si="49"/>
        <v>1</v>
      </c>
      <c r="AI119" s="7">
        <f t="shared" si="50"/>
        <v>0.125</v>
      </c>
      <c r="AJ119" s="7">
        <f t="shared" si="51"/>
        <v>0.22727272727272727</v>
      </c>
      <c r="AK119" s="5">
        <f t="shared" si="52"/>
        <v>5</v>
      </c>
    </row>
    <row r="120" spans="1:37" x14ac:dyDescent="0.25">
      <c r="A120">
        <f t="shared" si="53"/>
        <v>1</v>
      </c>
      <c r="B120" s="5" t="s">
        <v>1100</v>
      </c>
      <c r="C120" s="5">
        <f>IF(VLOOKUP($B120,Table2[[prolific]:[feedbackTime]],6,FALSE)=VLOOKUP(C$1,Table1[],2,FALSE),1,0)</f>
        <v>1</v>
      </c>
      <c r="D120" s="5">
        <f>IF(VLOOKUP($B120,Table2[[prolific]:[feedbackTime]],7,FALSE)=VLOOKUP(D$1,Table1[],2,FALSE),1,0)</f>
        <v>1</v>
      </c>
      <c r="E120" s="5">
        <f>IF(VLOOKUP($B120,Table2[[prolific]:[feedbackTime]],8,FALSE)=VLOOKUP(E$1,Table1[],2,FALSE),1,0)</f>
        <v>1</v>
      </c>
      <c r="F120" s="5">
        <f t="shared" si="43"/>
        <v>3</v>
      </c>
      <c r="G120" s="7">
        <f t="shared" si="44"/>
        <v>1</v>
      </c>
      <c r="H120" s="5">
        <f>IF(VLOOKUP($B120,Table2[[prolific]:[feedbackTime]],9,FALSE)=VLOOKUP(H$1,Table1[],2,FALSE),1,0)</f>
        <v>1</v>
      </c>
      <c r="I120" s="5">
        <f>IF(VLOOKUP($B120,Table2[[prolific]:[feedbackTime]],10,FALSE)=VLOOKUP(I$1,Table1[],2,FALSE),1,0)</f>
        <v>1</v>
      </c>
      <c r="J120" s="5">
        <f>IF(VLOOKUP($B120,Table2[[prolific]:[feedbackTime]],11,FALSE)=VLOOKUP(J$1,Table1[],2,FALSE),1,0)</f>
        <v>1</v>
      </c>
      <c r="K120" s="5">
        <f>IF(VLOOKUP($B120,Table2[[prolific]:[feedbackTime]],12,FALSE)=VLOOKUP(K$1,Table1[],2,FALSE),1,0)</f>
        <v>1</v>
      </c>
      <c r="L120" s="5">
        <f>IF(VLOOKUP($B120,Table2[[prolific]:[feedbackTime]],13,FALSE)=VLOOKUP(L$1,Table1[],2,FALSE),1,0)</f>
        <v>0</v>
      </c>
      <c r="M120" s="5">
        <f>IF(VLOOKUP($B120,Table2[[prolific]:[feedbackTime]],14,FALSE)=VLOOKUP(M$1,Table1[],2,FALSE),1,0)</f>
        <v>1</v>
      </c>
      <c r="N120" s="5">
        <f t="shared" si="45"/>
        <v>5</v>
      </c>
      <c r="O120" s="7">
        <f t="shared" si="46"/>
        <v>0.83333333333333337</v>
      </c>
      <c r="P120" s="5">
        <f>IF(VLOOKUP($B120,Table2[[prolific]:[feedbackTime]],15,FALSE)=VLOOKUP(P$1,Table1[],2,FALSE),1,0)</f>
        <v>1</v>
      </c>
      <c r="Q120" s="5">
        <f>IF(VLOOKUP($B120,Table2[[prolific]:[feedbackTime]],16,FALSE)=VLOOKUP(Q$1,Table1[],2,FALSE),1,0)</f>
        <v>0</v>
      </c>
      <c r="R120" s="5">
        <f>IF(VLOOKUP($B120,Table2[[prolific]:[feedbackTime]],17,FALSE)=VLOOKUP(R$1,Table1[],2,FALSE),1,0)</f>
        <v>1</v>
      </c>
      <c r="S120" s="5">
        <f>IF(VLOOKUP($B120,Table2[[prolific]:[feedbackTime]],18,FALSE)=VLOOKUP(S$1,Table1[],2,FALSE),1,0)</f>
        <v>1</v>
      </c>
      <c r="T120" s="5">
        <f>IF(VLOOKUP($B120,Table2[[prolific]:[feedbackTime]],19,FALSE)=VLOOKUP(T$1,Table1[],2,FALSE),1,0)</f>
        <v>1</v>
      </c>
      <c r="U120" s="5">
        <f>IF(VLOOKUP($B120,Table2[[prolific]:[feedbackTime]],20,FALSE)=VLOOKUP(U$1,Table1[],2,FALSE),1,0)</f>
        <v>1</v>
      </c>
      <c r="V120" s="5">
        <f>IF(VLOOKUP($B120,Table2[[prolific]:[feedbackTime]],21,FALSE)=VLOOKUP(V$1,Table1[],2,FALSE),1,0)</f>
        <v>0</v>
      </c>
      <c r="W120" s="5">
        <f>IF(VLOOKUP($B120,Table2[[prolific]:[feedbackTime]],22,FALSE)=VLOOKUP(W$1,Table1[],2,FALSE),1,0)</f>
        <v>1</v>
      </c>
      <c r="X120" s="5">
        <f t="shared" si="47"/>
        <v>6</v>
      </c>
      <c r="Y120" s="7">
        <f t="shared" si="48"/>
        <v>0.75</v>
      </c>
      <c r="Z120" s="5">
        <f>IF(VLOOKUP($B120,Table2[[prolific]:[feedbackTime]],23,FALSE)=VLOOKUP(Z$1,Table1[],2,FALSE),1,0)</f>
        <v>1</v>
      </c>
      <c r="AA120" s="5">
        <f>IF(VLOOKUP($B120,Table2[[prolific]:[feedbackTime]],24,FALSE)=VLOOKUP(AA$1,Table1[],2,FALSE),1,0)</f>
        <v>0</v>
      </c>
      <c r="AB120" s="5">
        <f>IF(VLOOKUP($B120,Table2[[prolific]:[feedbackTime]],25,FALSE)=VLOOKUP(AB$1,Table1[],2,FALSE),1,0)</f>
        <v>0</v>
      </c>
      <c r="AC120" s="5">
        <f>IF(VLOOKUP($B120,Table2[[prolific]:[feedbackTime]],26,FALSE)=VLOOKUP(AC$1,Table1[],2,FALSE),1,0)</f>
        <v>1</v>
      </c>
      <c r="AD120" s="5">
        <f>IF(VLOOKUP($B120,Table2[[prolific]:[feedbackTime]],27,FALSE)=VLOOKUP(AD$1,Table1[],2,FALSE),1,0)</f>
        <v>0</v>
      </c>
      <c r="AE120" s="5">
        <f>IF(VLOOKUP($B120,Table2[[prolific]:[feedbackTime]],28,FALSE)=VLOOKUP(AE$1,Table1[],2,FALSE),1,0)</f>
        <v>1</v>
      </c>
      <c r="AF120" s="5">
        <f>IF(VLOOKUP($B120,Table2[[prolific]:[feedbackTime]],29,FALSE)=VLOOKUP(AF$1,Table1[],2,FALSE),1,0)</f>
        <v>1</v>
      </c>
      <c r="AG120" s="5">
        <f>IF(VLOOKUP($B120,Table2[[prolific]:[feedbackTime]],30,FALSE)=VLOOKUP(AG$1,Table1[],2,FALSE),1,0)</f>
        <v>1</v>
      </c>
      <c r="AH120" s="5">
        <f t="shared" si="49"/>
        <v>5</v>
      </c>
      <c r="AI120" s="7">
        <f t="shared" si="50"/>
        <v>0.625</v>
      </c>
      <c r="AJ120" s="7">
        <f t="shared" si="51"/>
        <v>0.72727272727272729</v>
      </c>
      <c r="AK120" s="5">
        <f t="shared" si="52"/>
        <v>16</v>
      </c>
    </row>
    <row r="121" spans="1:37" x14ac:dyDescent="0.25">
      <c r="A121">
        <f t="shared" si="53"/>
        <v>1</v>
      </c>
      <c r="B121" s="5" t="s">
        <v>1101</v>
      </c>
      <c r="C121" s="5">
        <f>IF(VLOOKUP($B121,Table2[[prolific]:[feedbackTime]],6,FALSE)=VLOOKUP(C$1,Table1[],2,FALSE),1,0)</f>
        <v>1</v>
      </c>
      <c r="D121" s="5">
        <f>IF(VLOOKUP($B121,Table2[[prolific]:[feedbackTime]],7,FALSE)=VLOOKUP(D$1,Table1[],2,FALSE),1,0)</f>
        <v>1</v>
      </c>
      <c r="E121" s="5">
        <f>IF(VLOOKUP($B121,Table2[[prolific]:[feedbackTime]],8,FALSE)=VLOOKUP(E$1,Table1[],2,FALSE),1,0)</f>
        <v>1</v>
      </c>
      <c r="F121" s="5">
        <f t="shared" si="43"/>
        <v>3</v>
      </c>
      <c r="G121" s="7">
        <f t="shared" si="44"/>
        <v>1</v>
      </c>
      <c r="H121" s="5">
        <f>IF(VLOOKUP($B121,Table2[[prolific]:[feedbackTime]],9,FALSE)=VLOOKUP(H$1,Table1[],2,FALSE),1,0)</f>
        <v>1</v>
      </c>
      <c r="I121" s="5">
        <f>IF(VLOOKUP($B121,Table2[[prolific]:[feedbackTime]],10,FALSE)=VLOOKUP(I$1,Table1[],2,FALSE),1,0)</f>
        <v>0</v>
      </c>
      <c r="J121" s="5">
        <f>IF(VLOOKUP($B121,Table2[[prolific]:[feedbackTime]],11,FALSE)=VLOOKUP(J$1,Table1[],2,FALSE),1,0)</f>
        <v>0</v>
      </c>
      <c r="K121" s="5">
        <f>IF(VLOOKUP($B121,Table2[[prolific]:[feedbackTime]],12,FALSE)=VLOOKUP(K$1,Table1[],2,FALSE),1,0)</f>
        <v>0</v>
      </c>
      <c r="L121" s="5">
        <f>IF(VLOOKUP($B121,Table2[[prolific]:[feedbackTime]],13,FALSE)=VLOOKUP(L$1,Table1[],2,FALSE),1,0)</f>
        <v>0</v>
      </c>
      <c r="M121" s="5">
        <f>IF(VLOOKUP($B121,Table2[[prolific]:[feedbackTime]],14,FALSE)=VLOOKUP(M$1,Table1[],2,FALSE),1,0)</f>
        <v>1</v>
      </c>
      <c r="N121" s="5">
        <f t="shared" si="45"/>
        <v>2</v>
      </c>
      <c r="O121" s="7">
        <f t="shared" si="46"/>
        <v>0.33333333333333331</v>
      </c>
      <c r="P121" s="5">
        <f>IF(VLOOKUP($B121,Table2[[prolific]:[feedbackTime]],15,FALSE)=VLOOKUP(P$1,Table1[],2,FALSE),1,0)</f>
        <v>1</v>
      </c>
      <c r="Q121" s="5">
        <f>IF(VLOOKUP($B121,Table2[[prolific]:[feedbackTime]],16,FALSE)=VLOOKUP(Q$1,Table1[],2,FALSE),1,0)</f>
        <v>1</v>
      </c>
      <c r="R121" s="5">
        <f>IF(VLOOKUP($B121,Table2[[prolific]:[feedbackTime]],17,FALSE)=VLOOKUP(R$1,Table1[],2,FALSE),1,0)</f>
        <v>0</v>
      </c>
      <c r="S121" s="5">
        <f>IF(VLOOKUP($B121,Table2[[prolific]:[feedbackTime]],18,FALSE)=VLOOKUP(S$1,Table1[],2,FALSE),1,0)</f>
        <v>0</v>
      </c>
      <c r="T121" s="5">
        <f>IF(VLOOKUP($B121,Table2[[prolific]:[feedbackTime]],19,FALSE)=VLOOKUP(T$1,Table1[],2,FALSE),1,0)</f>
        <v>1</v>
      </c>
      <c r="U121" s="5">
        <f>IF(VLOOKUP($B121,Table2[[prolific]:[feedbackTime]],20,FALSE)=VLOOKUP(U$1,Table1[],2,FALSE),1,0)</f>
        <v>0</v>
      </c>
      <c r="V121" s="5">
        <f>IF(VLOOKUP($B121,Table2[[prolific]:[feedbackTime]],21,FALSE)=VLOOKUP(V$1,Table1[],2,FALSE),1,0)</f>
        <v>0</v>
      </c>
      <c r="W121" s="5">
        <f>IF(VLOOKUP($B121,Table2[[prolific]:[feedbackTime]],22,FALSE)=VLOOKUP(W$1,Table1[],2,FALSE),1,0)</f>
        <v>0</v>
      </c>
      <c r="X121" s="5">
        <f t="shared" si="47"/>
        <v>3</v>
      </c>
      <c r="Y121" s="7">
        <f t="shared" si="48"/>
        <v>0.375</v>
      </c>
      <c r="Z121" s="5">
        <f>IF(VLOOKUP($B121,Table2[[prolific]:[feedbackTime]],23,FALSE)=VLOOKUP(Z$1,Table1[],2,FALSE),1,0)</f>
        <v>1</v>
      </c>
      <c r="AA121" s="5">
        <f>IF(VLOOKUP($B121,Table2[[prolific]:[feedbackTime]],24,FALSE)=VLOOKUP(AA$1,Table1[],2,FALSE),1,0)</f>
        <v>0</v>
      </c>
      <c r="AB121" s="5">
        <f>IF(VLOOKUP($B121,Table2[[prolific]:[feedbackTime]],25,FALSE)=VLOOKUP(AB$1,Table1[],2,FALSE),1,0)</f>
        <v>1</v>
      </c>
      <c r="AC121" s="5">
        <f>IF(VLOOKUP($B121,Table2[[prolific]:[feedbackTime]],26,FALSE)=VLOOKUP(AC$1,Table1[],2,FALSE),1,0)</f>
        <v>0</v>
      </c>
      <c r="AD121" s="5">
        <f>IF(VLOOKUP($B121,Table2[[prolific]:[feedbackTime]],27,FALSE)=VLOOKUP(AD$1,Table1[],2,FALSE),1,0)</f>
        <v>0</v>
      </c>
      <c r="AE121" s="5">
        <f>IF(VLOOKUP($B121,Table2[[prolific]:[feedbackTime]],28,FALSE)=VLOOKUP(AE$1,Table1[],2,FALSE),1,0)</f>
        <v>1</v>
      </c>
      <c r="AF121" s="5">
        <f>IF(VLOOKUP($B121,Table2[[prolific]:[feedbackTime]],29,FALSE)=VLOOKUP(AF$1,Table1[],2,FALSE),1,0)</f>
        <v>1</v>
      </c>
      <c r="AG121" s="5">
        <f>IF(VLOOKUP($B121,Table2[[prolific]:[feedbackTime]],30,FALSE)=VLOOKUP(AG$1,Table1[],2,FALSE),1,0)</f>
        <v>1</v>
      </c>
      <c r="AH121" s="5">
        <f t="shared" si="49"/>
        <v>5</v>
      </c>
      <c r="AI121" s="7">
        <f t="shared" si="50"/>
        <v>0.625</v>
      </c>
      <c r="AJ121" s="7">
        <f t="shared" si="51"/>
        <v>0.45454545454545453</v>
      </c>
      <c r="AK121" s="5">
        <f t="shared" si="52"/>
        <v>10</v>
      </c>
    </row>
    <row r="122" spans="1:37" x14ac:dyDescent="0.25">
      <c r="A122">
        <f t="shared" si="53"/>
        <v>1</v>
      </c>
      <c r="B122" s="5" t="s">
        <v>1102</v>
      </c>
      <c r="C122" s="5">
        <f>IF(VLOOKUP($B122,Table2[[prolific]:[feedbackTime]],6,FALSE)=VLOOKUP(C$1,Table1[],2,FALSE),1,0)</f>
        <v>1</v>
      </c>
      <c r="D122" s="5">
        <f>IF(VLOOKUP($B122,Table2[[prolific]:[feedbackTime]],7,FALSE)=VLOOKUP(D$1,Table1[],2,FALSE),1,0)</f>
        <v>1</v>
      </c>
      <c r="E122" s="5">
        <f>IF(VLOOKUP($B122,Table2[[prolific]:[feedbackTime]],8,FALSE)=VLOOKUP(E$1,Table1[],2,FALSE),1,0)</f>
        <v>1</v>
      </c>
      <c r="F122" s="5">
        <f t="shared" si="43"/>
        <v>3</v>
      </c>
      <c r="G122" s="7">
        <f t="shared" si="44"/>
        <v>1</v>
      </c>
      <c r="H122" s="5">
        <f>IF(VLOOKUP($B122,Table2[[prolific]:[feedbackTime]],9,FALSE)=VLOOKUP(H$1,Table1[],2,FALSE),1,0)</f>
        <v>1</v>
      </c>
      <c r="I122" s="5">
        <f>IF(VLOOKUP($B122,Table2[[prolific]:[feedbackTime]],10,FALSE)=VLOOKUP(I$1,Table1[],2,FALSE),1,0)</f>
        <v>1</v>
      </c>
      <c r="J122" s="5">
        <f>IF(VLOOKUP($B122,Table2[[prolific]:[feedbackTime]],11,FALSE)=VLOOKUP(J$1,Table1[],2,FALSE),1,0)</f>
        <v>1</v>
      </c>
      <c r="K122" s="5">
        <f>IF(VLOOKUP($B122,Table2[[prolific]:[feedbackTime]],12,FALSE)=VLOOKUP(K$1,Table1[],2,FALSE),1,0)</f>
        <v>1</v>
      </c>
      <c r="L122" s="5">
        <f>IF(VLOOKUP($B122,Table2[[prolific]:[feedbackTime]],13,FALSE)=VLOOKUP(L$1,Table1[],2,FALSE),1,0)</f>
        <v>0</v>
      </c>
      <c r="M122" s="5">
        <f>IF(VLOOKUP($B122,Table2[[prolific]:[feedbackTime]],14,FALSE)=VLOOKUP(M$1,Table1[],2,FALSE),1,0)</f>
        <v>1</v>
      </c>
      <c r="N122" s="5">
        <f t="shared" si="45"/>
        <v>5</v>
      </c>
      <c r="O122" s="7">
        <f t="shared" si="46"/>
        <v>0.83333333333333337</v>
      </c>
      <c r="P122" s="5">
        <f>IF(VLOOKUP($B122,Table2[[prolific]:[feedbackTime]],15,FALSE)=VLOOKUP(P$1,Table1[],2,FALSE),1,0)</f>
        <v>1</v>
      </c>
      <c r="Q122" s="5">
        <f>IF(VLOOKUP($B122,Table2[[prolific]:[feedbackTime]],16,FALSE)=VLOOKUP(Q$1,Table1[],2,FALSE),1,0)</f>
        <v>1</v>
      </c>
      <c r="R122" s="5">
        <f>IF(VLOOKUP($B122,Table2[[prolific]:[feedbackTime]],17,FALSE)=VLOOKUP(R$1,Table1[],2,FALSE),1,0)</f>
        <v>1</v>
      </c>
      <c r="S122" s="5">
        <f>IF(VLOOKUP($B122,Table2[[prolific]:[feedbackTime]],18,FALSE)=VLOOKUP(S$1,Table1[],2,FALSE),1,0)</f>
        <v>1</v>
      </c>
      <c r="T122" s="5">
        <f>IF(VLOOKUP($B122,Table2[[prolific]:[feedbackTime]],19,FALSE)=VLOOKUP(T$1,Table1[],2,FALSE),1,0)</f>
        <v>1</v>
      </c>
      <c r="U122" s="5">
        <f>IF(VLOOKUP($B122,Table2[[prolific]:[feedbackTime]],20,FALSE)=VLOOKUP(U$1,Table1[],2,FALSE),1,0)</f>
        <v>1</v>
      </c>
      <c r="V122" s="5">
        <f>IF(VLOOKUP($B122,Table2[[prolific]:[feedbackTime]],21,FALSE)=VLOOKUP(V$1,Table1[],2,FALSE),1,0)</f>
        <v>0</v>
      </c>
      <c r="W122" s="5">
        <f>IF(VLOOKUP($B122,Table2[[prolific]:[feedbackTime]],22,FALSE)=VLOOKUP(W$1,Table1[],2,FALSE),1,0)</f>
        <v>1</v>
      </c>
      <c r="X122" s="5">
        <f t="shared" si="47"/>
        <v>7</v>
      </c>
      <c r="Y122" s="7">
        <f t="shared" si="48"/>
        <v>0.875</v>
      </c>
      <c r="Z122" s="5">
        <f>IF(VLOOKUP($B122,Table2[[prolific]:[feedbackTime]],23,FALSE)=VLOOKUP(Z$1,Table1[],2,FALSE),1,0)</f>
        <v>1</v>
      </c>
      <c r="AA122" s="5">
        <f>IF(VLOOKUP($B122,Table2[[prolific]:[feedbackTime]],24,FALSE)=VLOOKUP(AA$1,Table1[],2,FALSE),1,0)</f>
        <v>0</v>
      </c>
      <c r="AB122" s="5">
        <f>IF(VLOOKUP($B122,Table2[[prolific]:[feedbackTime]],25,FALSE)=VLOOKUP(AB$1,Table1[],2,FALSE),1,0)</f>
        <v>0</v>
      </c>
      <c r="AC122" s="5">
        <f>IF(VLOOKUP($B122,Table2[[prolific]:[feedbackTime]],26,FALSE)=VLOOKUP(AC$1,Table1[],2,FALSE),1,0)</f>
        <v>1</v>
      </c>
      <c r="AD122" s="5">
        <f>IF(VLOOKUP($B122,Table2[[prolific]:[feedbackTime]],27,FALSE)=VLOOKUP(AD$1,Table1[],2,FALSE),1,0)</f>
        <v>0</v>
      </c>
      <c r="AE122" s="5">
        <f>IF(VLOOKUP($B122,Table2[[prolific]:[feedbackTime]],28,FALSE)=VLOOKUP(AE$1,Table1[],2,FALSE),1,0)</f>
        <v>1</v>
      </c>
      <c r="AF122" s="5">
        <f>IF(VLOOKUP($B122,Table2[[prolific]:[feedbackTime]],29,FALSE)=VLOOKUP(AF$1,Table1[],2,FALSE),1,0)</f>
        <v>1</v>
      </c>
      <c r="AG122" s="5">
        <f>IF(VLOOKUP($B122,Table2[[prolific]:[feedbackTime]],30,FALSE)=VLOOKUP(AG$1,Table1[],2,FALSE),1,0)</f>
        <v>1</v>
      </c>
      <c r="AH122" s="5">
        <f t="shared" si="49"/>
        <v>5</v>
      </c>
      <c r="AI122" s="7">
        <f t="shared" si="50"/>
        <v>0.625</v>
      </c>
      <c r="AJ122" s="7">
        <f t="shared" si="51"/>
        <v>0.77272727272727271</v>
      </c>
      <c r="AK122" s="5">
        <f t="shared" si="52"/>
        <v>17</v>
      </c>
    </row>
    <row r="123" spans="1:37" x14ac:dyDescent="0.25">
      <c r="A123">
        <f t="shared" si="53"/>
        <v>1</v>
      </c>
      <c r="B123" s="5" t="s">
        <v>1103</v>
      </c>
      <c r="C123" s="5">
        <f>IF(VLOOKUP($B123,Table2[[prolific]:[feedbackTime]],6,FALSE)=VLOOKUP(C$1,Table1[],2,FALSE),1,0)</f>
        <v>1</v>
      </c>
      <c r="D123" s="5">
        <f>IF(VLOOKUP($B123,Table2[[prolific]:[feedbackTime]],7,FALSE)=VLOOKUP(D$1,Table1[],2,FALSE),1,0)</f>
        <v>1</v>
      </c>
      <c r="E123" s="5">
        <f>IF(VLOOKUP($B123,Table2[[prolific]:[feedbackTime]],8,FALSE)=VLOOKUP(E$1,Table1[],2,FALSE),1,0)</f>
        <v>1</v>
      </c>
      <c r="F123" s="5">
        <f t="shared" si="43"/>
        <v>3</v>
      </c>
      <c r="G123" s="7">
        <f t="shared" si="44"/>
        <v>1</v>
      </c>
      <c r="H123" s="5">
        <f>IF(VLOOKUP($B123,Table2[[prolific]:[feedbackTime]],9,FALSE)=VLOOKUP(H$1,Table1[],2,FALSE),1,0)</f>
        <v>0</v>
      </c>
      <c r="I123" s="5">
        <f>IF(VLOOKUP($B123,Table2[[prolific]:[feedbackTime]],10,FALSE)=VLOOKUP(I$1,Table1[],2,FALSE),1,0)</f>
        <v>0</v>
      </c>
      <c r="J123" s="5">
        <f>IF(VLOOKUP($B123,Table2[[prolific]:[feedbackTime]],11,FALSE)=VLOOKUP(J$1,Table1[],2,FALSE),1,0)</f>
        <v>1</v>
      </c>
      <c r="K123" s="5">
        <f>IF(VLOOKUP($B123,Table2[[prolific]:[feedbackTime]],12,FALSE)=VLOOKUP(K$1,Table1[],2,FALSE),1,0)</f>
        <v>1</v>
      </c>
      <c r="L123" s="5">
        <f>IF(VLOOKUP($B123,Table2[[prolific]:[feedbackTime]],13,FALSE)=VLOOKUP(L$1,Table1[],2,FALSE),1,0)</f>
        <v>0</v>
      </c>
      <c r="M123" s="5">
        <f>IF(VLOOKUP($B123,Table2[[prolific]:[feedbackTime]],14,FALSE)=VLOOKUP(M$1,Table1[],2,FALSE),1,0)</f>
        <v>1</v>
      </c>
      <c r="N123" s="5">
        <f t="shared" si="45"/>
        <v>3</v>
      </c>
      <c r="O123" s="7">
        <f t="shared" si="46"/>
        <v>0.5</v>
      </c>
      <c r="P123" s="5">
        <f>IF(VLOOKUP($B123,Table2[[prolific]:[feedbackTime]],15,FALSE)=VLOOKUP(P$1,Table1[],2,FALSE),1,0)</f>
        <v>1</v>
      </c>
      <c r="Q123" s="5">
        <f>IF(VLOOKUP($B123,Table2[[prolific]:[feedbackTime]],16,FALSE)=VLOOKUP(Q$1,Table1[],2,FALSE),1,0)</f>
        <v>0</v>
      </c>
      <c r="R123" s="5">
        <f>IF(VLOOKUP($B123,Table2[[prolific]:[feedbackTime]],17,FALSE)=VLOOKUP(R$1,Table1[],2,FALSE),1,0)</f>
        <v>1</v>
      </c>
      <c r="S123" s="5">
        <f>IF(VLOOKUP($B123,Table2[[prolific]:[feedbackTime]],18,FALSE)=VLOOKUP(S$1,Table1[],2,FALSE),1,0)</f>
        <v>1</v>
      </c>
      <c r="T123" s="5">
        <f>IF(VLOOKUP($B123,Table2[[prolific]:[feedbackTime]],19,FALSE)=VLOOKUP(T$1,Table1[],2,FALSE),1,0)</f>
        <v>1</v>
      </c>
      <c r="U123" s="5">
        <f>IF(VLOOKUP($B123,Table2[[prolific]:[feedbackTime]],20,FALSE)=VLOOKUP(U$1,Table1[],2,FALSE),1,0)</f>
        <v>1</v>
      </c>
      <c r="V123" s="5">
        <f>IF(VLOOKUP($B123,Table2[[prolific]:[feedbackTime]],21,FALSE)=VLOOKUP(V$1,Table1[],2,FALSE),1,0)</f>
        <v>0</v>
      </c>
      <c r="W123" s="5">
        <f>IF(VLOOKUP($B123,Table2[[prolific]:[feedbackTime]],22,FALSE)=VLOOKUP(W$1,Table1[],2,FALSE),1,0)</f>
        <v>0</v>
      </c>
      <c r="X123" s="5">
        <f t="shared" si="47"/>
        <v>5</v>
      </c>
      <c r="Y123" s="7">
        <f t="shared" si="48"/>
        <v>0.625</v>
      </c>
      <c r="Z123" s="5">
        <f>IF(VLOOKUP($B123,Table2[[prolific]:[feedbackTime]],23,FALSE)=VLOOKUP(Z$1,Table1[],2,FALSE),1,0)</f>
        <v>1</v>
      </c>
      <c r="AA123" s="5">
        <f>IF(VLOOKUP($B123,Table2[[prolific]:[feedbackTime]],24,FALSE)=VLOOKUP(AA$1,Table1[],2,FALSE),1,0)</f>
        <v>0</v>
      </c>
      <c r="AB123" s="5">
        <f>IF(VLOOKUP($B123,Table2[[prolific]:[feedbackTime]],25,FALSE)=VLOOKUP(AB$1,Table1[],2,FALSE),1,0)</f>
        <v>0</v>
      </c>
      <c r="AC123" s="5">
        <f>IF(VLOOKUP($B123,Table2[[prolific]:[feedbackTime]],26,FALSE)=VLOOKUP(AC$1,Table1[],2,FALSE),1,0)</f>
        <v>0</v>
      </c>
      <c r="AD123" s="5">
        <f>IF(VLOOKUP($B123,Table2[[prolific]:[feedbackTime]],27,FALSE)=VLOOKUP(AD$1,Table1[],2,FALSE),1,0)</f>
        <v>0</v>
      </c>
      <c r="AE123" s="5">
        <f>IF(VLOOKUP($B123,Table2[[prolific]:[feedbackTime]],28,FALSE)=VLOOKUP(AE$1,Table1[],2,FALSE),1,0)</f>
        <v>0</v>
      </c>
      <c r="AF123" s="5">
        <f>IF(VLOOKUP($B123,Table2[[prolific]:[feedbackTime]],29,FALSE)=VLOOKUP(AF$1,Table1[],2,FALSE),1,0)</f>
        <v>1</v>
      </c>
      <c r="AG123" s="5">
        <f>IF(VLOOKUP($B123,Table2[[prolific]:[feedbackTime]],30,FALSE)=VLOOKUP(AG$1,Table1[],2,FALSE),1,0)</f>
        <v>1</v>
      </c>
      <c r="AH123" s="5">
        <f t="shared" si="49"/>
        <v>3</v>
      </c>
      <c r="AI123" s="7">
        <f t="shared" si="50"/>
        <v>0.375</v>
      </c>
      <c r="AJ123" s="7">
        <f t="shared" si="51"/>
        <v>0.5</v>
      </c>
      <c r="AK123" s="5">
        <f t="shared" si="52"/>
        <v>11</v>
      </c>
    </row>
    <row r="124" spans="1:37" x14ac:dyDescent="0.25">
      <c r="A124">
        <f t="shared" si="53"/>
        <v>1</v>
      </c>
      <c r="B124" s="5" t="s">
        <v>1104</v>
      </c>
      <c r="C124" s="5">
        <f>IF(VLOOKUP($B124,Table2[[prolific]:[feedbackTime]],6,FALSE)=VLOOKUP(C$1,Table1[],2,FALSE),1,0)</f>
        <v>1</v>
      </c>
      <c r="D124" s="5">
        <f>IF(VLOOKUP($B124,Table2[[prolific]:[feedbackTime]],7,FALSE)=VLOOKUP(D$1,Table1[],2,FALSE),1,0)</f>
        <v>1</v>
      </c>
      <c r="E124" s="5">
        <f>IF(VLOOKUP($B124,Table2[[prolific]:[feedbackTime]],8,FALSE)=VLOOKUP(E$1,Table1[],2,FALSE),1,0)</f>
        <v>1</v>
      </c>
      <c r="F124" s="5">
        <f t="shared" si="43"/>
        <v>3</v>
      </c>
      <c r="G124" s="7">
        <f t="shared" si="44"/>
        <v>1</v>
      </c>
      <c r="H124" s="5">
        <f>IF(VLOOKUP($B124,Table2[[prolific]:[feedbackTime]],9,FALSE)=VLOOKUP(H$1,Table1[],2,FALSE),1,0)</f>
        <v>1</v>
      </c>
      <c r="I124" s="5">
        <f>IF(VLOOKUP($B124,Table2[[prolific]:[feedbackTime]],10,FALSE)=VLOOKUP(I$1,Table1[],2,FALSE),1,0)</f>
        <v>1</v>
      </c>
      <c r="J124" s="5">
        <f>IF(VLOOKUP($B124,Table2[[prolific]:[feedbackTime]],11,FALSE)=VLOOKUP(J$1,Table1[],2,FALSE),1,0)</f>
        <v>0</v>
      </c>
      <c r="K124" s="5">
        <f>IF(VLOOKUP($B124,Table2[[prolific]:[feedbackTime]],12,FALSE)=VLOOKUP(K$1,Table1[],2,FALSE),1,0)</f>
        <v>1</v>
      </c>
      <c r="L124" s="5">
        <f>IF(VLOOKUP($B124,Table2[[prolific]:[feedbackTime]],13,FALSE)=VLOOKUP(L$1,Table1[],2,FALSE),1,0)</f>
        <v>0</v>
      </c>
      <c r="M124" s="5">
        <f>IF(VLOOKUP($B124,Table2[[prolific]:[feedbackTime]],14,FALSE)=VLOOKUP(M$1,Table1[],2,FALSE),1,0)</f>
        <v>1</v>
      </c>
      <c r="N124" s="5">
        <f t="shared" si="45"/>
        <v>4</v>
      </c>
      <c r="O124" s="7">
        <f t="shared" si="46"/>
        <v>0.66666666666666663</v>
      </c>
      <c r="P124" s="5">
        <f>IF(VLOOKUP($B124,Table2[[prolific]:[feedbackTime]],15,FALSE)=VLOOKUP(P$1,Table1[],2,FALSE),1,0)</f>
        <v>1</v>
      </c>
      <c r="Q124" s="5">
        <f>IF(VLOOKUP($B124,Table2[[prolific]:[feedbackTime]],16,FALSE)=VLOOKUP(Q$1,Table1[],2,FALSE),1,0)</f>
        <v>1</v>
      </c>
      <c r="R124" s="5">
        <f>IF(VLOOKUP($B124,Table2[[prolific]:[feedbackTime]],17,FALSE)=VLOOKUP(R$1,Table1[],2,FALSE),1,0)</f>
        <v>0</v>
      </c>
      <c r="S124" s="5">
        <f>IF(VLOOKUP($B124,Table2[[prolific]:[feedbackTime]],18,FALSE)=VLOOKUP(S$1,Table1[],2,FALSE),1,0)</f>
        <v>1</v>
      </c>
      <c r="T124" s="5">
        <f>IF(VLOOKUP($B124,Table2[[prolific]:[feedbackTime]],19,FALSE)=VLOOKUP(T$1,Table1[],2,FALSE),1,0)</f>
        <v>1</v>
      </c>
      <c r="U124" s="5">
        <f>IF(VLOOKUP($B124,Table2[[prolific]:[feedbackTime]],20,FALSE)=VLOOKUP(U$1,Table1[],2,FALSE),1,0)</f>
        <v>1</v>
      </c>
      <c r="V124" s="5">
        <f>IF(VLOOKUP($B124,Table2[[prolific]:[feedbackTime]],21,FALSE)=VLOOKUP(V$1,Table1[],2,FALSE),1,0)</f>
        <v>1</v>
      </c>
      <c r="W124" s="5">
        <f>IF(VLOOKUP($B124,Table2[[prolific]:[feedbackTime]],22,FALSE)=VLOOKUP(W$1,Table1[],2,FALSE),1,0)</f>
        <v>0</v>
      </c>
      <c r="X124" s="5">
        <f t="shared" si="47"/>
        <v>6</v>
      </c>
      <c r="Y124" s="7">
        <f t="shared" si="48"/>
        <v>0.75</v>
      </c>
      <c r="Z124" s="5">
        <f>IF(VLOOKUP($B124,Table2[[prolific]:[feedbackTime]],23,FALSE)=VLOOKUP(Z$1,Table1[],2,FALSE),1,0)</f>
        <v>1</v>
      </c>
      <c r="AA124" s="5">
        <f>IF(VLOOKUP($B124,Table2[[prolific]:[feedbackTime]],24,FALSE)=VLOOKUP(AA$1,Table1[],2,FALSE),1,0)</f>
        <v>0</v>
      </c>
      <c r="AB124" s="5">
        <f>IF(VLOOKUP($B124,Table2[[prolific]:[feedbackTime]],25,FALSE)=VLOOKUP(AB$1,Table1[],2,FALSE),1,0)</f>
        <v>0</v>
      </c>
      <c r="AC124" s="5">
        <f>IF(VLOOKUP($B124,Table2[[prolific]:[feedbackTime]],26,FALSE)=VLOOKUP(AC$1,Table1[],2,FALSE),1,0)</f>
        <v>1</v>
      </c>
      <c r="AD124" s="5">
        <f>IF(VLOOKUP($B124,Table2[[prolific]:[feedbackTime]],27,FALSE)=VLOOKUP(AD$1,Table1[],2,FALSE),1,0)</f>
        <v>0</v>
      </c>
      <c r="AE124" s="5">
        <f>IF(VLOOKUP($B124,Table2[[prolific]:[feedbackTime]],28,FALSE)=VLOOKUP(AE$1,Table1[],2,FALSE),1,0)</f>
        <v>1</v>
      </c>
      <c r="AF124" s="5">
        <f>IF(VLOOKUP($B124,Table2[[prolific]:[feedbackTime]],29,FALSE)=VLOOKUP(AF$1,Table1[],2,FALSE),1,0)</f>
        <v>1</v>
      </c>
      <c r="AG124" s="5">
        <f>IF(VLOOKUP($B124,Table2[[prolific]:[feedbackTime]],30,FALSE)=VLOOKUP(AG$1,Table1[],2,FALSE),1,0)</f>
        <v>1</v>
      </c>
      <c r="AH124" s="5">
        <f t="shared" si="49"/>
        <v>5</v>
      </c>
      <c r="AI124" s="7">
        <f t="shared" si="50"/>
        <v>0.625</v>
      </c>
      <c r="AJ124" s="7">
        <f t="shared" si="51"/>
        <v>0.68181818181818177</v>
      </c>
      <c r="AK124" s="5">
        <f t="shared" si="52"/>
        <v>15</v>
      </c>
    </row>
    <row r="125" spans="1:37" x14ac:dyDescent="0.25">
      <c r="A125">
        <f t="shared" si="53"/>
        <v>1</v>
      </c>
      <c r="B125" s="5" t="s">
        <v>1184</v>
      </c>
      <c r="C125" s="5">
        <f>IF(VLOOKUP($B125,Table2[[prolific]:[feedbackTime]],6,FALSE)=VLOOKUP(C$1,Table1[],2,FALSE),1,0)</f>
        <v>1</v>
      </c>
      <c r="D125" s="5">
        <f>IF(VLOOKUP($B125,Table2[[prolific]:[feedbackTime]],7,FALSE)=VLOOKUP(D$1,Table1[],2,FALSE),1,0)</f>
        <v>1</v>
      </c>
      <c r="E125" s="5">
        <f>IF(VLOOKUP($B125,Table2[[prolific]:[feedbackTime]],8,FALSE)=VLOOKUP(E$1,Table1[],2,FALSE),1,0)</f>
        <v>1</v>
      </c>
      <c r="F125" s="5">
        <f t="shared" ref="F125:F138" si="54">SUM(C125:E125)</f>
        <v>3</v>
      </c>
      <c r="G125" s="7">
        <f t="shared" ref="G125:G138" si="55">F125/3</f>
        <v>1</v>
      </c>
      <c r="H125" s="5">
        <f>IF(VLOOKUP($B125,Table2[[prolific]:[feedbackTime]],9,FALSE)=VLOOKUP(H$1,Table1[],2,FALSE),1,0)</f>
        <v>1</v>
      </c>
      <c r="I125" s="5">
        <f>IF(VLOOKUP($B125,Table2[[prolific]:[feedbackTime]],10,FALSE)=VLOOKUP(I$1,Table1[],2,FALSE),1,0)</f>
        <v>1</v>
      </c>
      <c r="J125" s="5">
        <f>IF(VLOOKUP($B125,Table2[[prolific]:[feedbackTime]],11,FALSE)=VLOOKUP(J$1,Table1[],2,FALSE),1,0)</f>
        <v>1</v>
      </c>
      <c r="K125" s="5">
        <f>IF(VLOOKUP($B125,Table2[[prolific]:[feedbackTime]],12,FALSE)=VLOOKUP(K$1,Table1[],2,FALSE),1,0)</f>
        <v>1</v>
      </c>
      <c r="L125" s="5">
        <f>IF(VLOOKUP($B125,Table2[[prolific]:[feedbackTime]],13,FALSE)=VLOOKUP(L$1,Table1[],2,FALSE),1,0)</f>
        <v>1</v>
      </c>
      <c r="M125" s="5">
        <f>IF(VLOOKUP($B125,Table2[[prolific]:[feedbackTime]],14,FALSE)=VLOOKUP(M$1,Table1[],2,FALSE),1,0)</f>
        <v>0</v>
      </c>
      <c r="N125" s="5">
        <f t="shared" ref="N125:N138" si="56">SUM(H125:M125)</f>
        <v>5</v>
      </c>
      <c r="O125" s="7">
        <f t="shared" ref="O125:O138" si="57">N125/6</f>
        <v>0.83333333333333337</v>
      </c>
      <c r="P125" s="5">
        <f>IF(VLOOKUP($B125,Table2[[prolific]:[feedbackTime]],15,FALSE)=VLOOKUP(P$1,Table1[],2,FALSE),1,0)</f>
        <v>1</v>
      </c>
      <c r="Q125" s="5">
        <f>IF(VLOOKUP($B125,Table2[[prolific]:[feedbackTime]],16,FALSE)=VLOOKUP(Q$1,Table1[],2,FALSE),1,0)</f>
        <v>1</v>
      </c>
      <c r="R125" s="5">
        <f>IF(VLOOKUP($B125,Table2[[prolific]:[feedbackTime]],17,FALSE)=VLOOKUP(R$1,Table1[],2,FALSE),1,0)</f>
        <v>1</v>
      </c>
      <c r="S125" s="5">
        <f>IF(VLOOKUP($B125,Table2[[prolific]:[feedbackTime]],18,FALSE)=VLOOKUP(S$1,Table1[],2,FALSE),1,0)</f>
        <v>1</v>
      </c>
      <c r="T125" s="5">
        <f>IF(VLOOKUP($B125,Table2[[prolific]:[feedbackTime]],19,FALSE)=VLOOKUP(T$1,Table1[],2,FALSE),1,0)</f>
        <v>1</v>
      </c>
      <c r="U125" s="5">
        <f>IF(VLOOKUP($B125,Table2[[prolific]:[feedbackTime]],20,FALSE)=VLOOKUP(U$1,Table1[],2,FALSE),1,0)</f>
        <v>1</v>
      </c>
      <c r="V125" s="5">
        <f>IF(VLOOKUP($B125,Table2[[prolific]:[feedbackTime]],21,FALSE)=VLOOKUP(V$1,Table1[],2,FALSE),1,0)</f>
        <v>0</v>
      </c>
      <c r="W125" s="5">
        <f>IF(VLOOKUP($B125,Table2[[prolific]:[feedbackTime]],22,FALSE)=VLOOKUP(W$1,Table1[],2,FALSE),1,0)</f>
        <v>1</v>
      </c>
      <c r="X125" s="5">
        <f t="shared" ref="X125:X138" si="58">SUM(P125:W125)</f>
        <v>7</v>
      </c>
      <c r="Y125" s="7">
        <f t="shared" ref="Y125:Y138" si="59">X125/8</f>
        <v>0.875</v>
      </c>
      <c r="Z125" s="5">
        <f>IF(VLOOKUP($B125,Table2[[prolific]:[feedbackTime]],23,FALSE)=VLOOKUP(Z$1,Table1[],2,FALSE),1,0)</f>
        <v>1</v>
      </c>
      <c r="AA125" s="5">
        <f>IF(VLOOKUP($B125,Table2[[prolific]:[feedbackTime]],24,FALSE)=VLOOKUP(AA$1,Table1[],2,FALSE),1,0)</f>
        <v>0</v>
      </c>
      <c r="AB125" s="5">
        <f>IF(VLOOKUP($B125,Table2[[prolific]:[feedbackTime]],25,FALSE)=VLOOKUP(AB$1,Table1[],2,FALSE),1,0)</f>
        <v>1</v>
      </c>
      <c r="AC125" s="5">
        <f>IF(VLOOKUP($B125,Table2[[prolific]:[feedbackTime]],26,FALSE)=VLOOKUP(AC$1,Table1[],2,FALSE),1,0)</f>
        <v>1</v>
      </c>
      <c r="AD125" s="5">
        <f>IF(VLOOKUP($B125,Table2[[prolific]:[feedbackTime]],27,FALSE)=VLOOKUP(AD$1,Table1[],2,FALSE),1,0)</f>
        <v>1</v>
      </c>
      <c r="AE125" s="5">
        <f>IF(VLOOKUP($B125,Table2[[prolific]:[feedbackTime]],28,FALSE)=VLOOKUP(AE$1,Table1[],2,FALSE),1,0)</f>
        <v>1</v>
      </c>
      <c r="AF125" s="5">
        <f>IF(VLOOKUP($B125,Table2[[prolific]:[feedbackTime]],29,FALSE)=VLOOKUP(AF$1,Table1[],2,FALSE),1,0)</f>
        <v>1</v>
      </c>
      <c r="AG125" s="5">
        <f>IF(VLOOKUP($B125,Table2[[prolific]:[feedbackTime]],30,FALSE)=VLOOKUP(AG$1,Table1[],2,FALSE),1,0)</f>
        <v>1</v>
      </c>
      <c r="AH125" s="5">
        <f t="shared" ref="AH125:AH138" si="60">SUM(Z125:AG125)</f>
        <v>7</v>
      </c>
      <c r="AI125" s="7">
        <f t="shared" ref="AI125:AI138" si="61">AH125/8</f>
        <v>0.875</v>
      </c>
      <c r="AJ125" s="7">
        <f t="shared" ref="AJ125:AJ138" si="62">(N125+X125+AH125)/22</f>
        <v>0.86363636363636365</v>
      </c>
      <c r="AK125" s="5">
        <f t="shared" ref="AK125:AK138" si="63">(N125+X125+AH125)</f>
        <v>19</v>
      </c>
    </row>
    <row r="126" spans="1:37" x14ac:dyDescent="0.25">
      <c r="A126">
        <f t="shared" si="53"/>
        <v>1</v>
      </c>
      <c r="B126" s="5" t="s">
        <v>1157</v>
      </c>
      <c r="C126" s="5">
        <f>IF(VLOOKUP($B126,Table2[[prolific]:[feedbackTime]],6,FALSE)=VLOOKUP(C$1,Table1[],2,FALSE),1,0)</f>
        <v>0</v>
      </c>
      <c r="D126" s="5">
        <f>IF(VLOOKUP($B126,Table2[[prolific]:[feedbackTime]],7,FALSE)=VLOOKUP(D$1,Table1[],2,FALSE),1,0)</f>
        <v>0</v>
      </c>
      <c r="E126" s="5">
        <f>IF(VLOOKUP($B126,Table2[[prolific]:[feedbackTime]],8,FALSE)=VLOOKUP(E$1,Table1[],2,FALSE),1,0)</f>
        <v>1</v>
      </c>
      <c r="F126" s="5">
        <f t="shared" si="54"/>
        <v>1</v>
      </c>
      <c r="G126" s="7">
        <f t="shared" si="55"/>
        <v>0.33333333333333331</v>
      </c>
      <c r="H126" s="5">
        <f>IF(VLOOKUP($B126,Table2[[prolific]:[feedbackTime]],9,FALSE)=VLOOKUP(H$1,Table1[],2,FALSE),1,0)</f>
        <v>1</v>
      </c>
      <c r="I126" s="5">
        <f>IF(VLOOKUP($B126,Table2[[prolific]:[feedbackTime]],10,FALSE)=VLOOKUP(I$1,Table1[],2,FALSE),1,0)</f>
        <v>0</v>
      </c>
      <c r="J126" s="5">
        <f>IF(VLOOKUP($B126,Table2[[prolific]:[feedbackTime]],11,FALSE)=VLOOKUP(J$1,Table1[],2,FALSE),1,0)</f>
        <v>0</v>
      </c>
      <c r="K126" s="5">
        <f>IF(VLOOKUP($B126,Table2[[prolific]:[feedbackTime]],12,FALSE)=VLOOKUP(K$1,Table1[],2,FALSE),1,0)</f>
        <v>1</v>
      </c>
      <c r="L126" s="5">
        <f>IF(VLOOKUP($B126,Table2[[prolific]:[feedbackTime]],13,FALSE)=VLOOKUP(L$1,Table1[],2,FALSE),1,0)</f>
        <v>0</v>
      </c>
      <c r="M126" s="5">
        <f>IF(VLOOKUP($B126,Table2[[prolific]:[feedbackTime]],14,FALSE)=VLOOKUP(M$1,Table1[],2,FALSE),1,0)</f>
        <v>0</v>
      </c>
      <c r="N126" s="5">
        <f t="shared" si="56"/>
        <v>2</v>
      </c>
      <c r="O126" s="7">
        <f t="shared" si="57"/>
        <v>0.33333333333333331</v>
      </c>
      <c r="P126" s="5">
        <f>IF(VLOOKUP($B126,Table2[[prolific]:[feedbackTime]],15,FALSE)=VLOOKUP(P$1,Table1[],2,FALSE),1,0)</f>
        <v>1</v>
      </c>
      <c r="Q126" s="5">
        <f>IF(VLOOKUP($B126,Table2[[prolific]:[feedbackTime]],16,FALSE)=VLOOKUP(Q$1,Table1[],2,FALSE),1,0)</f>
        <v>1</v>
      </c>
      <c r="R126" s="5">
        <f>IF(VLOOKUP($B126,Table2[[prolific]:[feedbackTime]],17,FALSE)=VLOOKUP(R$1,Table1[],2,FALSE),1,0)</f>
        <v>1</v>
      </c>
      <c r="S126" s="5">
        <f>IF(VLOOKUP($B126,Table2[[prolific]:[feedbackTime]],18,FALSE)=VLOOKUP(S$1,Table1[],2,FALSE),1,0)</f>
        <v>0</v>
      </c>
      <c r="T126" s="5">
        <f>IF(VLOOKUP($B126,Table2[[prolific]:[feedbackTime]],19,FALSE)=VLOOKUP(T$1,Table1[],2,FALSE),1,0)</f>
        <v>1</v>
      </c>
      <c r="U126" s="5">
        <f>IF(VLOOKUP($B126,Table2[[prolific]:[feedbackTime]],20,FALSE)=VLOOKUP(U$1,Table1[],2,FALSE),1,0)</f>
        <v>1</v>
      </c>
      <c r="V126" s="5">
        <f>IF(VLOOKUP($B126,Table2[[prolific]:[feedbackTime]],21,FALSE)=VLOOKUP(V$1,Table1[],2,FALSE),1,0)</f>
        <v>0</v>
      </c>
      <c r="W126" s="5">
        <f>IF(VLOOKUP($B126,Table2[[prolific]:[feedbackTime]],22,FALSE)=VLOOKUP(W$1,Table1[],2,FALSE),1,0)</f>
        <v>0</v>
      </c>
      <c r="X126" s="5">
        <f t="shared" si="58"/>
        <v>5</v>
      </c>
      <c r="Y126" s="7">
        <f t="shared" si="59"/>
        <v>0.625</v>
      </c>
      <c r="Z126" s="5">
        <f>IF(VLOOKUP($B126,Table2[[prolific]:[feedbackTime]],23,FALSE)=VLOOKUP(Z$1,Table1[],2,FALSE),1,0)</f>
        <v>1</v>
      </c>
      <c r="AA126" s="5">
        <f>IF(VLOOKUP($B126,Table2[[prolific]:[feedbackTime]],24,FALSE)=VLOOKUP(AA$1,Table1[],2,FALSE),1,0)</f>
        <v>1</v>
      </c>
      <c r="AB126" s="5">
        <f>IF(VLOOKUP($B126,Table2[[prolific]:[feedbackTime]],25,FALSE)=VLOOKUP(AB$1,Table1[],2,FALSE),1,0)</f>
        <v>1</v>
      </c>
      <c r="AC126" s="5">
        <f>IF(VLOOKUP($B126,Table2[[prolific]:[feedbackTime]],26,FALSE)=VLOOKUP(AC$1,Table1[],2,FALSE),1,0)</f>
        <v>0</v>
      </c>
      <c r="AD126" s="5">
        <f>IF(VLOOKUP($B126,Table2[[prolific]:[feedbackTime]],27,FALSE)=VLOOKUP(AD$1,Table1[],2,FALSE),1,0)</f>
        <v>1</v>
      </c>
      <c r="AE126" s="5">
        <f>IF(VLOOKUP($B126,Table2[[prolific]:[feedbackTime]],28,FALSE)=VLOOKUP(AE$1,Table1[],2,FALSE),1,0)</f>
        <v>1</v>
      </c>
      <c r="AF126" s="5">
        <f>IF(VLOOKUP($B126,Table2[[prolific]:[feedbackTime]],29,FALSE)=VLOOKUP(AF$1,Table1[],2,FALSE),1,0)</f>
        <v>1</v>
      </c>
      <c r="AG126" s="5">
        <f>IF(VLOOKUP($B126,Table2[[prolific]:[feedbackTime]],30,FALSE)=VLOOKUP(AG$1,Table1[],2,FALSE),1,0)</f>
        <v>0</v>
      </c>
      <c r="AH126" s="5">
        <f t="shared" si="60"/>
        <v>6</v>
      </c>
      <c r="AI126" s="7">
        <f t="shared" si="61"/>
        <v>0.75</v>
      </c>
      <c r="AJ126" s="7">
        <f t="shared" si="62"/>
        <v>0.59090909090909094</v>
      </c>
      <c r="AK126" s="5">
        <f t="shared" si="63"/>
        <v>13</v>
      </c>
    </row>
    <row r="127" spans="1:37" x14ac:dyDescent="0.25">
      <c r="A127">
        <f t="shared" si="53"/>
        <v>1</v>
      </c>
      <c r="B127" s="5" t="s">
        <v>1185</v>
      </c>
      <c r="C127" s="5">
        <f>IF(VLOOKUP($B127,Table2[[prolific]:[feedbackTime]],6,FALSE)=VLOOKUP(C$1,Table1[],2,FALSE),1,0)</f>
        <v>1</v>
      </c>
      <c r="D127" s="5">
        <f>IF(VLOOKUP($B127,Table2[[prolific]:[feedbackTime]],7,FALSE)=VLOOKUP(D$1,Table1[],2,FALSE),1,0)</f>
        <v>1</v>
      </c>
      <c r="E127" s="5">
        <f>IF(VLOOKUP($B127,Table2[[prolific]:[feedbackTime]],8,FALSE)=VLOOKUP(E$1,Table1[],2,FALSE),1,0)</f>
        <v>1</v>
      </c>
      <c r="F127" s="5">
        <f t="shared" si="54"/>
        <v>3</v>
      </c>
      <c r="G127" s="7">
        <f t="shared" si="55"/>
        <v>1</v>
      </c>
      <c r="H127" s="5">
        <f>IF(VLOOKUP($B127,Table2[[prolific]:[feedbackTime]],9,FALSE)=VLOOKUP(H$1,Table1[],2,FALSE),1,0)</f>
        <v>1</v>
      </c>
      <c r="I127" s="5">
        <f>IF(VLOOKUP($B127,Table2[[prolific]:[feedbackTime]],10,FALSE)=VLOOKUP(I$1,Table1[],2,FALSE),1,0)</f>
        <v>1</v>
      </c>
      <c r="J127" s="5">
        <f>IF(VLOOKUP($B127,Table2[[prolific]:[feedbackTime]],11,FALSE)=VLOOKUP(J$1,Table1[],2,FALSE),1,0)</f>
        <v>1</v>
      </c>
      <c r="K127" s="5">
        <f>IF(VLOOKUP($B127,Table2[[prolific]:[feedbackTime]],12,FALSE)=VLOOKUP(K$1,Table1[],2,FALSE),1,0)</f>
        <v>1</v>
      </c>
      <c r="L127" s="5">
        <f>IF(VLOOKUP($B127,Table2[[prolific]:[feedbackTime]],13,FALSE)=VLOOKUP(L$1,Table1[],2,FALSE),1,0)</f>
        <v>1</v>
      </c>
      <c r="M127" s="5">
        <f>IF(VLOOKUP($B127,Table2[[prolific]:[feedbackTime]],14,FALSE)=VLOOKUP(M$1,Table1[],2,FALSE),1,0)</f>
        <v>1</v>
      </c>
      <c r="N127" s="5">
        <f t="shared" si="56"/>
        <v>6</v>
      </c>
      <c r="O127" s="7">
        <f t="shared" si="57"/>
        <v>1</v>
      </c>
      <c r="P127" s="5">
        <f>IF(VLOOKUP($B127,Table2[[prolific]:[feedbackTime]],15,FALSE)=VLOOKUP(P$1,Table1[],2,FALSE),1,0)</f>
        <v>1</v>
      </c>
      <c r="Q127" s="5">
        <f>IF(VLOOKUP($B127,Table2[[prolific]:[feedbackTime]],16,FALSE)=VLOOKUP(Q$1,Table1[],2,FALSE),1,0)</f>
        <v>1</v>
      </c>
      <c r="R127" s="5">
        <f>IF(VLOOKUP($B127,Table2[[prolific]:[feedbackTime]],17,FALSE)=VLOOKUP(R$1,Table1[],2,FALSE),1,0)</f>
        <v>1</v>
      </c>
      <c r="S127" s="5">
        <f>IF(VLOOKUP($B127,Table2[[prolific]:[feedbackTime]],18,FALSE)=VLOOKUP(S$1,Table1[],2,FALSE),1,0)</f>
        <v>1</v>
      </c>
      <c r="T127" s="5">
        <f>IF(VLOOKUP($B127,Table2[[prolific]:[feedbackTime]],19,FALSE)=VLOOKUP(T$1,Table1[],2,FALSE),1,0)</f>
        <v>1</v>
      </c>
      <c r="U127" s="5">
        <f>IF(VLOOKUP($B127,Table2[[prolific]:[feedbackTime]],20,FALSE)=VLOOKUP(U$1,Table1[],2,FALSE),1,0)</f>
        <v>1</v>
      </c>
      <c r="V127" s="5">
        <f>IF(VLOOKUP($B127,Table2[[prolific]:[feedbackTime]],21,FALSE)=VLOOKUP(V$1,Table1[],2,FALSE),1,0)</f>
        <v>1</v>
      </c>
      <c r="W127" s="5">
        <f>IF(VLOOKUP($B127,Table2[[prolific]:[feedbackTime]],22,FALSE)=VLOOKUP(W$1,Table1[],2,FALSE),1,0)</f>
        <v>0</v>
      </c>
      <c r="X127" s="5">
        <f t="shared" si="58"/>
        <v>7</v>
      </c>
      <c r="Y127" s="7">
        <f t="shared" si="59"/>
        <v>0.875</v>
      </c>
      <c r="Z127" s="5">
        <f>IF(VLOOKUP($B127,Table2[[prolific]:[feedbackTime]],23,FALSE)=VLOOKUP(Z$1,Table1[],2,FALSE),1,0)</f>
        <v>1</v>
      </c>
      <c r="AA127" s="5">
        <f>IF(VLOOKUP($B127,Table2[[prolific]:[feedbackTime]],24,FALSE)=VLOOKUP(AA$1,Table1[],2,FALSE),1,0)</f>
        <v>1</v>
      </c>
      <c r="AB127" s="5">
        <f>IF(VLOOKUP($B127,Table2[[prolific]:[feedbackTime]],25,FALSE)=VLOOKUP(AB$1,Table1[],2,FALSE),1,0)</f>
        <v>1</v>
      </c>
      <c r="AC127" s="5">
        <f>IF(VLOOKUP($B127,Table2[[prolific]:[feedbackTime]],26,FALSE)=VLOOKUP(AC$1,Table1[],2,FALSE),1,0)</f>
        <v>1</v>
      </c>
      <c r="AD127" s="5">
        <f>IF(VLOOKUP($B127,Table2[[prolific]:[feedbackTime]],27,FALSE)=VLOOKUP(AD$1,Table1[],2,FALSE),1,0)</f>
        <v>1</v>
      </c>
      <c r="AE127" s="5">
        <f>IF(VLOOKUP($B127,Table2[[prolific]:[feedbackTime]],28,FALSE)=VLOOKUP(AE$1,Table1[],2,FALSE),1,0)</f>
        <v>1</v>
      </c>
      <c r="AF127" s="5">
        <f>IF(VLOOKUP($B127,Table2[[prolific]:[feedbackTime]],29,FALSE)=VLOOKUP(AF$1,Table1[],2,FALSE),1,0)</f>
        <v>1</v>
      </c>
      <c r="AG127" s="5">
        <f>IF(VLOOKUP($B127,Table2[[prolific]:[feedbackTime]],30,FALSE)=VLOOKUP(AG$1,Table1[],2,FALSE),1,0)</f>
        <v>0</v>
      </c>
      <c r="AH127" s="5">
        <f t="shared" si="60"/>
        <v>7</v>
      </c>
      <c r="AI127" s="7">
        <f t="shared" si="61"/>
        <v>0.875</v>
      </c>
      <c r="AJ127" s="7">
        <f t="shared" si="62"/>
        <v>0.90909090909090906</v>
      </c>
      <c r="AK127" s="5">
        <f t="shared" si="63"/>
        <v>20</v>
      </c>
    </row>
    <row r="128" spans="1:37" x14ac:dyDescent="0.25">
      <c r="A128">
        <f t="shared" si="53"/>
        <v>1</v>
      </c>
      <c r="B128" s="5" t="s">
        <v>1186</v>
      </c>
      <c r="C128" s="5">
        <f>IF(VLOOKUP($B128,Table2[[prolific]:[feedbackTime]],6,FALSE)=VLOOKUP(C$1,Table1[],2,FALSE),1,0)</f>
        <v>1</v>
      </c>
      <c r="D128" s="5">
        <f>IF(VLOOKUP($B128,Table2[[prolific]:[feedbackTime]],7,FALSE)=VLOOKUP(D$1,Table1[],2,FALSE),1,0)</f>
        <v>1</v>
      </c>
      <c r="E128" s="5">
        <f>IF(VLOOKUP($B128,Table2[[prolific]:[feedbackTime]],8,FALSE)=VLOOKUP(E$1,Table1[],2,FALSE),1,0)</f>
        <v>1</v>
      </c>
      <c r="F128" s="5">
        <f t="shared" si="54"/>
        <v>3</v>
      </c>
      <c r="G128" s="7">
        <f t="shared" si="55"/>
        <v>1</v>
      </c>
      <c r="H128" s="5">
        <f>IF(VLOOKUP($B128,Table2[[prolific]:[feedbackTime]],9,FALSE)=VLOOKUP(H$1,Table1[],2,FALSE),1,0)</f>
        <v>1</v>
      </c>
      <c r="I128" s="5">
        <f>IF(VLOOKUP($B128,Table2[[prolific]:[feedbackTime]],10,FALSE)=VLOOKUP(I$1,Table1[],2,FALSE),1,0)</f>
        <v>1</v>
      </c>
      <c r="J128" s="5">
        <f>IF(VLOOKUP($B128,Table2[[prolific]:[feedbackTime]],11,FALSE)=VLOOKUP(J$1,Table1[],2,FALSE),1,0)</f>
        <v>1</v>
      </c>
      <c r="K128" s="5">
        <f>IF(VLOOKUP($B128,Table2[[prolific]:[feedbackTime]],12,FALSE)=VLOOKUP(K$1,Table1[],2,FALSE),1,0)</f>
        <v>1</v>
      </c>
      <c r="L128" s="5">
        <f>IF(VLOOKUP($B128,Table2[[prolific]:[feedbackTime]],13,FALSE)=VLOOKUP(L$1,Table1[],2,FALSE),1,0)</f>
        <v>1</v>
      </c>
      <c r="M128" s="5">
        <f>IF(VLOOKUP($B128,Table2[[prolific]:[feedbackTime]],14,FALSE)=VLOOKUP(M$1,Table1[],2,FALSE),1,0)</f>
        <v>1</v>
      </c>
      <c r="N128" s="5">
        <f t="shared" si="56"/>
        <v>6</v>
      </c>
      <c r="O128" s="7">
        <f t="shared" si="57"/>
        <v>1</v>
      </c>
      <c r="P128" s="5">
        <f>IF(VLOOKUP($B128,Table2[[prolific]:[feedbackTime]],15,FALSE)=VLOOKUP(P$1,Table1[],2,FALSE),1,0)</f>
        <v>1</v>
      </c>
      <c r="Q128" s="5">
        <f>IF(VLOOKUP($B128,Table2[[prolific]:[feedbackTime]],16,FALSE)=VLOOKUP(Q$1,Table1[],2,FALSE),1,0)</f>
        <v>1</v>
      </c>
      <c r="R128" s="5">
        <f>IF(VLOOKUP($B128,Table2[[prolific]:[feedbackTime]],17,FALSE)=VLOOKUP(R$1,Table1[],2,FALSE),1,0)</f>
        <v>1</v>
      </c>
      <c r="S128" s="5">
        <f>IF(VLOOKUP($B128,Table2[[prolific]:[feedbackTime]],18,FALSE)=VLOOKUP(S$1,Table1[],2,FALSE),1,0)</f>
        <v>1</v>
      </c>
      <c r="T128" s="5">
        <f>IF(VLOOKUP($B128,Table2[[prolific]:[feedbackTime]],19,FALSE)=VLOOKUP(T$1,Table1[],2,FALSE),1,0)</f>
        <v>1</v>
      </c>
      <c r="U128" s="5">
        <f>IF(VLOOKUP($B128,Table2[[prolific]:[feedbackTime]],20,FALSE)=VLOOKUP(U$1,Table1[],2,FALSE),1,0)</f>
        <v>1</v>
      </c>
      <c r="V128" s="5">
        <f>IF(VLOOKUP($B128,Table2[[prolific]:[feedbackTime]],21,FALSE)=VLOOKUP(V$1,Table1[],2,FALSE),1,0)</f>
        <v>0</v>
      </c>
      <c r="W128" s="5">
        <f>IF(VLOOKUP($B128,Table2[[prolific]:[feedbackTime]],22,FALSE)=VLOOKUP(W$1,Table1[],2,FALSE),1,0)</f>
        <v>1</v>
      </c>
      <c r="X128" s="5">
        <f t="shared" si="58"/>
        <v>7</v>
      </c>
      <c r="Y128" s="7">
        <f t="shared" si="59"/>
        <v>0.875</v>
      </c>
      <c r="Z128" s="5">
        <f>IF(VLOOKUP($B128,Table2[[prolific]:[feedbackTime]],23,FALSE)=VLOOKUP(Z$1,Table1[],2,FALSE),1,0)</f>
        <v>1</v>
      </c>
      <c r="AA128" s="5">
        <f>IF(VLOOKUP($B128,Table2[[prolific]:[feedbackTime]],24,FALSE)=VLOOKUP(AA$1,Table1[],2,FALSE),1,0)</f>
        <v>1</v>
      </c>
      <c r="AB128" s="5">
        <f>IF(VLOOKUP($B128,Table2[[prolific]:[feedbackTime]],25,FALSE)=VLOOKUP(AB$1,Table1[],2,FALSE),1,0)</f>
        <v>1</v>
      </c>
      <c r="AC128" s="5">
        <f>IF(VLOOKUP($B128,Table2[[prolific]:[feedbackTime]],26,FALSE)=VLOOKUP(AC$1,Table1[],2,FALSE),1,0)</f>
        <v>1</v>
      </c>
      <c r="AD128" s="5">
        <f>IF(VLOOKUP($B128,Table2[[prolific]:[feedbackTime]],27,FALSE)=VLOOKUP(AD$1,Table1[],2,FALSE),1,0)</f>
        <v>1</v>
      </c>
      <c r="AE128" s="5">
        <f>IF(VLOOKUP($B128,Table2[[prolific]:[feedbackTime]],28,FALSE)=VLOOKUP(AE$1,Table1[],2,FALSE),1,0)</f>
        <v>1</v>
      </c>
      <c r="AF128" s="5">
        <f>IF(VLOOKUP($B128,Table2[[prolific]:[feedbackTime]],29,FALSE)=VLOOKUP(AF$1,Table1[],2,FALSE),1,0)</f>
        <v>1</v>
      </c>
      <c r="AG128" s="5">
        <f>IF(VLOOKUP($B128,Table2[[prolific]:[feedbackTime]],30,FALSE)=VLOOKUP(AG$1,Table1[],2,FALSE),1,0)</f>
        <v>1</v>
      </c>
      <c r="AH128" s="5">
        <f t="shared" si="60"/>
        <v>8</v>
      </c>
      <c r="AI128" s="7">
        <f t="shared" si="61"/>
        <v>1</v>
      </c>
      <c r="AJ128" s="7">
        <f t="shared" si="62"/>
        <v>0.95454545454545459</v>
      </c>
      <c r="AK128" s="5">
        <f t="shared" si="63"/>
        <v>21</v>
      </c>
    </row>
    <row r="129" spans="1:37" x14ac:dyDescent="0.25">
      <c r="A129">
        <f t="shared" si="53"/>
        <v>1</v>
      </c>
      <c r="B129" s="5" t="s">
        <v>1187</v>
      </c>
      <c r="C129" s="5">
        <f>IF(VLOOKUP($B129,Table2[[prolific]:[feedbackTime]],6,FALSE)=VLOOKUP(C$1,Table1[],2,FALSE),1,0)</f>
        <v>1</v>
      </c>
      <c r="D129" s="5">
        <f>IF(VLOOKUP($B129,Table2[[prolific]:[feedbackTime]],7,FALSE)=VLOOKUP(D$1,Table1[],2,FALSE),1,0)</f>
        <v>1</v>
      </c>
      <c r="E129" s="5">
        <f>IF(VLOOKUP($B129,Table2[[prolific]:[feedbackTime]],8,FALSE)=VLOOKUP(E$1,Table1[],2,FALSE),1,0)</f>
        <v>1</v>
      </c>
      <c r="F129" s="5">
        <f t="shared" si="54"/>
        <v>3</v>
      </c>
      <c r="G129" s="7">
        <f t="shared" si="55"/>
        <v>1</v>
      </c>
      <c r="H129" s="5">
        <f>IF(VLOOKUP($B129,Table2[[prolific]:[feedbackTime]],9,FALSE)=VLOOKUP(H$1,Table1[],2,FALSE),1,0)</f>
        <v>1</v>
      </c>
      <c r="I129" s="5">
        <f>IF(VLOOKUP($B129,Table2[[prolific]:[feedbackTime]],10,FALSE)=VLOOKUP(I$1,Table1[],2,FALSE),1,0)</f>
        <v>1</v>
      </c>
      <c r="J129" s="5">
        <f>IF(VLOOKUP($B129,Table2[[prolific]:[feedbackTime]],11,FALSE)=VLOOKUP(J$1,Table1[],2,FALSE),1,0)</f>
        <v>1</v>
      </c>
      <c r="K129" s="5">
        <f>IF(VLOOKUP($B129,Table2[[prolific]:[feedbackTime]],12,FALSE)=VLOOKUP(K$1,Table1[],2,FALSE),1,0)</f>
        <v>1</v>
      </c>
      <c r="L129" s="5">
        <f>IF(VLOOKUP($B129,Table2[[prolific]:[feedbackTime]],13,FALSE)=VLOOKUP(L$1,Table1[],2,FALSE),1,0)</f>
        <v>1</v>
      </c>
      <c r="M129" s="5">
        <f>IF(VLOOKUP($B129,Table2[[prolific]:[feedbackTime]],14,FALSE)=VLOOKUP(M$1,Table1[],2,FALSE),1,0)</f>
        <v>1</v>
      </c>
      <c r="N129" s="5">
        <f t="shared" si="56"/>
        <v>6</v>
      </c>
      <c r="O129" s="7">
        <f t="shared" si="57"/>
        <v>1</v>
      </c>
      <c r="P129" s="5">
        <f>IF(VLOOKUP($B129,Table2[[prolific]:[feedbackTime]],15,FALSE)=VLOOKUP(P$1,Table1[],2,FALSE),1,0)</f>
        <v>1</v>
      </c>
      <c r="Q129" s="5">
        <f>IF(VLOOKUP($B129,Table2[[prolific]:[feedbackTime]],16,FALSE)=VLOOKUP(Q$1,Table1[],2,FALSE),1,0)</f>
        <v>1</v>
      </c>
      <c r="R129" s="5">
        <f>IF(VLOOKUP($B129,Table2[[prolific]:[feedbackTime]],17,FALSE)=VLOOKUP(R$1,Table1[],2,FALSE),1,0)</f>
        <v>0</v>
      </c>
      <c r="S129" s="5">
        <f>IF(VLOOKUP($B129,Table2[[prolific]:[feedbackTime]],18,FALSE)=VLOOKUP(S$1,Table1[],2,FALSE),1,0)</f>
        <v>0</v>
      </c>
      <c r="T129" s="5">
        <f>IF(VLOOKUP($B129,Table2[[prolific]:[feedbackTime]],19,FALSE)=VLOOKUP(T$1,Table1[],2,FALSE),1,0)</f>
        <v>1</v>
      </c>
      <c r="U129" s="5">
        <f>IF(VLOOKUP($B129,Table2[[prolific]:[feedbackTime]],20,FALSE)=VLOOKUP(U$1,Table1[],2,FALSE),1,0)</f>
        <v>0</v>
      </c>
      <c r="V129" s="5">
        <f>IF(VLOOKUP($B129,Table2[[prolific]:[feedbackTime]],21,FALSE)=VLOOKUP(V$1,Table1[],2,FALSE),1,0)</f>
        <v>1</v>
      </c>
      <c r="W129" s="5">
        <f>IF(VLOOKUP($B129,Table2[[prolific]:[feedbackTime]],22,FALSE)=VLOOKUP(W$1,Table1[],2,FALSE),1,0)</f>
        <v>1</v>
      </c>
      <c r="X129" s="5">
        <f t="shared" si="58"/>
        <v>5</v>
      </c>
      <c r="Y129" s="7">
        <f t="shared" si="59"/>
        <v>0.625</v>
      </c>
      <c r="Z129" s="5">
        <f>IF(VLOOKUP($B129,Table2[[prolific]:[feedbackTime]],23,FALSE)=VLOOKUP(Z$1,Table1[],2,FALSE),1,0)</f>
        <v>1</v>
      </c>
      <c r="AA129" s="5">
        <f>IF(VLOOKUP($B129,Table2[[prolific]:[feedbackTime]],24,FALSE)=VLOOKUP(AA$1,Table1[],2,FALSE),1,0)</f>
        <v>1</v>
      </c>
      <c r="AB129" s="5">
        <f>IF(VLOOKUP($B129,Table2[[prolific]:[feedbackTime]],25,FALSE)=VLOOKUP(AB$1,Table1[],2,FALSE),1,0)</f>
        <v>0</v>
      </c>
      <c r="AC129" s="5">
        <f>IF(VLOOKUP($B129,Table2[[prolific]:[feedbackTime]],26,FALSE)=VLOOKUP(AC$1,Table1[],2,FALSE),1,0)</f>
        <v>1</v>
      </c>
      <c r="AD129" s="5">
        <f>IF(VLOOKUP($B129,Table2[[prolific]:[feedbackTime]],27,FALSE)=VLOOKUP(AD$1,Table1[],2,FALSE),1,0)</f>
        <v>1</v>
      </c>
      <c r="AE129" s="5">
        <f>IF(VLOOKUP($B129,Table2[[prolific]:[feedbackTime]],28,FALSE)=VLOOKUP(AE$1,Table1[],2,FALSE),1,0)</f>
        <v>1</v>
      </c>
      <c r="AF129" s="5">
        <f>IF(VLOOKUP($B129,Table2[[prolific]:[feedbackTime]],29,FALSE)=VLOOKUP(AF$1,Table1[],2,FALSE),1,0)</f>
        <v>1</v>
      </c>
      <c r="AG129" s="5">
        <f>IF(VLOOKUP($B129,Table2[[prolific]:[feedbackTime]],30,FALSE)=VLOOKUP(AG$1,Table1[],2,FALSE),1,0)</f>
        <v>1</v>
      </c>
      <c r="AH129" s="5">
        <f t="shared" si="60"/>
        <v>7</v>
      </c>
      <c r="AI129" s="7">
        <f t="shared" si="61"/>
        <v>0.875</v>
      </c>
      <c r="AJ129" s="7">
        <f t="shared" si="62"/>
        <v>0.81818181818181823</v>
      </c>
      <c r="AK129" s="5">
        <f t="shared" si="63"/>
        <v>18</v>
      </c>
    </row>
    <row r="130" spans="1:37" x14ac:dyDescent="0.25">
      <c r="A130">
        <f t="shared" ref="A130:A161" si="64">COUNTIF(B:B,B130)</f>
        <v>1</v>
      </c>
      <c r="B130" s="5" t="s">
        <v>1161</v>
      </c>
      <c r="C130" s="5">
        <f>IF(VLOOKUP($B130,Table2[[prolific]:[feedbackTime]],6,FALSE)=VLOOKUP(C$1,Table1[],2,FALSE),1,0)</f>
        <v>0</v>
      </c>
      <c r="D130" s="5">
        <f>IF(VLOOKUP($B130,Table2[[prolific]:[feedbackTime]],7,FALSE)=VLOOKUP(D$1,Table1[],2,FALSE),1,0)</f>
        <v>0</v>
      </c>
      <c r="E130" s="5">
        <f>IF(VLOOKUP($B130,Table2[[prolific]:[feedbackTime]],8,FALSE)=VLOOKUP(E$1,Table1[],2,FALSE),1,0)</f>
        <v>1</v>
      </c>
      <c r="F130" s="5">
        <f t="shared" si="54"/>
        <v>1</v>
      </c>
      <c r="G130" s="7">
        <f t="shared" si="55"/>
        <v>0.33333333333333331</v>
      </c>
      <c r="H130" s="5">
        <f>IF(VLOOKUP($B130,Table2[[prolific]:[feedbackTime]],9,FALSE)=VLOOKUP(H$1,Table1[],2,FALSE),1,0)</f>
        <v>1</v>
      </c>
      <c r="I130" s="5">
        <f>IF(VLOOKUP($B130,Table2[[prolific]:[feedbackTime]],10,FALSE)=VLOOKUP(I$1,Table1[],2,FALSE),1,0)</f>
        <v>1</v>
      </c>
      <c r="J130" s="5">
        <f>IF(VLOOKUP($B130,Table2[[prolific]:[feedbackTime]],11,FALSE)=VLOOKUP(J$1,Table1[],2,FALSE),1,0)</f>
        <v>0</v>
      </c>
      <c r="K130" s="5">
        <f>IF(VLOOKUP($B130,Table2[[prolific]:[feedbackTime]],12,FALSE)=VLOOKUP(K$1,Table1[],2,FALSE),1,0)</f>
        <v>1</v>
      </c>
      <c r="L130" s="5">
        <f>IF(VLOOKUP($B130,Table2[[prolific]:[feedbackTime]],13,FALSE)=VLOOKUP(L$1,Table1[],2,FALSE),1,0)</f>
        <v>0</v>
      </c>
      <c r="M130" s="5">
        <f>IF(VLOOKUP($B130,Table2[[prolific]:[feedbackTime]],14,FALSE)=VLOOKUP(M$1,Table1[],2,FALSE),1,0)</f>
        <v>0</v>
      </c>
      <c r="N130" s="5">
        <f t="shared" si="56"/>
        <v>3</v>
      </c>
      <c r="O130" s="7">
        <f t="shared" si="57"/>
        <v>0.5</v>
      </c>
      <c r="P130" s="5">
        <f>IF(VLOOKUP($B130,Table2[[prolific]:[feedbackTime]],15,FALSE)=VLOOKUP(P$1,Table1[],2,FALSE),1,0)</f>
        <v>1</v>
      </c>
      <c r="Q130" s="5">
        <f>IF(VLOOKUP($B130,Table2[[prolific]:[feedbackTime]],16,FALSE)=VLOOKUP(Q$1,Table1[],2,FALSE),1,0)</f>
        <v>1</v>
      </c>
      <c r="R130" s="5">
        <f>IF(VLOOKUP($B130,Table2[[prolific]:[feedbackTime]],17,FALSE)=VLOOKUP(R$1,Table1[],2,FALSE),1,0)</f>
        <v>0</v>
      </c>
      <c r="S130" s="5">
        <f>IF(VLOOKUP($B130,Table2[[prolific]:[feedbackTime]],18,FALSE)=VLOOKUP(S$1,Table1[],2,FALSE),1,0)</f>
        <v>0</v>
      </c>
      <c r="T130" s="5">
        <f>IF(VLOOKUP($B130,Table2[[prolific]:[feedbackTime]],19,FALSE)=VLOOKUP(T$1,Table1[],2,FALSE),1,0)</f>
        <v>1</v>
      </c>
      <c r="U130" s="5">
        <f>IF(VLOOKUP($B130,Table2[[prolific]:[feedbackTime]],20,FALSE)=VLOOKUP(U$1,Table1[],2,FALSE),1,0)</f>
        <v>0</v>
      </c>
      <c r="V130" s="5">
        <f>IF(VLOOKUP($B130,Table2[[prolific]:[feedbackTime]],21,FALSE)=VLOOKUP(V$1,Table1[],2,FALSE),1,0)</f>
        <v>0</v>
      </c>
      <c r="W130" s="5">
        <f>IF(VLOOKUP($B130,Table2[[prolific]:[feedbackTime]],22,FALSE)=VLOOKUP(W$1,Table1[],2,FALSE),1,0)</f>
        <v>1</v>
      </c>
      <c r="X130" s="5">
        <f t="shared" si="58"/>
        <v>4</v>
      </c>
      <c r="Y130" s="7">
        <f t="shared" si="59"/>
        <v>0.5</v>
      </c>
      <c r="Z130" s="5">
        <f>IF(VLOOKUP($B130,Table2[[prolific]:[feedbackTime]],23,FALSE)=VLOOKUP(Z$1,Table1[],2,FALSE),1,0)</f>
        <v>1</v>
      </c>
      <c r="AA130" s="5">
        <f>IF(VLOOKUP($B130,Table2[[prolific]:[feedbackTime]],24,FALSE)=VLOOKUP(AA$1,Table1[],2,FALSE),1,0)</f>
        <v>1</v>
      </c>
      <c r="AB130" s="5">
        <f>IF(VLOOKUP($B130,Table2[[prolific]:[feedbackTime]],25,FALSE)=VLOOKUP(AB$1,Table1[],2,FALSE),1,0)</f>
        <v>1</v>
      </c>
      <c r="AC130" s="5">
        <f>IF(VLOOKUP($B130,Table2[[prolific]:[feedbackTime]],26,FALSE)=VLOOKUP(AC$1,Table1[],2,FALSE),1,0)</f>
        <v>1</v>
      </c>
      <c r="AD130" s="5">
        <f>IF(VLOOKUP($B130,Table2[[prolific]:[feedbackTime]],27,FALSE)=VLOOKUP(AD$1,Table1[],2,FALSE),1,0)</f>
        <v>1</v>
      </c>
      <c r="AE130" s="5">
        <f>IF(VLOOKUP($B130,Table2[[prolific]:[feedbackTime]],28,FALSE)=VLOOKUP(AE$1,Table1[],2,FALSE),1,0)</f>
        <v>0</v>
      </c>
      <c r="AF130" s="5">
        <f>IF(VLOOKUP($B130,Table2[[prolific]:[feedbackTime]],29,FALSE)=VLOOKUP(AF$1,Table1[],2,FALSE),1,0)</f>
        <v>0</v>
      </c>
      <c r="AG130" s="5">
        <f>IF(VLOOKUP($B130,Table2[[prolific]:[feedbackTime]],30,FALSE)=VLOOKUP(AG$1,Table1[],2,FALSE),1,0)</f>
        <v>1</v>
      </c>
      <c r="AH130" s="5">
        <f t="shared" si="60"/>
        <v>6</v>
      </c>
      <c r="AI130" s="7">
        <f t="shared" si="61"/>
        <v>0.75</v>
      </c>
      <c r="AJ130" s="7">
        <f t="shared" si="62"/>
        <v>0.59090909090909094</v>
      </c>
      <c r="AK130" s="5">
        <f t="shared" si="63"/>
        <v>13</v>
      </c>
    </row>
    <row r="131" spans="1:37" x14ac:dyDescent="0.25">
      <c r="A131">
        <f t="shared" si="64"/>
        <v>1</v>
      </c>
      <c r="B131" s="5" t="s">
        <v>1188</v>
      </c>
      <c r="C131" s="5">
        <f>IF(VLOOKUP($B131,Table2[[prolific]:[feedbackTime]],6,FALSE)=VLOOKUP(C$1,Table1[],2,FALSE),1,0)</f>
        <v>1</v>
      </c>
      <c r="D131" s="5">
        <f>IF(VLOOKUP($B131,Table2[[prolific]:[feedbackTime]],7,FALSE)=VLOOKUP(D$1,Table1[],2,FALSE),1,0)</f>
        <v>1</v>
      </c>
      <c r="E131" s="5">
        <f>IF(VLOOKUP($B131,Table2[[prolific]:[feedbackTime]],8,FALSE)=VLOOKUP(E$1,Table1[],2,FALSE),1,0)</f>
        <v>1</v>
      </c>
      <c r="F131" s="5">
        <f t="shared" si="54"/>
        <v>3</v>
      </c>
      <c r="G131" s="7">
        <f t="shared" si="55"/>
        <v>1</v>
      </c>
      <c r="H131" s="5">
        <f>IF(VLOOKUP($B131,Table2[[prolific]:[feedbackTime]],9,FALSE)=VLOOKUP(H$1,Table1[],2,FALSE),1,0)</f>
        <v>1</v>
      </c>
      <c r="I131" s="5">
        <f>IF(VLOOKUP($B131,Table2[[prolific]:[feedbackTime]],10,FALSE)=VLOOKUP(I$1,Table1[],2,FALSE),1,0)</f>
        <v>1</v>
      </c>
      <c r="J131" s="5">
        <f>IF(VLOOKUP($B131,Table2[[prolific]:[feedbackTime]],11,FALSE)=VLOOKUP(J$1,Table1[],2,FALSE),1,0)</f>
        <v>0</v>
      </c>
      <c r="K131" s="5">
        <f>IF(VLOOKUP($B131,Table2[[prolific]:[feedbackTime]],12,FALSE)=VLOOKUP(K$1,Table1[],2,FALSE),1,0)</f>
        <v>1</v>
      </c>
      <c r="L131" s="5">
        <f>IF(VLOOKUP($B131,Table2[[prolific]:[feedbackTime]],13,FALSE)=VLOOKUP(L$1,Table1[],2,FALSE),1,0)</f>
        <v>1</v>
      </c>
      <c r="M131" s="5">
        <f>IF(VLOOKUP($B131,Table2[[prolific]:[feedbackTime]],14,FALSE)=VLOOKUP(M$1,Table1[],2,FALSE),1,0)</f>
        <v>1</v>
      </c>
      <c r="N131" s="5">
        <f t="shared" si="56"/>
        <v>5</v>
      </c>
      <c r="O131" s="7">
        <f t="shared" si="57"/>
        <v>0.83333333333333337</v>
      </c>
      <c r="P131" s="5">
        <f>IF(VLOOKUP($B131,Table2[[prolific]:[feedbackTime]],15,FALSE)=VLOOKUP(P$1,Table1[],2,FALSE),1,0)</f>
        <v>1</v>
      </c>
      <c r="Q131" s="5">
        <f>IF(VLOOKUP($B131,Table2[[prolific]:[feedbackTime]],16,FALSE)=VLOOKUP(Q$1,Table1[],2,FALSE),1,0)</f>
        <v>1</v>
      </c>
      <c r="R131" s="5">
        <f>IF(VLOOKUP($B131,Table2[[prolific]:[feedbackTime]],17,FALSE)=VLOOKUP(R$1,Table1[],2,FALSE),1,0)</f>
        <v>1</v>
      </c>
      <c r="S131" s="5">
        <f>IF(VLOOKUP($B131,Table2[[prolific]:[feedbackTime]],18,FALSE)=VLOOKUP(S$1,Table1[],2,FALSE),1,0)</f>
        <v>1</v>
      </c>
      <c r="T131" s="5">
        <f>IF(VLOOKUP($B131,Table2[[prolific]:[feedbackTime]],19,FALSE)=VLOOKUP(T$1,Table1[],2,FALSE),1,0)</f>
        <v>1</v>
      </c>
      <c r="U131" s="5">
        <f>IF(VLOOKUP($B131,Table2[[prolific]:[feedbackTime]],20,FALSE)=VLOOKUP(U$1,Table1[],2,FALSE),1,0)</f>
        <v>1</v>
      </c>
      <c r="V131" s="5">
        <f>IF(VLOOKUP($B131,Table2[[prolific]:[feedbackTime]],21,FALSE)=VLOOKUP(V$1,Table1[],2,FALSE),1,0)</f>
        <v>0</v>
      </c>
      <c r="W131" s="5">
        <f>IF(VLOOKUP($B131,Table2[[prolific]:[feedbackTime]],22,FALSE)=VLOOKUP(W$1,Table1[],2,FALSE),1,0)</f>
        <v>0</v>
      </c>
      <c r="X131" s="5">
        <f t="shared" si="58"/>
        <v>6</v>
      </c>
      <c r="Y131" s="7">
        <f t="shared" si="59"/>
        <v>0.75</v>
      </c>
      <c r="Z131" s="5">
        <f>IF(VLOOKUP($B131,Table2[[prolific]:[feedbackTime]],23,FALSE)=VLOOKUP(Z$1,Table1[],2,FALSE),1,0)</f>
        <v>1</v>
      </c>
      <c r="AA131" s="5">
        <f>IF(VLOOKUP($B131,Table2[[prolific]:[feedbackTime]],24,FALSE)=VLOOKUP(AA$1,Table1[],2,FALSE),1,0)</f>
        <v>1</v>
      </c>
      <c r="AB131" s="5">
        <f>IF(VLOOKUP($B131,Table2[[prolific]:[feedbackTime]],25,FALSE)=VLOOKUP(AB$1,Table1[],2,FALSE),1,0)</f>
        <v>1</v>
      </c>
      <c r="AC131" s="5">
        <f>IF(VLOOKUP($B131,Table2[[prolific]:[feedbackTime]],26,FALSE)=VLOOKUP(AC$1,Table1[],2,FALSE),1,0)</f>
        <v>1</v>
      </c>
      <c r="AD131" s="5">
        <f>IF(VLOOKUP($B131,Table2[[prolific]:[feedbackTime]],27,FALSE)=VLOOKUP(AD$1,Table1[],2,FALSE),1,0)</f>
        <v>1</v>
      </c>
      <c r="AE131" s="5">
        <f>IF(VLOOKUP($B131,Table2[[prolific]:[feedbackTime]],28,FALSE)=VLOOKUP(AE$1,Table1[],2,FALSE),1,0)</f>
        <v>1</v>
      </c>
      <c r="AF131" s="5">
        <f>IF(VLOOKUP($B131,Table2[[prolific]:[feedbackTime]],29,FALSE)=VLOOKUP(AF$1,Table1[],2,FALSE),1,0)</f>
        <v>1</v>
      </c>
      <c r="AG131" s="5">
        <f>IF(VLOOKUP($B131,Table2[[prolific]:[feedbackTime]],30,FALSE)=VLOOKUP(AG$1,Table1[],2,FALSE),1,0)</f>
        <v>1</v>
      </c>
      <c r="AH131" s="5">
        <f t="shared" si="60"/>
        <v>8</v>
      </c>
      <c r="AI131" s="7">
        <f t="shared" si="61"/>
        <v>1</v>
      </c>
      <c r="AJ131" s="7">
        <f t="shared" si="62"/>
        <v>0.86363636363636365</v>
      </c>
      <c r="AK131" s="5">
        <f t="shared" si="63"/>
        <v>19</v>
      </c>
    </row>
    <row r="132" spans="1:37" x14ac:dyDescent="0.25">
      <c r="A132">
        <f t="shared" si="64"/>
        <v>1</v>
      </c>
      <c r="B132" s="5" t="s">
        <v>1163</v>
      </c>
      <c r="C132" s="5">
        <f>IF(VLOOKUP($B132,Table2[[prolific]:[feedbackTime]],6,FALSE)=VLOOKUP(C$1,Table1[],2,FALSE),1,0)</f>
        <v>0</v>
      </c>
      <c r="D132" s="5">
        <f>IF(VLOOKUP($B132,Table2[[prolific]:[feedbackTime]],7,FALSE)=VLOOKUP(D$1,Table1[],2,FALSE),1,0)</f>
        <v>0</v>
      </c>
      <c r="E132" s="5">
        <f>IF(VLOOKUP($B132,Table2[[prolific]:[feedbackTime]],8,FALSE)=VLOOKUP(E$1,Table1[],2,FALSE),1,0)</f>
        <v>0</v>
      </c>
      <c r="F132" s="5">
        <f t="shared" si="54"/>
        <v>0</v>
      </c>
      <c r="G132" s="7">
        <f t="shared" si="55"/>
        <v>0</v>
      </c>
      <c r="H132" s="5">
        <f>IF(VLOOKUP($B132,Table2[[prolific]:[feedbackTime]],9,FALSE)=VLOOKUP(H$1,Table1[],2,FALSE),1,0)</f>
        <v>1</v>
      </c>
      <c r="I132" s="5">
        <f>IF(VLOOKUP($B132,Table2[[prolific]:[feedbackTime]],10,FALSE)=VLOOKUP(I$1,Table1[],2,FALSE),1,0)</f>
        <v>1</v>
      </c>
      <c r="J132" s="5">
        <f>IF(VLOOKUP($B132,Table2[[prolific]:[feedbackTime]],11,FALSE)=VLOOKUP(J$1,Table1[],2,FALSE),1,0)</f>
        <v>0</v>
      </c>
      <c r="K132" s="5">
        <f>IF(VLOOKUP($B132,Table2[[prolific]:[feedbackTime]],12,FALSE)=VLOOKUP(K$1,Table1[],2,FALSE),1,0)</f>
        <v>1</v>
      </c>
      <c r="L132" s="5">
        <f>IF(VLOOKUP($B132,Table2[[prolific]:[feedbackTime]],13,FALSE)=VLOOKUP(L$1,Table1[],2,FALSE),1,0)</f>
        <v>0</v>
      </c>
      <c r="M132" s="5">
        <f>IF(VLOOKUP($B132,Table2[[prolific]:[feedbackTime]],14,FALSE)=VLOOKUP(M$1,Table1[],2,FALSE),1,0)</f>
        <v>1</v>
      </c>
      <c r="N132" s="5">
        <f t="shared" si="56"/>
        <v>4</v>
      </c>
      <c r="O132" s="7">
        <f t="shared" si="57"/>
        <v>0.66666666666666663</v>
      </c>
      <c r="P132" s="5">
        <f>IF(VLOOKUP($B132,Table2[[prolific]:[feedbackTime]],15,FALSE)=VLOOKUP(P$1,Table1[],2,FALSE),1,0)</f>
        <v>1</v>
      </c>
      <c r="Q132" s="5">
        <f>IF(VLOOKUP($B132,Table2[[prolific]:[feedbackTime]],16,FALSE)=VLOOKUP(Q$1,Table1[],2,FALSE),1,0)</f>
        <v>1</v>
      </c>
      <c r="R132" s="5">
        <f>IF(VLOOKUP($B132,Table2[[prolific]:[feedbackTime]],17,FALSE)=VLOOKUP(R$1,Table1[],2,FALSE),1,0)</f>
        <v>1</v>
      </c>
      <c r="S132" s="5">
        <f>IF(VLOOKUP($B132,Table2[[prolific]:[feedbackTime]],18,FALSE)=VLOOKUP(S$1,Table1[],2,FALSE),1,0)</f>
        <v>1</v>
      </c>
      <c r="T132" s="5">
        <f>IF(VLOOKUP($B132,Table2[[prolific]:[feedbackTime]],19,FALSE)=VLOOKUP(T$1,Table1[],2,FALSE),1,0)</f>
        <v>1</v>
      </c>
      <c r="U132" s="5">
        <f>IF(VLOOKUP($B132,Table2[[prolific]:[feedbackTime]],20,FALSE)=VLOOKUP(U$1,Table1[],2,FALSE),1,0)</f>
        <v>1</v>
      </c>
      <c r="V132" s="5">
        <f>IF(VLOOKUP($B132,Table2[[prolific]:[feedbackTime]],21,FALSE)=VLOOKUP(V$1,Table1[],2,FALSE),1,0)</f>
        <v>1</v>
      </c>
      <c r="W132" s="5">
        <f>IF(VLOOKUP($B132,Table2[[prolific]:[feedbackTime]],22,FALSE)=VLOOKUP(W$1,Table1[],2,FALSE),1,0)</f>
        <v>0</v>
      </c>
      <c r="X132" s="5">
        <f t="shared" si="58"/>
        <v>7</v>
      </c>
      <c r="Y132" s="7">
        <f t="shared" si="59"/>
        <v>0.875</v>
      </c>
      <c r="Z132" s="5">
        <f>IF(VLOOKUP($B132,Table2[[prolific]:[feedbackTime]],23,FALSE)=VLOOKUP(Z$1,Table1[],2,FALSE),1,0)</f>
        <v>1</v>
      </c>
      <c r="AA132" s="5">
        <f>IF(VLOOKUP($B132,Table2[[prolific]:[feedbackTime]],24,FALSE)=VLOOKUP(AA$1,Table1[],2,FALSE),1,0)</f>
        <v>1</v>
      </c>
      <c r="AB132" s="5">
        <f>IF(VLOOKUP($B132,Table2[[prolific]:[feedbackTime]],25,FALSE)=VLOOKUP(AB$1,Table1[],2,FALSE),1,0)</f>
        <v>1</v>
      </c>
      <c r="AC132" s="5">
        <f>IF(VLOOKUP($B132,Table2[[prolific]:[feedbackTime]],26,FALSE)=VLOOKUP(AC$1,Table1[],2,FALSE),1,0)</f>
        <v>1</v>
      </c>
      <c r="AD132" s="5">
        <f>IF(VLOOKUP($B132,Table2[[prolific]:[feedbackTime]],27,FALSE)=VLOOKUP(AD$1,Table1[],2,FALSE),1,0)</f>
        <v>1</v>
      </c>
      <c r="AE132" s="5">
        <f>IF(VLOOKUP($B132,Table2[[prolific]:[feedbackTime]],28,FALSE)=VLOOKUP(AE$1,Table1[],2,FALSE),1,0)</f>
        <v>1</v>
      </c>
      <c r="AF132" s="5">
        <f>IF(VLOOKUP($B132,Table2[[prolific]:[feedbackTime]],29,FALSE)=VLOOKUP(AF$1,Table1[],2,FALSE),1,0)</f>
        <v>0</v>
      </c>
      <c r="AG132" s="5">
        <f>IF(VLOOKUP($B132,Table2[[prolific]:[feedbackTime]],30,FALSE)=VLOOKUP(AG$1,Table1[],2,FALSE),1,0)</f>
        <v>0</v>
      </c>
      <c r="AH132" s="5">
        <f t="shared" si="60"/>
        <v>6</v>
      </c>
      <c r="AI132" s="7">
        <f t="shared" si="61"/>
        <v>0.75</v>
      </c>
      <c r="AJ132" s="7">
        <f t="shared" si="62"/>
        <v>0.77272727272727271</v>
      </c>
      <c r="AK132" s="5">
        <f t="shared" si="63"/>
        <v>17</v>
      </c>
    </row>
    <row r="133" spans="1:37" x14ac:dyDescent="0.25">
      <c r="A133">
        <f t="shared" si="64"/>
        <v>1</v>
      </c>
      <c r="B133" s="5" t="s">
        <v>1189</v>
      </c>
      <c r="C133" s="5">
        <f>IF(VLOOKUP($B133,Table2[[prolific]:[feedbackTime]],6,FALSE)=VLOOKUP(C$1,Table1[],2,FALSE),1,0)</f>
        <v>1</v>
      </c>
      <c r="D133" s="5">
        <f>IF(VLOOKUP($B133,Table2[[prolific]:[feedbackTime]],7,FALSE)=VLOOKUP(D$1,Table1[],2,FALSE),1,0)</f>
        <v>1</v>
      </c>
      <c r="E133" s="5">
        <f>IF(VLOOKUP($B133,Table2[[prolific]:[feedbackTime]],8,FALSE)=VLOOKUP(E$1,Table1[],2,FALSE),1,0)</f>
        <v>1</v>
      </c>
      <c r="F133" s="5">
        <f t="shared" si="54"/>
        <v>3</v>
      </c>
      <c r="G133" s="7">
        <f t="shared" si="55"/>
        <v>1</v>
      </c>
      <c r="H133" s="5">
        <f>IF(VLOOKUP($B133,Table2[[prolific]:[feedbackTime]],9,FALSE)=VLOOKUP(H$1,Table1[],2,FALSE),1,0)</f>
        <v>1</v>
      </c>
      <c r="I133" s="5">
        <f>IF(VLOOKUP($B133,Table2[[prolific]:[feedbackTime]],10,FALSE)=VLOOKUP(I$1,Table1[],2,FALSE),1,0)</f>
        <v>0</v>
      </c>
      <c r="J133" s="5">
        <f>IF(VLOOKUP($B133,Table2[[prolific]:[feedbackTime]],11,FALSE)=VLOOKUP(J$1,Table1[],2,FALSE),1,0)</f>
        <v>1</v>
      </c>
      <c r="K133" s="5">
        <f>IF(VLOOKUP($B133,Table2[[prolific]:[feedbackTime]],12,FALSE)=VLOOKUP(K$1,Table1[],2,FALSE),1,0)</f>
        <v>1</v>
      </c>
      <c r="L133" s="5">
        <f>IF(VLOOKUP($B133,Table2[[prolific]:[feedbackTime]],13,FALSE)=VLOOKUP(L$1,Table1[],2,FALSE),1,0)</f>
        <v>0</v>
      </c>
      <c r="M133" s="5">
        <f>IF(VLOOKUP($B133,Table2[[prolific]:[feedbackTime]],14,FALSE)=VLOOKUP(M$1,Table1[],2,FALSE),1,0)</f>
        <v>0</v>
      </c>
      <c r="N133" s="5">
        <f t="shared" si="56"/>
        <v>3</v>
      </c>
      <c r="O133" s="7">
        <f t="shared" si="57"/>
        <v>0.5</v>
      </c>
      <c r="P133" s="5">
        <f>IF(VLOOKUP($B133,Table2[[prolific]:[feedbackTime]],15,FALSE)=VLOOKUP(P$1,Table1[],2,FALSE),1,0)</f>
        <v>1</v>
      </c>
      <c r="Q133" s="5">
        <f>IF(VLOOKUP($B133,Table2[[prolific]:[feedbackTime]],16,FALSE)=VLOOKUP(Q$1,Table1[],2,FALSE),1,0)</f>
        <v>1</v>
      </c>
      <c r="R133" s="5">
        <f>IF(VLOOKUP($B133,Table2[[prolific]:[feedbackTime]],17,FALSE)=VLOOKUP(R$1,Table1[],2,FALSE),1,0)</f>
        <v>0</v>
      </c>
      <c r="S133" s="5">
        <f>IF(VLOOKUP($B133,Table2[[prolific]:[feedbackTime]],18,FALSE)=VLOOKUP(S$1,Table1[],2,FALSE),1,0)</f>
        <v>0</v>
      </c>
      <c r="T133" s="5">
        <f>IF(VLOOKUP($B133,Table2[[prolific]:[feedbackTime]],19,FALSE)=VLOOKUP(T$1,Table1[],2,FALSE),1,0)</f>
        <v>1</v>
      </c>
      <c r="U133" s="5">
        <f>IF(VLOOKUP($B133,Table2[[prolific]:[feedbackTime]],20,FALSE)=VLOOKUP(U$1,Table1[],2,FALSE),1,0)</f>
        <v>1</v>
      </c>
      <c r="V133" s="5">
        <f>IF(VLOOKUP($B133,Table2[[prolific]:[feedbackTime]],21,FALSE)=VLOOKUP(V$1,Table1[],2,FALSE),1,0)</f>
        <v>1</v>
      </c>
      <c r="W133" s="5">
        <f>IF(VLOOKUP($B133,Table2[[prolific]:[feedbackTime]],22,FALSE)=VLOOKUP(W$1,Table1[],2,FALSE),1,0)</f>
        <v>1</v>
      </c>
      <c r="X133" s="5">
        <f t="shared" si="58"/>
        <v>6</v>
      </c>
      <c r="Y133" s="7">
        <f t="shared" si="59"/>
        <v>0.75</v>
      </c>
      <c r="Z133" s="5">
        <f>IF(VLOOKUP($B133,Table2[[prolific]:[feedbackTime]],23,FALSE)=VLOOKUP(Z$1,Table1[],2,FALSE),1,0)</f>
        <v>1</v>
      </c>
      <c r="AA133" s="5">
        <f>IF(VLOOKUP($B133,Table2[[prolific]:[feedbackTime]],24,FALSE)=VLOOKUP(AA$1,Table1[],2,FALSE),1,0)</f>
        <v>1</v>
      </c>
      <c r="AB133" s="5">
        <f>IF(VLOOKUP($B133,Table2[[prolific]:[feedbackTime]],25,FALSE)=VLOOKUP(AB$1,Table1[],2,FALSE),1,0)</f>
        <v>1</v>
      </c>
      <c r="AC133" s="5">
        <f>IF(VLOOKUP($B133,Table2[[prolific]:[feedbackTime]],26,FALSE)=VLOOKUP(AC$1,Table1[],2,FALSE),1,0)</f>
        <v>1</v>
      </c>
      <c r="AD133" s="5">
        <f>IF(VLOOKUP($B133,Table2[[prolific]:[feedbackTime]],27,FALSE)=VLOOKUP(AD$1,Table1[],2,FALSE),1,0)</f>
        <v>0</v>
      </c>
      <c r="AE133" s="5">
        <f>IF(VLOOKUP($B133,Table2[[prolific]:[feedbackTime]],28,FALSE)=VLOOKUP(AE$1,Table1[],2,FALSE),1,0)</f>
        <v>0</v>
      </c>
      <c r="AF133" s="5">
        <f>IF(VLOOKUP($B133,Table2[[prolific]:[feedbackTime]],29,FALSE)=VLOOKUP(AF$1,Table1[],2,FALSE),1,0)</f>
        <v>1</v>
      </c>
      <c r="AG133" s="5">
        <f>IF(VLOOKUP($B133,Table2[[prolific]:[feedbackTime]],30,FALSE)=VLOOKUP(AG$1,Table1[],2,FALSE),1,0)</f>
        <v>1</v>
      </c>
      <c r="AH133" s="5">
        <f t="shared" si="60"/>
        <v>6</v>
      </c>
      <c r="AI133" s="7">
        <f t="shared" si="61"/>
        <v>0.75</v>
      </c>
      <c r="AJ133" s="7">
        <f t="shared" si="62"/>
        <v>0.68181818181818177</v>
      </c>
      <c r="AK133" s="5">
        <f t="shared" si="63"/>
        <v>15</v>
      </c>
    </row>
    <row r="134" spans="1:37" x14ac:dyDescent="0.25">
      <c r="A134">
        <f t="shared" si="64"/>
        <v>1</v>
      </c>
      <c r="B134" s="5" t="s">
        <v>1190</v>
      </c>
      <c r="C134" s="5">
        <f>IF(VLOOKUP($B134,Table2[[prolific]:[feedbackTime]],6,FALSE)=VLOOKUP(C$1,Table1[],2,FALSE),1,0)</f>
        <v>1</v>
      </c>
      <c r="D134" s="5">
        <f>IF(VLOOKUP($B134,Table2[[prolific]:[feedbackTime]],7,FALSE)=VLOOKUP(D$1,Table1[],2,FALSE),1,0)</f>
        <v>1</v>
      </c>
      <c r="E134" s="5">
        <f>IF(VLOOKUP($B134,Table2[[prolific]:[feedbackTime]],8,FALSE)=VLOOKUP(E$1,Table1[],2,FALSE),1,0)</f>
        <v>1</v>
      </c>
      <c r="F134" s="5">
        <f t="shared" si="54"/>
        <v>3</v>
      </c>
      <c r="G134" s="7">
        <f t="shared" si="55"/>
        <v>1</v>
      </c>
      <c r="H134" s="5">
        <f>IF(VLOOKUP($B134,Table2[[prolific]:[feedbackTime]],9,FALSE)=VLOOKUP(H$1,Table1[],2,FALSE),1,0)</f>
        <v>1</v>
      </c>
      <c r="I134" s="5">
        <f>IF(VLOOKUP($B134,Table2[[prolific]:[feedbackTime]],10,FALSE)=VLOOKUP(I$1,Table1[],2,FALSE),1,0)</f>
        <v>0</v>
      </c>
      <c r="J134" s="5">
        <f>IF(VLOOKUP($B134,Table2[[prolific]:[feedbackTime]],11,FALSE)=VLOOKUP(J$1,Table1[],2,FALSE),1,0)</f>
        <v>1</v>
      </c>
      <c r="K134" s="5">
        <f>IF(VLOOKUP($B134,Table2[[prolific]:[feedbackTime]],12,FALSE)=VLOOKUP(K$1,Table1[],2,FALSE),1,0)</f>
        <v>1</v>
      </c>
      <c r="L134" s="5">
        <f>IF(VLOOKUP($B134,Table2[[prolific]:[feedbackTime]],13,FALSE)=VLOOKUP(L$1,Table1[],2,FALSE),1,0)</f>
        <v>1</v>
      </c>
      <c r="M134" s="5">
        <f>IF(VLOOKUP($B134,Table2[[prolific]:[feedbackTime]],14,FALSE)=VLOOKUP(M$1,Table1[],2,FALSE),1,0)</f>
        <v>1</v>
      </c>
      <c r="N134" s="5">
        <f t="shared" si="56"/>
        <v>5</v>
      </c>
      <c r="O134" s="7">
        <f t="shared" si="57"/>
        <v>0.83333333333333337</v>
      </c>
      <c r="P134" s="5">
        <f>IF(VLOOKUP($B134,Table2[[prolific]:[feedbackTime]],15,FALSE)=VLOOKUP(P$1,Table1[],2,FALSE),1,0)</f>
        <v>1</v>
      </c>
      <c r="Q134" s="5">
        <f>IF(VLOOKUP($B134,Table2[[prolific]:[feedbackTime]],16,FALSE)=VLOOKUP(Q$1,Table1[],2,FALSE),1,0)</f>
        <v>1</v>
      </c>
      <c r="R134" s="5">
        <f>IF(VLOOKUP($B134,Table2[[prolific]:[feedbackTime]],17,FALSE)=VLOOKUP(R$1,Table1[],2,FALSE),1,0)</f>
        <v>1</v>
      </c>
      <c r="S134" s="5">
        <f>IF(VLOOKUP($B134,Table2[[prolific]:[feedbackTime]],18,FALSE)=VLOOKUP(S$1,Table1[],2,FALSE),1,0)</f>
        <v>1</v>
      </c>
      <c r="T134" s="5">
        <f>IF(VLOOKUP($B134,Table2[[prolific]:[feedbackTime]],19,FALSE)=VLOOKUP(T$1,Table1[],2,FALSE),1,0)</f>
        <v>1</v>
      </c>
      <c r="U134" s="5">
        <f>IF(VLOOKUP($B134,Table2[[prolific]:[feedbackTime]],20,FALSE)=VLOOKUP(U$1,Table1[],2,FALSE),1,0)</f>
        <v>1</v>
      </c>
      <c r="V134" s="5">
        <f>IF(VLOOKUP($B134,Table2[[prolific]:[feedbackTime]],21,FALSE)=VLOOKUP(V$1,Table1[],2,FALSE),1,0)</f>
        <v>0</v>
      </c>
      <c r="W134" s="5">
        <f>IF(VLOOKUP($B134,Table2[[prolific]:[feedbackTime]],22,FALSE)=VLOOKUP(W$1,Table1[],2,FALSE),1,0)</f>
        <v>1</v>
      </c>
      <c r="X134" s="5">
        <f t="shared" si="58"/>
        <v>7</v>
      </c>
      <c r="Y134" s="7">
        <f t="shared" si="59"/>
        <v>0.875</v>
      </c>
      <c r="Z134" s="5">
        <f>IF(VLOOKUP($B134,Table2[[prolific]:[feedbackTime]],23,FALSE)=VLOOKUP(Z$1,Table1[],2,FALSE),1,0)</f>
        <v>1</v>
      </c>
      <c r="AA134" s="5">
        <f>IF(VLOOKUP($B134,Table2[[prolific]:[feedbackTime]],24,FALSE)=VLOOKUP(AA$1,Table1[],2,FALSE),1,0)</f>
        <v>1</v>
      </c>
      <c r="AB134" s="5">
        <f>IF(VLOOKUP($B134,Table2[[prolific]:[feedbackTime]],25,FALSE)=VLOOKUP(AB$1,Table1[],2,FALSE),1,0)</f>
        <v>1</v>
      </c>
      <c r="AC134" s="5">
        <f>IF(VLOOKUP($B134,Table2[[prolific]:[feedbackTime]],26,FALSE)=VLOOKUP(AC$1,Table1[],2,FALSE),1,0)</f>
        <v>1</v>
      </c>
      <c r="AD134" s="5">
        <f>IF(VLOOKUP($B134,Table2[[prolific]:[feedbackTime]],27,FALSE)=VLOOKUP(AD$1,Table1[],2,FALSE),1,0)</f>
        <v>0</v>
      </c>
      <c r="AE134" s="5">
        <f>IF(VLOOKUP($B134,Table2[[prolific]:[feedbackTime]],28,FALSE)=VLOOKUP(AE$1,Table1[],2,FALSE),1,0)</f>
        <v>1</v>
      </c>
      <c r="AF134" s="5">
        <f>IF(VLOOKUP($B134,Table2[[prolific]:[feedbackTime]],29,FALSE)=VLOOKUP(AF$1,Table1[],2,FALSE),1,0)</f>
        <v>1</v>
      </c>
      <c r="AG134" s="5">
        <f>IF(VLOOKUP($B134,Table2[[prolific]:[feedbackTime]],30,FALSE)=VLOOKUP(AG$1,Table1[],2,FALSE),1,0)</f>
        <v>1</v>
      </c>
      <c r="AH134" s="5">
        <f t="shared" si="60"/>
        <v>7</v>
      </c>
      <c r="AI134" s="7">
        <f t="shared" si="61"/>
        <v>0.875</v>
      </c>
      <c r="AJ134" s="7">
        <f t="shared" si="62"/>
        <v>0.86363636363636365</v>
      </c>
      <c r="AK134" s="5">
        <f t="shared" si="63"/>
        <v>19</v>
      </c>
    </row>
    <row r="135" spans="1:37" x14ac:dyDescent="0.25">
      <c r="A135">
        <f t="shared" si="64"/>
        <v>1</v>
      </c>
      <c r="B135" s="5" t="s">
        <v>1191</v>
      </c>
      <c r="C135" s="5">
        <f>IF(VLOOKUP($B135,Table2[[prolific]:[feedbackTime]],6,FALSE)=VLOOKUP(C$1,Table1[],2,FALSE),1,0)</f>
        <v>1</v>
      </c>
      <c r="D135" s="5">
        <f>IF(VLOOKUP($B135,Table2[[prolific]:[feedbackTime]],7,FALSE)=VLOOKUP(D$1,Table1[],2,FALSE),1,0)</f>
        <v>1</v>
      </c>
      <c r="E135" s="5">
        <f>IF(VLOOKUP($B135,Table2[[prolific]:[feedbackTime]],8,FALSE)=VLOOKUP(E$1,Table1[],2,FALSE),1,0)</f>
        <v>1</v>
      </c>
      <c r="F135" s="5">
        <f t="shared" si="54"/>
        <v>3</v>
      </c>
      <c r="G135" s="7">
        <f t="shared" si="55"/>
        <v>1</v>
      </c>
      <c r="H135" s="5">
        <f>IF(VLOOKUP($B135,Table2[[prolific]:[feedbackTime]],9,FALSE)=VLOOKUP(H$1,Table1[],2,FALSE),1,0)</f>
        <v>1</v>
      </c>
      <c r="I135" s="5">
        <f>IF(VLOOKUP($B135,Table2[[prolific]:[feedbackTime]],10,FALSE)=VLOOKUP(I$1,Table1[],2,FALSE),1,0)</f>
        <v>1</v>
      </c>
      <c r="J135" s="5">
        <f>IF(VLOOKUP($B135,Table2[[prolific]:[feedbackTime]],11,FALSE)=VLOOKUP(J$1,Table1[],2,FALSE),1,0)</f>
        <v>1</v>
      </c>
      <c r="K135" s="5">
        <f>IF(VLOOKUP($B135,Table2[[prolific]:[feedbackTime]],12,FALSE)=VLOOKUP(K$1,Table1[],2,FALSE),1,0)</f>
        <v>1</v>
      </c>
      <c r="L135" s="5">
        <f>IF(VLOOKUP($B135,Table2[[prolific]:[feedbackTime]],13,FALSE)=VLOOKUP(L$1,Table1[],2,FALSE),1,0)</f>
        <v>1</v>
      </c>
      <c r="M135" s="5">
        <f>IF(VLOOKUP($B135,Table2[[prolific]:[feedbackTime]],14,FALSE)=VLOOKUP(M$1,Table1[],2,FALSE),1,0)</f>
        <v>1</v>
      </c>
      <c r="N135" s="5">
        <f t="shared" si="56"/>
        <v>6</v>
      </c>
      <c r="O135" s="7">
        <f t="shared" si="57"/>
        <v>1</v>
      </c>
      <c r="P135" s="5">
        <f>IF(VLOOKUP($B135,Table2[[prolific]:[feedbackTime]],15,FALSE)=VLOOKUP(P$1,Table1[],2,FALSE),1,0)</f>
        <v>1</v>
      </c>
      <c r="Q135" s="5">
        <f>IF(VLOOKUP($B135,Table2[[prolific]:[feedbackTime]],16,FALSE)=VLOOKUP(Q$1,Table1[],2,FALSE),1,0)</f>
        <v>1</v>
      </c>
      <c r="R135" s="5">
        <f>IF(VLOOKUP($B135,Table2[[prolific]:[feedbackTime]],17,FALSE)=VLOOKUP(R$1,Table1[],2,FALSE),1,0)</f>
        <v>1</v>
      </c>
      <c r="S135" s="5">
        <f>IF(VLOOKUP($B135,Table2[[prolific]:[feedbackTime]],18,FALSE)=VLOOKUP(S$1,Table1[],2,FALSE),1,0)</f>
        <v>1</v>
      </c>
      <c r="T135" s="5">
        <f>IF(VLOOKUP($B135,Table2[[prolific]:[feedbackTime]],19,FALSE)=VLOOKUP(T$1,Table1[],2,FALSE),1,0)</f>
        <v>1</v>
      </c>
      <c r="U135" s="5">
        <f>IF(VLOOKUP($B135,Table2[[prolific]:[feedbackTime]],20,FALSE)=VLOOKUP(U$1,Table1[],2,FALSE),1,0)</f>
        <v>1</v>
      </c>
      <c r="V135" s="5">
        <f>IF(VLOOKUP($B135,Table2[[prolific]:[feedbackTime]],21,FALSE)=VLOOKUP(V$1,Table1[],2,FALSE),1,0)</f>
        <v>1</v>
      </c>
      <c r="W135" s="5">
        <f>IF(VLOOKUP($B135,Table2[[prolific]:[feedbackTime]],22,FALSE)=VLOOKUP(W$1,Table1[],2,FALSE),1,0)</f>
        <v>0</v>
      </c>
      <c r="X135" s="5">
        <f t="shared" si="58"/>
        <v>7</v>
      </c>
      <c r="Y135" s="7">
        <f t="shared" si="59"/>
        <v>0.875</v>
      </c>
      <c r="Z135" s="5">
        <f>IF(VLOOKUP($B135,Table2[[prolific]:[feedbackTime]],23,FALSE)=VLOOKUP(Z$1,Table1[],2,FALSE),1,0)</f>
        <v>1</v>
      </c>
      <c r="AA135" s="5">
        <f>IF(VLOOKUP($B135,Table2[[prolific]:[feedbackTime]],24,FALSE)=VLOOKUP(AA$1,Table1[],2,FALSE),1,0)</f>
        <v>1</v>
      </c>
      <c r="AB135" s="5">
        <f>IF(VLOOKUP($B135,Table2[[prolific]:[feedbackTime]],25,FALSE)=VLOOKUP(AB$1,Table1[],2,FALSE),1,0)</f>
        <v>1</v>
      </c>
      <c r="AC135" s="5">
        <f>IF(VLOOKUP($B135,Table2[[prolific]:[feedbackTime]],26,FALSE)=VLOOKUP(AC$1,Table1[],2,FALSE),1,0)</f>
        <v>1</v>
      </c>
      <c r="AD135" s="5">
        <f>IF(VLOOKUP($B135,Table2[[prolific]:[feedbackTime]],27,FALSE)=VLOOKUP(AD$1,Table1[],2,FALSE),1,0)</f>
        <v>0</v>
      </c>
      <c r="AE135" s="5">
        <f>IF(VLOOKUP($B135,Table2[[prolific]:[feedbackTime]],28,FALSE)=VLOOKUP(AE$1,Table1[],2,FALSE),1,0)</f>
        <v>1</v>
      </c>
      <c r="AF135" s="5">
        <f>IF(VLOOKUP($B135,Table2[[prolific]:[feedbackTime]],29,FALSE)=VLOOKUP(AF$1,Table1[],2,FALSE),1,0)</f>
        <v>1</v>
      </c>
      <c r="AG135" s="5">
        <f>IF(VLOOKUP($B135,Table2[[prolific]:[feedbackTime]],30,FALSE)=VLOOKUP(AG$1,Table1[],2,FALSE),1,0)</f>
        <v>1</v>
      </c>
      <c r="AH135" s="5">
        <f t="shared" si="60"/>
        <v>7</v>
      </c>
      <c r="AI135" s="7">
        <f t="shared" si="61"/>
        <v>0.875</v>
      </c>
      <c r="AJ135" s="7">
        <f t="shared" si="62"/>
        <v>0.90909090909090906</v>
      </c>
      <c r="AK135" s="5">
        <f t="shared" si="63"/>
        <v>20</v>
      </c>
    </row>
    <row r="136" spans="1:37" x14ac:dyDescent="0.25">
      <c r="A136">
        <f t="shared" si="64"/>
        <v>1</v>
      </c>
      <c r="B136" s="5" t="s">
        <v>1192</v>
      </c>
      <c r="C136" s="5">
        <f>IF(VLOOKUP($B136,Table2[[prolific]:[feedbackTime]],6,FALSE)=VLOOKUP(C$1,Table1[],2,FALSE),1,0)</f>
        <v>1</v>
      </c>
      <c r="D136" s="5">
        <f>IF(VLOOKUP($B136,Table2[[prolific]:[feedbackTime]],7,FALSE)=VLOOKUP(D$1,Table1[],2,FALSE),1,0)</f>
        <v>1</v>
      </c>
      <c r="E136" s="5">
        <f>IF(VLOOKUP($B136,Table2[[prolific]:[feedbackTime]],8,FALSE)=VLOOKUP(E$1,Table1[],2,FALSE),1,0)</f>
        <v>1</v>
      </c>
      <c r="F136" s="5">
        <f t="shared" si="54"/>
        <v>3</v>
      </c>
      <c r="G136" s="7">
        <f t="shared" si="55"/>
        <v>1</v>
      </c>
      <c r="H136" s="5">
        <f>IF(VLOOKUP($B136,Table2[[prolific]:[feedbackTime]],9,FALSE)=VLOOKUP(H$1,Table1[],2,FALSE),1,0)</f>
        <v>1</v>
      </c>
      <c r="I136" s="5">
        <f>IF(VLOOKUP($B136,Table2[[prolific]:[feedbackTime]],10,FALSE)=VLOOKUP(I$1,Table1[],2,FALSE),1,0)</f>
        <v>1</v>
      </c>
      <c r="J136" s="5">
        <f>IF(VLOOKUP($B136,Table2[[prolific]:[feedbackTime]],11,FALSE)=VLOOKUP(J$1,Table1[],2,FALSE),1,0)</f>
        <v>1</v>
      </c>
      <c r="K136" s="5">
        <f>IF(VLOOKUP($B136,Table2[[prolific]:[feedbackTime]],12,FALSE)=VLOOKUP(K$1,Table1[],2,FALSE),1,0)</f>
        <v>1</v>
      </c>
      <c r="L136" s="5">
        <f>IF(VLOOKUP($B136,Table2[[prolific]:[feedbackTime]],13,FALSE)=VLOOKUP(L$1,Table1[],2,FALSE),1,0)</f>
        <v>1</v>
      </c>
      <c r="M136" s="5">
        <f>IF(VLOOKUP($B136,Table2[[prolific]:[feedbackTime]],14,FALSE)=VLOOKUP(M$1,Table1[],2,FALSE),1,0)</f>
        <v>1</v>
      </c>
      <c r="N136" s="5">
        <f t="shared" si="56"/>
        <v>6</v>
      </c>
      <c r="O136" s="7">
        <f t="shared" si="57"/>
        <v>1</v>
      </c>
      <c r="P136" s="5">
        <f>IF(VLOOKUP($B136,Table2[[prolific]:[feedbackTime]],15,FALSE)=VLOOKUP(P$1,Table1[],2,FALSE),1,0)</f>
        <v>1</v>
      </c>
      <c r="Q136" s="5">
        <f>IF(VLOOKUP($B136,Table2[[prolific]:[feedbackTime]],16,FALSE)=VLOOKUP(Q$1,Table1[],2,FALSE),1,0)</f>
        <v>1</v>
      </c>
      <c r="R136" s="5">
        <f>IF(VLOOKUP($B136,Table2[[prolific]:[feedbackTime]],17,FALSE)=VLOOKUP(R$1,Table1[],2,FALSE),1,0)</f>
        <v>0</v>
      </c>
      <c r="S136" s="5">
        <f>IF(VLOOKUP($B136,Table2[[prolific]:[feedbackTime]],18,FALSE)=VLOOKUP(S$1,Table1[],2,FALSE),1,0)</f>
        <v>0</v>
      </c>
      <c r="T136" s="5">
        <f>IF(VLOOKUP($B136,Table2[[prolific]:[feedbackTime]],19,FALSE)=VLOOKUP(T$1,Table1[],2,FALSE),1,0)</f>
        <v>1</v>
      </c>
      <c r="U136" s="5">
        <f>IF(VLOOKUP($B136,Table2[[prolific]:[feedbackTime]],20,FALSE)=VLOOKUP(U$1,Table1[],2,FALSE),1,0)</f>
        <v>1</v>
      </c>
      <c r="V136" s="5">
        <f>IF(VLOOKUP($B136,Table2[[prolific]:[feedbackTime]],21,FALSE)=VLOOKUP(V$1,Table1[],2,FALSE),1,0)</f>
        <v>0</v>
      </c>
      <c r="W136" s="5">
        <f>IF(VLOOKUP($B136,Table2[[prolific]:[feedbackTime]],22,FALSE)=VLOOKUP(W$1,Table1[],2,FALSE),1,0)</f>
        <v>1</v>
      </c>
      <c r="X136" s="5">
        <f t="shared" si="58"/>
        <v>5</v>
      </c>
      <c r="Y136" s="7">
        <f t="shared" si="59"/>
        <v>0.625</v>
      </c>
      <c r="Z136" s="5">
        <f>IF(VLOOKUP($B136,Table2[[prolific]:[feedbackTime]],23,FALSE)=VLOOKUP(Z$1,Table1[],2,FALSE),1,0)</f>
        <v>1</v>
      </c>
      <c r="AA136" s="5">
        <f>IF(VLOOKUP($B136,Table2[[prolific]:[feedbackTime]],24,FALSE)=VLOOKUP(AA$1,Table1[],2,FALSE),1,0)</f>
        <v>1</v>
      </c>
      <c r="AB136" s="5">
        <f>IF(VLOOKUP($B136,Table2[[prolific]:[feedbackTime]],25,FALSE)=VLOOKUP(AB$1,Table1[],2,FALSE),1,0)</f>
        <v>1</v>
      </c>
      <c r="AC136" s="5">
        <f>IF(VLOOKUP($B136,Table2[[prolific]:[feedbackTime]],26,FALSE)=VLOOKUP(AC$1,Table1[],2,FALSE),1,0)</f>
        <v>1</v>
      </c>
      <c r="AD136" s="5">
        <f>IF(VLOOKUP($B136,Table2[[prolific]:[feedbackTime]],27,FALSE)=VLOOKUP(AD$1,Table1[],2,FALSE),1,0)</f>
        <v>0</v>
      </c>
      <c r="AE136" s="5">
        <f>IF(VLOOKUP($B136,Table2[[prolific]:[feedbackTime]],28,FALSE)=VLOOKUP(AE$1,Table1[],2,FALSE),1,0)</f>
        <v>1</v>
      </c>
      <c r="AF136" s="5">
        <f>IF(VLOOKUP($B136,Table2[[prolific]:[feedbackTime]],29,FALSE)=VLOOKUP(AF$1,Table1[],2,FALSE),1,0)</f>
        <v>1</v>
      </c>
      <c r="AG136" s="5">
        <f>IF(VLOOKUP($B136,Table2[[prolific]:[feedbackTime]],30,FALSE)=VLOOKUP(AG$1,Table1[],2,FALSE),1,0)</f>
        <v>1</v>
      </c>
      <c r="AH136" s="5">
        <f t="shared" si="60"/>
        <v>7</v>
      </c>
      <c r="AI136" s="7">
        <f t="shared" si="61"/>
        <v>0.875</v>
      </c>
      <c r="AJ136" s="7">
        <f t="shared" si="62"/>
        <v>0.81818181818181823</v>
      </c>
      <c r="AK136" s="5">
        <f t="shared" si="63"/>
        <v>18</v>
      </c>
    </row>
    <row r="137" spans="1:37" x14ac:dyDescent="0.25">
      <c r="A137">
        <f t="shared" si="64"/>
        <v>1</v>
      </c>
      <c r="B137" s="5" t="s">
        <v>1193</v>
      </c>
      <c r="C137" s="5">
        <f>IF(VLOOKUP($B137,Table2[[prolific]:[feedbackTime]],6,FALSE)=VLOOKUP(C$1,Table1[],2,FALSE),1,0)</f>
        <v>1</v>
      </c>
      <c r="D137" s="5">
        <f>IF(VLOOKUP($B137,Table2[[prolific]:[feedbackTime]],7,FALSE)=VLOOKUP(D$1,Table1[],2,FALSE),1,0)</f>
        <v>1</v>
      </c>
      <c r="E137" s="5">
        <f>IF(VLOOKUP($B137,Table2[[prolific]:[feedbackTime]],8,FALSE)=VLOOKUP(E$1,Table1[],2,FALSE),1,0)</f>
        <v>1</v>
      </c>
      <c r="F137" s="5">
        <f t="shared" si="54"/>
        <v>3</v>
      </c>
      <c r="G137" s="7">
        <f t="shared" si="55"/>
        <v>1</v>
      </c>
      <c r="H137" s="5">
        <f>IF(VLOOKUP($B137,Table2[[prolific]:[feedbackTime]],9,FALSE)=VLOOKUP(H$1,Table1[],2,FALSE),1,0)</f>
        <v>1</v>
      </c>
      <c r="I137" s="5">
        <f>IF(VLOOKUP($B137,Table2[[prolific]:[feedbackTime]],10,FALSE)=VLOOKUP(I$1,Table1[],2,FALSE),1,0)</f>
        <v>1</v>
      </c>
      <c r="J137" s="5">
        <f>IF(VLOOKUP($B137,Table2[[prolific]:[feedbackTime]],11,FALSE)=VLOOKUP(J$1,Table1[],2,FALSE),1,0)</f>
        <v>0</v>
      </c>
      <c r="K137" s="5">
        <f>IF(VLOOKUP($B137,Table2[[prolific]:[feedbackTime]],12,FALSE)=VLOOKUP(K$1,Table1[],2,FALSE),1,0)</f>
        <v>1</v>
      </c>
      <c r="L137" s="5">
        <f>IF(VLOOKUP($B137,Table2[[prolific]:[feedbackTime]],13,FALSE)=VLOOKUP(L$1,Table1[],2,FALSE),1,0)</f>
        <v>0</v>
      </c>
      <c r="M137" s="5">
        <f>IF(VLOOKUP($B137,Table2[[prolific]:[feedbackTime]],14,FALSE)=VLOOKUP(M$1,Table1[],2,FALSE),1,0)</f>
        <v>1</v>
      </c>
      <c r="N137" s="5">
        <f t="shared" si="56"/>
        <v>4</v>
      </c>
      <c r="O137" s="7">
        <f t="shared" si="57"/>
        <v>0.66666666666666663</v>
      </c>
      <c r="P137" s="5">
        <f>IF(VLOOKUP($B137,Table2[[prolific]:[feedbackTime]],15,FALSE)=VLOOKUP(P$1,Table1[],2,FALSE),1,0)</f>
        <v>1</v>
      </c>
      <c r="Q137" s="5">
        <f>IF(VLOOKUP($B137,Table2[[prolific]:[feedbackTime]],16,FALSE)=VLOOKUP(Q$1,Table1[],2,FALSE),1,0)</f>
        <v>1</v>
      </c>
      <c r="R137" s="5">
        <f>IF(VLOOKUP($B137,Table2[[prolific]:[feedbackTime]],17,FALSE)=VLOOKUP(R$1,Table1[],2,FALSE),1,0)</f>
        <v>1</v>
      </c>
      <c r="S137" s="5">
        <f>IF(VLOOKUP($B137,Table2[[prolific]:[feedbackTime]],18,FALSE)=VLOOKUP(S$1,Table1[],2,FALSE),1,0)</f>
        <v>1</v>
      </c>
      <c r="T137" s="5">
        <f>IF(VLOOKUP($B137,Table2[[prolific]:[feedbackTime]],19,FALSE)=VLOOKUP(T$1,Table1[],2,FALSE),1,0)</f>
        <v>1</v>
      </c>
      <c r="U137" s="5">
        <f>IF(VLOOKUP($B137,Table2[[prolific]:[feedbackTime]],20,FALSE)=VLOOKUP(U$1,Table1[],2,FALSE),1,0)</f>
        <v>1</v>
      </c>
      <c r="V137" s="5">
        <f>IF(VLOOKUP($B137,Table2[[prolific]:[feedbackTime]],21,FALSE)=VLOOKUP(V$1,Table1[],2,FALSE),1,0)</f>
        <v>0</v>
      </c>
      <c r="W137" s="5">
        <f>IF(VLOOKUP($B137,Table2[[prolific]:[feedbackTime]],22,FALSE)=VLOOKUP(W$1,Table1[],2,FALSE),1,0)</f>
        <v>0</v>
      </c>
      <c r="X137" s="5">
        <f t="shared" si="58"/>
        <v>6</v>
      </c>
      <c r="Y137" s="7">
        <f t="shared" si="59"/>
        <v>0.75</v>
      </c>
      <c r="Z137" s="5">
        <f>IF(VLOOKUP($B137,Table2[[prolific]:[feedbackTime]],23,FALSE)=VLOOKUP(Z$1,Table1[],2,FALSE),1,0)</f>
        <v>1</v>
      </c>
      <c r="AA137" s="5">
        <f>IF(VLOOKUP($B137,Table2[[prolific]:[feedbackTime]],24,FALSE)=VLOOKUP(AA$1,Table1[],2,FALSE),1,0)</f>
        <v>1</v>
      </c>
      <c r="AB137" s="5">
        <f>IF(VLOOKUP($B137,Table2[[prolific]:[feedbackTime]],25,FALSE)=VLOOKUP(AB$1,Table1[],2,FALSE),1,0)</f>
        <v>1</v>
      </c>
      <c r="AC137" s="5">
        <f>IF(VLOOKUP($B137,Table2[[prolific]:[feedbackTime]],26,FALSE)=VLOOKUP(AC$1,Table1[],2,FALSE),1,0)</f>
        <v>1</v>
      </c>
      <c r="AD137" s="5">
        <f>IF(VLOOKUP($B137,Table2[[prolific]:[feedbackTime]],27,FALSE)=VLOOKUP(AD$1,Table1[],2,FALSE),1,0)</f>
        <v>1</v>
      </c>
      <c r="AE137" s="5">
        <f>IF(VLOOKUP($B137,Table2[[prolific]:[feedbackTime]],28,FALSE)=VLOOKUP(AE$1,Table1[],2,FALSE),1,0)</f>
        <v>1</v>
      </c>
      <c r="AF137" s="5">
        <f>IF(VLOOKUP($B137,Table2[[prolific]:[feedbackTime]],29,FALSE)=VLOOKUP(AF$1,Table1[],2,FALSE),1,0)</f>
        <v>1</v>
      </c>
      <c r="AG137" s="5">
        <f>IF(VLOOKUP($B137,Table2[[prolific]:[feedbackTime]],30,FALSE)=VLOOKUP(AG$1,Table1[],2,FALSE),1,0)</f>
        <v>1</v>
      </c>
      <c r="AH137" s="5">
        <f t="shared" si="60"/>
        <v>8</v>
      </c>
      <c r="AI137" s="7">
        <f t="shared" si="61"/>
        <v>1</v>
      </c>
      <c r="AJ137" s="7">
        <f t="shared" si="62"/>
        <v>0.81818181818181823</v>
      </c>
      <c r="AK137" s="5">
        <f t="shared" si="63"/>
        <v>18</v>
      </c>
    </row>
    <row r="138" spans="1:37" x14ac:dyDescent="0.25">
      <c r="A138">
        <f t="shared" si="64"/>
        <v>1</v>
      </c>
      <c r="B138" s="5" t="s">
        <v>1169</v>
      </c>
      <c r="C138" s="5">
        <f>IF(VLOOKUP($B138,Table2[[prolific]:[feedbackTime]],6,FALSE)=VLOOKUP(C$1,Table1[],2,FALSE),1,0)</f>
        <v>1</v>
      </c>
      <c r="D138" s="5">
        <f>IF(VLOOKUP($B138,Table2[[prolific]:[feedbackTime]],7,FALSE)=VLOOKUP(D$1,Table1[],2,FALSE),1,0)</f>
        <v>1</v>
      </c>
      <c r="E138" s="5">
        <f>IF(VLOOKUP($B138,Table2[[prolific]:[feedbackTime]],8,FALSE)=VLOOKUP(E$1,Table1[],2,FALSE),1,0)</f>
        <v>0</v>
      </c>
      <c r="F138" s="5">
        <f t="shared" si="54"/>
        <v>2</v>
      </c>
      <c r="G138" s="7">
        <f t="shared" si="55"/>
        <v>0.66666666666666663</v>
      </c>
      <c r="H138" s="5">
        <f>IF(VLOOKUP($B138,Table2[[prolific]:[feedbackTime]],9,FALSE)=VLOOKUP(H$1,Table1[],2,FALSE),1,0)</f>
        <v>1</v>
      </c>
      <c r="I138" s="5">
        <f>IF(VLOOKUP($B138,Table2[[prolific]:[feedbackTime]],10,FALSE)=VLOOKUP(I$1,Table1[],2,FALSE),1,0)</f>
        <v>1</v>
      </c>
      <c r="J138" s="5">
        <f>IF(VLOOKUP($B138,Table2[[prolific]:[feedbackTime]],11,FALSE)=VLOOKUP(J$1,Table1[],2,FALSE),1,0)</f>
        <v>1</v>
      </c>
      <c r="K138" s="5">
        <f>IF(VLOOKUP($B138,Table2[[prolific]:[feedbackTime]],12,FALSE)=VLOOKUP(K$1,Table1[],2,FALSE),1,0)</f>
        <v>1</v>
      </c>
      <c r="L138" s="5">
        <f>IF(VLOOKUP($B138,Table2[[prolific]:[feedbackTime]],13,FALSE)=VLOOKUP(L$1,Table1[],2,FALSE),1,0)</f>
        <v>1</v>
      </c>
      <c r="M138" s="5">
        <f>IF(VLOOKUP($B138,Table2[[prolific]:[feedbackTime]],14,FALSE)=VLOOKUP(M$1,Table1[],2,FALSE),1,0)</f>
        <v>0</v>
      </c>
      <c r="N138" s="5">
        <f t="shared" si="56"/>
        <v>5</v>
      </c>
      <c r="O138" s="7">
        <f t="shared" si="57"/>
        <v>0.83333333333333337</v>
      </c>
      <c r="P138" s="5">
        <f>IF(VLOOKUP($B138,Table2[[prolific]:[feedbackTime]],15,FALSE)=VLOOKUP(P$1,Table1[],2,FALSE),1,0)</f>
        <v>1</v>
      </c>
      <c r="Q138" s="5">
        <f>IF(VLOOKUP($B138,Table2[[prolific]:[feedbackTime]],16,FALSE)=VLOOKUP(Q$1,Table1[],2,FALSE),1,0)</f>
        <v>1</v>
      </c>
      <c r="R138" s="5">
        <f>IF(VLOOKUP($B138,Table2[[prolific]:[feedbackTime]],17,FALSE)=VLOOKUP(R$1,Table1[],2,FALSE),1,0)</f>
        <v>1</v>
      </c>
      <c r="S138" s="5">
        <f>IF(VLOOKUP($B138,Table2[[prolific]:[feedbackTime]],18,FALSE)=VLOOKUP(S$1,Table1[],2,FALSE),1,0)</f>
        <v>1</v>
      </c>
      <c r="T138" s="5">
        <f>IF(VLOOKUP($B138,Table2[[prolific]:[feedbackTime]],19,FALSE)=VLOOKUP(T$1,Table1[],2,FALSE),1,0)</f>
        <v>1</v>
      </c>
      <c r="U138" s="5">
        <f>IF(VLOOKUP($B138,Table2[[prolific]:[feedbackTime]],20,FALSE)=VLOOKUP(U$1,Table1[],2,FALSE),1,0)</f>
        <v>1</v>
      </c>
      <c r="V138" s="5">
        <f>IF(VLOOKUP($B138,Table2[[prolific]:[feedbackTime]],21,FALSE)=VLOOKUP(V$1,Table1[],2,FALSE),1,0)</f>
        <v>1</v>
      </c>
      <c r="W138" s="5">
        <f>IF(VLOOKUP($B138,Table2[[prolific]:[feedbackTime]],22,FALSE)=VLOOKUP(W$1,Table1[],2,FALSE),1,0)</f>
        <v>1</v>
      </c>
      <c r="X138" s="5">
        <f t="shared" si="58"/>
        <v>8</v>
      </c>
      <c r="Y138" s="7">
        <f t="shared" si="59"/>
        <v>1</v>
      </c>
      <c r="Z138" s="5">
        <f>IF(VLOOKUP($B138,Table2[[prolific]:[feedbackTime]],23,FALSE)=VLOOKUP(Z$1,Table1[],2,FALSE),1,0)</f>
        <v>1</v>
      </c>
      <c r="AA138" s="5">
        <f>IF(VLOOKUP($B138,Table2[[prolific]:[feedbackTime]],24,FALSE)=VLOOKUP(AA$1,Table1[],2,FALSE),1,0)</f>
        <v>1</v>
      </c>
      <c r="AB138" s="5">
        <f>IF(VLOOKUP($B138,Table2[[prolific]:[feedbackTime]],25,FALSE)=VLOOKUP(AB$1,Table1[],2,FALSE),1,0)</f>
        <v>1</v>
      </c>
      <c r="AC138" s="5">
        <f>IF(VLOOKUP($B138,Table2[[prolific]:[feedbackTime]],26,FALSE)=VLOOKUP(AC$1,Table1[],2,FALSE),1,0)</f>
        <v>1</v>
      </c>
      <c r="AD138" s="5">
        <f>IF(VLOOKUP($B138,Table2[[prolific]:[feedbackTime]],27,FALSE)=VLOOKUP(AD$1,Table1[],2,FALSE),1,0)</f>
        <v>0</v>
      </c>
      <c r="AE138" s="5">
        <f>IF(VLOOKUP($B138,Table2[[prolific]:[feedbackTime]],28,FALSE)=VLOOKUP(AE$1,Table1[],2,FALSE),1,0)</f>
        <v>0</v>
      </c>
      <c r="AF138" s="5">
        <f>IF(VLOOKUP($B138,Table2[[prolific]:[feedbackTime]],29,FALSE)=VLOOKUP(AF$1,Table1[],2,FALSE),1,0)</f>
        <v>1</v>
      </c>
      <c r="AG138" s="5">
        <f>IF(VLOOKUP($B138,Table2[[prolific]:[feedbackTime]],30,FALSE)=VLOOKUP(AG$1,Table1[],2,FALSE),1,0)</f>
        <v>1</v>
      </c>
      <c r="AH138" s="5">
        <f t="shared" si="60"/>
        <v>6</v>
      </c>
      <c r="AI138" s="7">
        <f t="shared" si="61"/>
        <v>0.75</v>
      </c>
      <c r="AJ138" s="7">
        <f t="shared" si="62"/>
        <v>0.86363636363636365</v>
      </c>
      <c r="AK138" s="5">
        <f t="shared" si="63"/>
        <v>19</v>
      </c>
    </row>
    <row r="139" spans="1:37" x14ac:dyDescent="0.25">
      <c r="A139">
        <f t="shared" si="64"/>
        <v>1</v>
      </c>
      <c r="B139" s="5" t="s">
        <v>1105</v>
      </c>
      <c r="C139" s="5">
        <f>IF(VLOOKUP($B139,Table2[[prolific]:[feedbackTime]],6,FALSE)=VLOOKUP(C$1,Table1[],2,FALSE),1,0)</f>
        <v>1</v>
      </c>
      <c r="D139" s="5">
        <f>IF(VLOOKUP($B139,Table2[[prolific]:[feedbackTime]],7,FALSE)=VLOOKUP(D$1,Table1[],2,FALSE),1,0)</f>
        <v>1</v>
      </c>
      <c r="E139" s="5">
        <f>IF(VLOOKUP($B139,Table2[[prolific]:[feedbackTime]],8,FALSE)=VLOOKUP(E$1,Table1[],2,FALSE),1,0)</f>
        <v>1</v>
      </c>
      <c r="F139" s="5">
        <f t="shared" ref="F139:F170" si="65">SUM(C139:E139)</f>
        <v>3</v>
      </c>
      <c r="G139" s="7">
        <f t="shared" ref="G139:G170" si="66">F139/3</f>
        <v>1</v>
      </c>
      <c r="H139" s="5">
        <f>IF(VLOOKUP($B139,Table2[[prolific]:[feedbackTime]],9,FALSE)=VLOOKUP(H$1,Table1[],2,FALSE),1,0)</f>
        <v>1</v>
      </c>
      <c r="I139" s="5">
        <f>IF(VLOOKUP($B139,Table2[[prolific]:[feedbackTime]],10,FALSE)=VLOOKUP(I$1,Table1[],2,FALSE),1,0)</f>
        <v>1</v>
      </c>
      <c r="J139" s="5">
        <f>IF(VLOOKUP($B139,Table2[[prolific]:[feedbackTime]],11,FALSE)=VLOOKUP(J$1,Table1[],2,FALSE),1,0)</f>
        <v>1</v>
      </c>
      <c r="K139" s="5">
        <f>IF(VLOOKUP($B139,Table2[[prolific]:[feedbackTime]],12,FALSE)=VLOOKUP(K$1,Table1[],2,FALSE),1,0)</f>
        <v>0</v>
      </c>
      <c r="L139" s="5">
        <f>IF(VLOOKUP($B139,Table2[[prolific]:[feedbackTime]],13,FALSE)=VLOOKUP(L$1,Table1[],2,FALSE),1,0)</f>
        <v>1</v>
      </c>
      <c r="M139" s="5">
        <f>IF(VLOOKUP($B139,Table2[[prolific]:[feedbackTime]],14,FALSE)=VLOOKUP(M$1,Table1[],2,FALSE),1,0)</f>
        <v>0</v>
      </c>
      <c r="N139" s="5">
        <f t="shared" ref="N139:N170" si="67">SUM(H139:M139)</f>
        <v>4</v>
      </c>
      <c r="O139" s="7">
        <f t="shared" ref="O139:O170" si="68">N139/6</f>
        <v>0.66666666666666663</v>
      </c>
      <c r="P139" s="5">
        <f>IF(VLOOKUP($B139,Table2[[prolific]:[feedbackTime]],15,FALSE)=VLOOKUP(P$1,Table1[],2,FALSE),1,0)</f>
        <v>1</v>
      </c>
      <c r="Q139" s="5">
        <f>IF(VLOOKUP($B139,Table2[[prolific]:[feedbackTime]],16,FALSE)=VLOOKUP(Q$1,Table1[],2,FALSE),1,0)</f>
        <v>0</v>
      </c>
      <c r="R139" s="5">
        <f>IF(VLOOKUP($B139,Table2[[prolific]:[feedbackTime]],17,FALSE)=VLOOKUP(R$1,Table1[],2,FALSE),1,0)</f>
        <v>1</v>
      </c>
      <c r="S139" s="5">
        <f>IF(VLOOKUP($B139,Table2[[prolific]:[feedbackTime]],18,FALSE)=VLOOKUP(S$1,Table1[],2,FALSE),1,0)</f>
        <v>1</v>
      </c>
      <c r="T139" s="5">
        <f>IF(VLOOKUP($B139,Table2[[prolific]:[feedbackTime]],19,FALSE)=VLOOKUP(T$1,Table1[],2,FALSE),1,0)</f>
        <v>1</v>
      </c>
      <c r="U139" s="5">
        <f>IF(VLOOKUP($B139,Table2[[prolific]:[feedbackTime]],20,FALSE)=VLOOKUP(U$1,Table1[],2,FALSE),1,0)</f>
        <v>1</v>
      </c>
      <c r="V139" s="5">
        <f>IF(VLOOKUP($B139,Table2[[prolific]:[feedbackTime]],21,FALSE)=VLOOKUP(V$1,Table1[],2,FALSE),1,0)</f>
        <v>0</v>
      </c>
      <c r="W139" s="5">
        <f>IF(VLOOKUP($B139,Table2[[prolific]:[feedbackTime]],22,FALSE)=VLOOKUP(W$1,Table1[],2,FALSE),1,0)</f>
        <v>0</v>
      </c>
      <c r="X139" s="5">
        <f t="shared" ref="X139:X170" si="69">SUM(P139:W139)</f>
        <v>5</v>
      </c>
      <c r="Y139" s="7">
        <f t="shared" ref="Y139:Y170" si="70">X139/8</f>
        <v>0.625</v>
      </c>
      <c r="Z139" s="5">
        <f>IF(VLOOKUP($B139,Table2[[prolific]:[feedbackTime]],23,FALSE)=VLOOKUP(Z$1,Table1[],2,FALSE),1,0)</f>
        <v>1</v>
      </c>
      <c r="AA139" s="5">
        <f>IF(VLOOKUP($B139,Table2[[prolific]:[feedbackTime]],24,FALSE)=VLOOKUP(AA$1,Table1[],2,FALSE),1,0)</f>
        <v>0</v>
      </c>
      <c r="AB139" s="5">
        <f>IF(VLOOKUP($B139,Table2[[prolific]:[feedbackTime]],25,FALSE)=VLOOKUP(AB$1,Table1[],2,FALSE),1,0)</f>
        <v>1</v>
      </c>
      <c r="AC139" s="5">
        <f>IF(VLOOKUP($B139,Table2[[prolific]:[feedbackTime]],26,FALSE)=VLOOKUP(AC$1,Table1[],2,FALSE),1,0)</f>
        <v>1</v>
      </c>
      <c r="AD139" s="5">
        <f>IF(VLOOKUP($B139,Table2[[prolific]:[feedbackTime]],27,FALSE)=VLOOKUP(AD$1,Table1[],2,FALSE),1,0)</f>
        <v>0</v>
      </c>
      <c r="AE139" s="5">
        <f>IF(VLOOKUP($B139,Table2[[prolific]:[feedbackTime]],28,FALSE)=VLOOKUP(AE$1,Table1[],2,FALSE),1,0)</f>
        <v>0</v>
      </c>
      <c r="AF139" s="5">
        <f>IF(VLOOKUP($B139,Table2[[prolific]:[feedbackTime]],29,FALSE)=VLOOKUP(AF$1,Table1[],2,FALSE),1,0)</f>
        <v>1</v>
      </c>
      <c r="AG139" s="5">
        <f>IF(VLOOKUP($B139,Table2[[prolific]:[feedbackTime]],30,FALSE)=VLOOKUP(AG$1,Table1[],2,FALSE),1,0)</f>
        <v>1</v>
      </c>
      <c r="AH139" s="5">
        <f t="shared" ref="AH139:AH170" si="71">SUM(Z139:AG139)</f>
        <v>5</v>
      </c>
      <c r="AI139" s="7">
        <f t="shared" ref="AI139:AI170" si="72">AH139/8</f>
        <v>0.625</v>
      </c>
      <c r="AJ139" s="7">
        <f t="shared" ref="AJ139:AJ170" si="73">(N139+X139+AH139)/22</f>
        <v>0.63636363636363635</v>
      </c>
      <c r="AK139" s="5">
        <f t="shared" ref="AK139:AK170" si="74">(N139+X139+AH139)</f>
        <v>14</v>
      </c>
    </row>
    <row r="140" spans="1:37" x14ac:dyDescent="0.25">
      <c r="A140">
        <f t="shared" si="64"/>
        <v>1</v>
      </c>
      <c r="B140" s="5" t="s">
        <v>1106</v>
      </c>
      <c r="C140" s="5">
        <f>IF(VLOOKUP($B140,Table2[[prolific]:[feedbackTime]],6,FALSE)=VLOOKUP(C$1,Table1[],2,FALSE),1,0)</f>
        <v>1</v>
      </c>
      <c r="D140" s="5">
        <f>IF(VLOOKUP($B140,Table2[[prolific]:[feedbackTime]],7,FALSE)=VLOOKUP(D$1,Table1[],2,FALSE),1,0)</f>
        <v>1</v>
      </c>
      <c r="E140" s="5">
        <f>IF(VLOOKUP($B140,Table2[[prolific]:[feedbackTime]],8,FALSE)=VLOOKUP(E$1,Table1[],2,FALSE),1,0)</f>
        <v>1</v>
      </c>
      <c r="F140" s="5">
        <f t="shared" si="65"/>
        <v>3</v>
      </c>
      <c r="G140" s="7">
        <f t="shared" si="66"/>
        <v>1</v>
      </c>
      <c r="H140" s="5">
        <f>IF(VLOOKUP($B140,Table2[[prolific]:[feedbackTime]],9,FALSE)=VLOOKUP(H$1,Table1[],2,FALSE),1,0)</f>
        <v>1</v>
      </c>
      <c r="I140" s="5">
        <f>IF(VLOOKUP($B140,Table2[[prolific]:[feedbackTime]],10,FALSE)=VLOOKUP(I$1,Table1[],2,FALSE),1,0)</f>
        <v>0</v>
      </c>
      <c r="J140" s="5">
        <f>IF(VLOOKUP($B140,Table2[[prolific]:[feedbackTime]],11,FALSE)=VLOOKUP(J$1,Table1[],2,FALSE),1,0)</f>
        <v>0</v>
      </c>
      <c r="K140" s="5">
        <f>IF(VLOOKUP($B140,Table2[[prolific]:[feedbackTime]],12,FALSE)=VLOOKUP(K$1,Table1[],2,FALSE),1,0)</f>
        <v>1</v>
      </c>
      <c r="L140" s="5">
        <f>IF(VLOOKUP($B140,Table2[[prolific]:[feedbackTime]],13,FALSE)=VLOOKUP(L$1,Table1[],2,FALSE),1,0)</f>
        <v>0</v>
      </c>
      <c r="M140" s="5">
        <f>IF(VLOOKUP($B140,Table2[[prolific]:[feedbackTime]],14,FALSE)=VLOOKUP(M$1,Table1[],2,FALSE),1,0)</f>
        <v>0</v>
      </c>
      <c r="N140" s="5">
        <f t="shared" si="67"/>
        <v>2</v>
      </c>
      <c r="O140" s="7">
        <f t="shared" si="68"/>
        <v>0.33333333333333331</v>
      </c>
      <c r="P140" s="5">
        <f>IF(VLOOKUP($B140,Table2[[prolific]:[feedbackTime]],15,FALSE)=VLOOKUP(P$1,Table1[],2,FALSE),1,0)</f>
        <v>1</v>
      </c>
      <c r="Q140" s="5">
        <f>IF(VLOOKUP($B140,Table2[[prolific]:[feedbackTime]],16,FALSE)=VLOOKUP(Q$1,Table1[],2,FALSE),1,0)</f>
        <v>1</v>
      </c>
      <c r="R140" s="5">
        <f>IF(VLOOKUP($B140,Table2[[prolific]:[feedbackTime]],17,FALSE)=VLOOKUP(R$1,Table1[],2,FALSE),1,0)</f>
        <v>1</v>
      </c>
      <c r="S140" s="5">
        <f>IF(VLOOKUP($B140,Table2[[prolific]:[feedbackTime]],18,FALSE)=VLOOKUP(S$1,Table1[],2,FALSE),1,0)</f>
        <v>1</v>
      </c>
      <c r="T140" s="5">
        <f>IF(VLOOKUP($B140,Table2[[prolific]:[feedbackTime]],19,FALSE)=VLOOKUP(T$1,Table1[],2,FALSE),1,0)</f>
        <v>1</v>
      </c>
      <c r="U140" s="5">
        <f>IF(VLOOKUP($B140,Table2[[prolific]:[feedbackTime]],20,FALSE)=VLOOKUP(U$1,Table1[],2,FALSE),1,0)</f>
        <v>1</v>
      </c>
      <c r="V140" s="5">
        <f>IF(VLOOKUP($B140,Table2[[prolific]:[feedbackTime]],21,FALSE)=VLOOKUP(V$1,Table1[],2,FALSE),1,0)</f>
        <v>0</v>
      </c>
      <c r="W140" s="5">
        <f>IF(VLOOKUP($B140,Table2[[prolific]:[feedbackTime]],22,FALSE)=VLOOKUP(W$1,Table1[],2,FALSE),1,0)</f>
        <v>0</v>
      </c>
      <c r="X140" s="5">
        <f t="shared" si="69"/>
        <v>6</v>
      </c>
      <c r="Y140" s="7">
        <f t="shared" si="70"/>
        <v>0.75</v>
      </c>
      <c r="Z140" s="5">
        <f>IF(VLOOKUP($B140,Table2[[prolific]:[feedbackTime]],23,FALSE)=VLOOKUP(Z$1,Table1[],2,FALSE),1,0)</f>
        <v>1</v>
      </c>
      <c r="AA140" s="5">
        <f>IF(VLOOKUP($B140,Table2[[prolific]:[feedbackTime]],24,FALSE)=VLOOKUP(AA$1,Table1[],2,FALSE),1,0)</f>
        <v>0</v>
      </c>
      <c r="AB140" s="5">
        <f>IF(VLOOKUP($B140,Table2[[prolific]:[feedbackTime]],25,FALSE)=VLOOKUP(AB$1,Table1[],2,FALSE),1,0)</f>
        <v>1</v>
      </c>
      <c r="AC140" s="5">
        <f>IF(VLOOKUP($B140,Table2[[prolific]:[feedbackTime]],26,FALSE)=VLOOKUP(AC$1,Table1[],2,FALSE),1,0)</f>
        <v>1</v>
      </c>
      <c r="AD140" s="5">
        <f>IF(VLOOKUP($B140,Table2[[prolific]:[feedbackTime]],27,FALSE)=VLOOKUP(AD$1,Table1[],2,FALSE),1,0)</f>
        <v>1</v>
      </c>
      <c r="AE140" s="5">
        <f>IF(VLOOKUP($B140,Table2[[prolific]:[feedbackTime]],28,FALSE)=VLOOKUP(AE$1,Table1[],2,FALSE),1,0)</f>
        <v>0</v>
      </c>
      <c r="AF140" s="5">
        <f>IF(VLOOKUP($B140,Table2[[prolific]:[feedbackTime]],29,FALSE)=VLOOKUP(AF$1,Table1[],2,FALSE),1,0)</f>
        <v>1</v>
      </c>
      <c r="AG140" s="5">
        <f>IF(VLOOKUP($B140,Table2[[prolific]:[feedbackTime]],30,FALSE)=VLOOKUP(AG$1,Table1[],2,FALSE),1,0)</f>
        <v>1</v>
      </c>
      <c r="AH140" s="5">
        <f t="shared" si="71"/>
        <v>6</v>
      </c>
      <c r="AI140" s="7">
        <f t="shared" si="72"/>
        <v>0.75</v>
      </c>
      <c r="AJ140" s="7">
        <f t="shared" si="73"/>
        <v>0.63636363636363635</v>
      </c>
      <c r="AK140" s="5">
        <f t="shared" si="74"/>
        <v>14</v>
      </c>
    </row>
    <row r="141" spans="1:37" x14ac:dyDescent="0.25">
      <c r="A141">
        <f t="shared" si="64"/>
        <v>1</v>
      </c>
      <c r="B141" s="5" t="s">
        <v>1107</v>
      </c>
      <c r="C141" s="5">
        <f>IF(VLOOKUP($B141,Table2[[prolific]:[feedbackTime]],6,FALSE)=VLOOKUP(C$1,Table1[],2,FALSE),1,0)</f>
        <v>1</v>
      </c>
      <c r="D141" s="5">
        <f>IF(VLOOKUP($B141,Table2[[prolific]:[feedbackTime]],7,FALSE)=VLOOKUP(D$1,Table1[],2,FALSE),1,0)</f>
        <v>1</v>
      </c>
      <c r="E141" s="5">
        <f>IF(VLOOKUP($B141,Table2[[prolific]:[feedbackTime]],8,FALSE)=VLOOKUP(E$1,Table1[],2,FALSE),1,0)</f>
        <v>1</v>
      </c>
      <c r="F141" s="5">
        <f t="shared" si="65"/>
        <v>3</v>
      </c>
      <c r="G141" s="7">
        <f t="shared" si="66"/>
        <v>1</v>
      </c>
      <c r="H141" s="5">
        <f>IF(VLOOKUP($B141,Table2[[prolific]:[feedbackTime]],9,FALSE)=VLOOKUP(H$1,Table1[],2,FALSE),1,0)</f>
        <v>1</v>
      </c>
      <c r="I141" s="5">
        <f>IF(VLOOKUP($B141,Table2[[prolific]:[feedbackTime]],10,FALSE)=VLOOKUP(I$1,Table1[],2,FALSE),1,0)</f>
        <v>0</v>
      </c>
      <c r="J141" s="5">
        <f>IF(VLOOKUP($B141,Table2[[prolific]:[feedbackTime]],11,FALSE)=VLOOKUP(J$1,Table1[],2,FALSE),1,0)</f>
        <v>1</v>
      </c>
      <c r="K141" s="5">
        <f>IF(VLOOKUP($B141,Table2[[prolific]:[feedbackTime]],12,FALSE)=VLOOKUP(K$1,Table1[],2,FALSE),1,0)</f>
        <v>1</v>
      </c>
      <c r="L141" s="5">
        <f>IF(VLOOKUP($B141,Table2[[prolific]:[feedbackTime]],13,FALSE)=VLOOKUP(L$1,Table1[],2,FALSE),1,0)</f>
        <v>0</v>
      </c>
      <c r="M141" s="5">
        <f>IF(VLOOKUP($B141,Table2[[prolific]:[feedbackTime]],14,FALSE)=VLOOKUP(M$1,Table1[],2,FALSE),1,0)</f>
        <v>1</v>
      </c>
      <c r="N141" s="5">
        <f t="shared" si="67"/>
        <v>4</v>
      </c>
      <c r="O141" s="7">
        <f t="shared" si="68"/>
        <v>0.66666666666666663</v>
      </c>
      <c r="P141" s="5">
        <f>IF(VLOOKUP($B141,Table2[[prolific]:[feedbackTime]],15,FALSE)=VLOOKUP(P$1,Table1[],2,FALSE),1,0)</f>
        <v>1</v>
      </c>
      <c r="Q141" s="5">
        <f>IF(VLOOKUP($B141,Table2[[prolific]:[feedbackTime]],16,FALSE)=VLOOKUP(Q$1,Table1[],2,FALSE),1,0)</f>
        <v>1</v>
      </c>
      <c r="R141" s="5">
        <f>IF(VLOOKUP($B141,Table2[[prolific]:[feedbackTime]],17,FALSE)=VLOOKUP(R$1,Table1[],2,FALSE),1,0)</f>
        <v>1</v>
      </c>
      <c r="S141" s="5">
        <f>IF(VLOOKUP($B141,Table2[[prolific]:[feedbackTime]],18,FALSE)=VLOOKUP(S$1,Table1[],2,FALSE),1,0)</f>
        <v>1</v>
      </c>
      <c r="T141" s="5">
        <f>IF(VLOOKUP($B141,Table2[[prolific]:[feedbackTime]],19,FALSE)=VLOOKUP(T$1,Table1[],2,FALSE),1,0)</f>
        <v>1</v>
      </c>
      <c r="U141" s="5">
        <f>IF(VLOOKUP($B141,Table2[[prolific]:[feedbackTime]],20,FALSE)=VLOOKUP(U$1,Table1[],2,FALSE),1,0)</f>
        <v>1</v>
      </c>
      <c r="V141" s="5">
        <f>IF(VLOOKUP($B141,Table2[[prolific]:[feedbackTime]],21,FALSE)=VLOOKUP(V$1,Table1[],2,FALSE),1,0)</f>
        <v>0</v>
      </c>
      <c r="W141" s="5">
        <f>IF(VLOOKUP($B141,Table2[[prolific]:[feedbackTime]],22,FALSE)=VLOOKUP(W$1,Table1[],2,FALSE),1,0)</f>
        <v>1</v>
      </c>
      <c r="X141" s="5">
        <f t="shared" si="69"/>
        <v>7</v>
      </c>
      <c r="Y141" s="7">
        <f t="shared" si="70"/>
        <v>0.875</v>
      </c>
      <c r="Z141" s="5">
        <f>IF(VLOOKUP($B141,Table2[[prolific]:[feedbackTime]],23,FALSE)=VLOOKUP(Z$1,Table1[],2,FALSE),1,0)</f>
        <v>1</v>
      </c>
      <c r="AA141" s="5">
        <f>IF(VLOOKUP($B141,Table2[[prolific]:[feedbackTime]],24,FALSE)=VLOOKUP(AA$1,Table1[],2,FALSE),1,0)</f>
        <v>0</v>
      </c>
      <c r="AB141" s="5">
        <f>IF(VLOOKUP($B141,Table2[[prolific]:[feedbackTime]],25,FALSE)=VLOOKUP(AB$1,Table1[],2,FALSE),1,0)</f>
        <v>0</v>
      </c>
      <c r="AC141" s="5">
        <f>IF(VLOOKUP($B141,Table2[[prolific]:[feedbackTime]],26,FALSE)=VLOOKUP(AC$1,Table1[],2,FALSE),1,0)</f>
        <v>1</v>
      </c>
      <c r="AD141" s="5">
        <f>IF(VLOOKUP($B141,Table2[[prolific]:[feedbackTime]],27,FALSE)=VLOOKUP(AD$1,Table1[],2,FALSE),1,0)</f>
        <v>0</v>
      </c>
      <c r="AE141" s="5">
        <f>IF(VLOOKUP($B141,Table2[[prolific]:[feedbackTime]],28,FALSE)=VLOOKUP(AE$1,Table1[],2,FALSE),1,0)</f>
        <v>1</v>
      </c>
      <c r="AF141" s="5">
        <f>IF(VLOOKUP($B141,Table2[[prolific]:[feedbackTime]],29,FALSE)=VLOOKUP(AF$1,Table1[],2,FALSE),1,0)</f>
        <v>1</v>
      </c>
      <c r="AG141" s="5">
        <f>IF(VLOOKUP($B141,Table2[[prolific]:[feedbackTime]],30,FALSE)=VLOOKUP(AG$1,Table1[],2,FALSE),1,0)</f>
        <v>1</v>
      </c>
      <c r="AH141" s="5">
        <f t="shared" si="71"/>
        <v>5</v>
      </c>
      <c r="AI141" s="7">
        <f t="shared" si="72"/>
        <v>0.625</v>
      </c>
      <c r="AJ141" s="7">
        <f t="shared" si="73"/>
        <v>0.72727272727272729</v>
      </c>
      <c r="AK141" s="5">
        <f t="shared" si="74"/>
        <v>16</v>
      </c>
    </row>
    <row r="142" spans="1:37" x14ac:dyDescent="0.25">
      <c r="A142">
        <f t="shared" si="64"/>
        <v>2</v>
      </c>
      <c r="B142" s="5" t="s">
        <v>1108</v>
      </c>
      <c r="C142" s="5">
        <f>IF(VLOOKUP($B142,Table2[[prolific]:[feedbackTime]],6,FALSE)=VLOOKUP(C$1,Table1[],2,FALSE),1,0)</f>
        <v>1</v>
      </c>
      <c r="D142" s="5">
        <f>IF(VLOOKUP($B142,Table2[[prolific]:[feedbackTime]],7,FALSE)=VLOOKUP(D$1,Table1[],2,FALSE),1,0)</f>
        <v>1</v>
      </c>
      <c r="E142" s="5">
        <f>IF(VLOOKUP($B142,Table2[[prolific]:[feedbackTime]],8,FALSE)=VLOOKUP(E$1,Table1[],2,FALSE),1,0)</f>
        <v>1</v>
      </c>
      <c r="F142" s="5">
        <f t="shared" si="65"/>
        <v>3</v>
      </c>
      <c r="G142" s="7">
        <f t="shared" si="66"/>
        <v>1</v>
      </c>
      <c r="H142" s="5">
        <f>IF(VLOOKUP($B142,Table2[[prolific]:[feedbackTime]],9,FALSE)=VLOOKUP(H$1,Table1[],2,FALSE),1,0)</f>
        <v>1</v>
      </c>
      <c r="I142" s="5">
        <f>IF(VLOOKUP($B142,Table2[[prolific]:[feedbackTime]],10,FALSE)=VLOOKUP(I$1,Table1[],2,FALSE),1,0)</f>
        <v>0</v>
      </c>
      <c r="J142" s="5">
        <f>IF(VLOOKUP($B142,Table2[[prolific]:[feedbackTime]],11,FALSE)=VLOOKUP(J$1,Table1[],2,FALSE),1,0)</f>
        <v>0</v>
      </c>
      <c r="K142" s="5">
        <f>IF(VLOOKUP($B142,Table2[[prolific]:[feedbackTime]],12,FALSE)=VLOOKUP(K$1,Table1[],2,FALSE),1,0)</f>
        <v>1</v>
      </c>
      <c r="L142" s="5">
        <f>IF(VLOOKUP($B142,Table2[[prolific]:[feedbackTime]],13,FALSE)=VLOOKUP(L$1,Table1[],2,FALSE),1,0)</f>
        <v>0</v>
      </c>
      <c r="M142" s="5">
        <f>IF(VLOOKUP($B142,Table2[[prolific]:[feedbackTime]],14,FALSE)=VLOOKUP(M$1,Table1[],2,FALSE),1,0)</f>
        <v>0</v>
      </c>
      <c r="N142" s="5">
        <f t="shared" si="67"/>
        <v>2</v>
      </c>
      <c r="O142" s="7">
        <f t="shared" si="68"/>
        <v>0.33333333333333331</v>
      </c>
      <c r="P142" s="5">
        <f>IF(VLOOKUP($B142,Table2[[prolific]:[feedbackTime]],15,FALSE)=VLOOKUP(P$1,Table1[],2,FALSE),1,0)</f>
        <v>1</v>
      </c>
      <c r="Q142" s="5">
        <f>IF(VLOOKUP($B142,Table2[[prolific]:[feedbackTime]],16,FALSE)=VLOOKUP(Q$1,Table1[],2,FALSE),1,0)</f>
        <v>1</v>
      </c>
      <c r="R142" s="5">
        <f>IF(VLOOKUP($B142,Table2[[prolific]:[feedbackTime]],17,FALSE)=VLOOKUP(R$1,Table1[],2,FALSE),1,0)</f>
        <v>1</v>
      </c>
      <c r="S142" s="5">
        <f>IF(VLOOKUP($B142,Table2[[prolific]:[feedbackTime]],18,FALSE)=VLOOKUP(S$1,Table1[],2,FALSE),1,0)</f>
        <v>1</v>
      </c>
      <c r="T142" s="5">
        <f>IF(VLOOKUP($B142,Table2[[prolific]:[feedbackTime]],19,FALSE)=VLOOKUP(T$1,Table1[],2,FALSE),1,0)</f>
        <v>1</v>
      </c>
      <c r="U142" s="5">
        <f>IF(VLOOKUP($B142,Table2[[prolific]:[feedbackTime]],20,FALSE)=VLOOKUP(U$1,Table1[],2,FALSE),1,0)</f>
        <v>1</v>
      </c>
      <c r="V142" s="5">
        <f>IF(VLOOKUP($B142,Table2[[prolific]:[feedbackTime]],21,FALSE)=VLOOKUP(V$1,Table1[],2,FALSE),1,0)</f>
        <v>0</v>
      </c>
      <c r="W142" s="5">
        <f>IF(VLOOKUP($B142,Table2[[prolific]:[feedbackTime]],22,FALSE)=VLOOKUP(W$1,Table1[],2,FALSE),1,0)</f>
        <v>1</v>
      </c>
      <c r="X142" s="5">
        <f t="shared" si="69"/>
        <v>7</v>
      </c>
      <c r="Y142" s="7">
        <f t="shared" si="70"/>
        <v>0.875</v>
      </c>
      <c r="Z142" s="5">
        <f>IF(VLOOKUP($B142,Table2[[prolific]:[feedbackTime]],23,FALSE)=VLOOKUP(Z$1,Table1[],2,FALSE),1,0)</f>
        <v>1</v>
      </c>
      <c r="AA142" s="5">
        <f>IF(VLOOKUP($B142,Table2[[prolific]:[feedbackTime]],24,FALSE)=VLOOKUP(AA$1,Table1[],2,FALSE),1,0)</f>
        <v>0</v>
      </c>
      <c r="AB142" s="5">
        <f>IF(VLOOKUP($B142,Table2[[prolific]:[feedbackTime]],25,FALSE)=VLOOKUP(AB$1,Table1[],2,FALSE),1,0)</f>
        <v>1</v>
      </c>
      <c r="AC142" s="5">
        <f>IF(VLOOKUP($B142,Table2[[prolific]:[feedbackTime]],26,FALSE)=VLOOKUP(AC$1,Table1[],2,FALSE),1,0)</f>
        <v>1</v>
      </c>
      <c r="AD142" s="5">
        <f>IF(VLOOKUP($B142,Table2[[prolific]:[feedbackTime]],27,FALSE)=VLOOKUP(AD$1,Table1[],2,FALSE),1,0)</f>
        <v>0</v>
      </c>
      <c r="AE142" s="5">
        <f>IF(VLOOKUP($B142,Table2[[prolific]:[feedbackTime]],28,FALSE)=VLOOKUP(AE$1,Table1[],2,FALSE),1,0)</f>
        <v>1</v>
      </c>
      <c r="AF142" s="5">
        <f>IF(VLOOKUP($B142,Table2[[prolific]:[feedbackTime]],29,FALSE)=VLOOKUP(AF$1,Table1[],2,FALSE),1,0)</f>
        <v>1</v>
      </c>
      <c r="AG142" s="5">
        <f>IF(VLOOKUP($B142,Table2[[prolific]:[feedbackTime]],30,FALSE)=VLOOKUP(AG$1,Table1[],2,FALSE),1,0)</f>
        <v>1</v>
      </c>
      <c r="AH142" s="5">
        <f t="shared" si="71"/>
        <v>6</v>
      </c>
      <c r="AI142" s="7">
        <f t="shared" si="72"/>
        <v>0.75</v>
      </c>
      <c r="AJ142" s="7">
        <f t="shared" si="73"/>
        <v>0.68181818181818177</v>
      </c>
      <c r="AK142" s="5">
        <f t="shared" si="74"/>
        <v>15</v>
      </c>
    </row>
    <row r="143" spans="1:37" x14ac:dyDescent="0.25">
      <c r="A143">
        <f t="shared" si="64"/>
        <v>1</v>
      </c>
      <c r="B143" s="5" t="s">
        <v>1109</v>
      </c>
      <c r="C143" s="5">
        <f>IF(VLOOKUP($B143,Table2[[prolific]:[feedbackTime]],6,FALSE)=VLOOKUP(C$1,Table1[],2,FALSE),1,0)</f>
        <v>1</v>
      </c>
      <c r="D143" s="5">
        <f>IF(VLOOKUP($B143,Table2[[prolific]:[feedbackTime]],7,FALSE)=VLOOKUP(D$1,Table1[],2,FALSE),1,0)</f>
        <v>1</v>
      </c>
      <c r="E143" s="5">
        <f>IF(VLOOKUP($B143,Table2[[prolific]:[feedbackTime]],8,FALSE)=VLOOKUP(E$1,Table1[],2,FALSE),1,0)</f>
        <v>1</v>
      </c>
      <c r="F143" s="5">
        <f t="shared" si="65"/>
        <v>3</v>
      </c>
      <c r="G143" s="7">
        <f t="shared" si="66"/>
        <v>1</v>
      </c>
      <c r="H143" s="5">
        <f>IF(VLOOKUP($B143,Table2[[prolific]:[feedbackTime]],9,FALSE)=VLOOKUP(H$1,Table1[],2,FALSE),1,0)</f>
        <v>1</v>
      </c>
      <c r="I143" s="5">
        <f>IF(VLOOKUP($B143,Table2[[prolific]:[feedbackTime]],10,FALSE)=VLOOKUP(I$1,Table1[],2,FALSE),1,0)</f>
        <v>1</v>
      </c>
      <c r="J143" s="5">
        <f>IF(VLOOKUP($B143,Table2[[prolific]:[feedbackTime]],11,FALSE)=VLOOKUP(J$1,Table1[],2,FALSE),1,0)</f>
        <v>1</v>
      </c>
      <c r="K143" s="5">
        <f>IF(VLOOKUP($B143,Table2[[prolific]:[feedbackTime]],12,FALSE)=VLOOKUP(K$1,Table1[],2,FALSE),1,0)</f>
        <v>1</v>
      </c>
      <c r="L143" s="5">
        <f>IF(VLOOKUP($B143,Table2[[prolific]:[feedbackTime]],13,FALSE)=VLOOKUP(L$1,Table1[],2,FALSE),1,0)</f>
        <v>0</v>
      </c>
      <c r="M143" s="5">
        <f>IF(VLOOKUP($B143,Table2[[prolific]:[feedbackTime]],14,FALSE)=VLOOKUP(M$1,Table1[],2,FALSE),1,0)</f>
        <v>1</v>
      </c>
      <c r="N143" s="5">
        <f t="shared" si="67"/>
        <v>5</v>
      </c>
      <c r="O143" s="7">
        <f t="shared" si="68"/>
        <v>0.83333333333333337</v>
      </c>
      <c r="P143" s="5">
        <f>IF(VLOOKUP($B143,Table2[[prolific]:[feedbackTime]],15,FALSE)=VLOOKUP(P$1,Table1[],2,FALSE),1,0)</f>
        <v>1</v>
      </c>
      <c r="Q143" s="5">
        <f>IF(VLOOKUP($B143,Table2[[prolific]:[feedbackTime]],16,FALSE)=VLOOKUP(Q$1,Table1[],2,FALSE),1,0)</f>
        <v>1</v>
      </c>
      <c r="R143" s="5">
        <f>IF(VLOOKUP($B143,Table2[[prolific]:[feedbackTime]],17,FALSE)=VLOOKUP(R$1,Table1[],2,FALSE),1,0)</f>
        <v>1</v>
      </c>
      <c r="S143" s="5">
        <f>IF(VLOOKUP($B143,Table2[[prolific]:[feedbackTime]],18,FALSE)=VLOOKUP(S$1,Table1[],2,FALSE),1,0)</f>
        <v>1</v>
      </c>
      <c r="T143" s="5">
        <f>IF(VLOOKUP($B143,Table2[[prolific]:[feedbackTime]],19,FALSE)=VLOOKUP(T$1,Table1[],2,FALSE),1,0)</f>
        <v>1</v>
      </c>
      <c r="U143" s="5">
        <f>IF(VLOOKUP($B143,Table2[[prolific]:[feedbackTime]],20,FALSE)=VLOOKUP(U$1,Table1[],2,FALSE),1,0)</f>
        <v>1</v>
      </c>
      <c r="V143" s="5">
        <f>IF(VLOOKUP($B143,Table2[[prolific]:[feedbackTime]],21,FALSE)=VLOOKUP(V$1,Table1[],2,FALSE),1,0)</f>
        <v>0</v>
      </c>
      <c r="W143" s="5">
        <f>IF(VLOOKUP($B143,Table2[[prolific]:[feedbackTime]],22,FALSE)=VLOOKUP(W$1,Table1[],2,FALSE),1,0)</f>
        <v>1</v>
      </c>
      <c r="X143" s="5">
        <f t="shared" si="69"/>
        <v>7</v>
      </c>
      <c r="Y143" s="7">
        <f t="shared" si="70"/>
        <v>0.875</v>
      </c>
      <c r="Z143" s="5">
        <f>IF(VLOOKUP($B143,Table2[[prolific]:[feedbackTime]],23,FALSE)=VLOOKUP(Z$1,Table1[],2,FALSE),1,0)</f>
        <v>1</v>
      </c>
      <c r="AA143" s="5">
        <f>IF(VLOOKUP($B143,Table2[[prolific]:[feedbackTime]],24,FALSE)=VLOOKUP(AA$1,Table1[],2,FALSE),1,0)</f>
        <v>0</v>
      </c>
      <c r="AB143" s="5">
        <f>IF(VLOOKUP($B143,Table2[[prolific]:[feedbackTime]],25,FALSE)=VLOOKUP(AB$1,Table1[],2,FALSE),1,0)</f>
        <v>0</v>
      </c>
      <c r="AC143" s="5">
        <f>IF(VLOOKUP($B143,Table2[[prolific]:[feedbackTime]],26,FALSE)=VLOOKUP(AC$1,Table1[],2,FALSE),1,0)</f>
        <v>1</v>
      </c>
      <c r="AD143" s="5">
        <f>IF(VLOOKUP($B143,Table2[[prolific]:[feedbackTime]],27,FALSE)=VLOOKUP(AD$1,Table1[],2,FALSE),1,0)</f>
        <v>1</v>
      </c>
      <c r="AE143" s="5">
        <f>IF(VLOOKUP($B143,Table2[[prolific]:[feedbackTime]],28,FALSE)=VLOOKUP(AE$1,Table1[],2,FALSE),1,0)</f>
        <v>1</v>
      </c>
      <c r="AF143" s="5">
        <f>IF(VLOOKUP($B143,Table2[[prolific]:[feedbackTime]],29,FALSE)=VLOOKUP(AF$1,Table1[],2,FALSE),1,0)</f>
        <v>1</v>
      </c>
      <c r="AG143" s="5">
        <f>IF(VLOOKUP($B143,Table2[[prolific]:[feedbackTime]],30,FALSE)=VLOOKUP(AG$1,Table1[],2,FALSE),1,0)</f>
        <v>1</v>
      </c>
      <c r="AH143" s="5">
        <f t="shared" si="71"/>
        <v>6</v>
      </c>
      <c r="AI143" s="7">
        <f t="shared" si="72"/>
        <v>0.75</v>
      </c>
      <c r="AJ143" s="7">
        <f t="shared" si="73"/>
        <v>0.81818181818181823</v>
      </c>
      <c r="AK143" s="5">
        <f t="shared" si="74"/>
        <v>18</v>
      </c>
    </row>
    <row r="144" spans="1:37" x14ac:dyDescent="0.25">
      <c r="A144">
        <f t="shared" si="64"/>
        <v>1</v>
      </c>
      <c r="B144" s="5" t="s">
        <v>1130</v>
      </c>
      <c r="C144" s="5">
        <f>IF(VLOOKUP($B144,Table2[[prolific]:[feedbackTime]],6,FALSE)=VLOOKUP(C$1,Table1[],2,FALSE),1,0)</f>
        <v>0</v>
      </c>
      <c r="D144" s="5">
        <f>IF(VLOOKUP($B144,Table2[[prolific]:[feedbackTime]],7,FALSE)=VLOOKUP(D$1,Table1[],2,FALSE),1,0)</f>
        <v>1</v>
      </c>
      <c r="E144" s="5">
        <f>IF(VLOOKUP($B144,Table2[[prolific]:[feedbackTime]],8,FALSE)=VLOOKUP(E$1,Table1[],2,FALSE),1,0)</f>
        <v>1</v>
      </c>
      <c r="F144" s="5">
        <f t="shared" si="65"/>
        <v>2</v>
      </c>
      <c r="G144" s="7">
        <f t="shared" si="66"/>
        <v>0.66666666666666663</v>
      </c>
      <c r="H144" s="5">
        <f>IF(VLOOKUP($B144,Table2[[prolific]:[feedbackTime]],9,FALSE)=VLOOKUP(H$1,Table1[],2,FALSE),1,0)</f>
        <v>1</v>
      </c>
      <c r="I144" s="5">
        <f>IF(VLOOKUP($B144,Table2[[prolific]:[feedbackTime]],10,FALSE)=VLOOKUP(I$1,Table1[],2,FALSE),1,0)</f>
        <v>0</v>
      </c>
      <c r="J144" s="5">
        <f>IF(VLOOKUP($B144,Table2[[prolific]:[feedbackTime]],11,FALSE)=VLOOKUP(J$1,Table1[],2,FALSE),1,0)</f>
        <v>1</v>
      </c>
      <c r="K144" s="5">
        <f>IF(VLOOKUP($B144,Table2[[prolific]:[feedbackTime]],12,FALSE)=VLOOKUP(K$1,Table1[],2,FALSE),1,0)</f>
        <v>1</v>
      </c>
      <c r="L144" s="5">
        <f>IF(VLOOKUP($B144,Table2[[prolific]:[feedbackTime]],13,FALSE)=VLOOKUP(L$1,Table1[],2,FALSE),1,0)</f>
        <v>0</v>
      </c>
      <c r="M144" s="5">
        <f>IF(VLOOKUP($B144,Table2[[prolific]:[feedbackTime]],14,FALSE)=VLOOKUP(M$1,Table1[],2,FALSE),1,0)</f>
        <v>1</v>
      </c>
      <c r="N144" s="5">
        <f t="shared" si="67"/>
        <v>4</v>
      </c>
      <c r="O144" s="7">
        <f t="shared" si="68"/>
        <v>0.66666666666666663</v>
      </c>
      <c r="P144" s="5">
        <f>IF(VLOOKUP($B144,Table2[[prolific]:[feedbackTime]],15,FALSE)=VLOOKUP(P$1,Table1[],2,FALSE),1,0)</f>
        <v>1</v>
      </c>
      <c r="Q144" s="5">
        <f>IF(VLOOKUP($B144,Table2[[prolific]:[feedbackTime]],16,FALSE)=VLOOKUP(Q$1,Table1[],2,FALSE),1,0)</f>
        <v>1</v>
      </c>
      <c r="R144" s="5">
        <f>IF(VLOOKUP($B144,Table2[[prolific]:[feedbackTime]],17,FALSE)=VLOOKUP(R$1,Table1[],2,FALSE),1,0)</f>
        <v>1</v>
      </c>
      <c r="S144" s="5">
        <f>IF(VLOOKUP($B144,Table2[[prolific]:[feedbackTime]],18,FALSE)=VLOOKUP(S$1,Table1[],2,FALSE),1,0)</f>
        <v>1</v>
      </c>
      <c r="T144" s="5">
        <f>IF(VLOOKUP($B144,Table2[[prolific]:[feedbackTime]],19,FALSE)=VLOOKUP(T$1,Table1[],2,FALSE),1,0)</f>
        <v>1</v>
      </c>
      <c r="U144" s="5">
        <f>IF(VLOOKUP($B144,Table2[[prolific]:[feedbackTime]],20,FALSE)=VLOOKUP(U$1,Table1[],2,FALSE),1,0)</f>
        <v>1</v>
      </c>
      <c r="V144" s="5">
        <f>IF(VLOOKUP($B144,Table2[[prolific]:[feedbackTime]],21,FALSE)=VLOOKUP(V$1,Table1[],2,FALSE),1,0)</f>
        <v>0</v>
      </c>
      <c r="W144" s="5">
        <f>IF(VLOOKUP($B144,Table2[[prolific]:[feedbackTime]],22,FALSE)=VLOOKUP(W$1,Table1[],2,FALSE),1,0)</f>
        <v>0</v>
      </c>
      <c r="X144" s="5">
        <f t="shared" si="69"/>
        <v>6</v>
      </c>
      <c r="Y144" s="7">
        <f t="shared" si="70"/>
        <v>0.75</v>
      </c>
      <c r="Z144" s="5">
        <f>IF(VLOOKUP($B144,Table2[[prolific]:[feedbackTime]],23,FALSE)=VLOOKUP(Z$1,Table1[],2,FALSE),1,0)</f>
        <v>1</v>
      </c>
      <c r="AA144" s="5">
        <f>IF(VLOOKUP($B144,Table2[[prolific]:[feedbackTime]],24,FALSE)=VLOOKUP(AA$1,Table1[],2,FALSE),1,0)</f>
        <v>0</v>
      </c>
      <c r="AB144" s="5">
        <f>IF(VLOOKUP($B144,Table2[[prolific]:[feedbackTime]],25,FALSE)=VLOOKUP(AB$1,Table1[],2,FALSE),1,0)</f>
        <v>1</v>
      </c>
      <c r="AC144" s="5">
        <f>IF(VLOOKUP($B144,Table2[[prolific]:[feedbackTime]],26,FALSE)=VLOOKUP(AC$1,Table1[],2,FALSE),1,0)</f>
        <v>1</v>
      </c>
      <c r="AD144" s="5">
        <f>IF(VLOOKUP($B144,Table2[[prolific]:[feedbackTime]],27,FALSE)=VLOOKUP(AD$1,Table1[],2,FALSE),1,0)</f>
        <v>0</v>
      </c>
      <c r="AE144" s="5">
        <f>IF(VLOOKUP($B144,Table2[[prolific]:[feedbackTime]],28,FALSE)=VLOOKUP(AE$1,Table1[],2,FALSE),1,0)</f>
        <v>1</v>
      </c>
      <c r="AF144" s="5">
        <f>IF(VLOOKUP($B144,Table2[[prolific]:[feedbackTime]],29,FALSE)=VLOOKUP(AF$1,Table1[],2,FALSE),1,0)</f>
        <v>1</v>
      </c>
      <c r="AG144" s="5">
        <f>IF(VLOOKUP($B144,Table2[[prolific]:[feedbackTime]],30,FALSE)=VLOOKUP(AG$1,Table1[],2,FALSE),1,0)</f>
        <v>1</v>
      </c>
      <c r="AH144" s="5">
        <f t="shared" si="71"/>
        <v>6</v>
      </c>
      <c r="AI144" s="7">
        <f t="shared" si="72"/>
        <v>0.75</v>
      </c>
      <c r="AJ144" s="7">
        <f t="shared" si="73"/>
        <v>0.72727272727272729</v>
      </c>
      <c r="AK144" s="5">
        <f t="shared" si="74"/>
        <v>16</v>
      </c>
    </row>
    <row r="145" spans="1:37" x14ac:dyDescent="0.25">
      <c r="A145">
        <f t="shared" si="64"/>
        <v>1</v>
      </c>
      <c r="B145" s="5" t="s">
        <v>1110</v>
      </c>
      <c r="C145" s="5">
        <f>IF(VLOOKUP($B145,Table2[[prolific]:[feedbackTime]],6,FALSE)=VLOOKUP(C$1,Table1[],2,FALSE),1,0)</f>
        <v>1</v>
      </c>
      <c r="D145" s="5">
        <f>IF(VLOOKUP($B145,Table2[[prolific]:[feedbackTime]],7,FALSE)=VLOOKUP(D$1,Table1[],2,FALSE),1,0)</f>
        <v>1</v>
      </c>
      <c r="E145" s="5">
        <f>IF(VLOOKUP($B145,Table2[[prolific]:[feedbackTime]],8,FALSE)=VLOOKUP(E$1,Table1[],2,FALSE),1,0)</f>
        <v>1</v>
      </c>
      <c r="F145" s="5">
        <f t="shared" si="65"/>
        <v>3</v>
      </c>
      <c r="G145" s="7">
        <f t="shared" si="66"/>
        <v>1</v>
      </c>
      <c r="H145" s="5">
        <f>IF(VLOOKUP($B145,Table2[[prolific]:[feedbackTime]],9,FALSE)=VLOOKUP(H$1,Table1[],2,FALSE),1,0)</f>
        <v>1</v>
      </c>
      <c r="I145" s="5">
        <f>IF(VLOOKUP($B145,Table2[[prolific]:[feedbackTime]],10,FALSE)=VLOOKUP(I$1,Table1[],2,FALSE),1,0)</f>
        <v>1</v>
      </c>
      <c r="J145" s="5">
        <f>IF(VLOOKUP($B145,Table2[[prolific]:[feedbackTime]],11,FALSE)=VLOOKUP(J$1,Table1[],2,FALSE),1,0)</f>
        <v>1</v>
      </c>
      <c r="K145" s="5">
        <f>IF(VLOOKUP($B145,Table2[[prolific]:[feedbackTime]],12,FALSE)=VLOOKUP(K$1,Table1[],2,FALSE),1,0)</f>
        <v>1</v>
      </c>
      <c r="L145" s="5">
        <f>IF(VLOOKUP($B145,Table2[[prolific]:[feedbackTime]],13,FALSE)=VLOOKUP(L$1,Table1[],2,FALSE),1,0)</f>
        <v>0</v>
      </c>
      <c r="M145" s="5">
        <f>IF(VLOOKUP($B145,Table2[[prolific]:[feedbackTime]],14,FALSE)=VLOOKUP(M$1,Table1[],2,FALSE),1,0)</f>
        <v>1</v>
      </c>
      <c r="N145" s="5">
        <f t="shared" si="67"/>
        <v>5</v>
      </c>
      <c r="O145" s="7">
        <f t="shared" si="68"/>
        <v>0.83333333333333337</v>
      </c>
      <c r="P145" s="5">
        <f>IF(VLOOKUP($B145,Table2[[prolific]:[feedbackTime]],15,FALSE)=VLOOKUP(P$1,Table1[],2,FALSE),1,0)</f>
        <v>1</v>
      </c>
      <c r="Q145" s="5">
        <f>IF(VLOOKUP($B145,Table2[[prolific]:[feedbackTime]],16,FALSE)=VLOOKUP(Q$1,Table1[],2,FALSE),1,0)</f>
        <v>1</v>
      </c>
      <c r="R145" s="5">
        <f>IF(VLOOKUP($B145,Table2[[prolific]:[feedbackTime]],17,FALSE)=VLOOKUP(R$1,Table1[],2,FALSE),1,0)</f>
        <v>1</v>
      </c>
      <c r="S145" s="5">
        <f>IF(VLOOKUP($B145,Table2[[prolific]:[feedbackTime]],18,FALSE)=VLOOKUP(S$1,Table1[],2,FALSE),1,0)</f>
        <v>1</v>
      </c>
      <c r="T145" s="5">
        <f>IF(VLOOKUP($B145,Table2[[prolific]:[feedbackTime]],19,FALSE)=VLOOKUP(T$1,Table1[],2,FALSE),1,0)</f>
        <v>1</v>
      </c>
      <c r="U145" s="5">
        <f>IF(VLOOKUP($B145,Table2[[prolific]:[feedbackTime]],20,FALSE)=VLOOKUP(U$1,Table1[],2,FALSE),1,0)</f>
        <v>1</v>
      </c>
      <c r="V145" s="5">
        <f>IF(VLOOKUP($B145,Table2[[prolific]:[feedbackTime]],21,FALSE)=VLOOKUP(V$1,Table1[],2,FALSE),1,0)</f>
        <v>0</v>
      </c>
      <c r="W145" s="5">
        <f>IF(VLOOKUP($B145,Table2[[prolific]:[feedbackTime]],22,FALSE)=VLOOKUP(W$1,Table1[],2,FALSE),1,0)</f>
        <v>1</v>
      </c>
      <c r="X145" s="5">
        <f t="shared" si="69"/>
        <v>7</v>
      </c>
      <c r="Y145" s="7">
        <f t="shared" si="70"/>
        <v>0.875</v>
      </c>
      <c r="Z145" s="5">
        <f>IF(VLOOKUP($B145,Table2[[prolific]:[feedbackTime]],23,FALSE)=VLOOKUP(Z$1,Table1[],2,FALSE),1,0)</f>
        <v>1</v>
      </c>
      <c r="AA145" s="5">
        <f>IF(VLOOKUP($B145,Table2[[prolific]:[feedbackTime]],24,FALSE)=VLOOKUP(AA$1,Table1[],2,FALSE),1,0)</f>
        <v>0</v>
      </c>
      <c r="AB145" s="5">
        <f>IF(VLOOKUP($B145,Table2[[prolific]:[feedbackTime]],25,FALSE)=VLOOKUP(AB$1,Table1[],2,FALSE),1,0)</f>
        <v>1</v>
      </c>
      <c r="AC145" s="5">
        <f>IF(VLOOKUP($B145,Table2[[prolific]:[feedbackTime]],26,FALSE)=VLOOKUP(AC$1,Table1[],2,FALSE),1,0)</f>
        <v>1</v>
      </c>
      <c r="AD145" s="5">
        <f>IF(VLOOKUP($B145,Table2[[prolific]:[feedbackTime]],27,FALSE)=VLOOKUP(AD$1,Table1[],2,FALSE),1,0)</f>
        <v>0</v>
      </c>
      <c r="AE145" s="5">
        <f>IF(VLOOKUP($B145,Table2[[prolific]:[feedbackTime]],28,FALSE)=VLOOKUP(AE$1,Table1[],2,FALSE),1,0)</f>
        <v>0</v>
      </c>
      <c r="AF145" s="5">
        <f>IF(VLOOKUP($B145,Table2[[prolific]:[feedbackTime]],29,FALSE)=VLOOKUP(AF$1,Table1[],2,FALSE),1,0)</f>
        <v>1</v>
      </c>
      <c r="AG145" s="5">
        <f>IF(VLOOKUP($B145,Table2[[prolific]:[feedbackTime]],30,FALSE)=VLOOKUP(AG$1,Table1[],2,FALSE),1,0)</f>
        <v>1</v>
      </c>
      <c r="AH145" s="5">
        <f t="shared" si="71"/>
        <v>5</v>
      </c>
      <c r="AI145" s="7">
        <f t="shared" si="72"/>
        <v>0.625</v>
      </c>
      <c r="AJ145" s="7">
        <f t="shared" si="73"/>
        <v>0.77272727272727271</v>
      </c>
      <c r="AK145" s="5">
        <f t="shared" si="74"/>
        <v>17</v>
      </c>
    </row>
    <row r="146" spans="1:37" x14ac:dyDescent="0.25">
      <c r="A146">
        <f t="shared" si="64"/>
        <v>1</v>
      </c>
      <c r="B146" s="5" t="s">
        <v>1111</v>
      </c>
      <c r="C146" s="5">
        <f>IF(VLOOKUP($B146,Table2[[prolific]:[feedbackTime]],6,FALSE)=VLOOKUP(C$1,Table1[],2,FALSE),1,0)</f>
        <v>1</v>
      </c>
      <c r="D146" s="5">
        <f>IF(VLOOKUP($B146,Table2[[prolific]:[feedbackTime]],7,FALSE)=VLOOKUP(D$1,Table1[],2,FALSE),1,0)</f>
        <v>1</v>
      </c>
      <c r="E146" s="5">
        <f>IF(VLOOKUP($B146,Table2[[prolific]:[feedbackTime]],8,FALSE)=VLOOKUP(E$1,Table1[],2,FALSE),1,0)</f>
        <v>1</v>
      </c>
      <c r="F146" s="5">
        <f t="shared" si="65"/>
        <v>3</v>
      </c>
      <c r="G146" s="7">
        <f t="shared" si="66"/>
        <v>1</v>
      </c>
      <c r="H146" s="5">
        <f>IF(VLOOKUP($B146,Table2[[prolific]:[feedbackTime]],9,FALSE)=VLOOKUP(H$1,Table1[],2,FALSE),1,0)</f>
        <v>1</v>
      </c>
      <c r="I146" s="5">
        <f>IF(VLOOKUP($B146,Table2[[prolific]:[feedbackTime]],10,FALSE)=VLOOKUP(I$1,Table1[],2,FALSE),1,0)</f>
        <v>1</v>
      </c>
      <c r="J146" s="5">
        <f>IF(VLOOKUP($B146,Table2[[prolific]:[feedbackTime]],11,FALSE)=VLOOKUP(J$1,Table1[],2,FALSE),1,0)</f>
        <v>1</v>
      </c>
      <c r="K146" s="5">
        <f>IF(VLOOKUP($B146,Table2[[prolific]:[feedbackTime]],12,FALSE)=VLOOKUP(K$1,Table1[],2,FALSE),1,0)</f>
        <v>1</v>
      </c>
      <c r="L146" s="5">
        <f>IF(VLOOKUP($B146,Table2[[prolific]:[feedbackTime]],13,FALSE)=VLOOKUP(L$1,Table1[],2,FALSE),1,0)</f>
        <v>0</v>
      </c>
      <c r="M146" s="5">
        <f>IF(VLOOKUP($B146,Table2[[prolific]:[feedbackTime]],14,FALSE)=VLOOKUP(M$1,Table1[],2,FALSE),1,0)</f>
        <v>1</v>
      </c>
      <c r="N146" s="5">
        <f t="shared" si="67"/>
        <v>5</v>
      </c>
      <c r="O146" s="7">
        <f t="shared" si="68"/>
        <v>0.83333333333333337</v>
      </c>
      <c r="P146" s="5">
        <f>IF(VLOOKUP($B146,Table2[[prolific]:[feedbackTime]],15,FALSE)=VLOOKUP(P$1,Table1[],2,FALSE),1,0)</f>
        <v>1</v>
      </c>
      <c r="Q146" s="5">
        <f>IF(VLOOKUP($B146,Table2[[prolific]:[feedbackTime]],16,FALSE)=VLOOKUP(Q$1,Table1[],2,FALSE),1,0)</f>
        <v>1</v>
      </c>
      <c r="R146" s="5">
        <f>IF(VLOOKUP($B146,Table2[[prolific]:[feedbackTime]],17,FALSE)=VLOOKUP(R$1,Table1[],2,FALSE),1,0)</f>
        <v>1</v>
      </c>
      <c r="S146" s="5">
        <f>IF(VLOOKUP($B146,Table2[[prolific]:[feedbackTime]],18,FALSE)=VLOOKUP(S$1,Table1[],2,FALSE),1,0)</f>
        <v>1</v>
      </c>
      <c r="T146" s="5">
        <f>IF(VLOOKUP($B146,Table2[[prolific]:[feedbackTime]],19,FALSE)=VLOOKUP(T$1,Table1[],2,FALSE),1,0)</f>
        <v>1</v>
      </c>
      <c r="U146" s="5">
        <f>IF(VLOOKUP($B146,Table2[[prolific]:[feedbackTime]],20,FALSE)=VLOOKUP(U$1,Table1[],2,FALSE),1,0)</f>
        <v>1</v>
      </c>
      <c r="V146" s="5">
        <f>IF(VLOOKUP($B146,Table2[[prolific]:[feedbackTime]],21,FALSE)=VLOOKUP(V$1,Table1[],2,FALSE),1,0)</f>
        <v>0</v>
      </c>
      <c r="W146" s="5">
        <f>IF(VLOOKUP($B146,Table2[[prolific]:[feedbackTime]],22,FALSE)=VLOOKUP(W$1,Table1[],2,FALSE),1,0)</f>
        <v>1</v>
      </c>
      <c r="X146" s="5">
        <f t="shared" si="69"/>
        <v>7</v>
      </c>
      <c r="Y146" s="7">
        <f t="shared" si="70"/>
        <v>0.875</v>
      </c>
      <c r="Z146" s="5">
        <f>IF(VLOOKUP($B146,Table2[[prolific]:[feedbackTime]],23,FALSE)=VLOOKUP(Z$1,Table1[],2,FALSE),1,0)</f>
        <v>1</v>
      </c>
      <c r="AA146" s="5">
        <f>IF(VLOOKUP($B146,Table2[[prolific]:[feedbackTime]],24,FALSE)=VLOOKUP(AA$1,Table1[],2,FALSE),1,0)</f>
        <v>0</v>
      </c>
      <c r="AB146" s="5">
        <f>IF(VLOOKUP($B146,Table2[[prolific]:[feedbackTime]],25,FALSE)=VLOOKUP(AB$1,Table1[],2,FALSE),1,0)</f>
        <v>0</v>
      </c>
      <c r="AC146" s="5">
        <f>IF(VLOOKUP($B146,Table2[[prolific]:[feedbackTime]],26,FALSE)=VLOOKUP(AC$1,Table1[],2,FALSE),1,0)</f>
        <v>1</v>
      </c>
      <c r="AD146" s="5">
        <f>IF(VLOOKUP($B146,Table2[[prolific]:[feedbackTime]],27,FALSE)=VLOOKUP(AD$1,Table1[],2,FALSE),1,0)</f>
        <v>0</v>
      </c>
      <c r="AE146" s="5">
        <f>IF(VLOOKUP($B146,Table2[[prolific]:[feedbackTime]],28,FALSE)=VLOOKUP(AE$1,Table1[],2,FALSE),1,0)</f>
        <v>1</v>
      </c>
      <c r="AF146" s="5">
        <f>IF(VLOOKUP($B146,Table2[[prolific]:[feedbackTime]],29,FALSE)=VLOOKUP(AF$1,Table1[],2,FALSE),1,0)</f>
        <v>1</v>
      </c>
      <c r="AG146" s="5">
        <f>IF(VLOOKUP($B146,Table2[[prolific]:[feedbackTime]],30,FALSE)=VLOOKUP(AG$1,Table1[],2,FALSE),1,0)</f>
        <v>1</v>
      </c>
      <c r="AH146" s="5">
        <f t="shared" si="71"/>
        <v>5</v>
      </c>
      <c r="AI146" s="7">
        <f t="shared" si="72"/>
        <v>0.625</v>
      </c>
      <c r="AJ146" s="7">
        <f t="shared" si="73"/>
        <v>0.77272727272727271</v>
      </c>
      <c r="AK146" s="5">
        <f t="shared" si="74"/>
        <v>17</v>
      </c>
    </row>
    <row r="147" spans="1:37" x14ac:dyDescent="0.25">
      <c r="A147">
        <f t="shared" si="64"/>
        <v>1</v>
      </c>
      <c r="B147" s="5" t="s">
        <v>1112</v>
      </c>
      <c r="C147" s="5">
        <f>IF(VLOOKUP($B147,Table2[[prolific]:[feedbackTime]],6,FALSE)=VLOOKUP(C$1,Table1[],2,FALSE),1,0)</f>
        <v>1</v>
      </c>
      <c r="D147" s="5">
        <f>IF(VLOOKUP($B147,Table2[[prolific]:[feedbackTime]],7,FALSE)=VLOOKUP(D$1,Table1[],2,FALSE),1,0)</f>
        <v>1</v>
      </c>
      <c r="E147" s="5">
        <f>IF(VLOOKUP($B147,Table2[[prolific]:[feedbackTime]],8,FALSE)=VLOOKUP(E$1,Table1[],2,FALSE),1,0)</f>
        <v>1</v>
      </c>
      <c r="F147" s="5">
        <f t="shared" si="65"/>
        <v>3</v>
      </c>
      <c r="G147" s="7">
        <f t="shared" si="66"/>
        <v>1</v>
      </c>
      <c r="H147" s="5">
        <f>IF(VLOOKUP($B147,Table2[[prolific]:[feedbackTime]],9,FALSE)=VLOOKUP(H$1,Table1[],2,FALSE),1,0)</f>
        <v>0</v>
      </c>
      <c r="I147" s="5">
        <f>IF(VLOOKUP($B147,Table2[[prolific]:[feedbackTime]],10,FALSE)=VLOOKUP(I$1,Table1[],2,FALSE),1,0)</f>
        <v>1</v>
      </c>
      <c r="J147" s="5">
        <f>IF(VLOOKUP($B147,Table2[[prolific]:[feedbackTime]],11,FALSE)=VLOOKUP(J$1,Table1[],2,FALSE),1,0)</f>
        <v>1</v>
      </c>
      <c r="K147" s="5">
        <f>IF(VLOOKUP($B147,Table2[[prolific]:[feedbackTime]],12,FALSE)=VLOOKUP(K$1,Table1[],2,FALSE),1,0)</f>
        <v>1</v>
      </c>
      <c r="L147" s="5">
        <f>IF(VLOOKUP($B147,Table2[[prolific]:[feedbackTime]],13,FALSE)=VLOOKUP(L$1,Table1[],2,FALSE),1,0)</f>
        <v>0</v>
      </c>
      <c r="M147" s="5">
        <f>IF(VLOOKUP($B147,Table2[[prolific]:[feedbackTime]],14,FALSE)=VLOOKUP(M$1,Table1[],2,FALSE),1,0)</f>
        <v>1</v>
      </c>
      <c r="N147" s="5">
        <f t="shared" si="67"/>
        <v>4</v>
      </c>
      <c r="O147" s="7">
        <f t="shared" si="68"/>
        <v>0.66666666666666663</v>
      </c>
      <c r="P147" s="5">
        <f>IF(VLOOKUP($B147,Table2[[prolific]:[feedbackTime]],15,FALSE)=VLOOKUP(P$1,Table1[],2,FALSE),1,0)</f>
        <v>1</v>
      </c>
      <c r="Q147" s="5">
        <f>IF(VLOOKUP($B147,Table2[[prolific]:[feedbackTime]],16,FALSE)=VLOOKUP(Q$1,Table1[],2,FALSE),1,0)</f>
        <v>1</v>
      </c>
      <c r="R147" s="5">
        <f>IF(VLOOKUP($B147,Table2[[prolific]:[feedbackTime]],17,FALSE)=VLOOKUP(R$1,Table1[],2,FALSE),1,0)</f>
        <v>1</v>
      </c>
      <c r="S147" s="5">
        <f>IF(VLOOKUP($B147,Table2[[prolific]:[feedbackTime]],18,FALSE)=VLOOKUP(S$1,Table1[],2,FALSE),1,0)</f>
        <v>1</v>
      </c>
      <c r="T147" s="5">
        <f>IF(VLOOKUP($B147,Table2[[prolific]:[feedbackTime]],19,FALSE)=VLOOKUP(T$1,Table1[],2,FALSE),1,0)</f>
        <v>1</v>
      </c>
      <c r="U147" s="5">
        <f>IF(VLOOKUP($B147,Table2[[prolific]:[feedbackTime]],20,FALSE)=VLOOKUP(U$1,Table1[],2,FALSE),1,0)</f>
        <v>1</v>
      </c>
      <c r="V147" s="5">
        <f>IF(VLOOKUP($B147,Table2[[prolific]:[feedbackTime]],21,FALSE)=VLOOKUP(V$1,Table1[],2,FALSE),1,0)</f>
        <v>0</v>
      </c>
      <c r="W147" s="5">
        <f>IF(VLOOKUP($B147,Table2[[prolific]:[feedbackTime]],22,FALSE)=VLOOKUP(W$1,Table1[],2,FALSE),1,0)</f>
        <v>0</v>
      </c>
      <c r="X147" s="5">
        <f t="shared" si="69"/>
        <v>6</v>
      </c>
      <c r="Y147" s="7">
        <f t="shared" si="70"/>
        <v>0.75</v>
      </c>
      <c r="Z147" s="5">
        <f>IF(VLOOKUP($B147,Table2[[prolific]:[feedbackTime]],23,FALSE)=VLOOKUP(Z$1,Table1[],2,FALSE),1,0)</f>
        <v>1</v>
      </c>
      <c r="AA147" s="5">
        <f>IF(VLOOKUP($B147,Table2[[prolific]:[feedbackTime]],24,FALSE)=VLOOKUP(AA$1,Table1[],2,FALSE),1,0)</f>
        <v>0</v>
      </c>
      <c r="AB147" s="5">
        <f>IF(VLOOKUP($B147,Table2[[prolific]:[feedbackTime]],25,FALSE)=VLOOKUP(AB$1,Table1[],2,FALSE),1,0)</f>
        <v>1</v>
      </c>
      <c r="AC147" s="5">
        <f>IF(VLOOKUP($B147,Table2[[prolific]:[feedbackTime]],26,FALSE)=VLOOKUP(AC$1,Table1[],2,FALSE),1,0)</f>
        <v>1</v>
      </c>
      <c r="AD147" s="5">
        <f>IF(VLOOKUP($B147,Table2[[prolific]:[feedbackTime]],27,FALSE)=VLOOKUP(AD$1,Table1[],2,FALSE),1,0)</f>
        <v>1</v>
      </c>
      <c r="AE147" s="5">
        <f>IF(VLOOKUP($B147,Table2[[prolific]:[feedbackTime]],28,FALSE)=VLOOKUP(AE$1,Table1[],2,FALSE),1,0)</f>
        <v>1</v>
      </c>
      <c r="AF147" s="5">
        <f>IF(VLOOKUP($B147,Table2[[prolific]:[feedbackTime]],29,FALSE)=VLOOKUP(AF$1,Table1[],2,FALSE),1,0)</f>
        <v>1</v>
      </c>
      <c r="AG147" s="5">
        <f>IF(VLOOKUP($B147,Table2[[prolific]:[feedbackTime]],30,FALSE)=VLOOKUP(AG$1,Table1[],2,FALSE),1,0)</f>
        <v>1</v>
      </c>
      <c r="AH147" s="5">
        <f t="shared" si="71"/>
        <v>7</v>
      </c>
      <c r="AI147" s="7">
        <f t="shared" si="72"/>
        <v>0.875</v>
      </c>
      <c r="AJ147" s="7">
        <f t="shared" si="73"/>
        <v>0.77272727272727271</v>
      </c>
      <c r="AK147" s="5">
        <f t="shared" si="74"/>
        <v>17</v>
      </c>
    </row>
    <row r="148" spans="1:37" x14ac:dyDescent="0.25">
      <c r="A148">
        <f t="shared" si="64"/>
        <v>2</v>
      </c>
      <c r="B148" s="5" t="s">
        <v>1108</v>
      </c>
      <c r="C148" s="5">
        <f>IF(VLOOKUP($B148,Table2[[prolific]:[feedbackTime]],6,FALSE)=VLOOKUP(C$1,Table1[],2,FALSE),1,0)</f>
        <v>1</v>
      </c>
      <c r="D148" s="5">
        <f>IF(VLOOKUP($B148,Table2[[prolific]:[feedbackTime]],7,FALSE)=VLOOKUP(D$1,Table1[],2,FALSE),1,0)</f>
        <v>1</v>
      </c>
      <c r="E148" s="5">
        <f>IF(VLOOKUP($B148,Table2[[prolific]:[feedbackTime]],8,FALSE)=VLOOKUP(E$1,Table1[],2,FALSE),1,0)</f>
        <v>1</v>
      </c>
      <c r="F148" s="5">
        <f t="shared" si="65"/>
        <v>3</v>
      </c>
      <c r="G148" s="7">
        <f t="shared" si="66"/>
        <v>1</v>
      </c>
      <c r="H148" s="5">
        <f>IF(VLOOKUP($B148,Table2[[prolific]:[feedbackTime]],9,FALSE)=VLOOKUP(H$1,Table1[],2,FALSE),1,0)</f>
        <v>1</v>
      </c>
      <c r="I148" s="5">
        <f>IF(VLOOKUP($B148,Table2[[prolific]:[feedbackTime]],10,FALSE)=VLOOKUP(I$1,Table1[],2,FALSE),1,0)</f>
        <v>0</v>
      </c>
      <c r="J148" s="5">
        <f>IF(VLOOKUP($B148,Table2[[prolific]:[feedbackTime]],11,FALSE)=VLOOKUP(J$1,Table1[],2,FALSE),1,0)</f>
        <v>0</v>
      </c>
      <c r="K148" s="5">
        <f>IF(VLOOKUP($B148,Table2[[prolific]:[feedbackTime]],12,FALSE)=VLOOKUP(K$1,Table1[],2,FALSE),1,0)</f>
        <v>1</v>
      </c>
      <c r="L148" s="5">
        <f>IF(VLOOKUP($B148,Table2[[prolific]:[feedbackTime]],13,FALSE)=VLOOKUP(L$1,Table1[],2,FALSE),1,0)</f>
        <v>0</v>
      </c>
      <c r="M148" s="5">
        <f>IF(VLOOKUP($B148,Table2[[prolific]:[feedbackTime]],14,FALSE)=VLOOKUP(M$1,Table1[],2,FALSE),1,0)</f>
        <v>0</v>
      </c>
      <c r="N148" s="5">
        <f t="shared" si="67"/>
        <v>2</v>
      </c>
      <c r="O148" s="7">
        <f t="shared" si="68"/>
        <v>0.33333333333333331</v>
      </c>
      <c r="P148" s="5">
        <f>IF(VLOOKUP($B148,Table2[[prolific]:[feedbackTime]],15,FALSE)=VLOOKUP(P$1,Table1[],2,FALSE),1,0)</f>
        <v>1</v>
      </c>
      <c r="Q148" s="5">
        <f>IF(VLOOKUP($B148,Table2[[prolific]:[feedbackTime]],16,FALSE)=VLOOKUP(Q$1,Table1[],2,FALSE),1,0)</f>
        <v>1</v>
      </c>
      <c r="R148" s="5">
        <f>IF(VLOOKUP($B148,Table2[[prolific]:[feedbackTime]],17,FALSE)=VLOOKUP(R$1,Table1[],2,FALSE),1,0)</f>
        <v>1</v>
      </c>
      <c r="S148" s="5">
        <f>IF(VLOOKUP($B148,Table2[[prolific]:[feedbackTime]],18,FALSE)=VLOOKUP(S$1,Table1[],2,FALSE),1,0)</f>
        <v>1</v>
      </c>
      <c r="T148" s="5">
        <f>IF(VLOOKUP($B148,Table2[[prolific]:[feedbackTime]],19,FALSE)=VLOOKUP(T$1,Table1[],2,FALSE),1,0)</f>
        <v>1</v>
      </c>
      <c r="U148" s="5">
        <f>IF(VLOOKUP($B148,Table2[[prolific]:[feedbackTime]],20,FALSE)=VLOOKUP(U$1,Table1[],2,FALSE),1,0)</f>
        <v>1</v>
      </c>
      <c r="V148" s="5">
        <f>IF(VLOOKUP($B148,Table2[[prolific]:[feedbackTime]],21,FALSE)=VLOOKUP(V$1,Table1[],2,FALSE),1,0)</f>
        <v>0</v>
      </c>
      <c r="W148" s="5">
        <f>IF(VLOOKUP($B148,Table2[[prolific]:[feedbackTime]],22,FALSE)=VLOOKUP(W$1,Table1[],2,FALSE),1,0)</f>
        <v>1</v>
      </c>
      <c r="X148" s="5">
        <f t="shared" si="69"/>
        <v>7</v>
      </c>
      <c r="Y148" s="7">
        <f t="shared" si="70"/>
        <v>0.875</v>
      </c>
      <c r="Z148" s="5">
        <f>IF(VLOOKUP($B148,Table2[[prolific]:[feedbackTime]],23,FALSE)=VLOOKUP(Z$1,Table1[],2,FALSE),1,0)</f>
        <v>1</v>
      </c>
      <c r="AA148" s="5">
        <f>IF(VLOOKUP($B148,Table2[[prolific]:[feedbackTime]],24,FALSE)=VLOOKUP(AA$1,Table1[],2,FALSE),1,0)</f>
        <v>0</v>
      </c>
      <c r="AB148" s="5">
        <f>IF(VLOOKUP($B148,Table2[[prolific]:[feedbackTime]],25,FALSE)=VLOOKUP(AB$1,Table1[],2,FALSE),1,0)</f>
        <v>1</v>
      </c>
      <c r="AC148" s="5">
        <f>IF(VLOOKUP($B148,Table2[[prolific]:[feedbackTime]],26,FALSE)=VLOOKUP(AC$1,Table1[],2,FALSE),1,0)</f>
        <v>1</v>
      </c>
      <c r="AD148" s="5">
        <f>IF(VLOOKUP($B148,Table2[[prolific]:[feedbackTime]],27,FALSE)=VLOOKUP(AD$1,Table1[],2,FALSE),1,0)</f>
        <v>0</v>
      </c>
      <c r="AE148" s="5">
        <f>IF(VLOOKUP($B148,Table2[[prolific]:[feedbackTime]],28,FALSE)=VLOOKUP(AE$1,Table1[],2,FALSE),1,0)</f>
        <v>1</v>
      </c>
      <c r="AF148" s="5">
        <f>IF(VLOOKUP($B148,Table2[[prolific]:[feedbackTime]],29,FALSE)=VLOOKUP(AF$1,Table1[],2,FALSE),1,0)</f>
        <v>1</v>
      </c>
      <c r="AG148" s="5">
        <f>IF(VLOOKUP($B148,Table2[[prolific]:[feedbackTime]],30,FALSE)=VLOOKUP(AG$1,Table1[],2,FALSE),1,0)</f>
        <v>1</v>
      </c>
      <c r="AH148" s="5">
        <f t="shared" si="71"/>
        <v>6</v>
      </c>
      <c r="AI148" s="7">
        <f t="shared" si="72"/>
        <v>0.75</v>
      </c>
      <c r="AJ148" s="7">
        <f t="shared" si="73"/>
        <v>0.68181818181818177</v>
      </c>
      <c r="AK148" s="5">
        <f t="shared" si="74"/>
        <v>15</v>
      </c>
    </row>
    <row r="149" spans="1:37" x14ac:dyDescent="0.25">
      <c r="A149">
        <f t="shared" si="64"/>
        <v>1</v>
      </c>
      <c r="B149" s="5" t="s">
        <v>1113</v>
      </c>
      <c r="C149" s="5">
        <f>IF(VLOOKUP($B149,Table2[[prolific]:[feedbackTime]],6,FALSE)=VLOOKUP(C$1,Table1[],2,FALSE),1,0)</f>
        <v>1</v>
      </c>
      <c r="D149" s="5">
        <f>IF(VLOOKUP($B149,Table2[[prolific]:[feedbackTime]],7,FALSE)=VLOOKUP(D$1,Table1[],2,FALSE),1,0)</f>
        <v>1</v>
      </c>
      <c r="E149" s="5">
        <f>IF(VLOOKUP($B149,Table2[[prolific]:[feedbackTime]],8,FALSE)=VLOOKUP(E$1,Table1[],2,FALSE),1,0)</f>
        <v>1</v>
      </c>
      <c r="F149" s="5">
        <f t="shared" si="65"/>
        <v>3</v>
      </c>
      <c r="G149" s="7">
        <f t="shared" si="66"/>
        <v>1</v>
      </c>
      <c r="H149" s="5">
        <f>IF(VLOOKUP($B149,Table2[[prolific]:[feedbackTime]],9,FALSE)=VLOOKUP(H$1,Table1[],2,FALSE),1,0)</f>
        <v>1</v>
      </c>
      <c r="I149" s="5">
        <f>IF(VLOOKUP($B149,Table2[[prolific]:[feedbackTime]],10,FALSE)=VLOOKUP(I$1,Table1[],2,FALSE),1,0)</f>
        <v>1</v>
      </c>
      <c r="J149" s="5">
        <f>IF(VLOOKUP($B149,Table2[[prolific]:[feedbackTime]],11,FALSE)=VLOOKUP(J$1,Table1[],2,FALSE),1,0)</f>
        <v>1</v>
      </c>
      <c r="K149" s="5">
        <f>IF(VLOOKUP($B149,Table2[[prolific]:[feedbackTime]],12,FALSE)=VLOOKUP(K$1,Table1[],2,FALSE),1,0)</f>
        <v>1</v>
      </c>
      <c r="L149" s="5">
        <f>IF(VLOOKUP($B149,Table2[[prolific]:[feedbackTime]],13,FALSE)=VLOOKUP(L$1,Table1[],2,FALSE),1,0)</f>
        <v>0</v>
      </c>
      <c r="M149" s="5">
        <f>IF(VLOOKUP($B149,Table2[[prolific]:[feedbackTime]],14,FALSE)=VLOOKUP(M$1,Table1[],2,FALSE),1,0)</f>
        <v>0</v>
      </c>
      <c r="N149" s="5">
        <f t="shared" si="67"/>
        <v>4</v>
      </c>
      <c r="O149" s="7">
        <f t="shared" si="68"/>
        <v>0.66666666666666663</v>
      </c>
      <c r="P149" s="5">
        <f>IF(VLOOKUP($B149,Table2[[prolific]:[feedbackTime]],15,FALSE)=VLOOKUP(P$1,Table1[],2,FALSE),1,0)</f>
        <v>1</v>
      </c>
      <c r="Q149" s="5">
        <f>IF(VLOOKUP($B149,Table2[[prolific]:[feedbackTime]],16,FALSE)=VLOOKUP(Q$1,Table1[],2,FALSE),1,0)</f>
        <v>1</v>
      </c>
      <c r="R149" s="5">
        <f>IF(VLOOKUP($B149,Table2[[prolific]:[feedbackTime]],17,FALSE)=VLOOKUP(R$1,Table1[],2,FALSE),1,0)</f>
        <v>1</v>
      </c>
      <c r="S149" s="5">
        <f>IF(VLOOKUP($B149,Table2[[prolific]:[feedbackTime]],18,FALSE)=VLOOKUP(S$1,Table1[],2,FALSE),1,0)</f>
        <v>1</v>
      </c>
      <c r="T149" s="5">
        <f>IF(VLOOKUP($B149,Table2[[prolific]:[feedbackTime]],19,FALSE)=VLOOKUP(T$1,Table1[],2,FALSE),1,0)</f>
        <v>1</v>
      </c>
      <c r="U149" s="5">
        <f>IF(VLOOKUP($B149,Table2[[prolific]:[feedbackTime]],20,FALSE)=VLOOKUP(U$1,Table1[],2,FALSE),1,0)</f>
        <v>1</v>
      </c>
      <c r="V149" s="5">
        <f>IF(VLOOKUP($B149,Table2[[prolific]:[feedbackTime]],21,FALSE)=VLOOKUP(V$1,Table1[],2,FALSE),1,0)</f>
        <v>0</v>
      </c>
      <c r="W149" s="5">
        <f>IF(VLOOKUP($B149,Table2[[prolific]:[feedbackTime]],22,FALSE)=VLOOKUP(W$1,Table1[],2,FALSE),1,0)</f>
        <v>1</v>
      </c>
      <c r="X149" s="5">
        <f t="shared" si="69"/>
        <v>7</v>
      </c>
      <c r="Y149" s="7">
        <f t="shared" si="70"/>
        <v>0.875</v>
      </c>
      <c r="Z149" s="5">
        <f>IF(VLOOKUP($B149,Table2[[prolific]:[feedbackTime]],23,FALSE)=VLOOKUP(Z$1,Table1[],2,FALSE),1,0)</f>
        <v>1</v>
      </c>
      <c r="AA149" s="5">
        <f>IF(VLOOKUP($B149,Table2[[prolific]:[feedbackTime]],24,FALSE)=VLOOKUP(AA$1,Table1[],2,FALSE),1,0)</f>
        <v>1</v>
      </c>
      <c r="AB149" s="5">
        <f>IF(VLOOKUP($B149,Table2[[prolific]:[feedbackTime]],25,FALSE)=VLOOKUP(AB$1,Table1[],2,FALSE),1,0)</f>
        <v>0</v>
      </c>
      <c r="AC149" s="5">
        <f>IF(VLOOKUP($B149,Table2[[prolific]:[feedbackTime]],26,FALSE)=VLOOKUP(AC$1,Table1[],2,FALSE),1,0)</f>
        <v>1</v>
      </c>
      <c r="AD149" s="5">
        <f>IF(VLOOKUP($B149,Table2[[prolific]:[feedbackTime]],27,FALSE)=VLOOKUP(AD$1,Table1[],2,FALSE),1,0)</f>
        <v>0</v>
      </c>
      <c r="AE149" s="5">
        <f>IF(VLOOKUP($B149,Table2[[prolific]:[feedbackTime]],28,FALSE)=VLOOKUP(AE$1,Table1[],2,FALSE),1,0)</f>
        <v>1</v>
      </c>
      <c r="AF149" s="5">
        <f>IF(VLOOKUP($B149,Table2[[prolific]:[feedbackTime]],29,FALSE)=VLOOKUP(AF$1,Table1[],2,FALSE),1,0)</f>
        <v>1</v>
      </c>
      <c r="AG149" s="5">
        <f>IF(VLOOKUP($B149,Table2[[prolific]:[feedbackTime]],30,FALSE)=VLOOKUP(AG$1,Table1[],2,FALSE),1,0)</f>
        <v>1</v>
      </c>
      <c r="AH149" s="5">
        <f t="shared" si="71"/>
        <v>6</v>
      </c>
      <c r="AI149" s="7">
        <f t="shared" si="72"/>
        <v>0.75</v>
      </c>
      <c r="AJ149" s="7">
        <f t="shared" si="73"/>
        <v>0.77272727272727271</v>
      </c>
      <c r="AK149" s="5">
        <f t="shared" si="74"/>
        <v>17</v>
      </c>
    </row>
    <row r="150" spans="1:37" x14ac:dyDescent="0.25">
      <c r="A150">
        <f t="shared" si="64"/>
        <v>1</v>
      </c>
      <c r="B150" s="5" t="s">
        <v>1114</v>
      </c>
      <c r="C150" s="5">
        <f>IF(VLOOKUP($B150,Table2[[prolific]:[feedbackTime]],6,FALSE)=VLOOKUP(C$1,Table1[],2,FALSE),1,0)</f>
        <v>1</v>
      </c>
      <c r="D150" s="5">
        <f>IF(VLOOKUP($B150,Table2[[prolific]:[feedbackTime]],7,FALSE)=VLOOKUP(D$1,Table1[],2,FALSE),1,0)</f>
        <v>1</v>
      </c>
      <c r="E150" s="5">
        <f>IF(VLOOKUP($B150,Table2[[prolific]:[feedbackTime]],8,FALSE)=VLOOKUP(E$1,Table1[],2,FALSE),1,0)</f>
        <v>1</v>
      </c>
      <c r="F150" s="5">
        <f t="shared" si="65"/>
        <v>3</v>
      </c>
      <c r="G150" s="7">
        <f t="shared" si="66"/>
        <v>1</v>
      </c>
      <c r="H150" s="5">
        <f>IF(VLOOKUP($B150,Table2[[prolific]:[feedbackTime]],9,FALSE)=VLOOKUP(H$1,Table1[],2,FALSE),1,0)</f>
        <v>1</v>
      </c>
      <c r="I150" s="5">
        <f>IF(VLOOKUP($B150,Table2[[prolific]:[feedbackTime]],10,FALSE)=VLOOKUP(I$1,Table1[],2,FALSE),1,0)</f>
        <v>1</v>
      </c>
      <c r="J150" s="5">
        <f>IF(VLOOKUP($B150,Table2[[prolific]:[feedbackTime]],11,FALSE)=VLOOKUP(J$1,Table1[],2,FALSE),1,0)</f>
        <v>1</v>
      </c>
      <c r="K150" s="5">
        <f>IF(VLOOKUP($B150,Table2[[prolific]:[feedbackTime]],12,FALSE)=VLOOKUP(K$1,Table1[],2,FALSE),1,0)</f>
        <v>1</v>
      </c>
      <c r="L150" s="5">
        <f>IF(VLOOKUP($B150,Table2[[prolific]:[feedbackTime]],13,FALSE)=VLOOKUP(L$1,Table1[],2,FALSE),1,0)</f>
        <v>0</v>
      </c>
      <c r="M150" s="5">
        <f>IF(VLOOKUP($B150,Table2[[prolific]:[feedbackTime]],14,FALSE)=VLOOKUP(M$1,Table1[],2,FALSE),1,0)</f>
        <v>1</v>
      </c>
      <c r="N150" s="5">
        <f t="shared" si="67"/>
        <v>5</v>
      </c>
      <c r="O150" s="7">
        <f t="shared" si="68"/>
        <v>0.83333333333333337</v>
      </c>
      <c r="P150" s="5">
        <f>IF(VLOOKUP($B150,Table2[[prolific]:[feedbackTime]],15,FALSE)=VLOOKUP(P$1,Table1[],2,FALSE),1,0)</f>
        <v>1</v>
      </c>
      <c r="Q150" s="5">
        <f>IF(VLOOKUP($B150,Table2[[prolific]:[feedbackTime]],16,FALSE)=VLOOKUP(Q$1,Table1[],2,FALSE),1,0)</f>
        <v>1</v>
      </c>
      <c r="R150" s="5">
        <f>IF(VLOOKUP($B150,Table2[[prolific]:[feedbackTime]],17,FALSE)=VLOOKUP(R$1,Table1[],2,FALSE),1,0)</f>
        <v>1</v>
      </c>
      <c r="S150" s="5">
        <f>IF(VLOOKUP($B150,Table2[[prolific]:[feedbackTime]],18,FALSE)=VLOOKUP(S$1,Table1[],2,FALSE),1,0)</f>
        <v>1</v>
      </c>
      <c r="T150" s="5">
        <f>IF(VLOOKUP($B150,Table2[[prolific]:[feedbackTime]],19,FALSE)=VLOOKUP(T$1,Table1[],2,FALSE),1,0)</f>
        <v>1</v>
      </c>
      <c r="U150" s="5">
        <f>IF(VLOOKUP($B150,Table2[[prolific]:[feedbackTime]],20,FALSE)=VLOOKUP(U$1,Table1[],2,FALSE),1,0)</f>
        <v>1</v>
      </c>
      <c r="V150" s="5">
        <f>IF(VLOOKUP($B150,Table2[[prolific]:[feedbackTime]],21,FALSE)=VLOOKUP(V$1,Table1[],2,FALSE),1,0)</f>
        <v>0</v>
      </c>
      <c r="W150" s="5">
        <f>IF(VLOOKUP($B150,Table2[[prolific]:[feedbackTime]],22,FALSE)=VLOOKUP(W$1,Table1[],2,FALSE),1,0)</f>
        <v>1</v>
      </c>
      <c r="X150" s="5">
        <f t="shared" si="69"/>
        <v>7</v>
      </c>
      <c r="Y150" s="7">
        <f t="shared" si="70"/>
        <v>0.875</v>
      </c>
      <c r="Z150" s="5">
        <f>IF(VLOOKUP($B150,Table2[[prolific]:[feedbackTime]],23,FALSE)=VLOOKUP(Z$1,Table1[],2,FALSE),1,0)</f>
        <v>1</v>
      </c>
      <c r="AA150" s="5">
        <f>IF(VLOOKUP($B150,Table2[[prolific]:[feedbackTime]],24,FALSE)=VLOOKUP(AA$1,Table1[],2,FALSE),1,0)</f>
        <v>0</v>
      </c>
      <c r="AB150" s="5">
        <f>IF(VLOOKUP($B150,Table2[[prolific]:[feedbackTime]],25,FALSE)=VLOOKUP(AB$1,Table1[],2,FALSE),1,0)</f>
        <v>0</v>
      </c>
      <c r="AC150" s="5">
        <f>IF(VLOOKUP($B150,Table2[[prolific]:[feedbackTime]],26,FALSE)=VLOOKUP(AC$1,Table1[],2,FALSE),1,0)</f>
        <v>1</v>
      </c>
      <c r="AD150" s="5">
        <f>IF(VLOOKUP($B150,Table2[[prolific]:[feedbackTime]],27,FALSE)=VLOOKUP(AD$1,Table1[],2,FALSE),1,0)</f>
        <v>1</v>
      </c>
      <c r="AE150" s="5">
        <f>IF(VLOOKUP($B150,Table2[[prolific]:[feedbackTime]],28,FALSE)=VLOOKUP(AE$1,Table1[],2,FALSE),1,0)</f>
        <v>1</v>
      </c>
      <c r="AF150" s="5">
        <f>IF(VLOOKUP($B150,Table2[[prolific]:[feedbackTime]],29,FALSE)=VLOOKUP(AF$1,Table1[],2,FALSE),1,0)</f>
        <v>1</v>
      </c>
      <c r="AG150" s="5">
        <f>IF(VLOOKUP($B150,Table2[[prolific]:[feedbackTime]],30,FALSE)=VLOOKUP(AG$1,Table1[],2,FALSE),1,0)</f>
        <v>1</v>
      </c>
      <c r="AH150" s="5">
        <f t="shared" si="71"/>
        <v>6</v>
      </c>
      <c r="AI150" s="7">
        <f t="shared" si="72"/>
        <v>0.75</v>
      </c>
      <c r="AJ150" s="7">
        <f t="shared" si="73"/>
        <v>0.81818181818181823</v>
      </c>
      <c r="AK150" s="5">
        <f t="shared" si="74"/>
        <v>18</v>
      </c>
    </row>
    <row r="151" spans="1:37" x14ac:dyDescent="0.25">
      <c r="A151">
        <f t="shared" si="64"/>
        <v>1</v>
      </c>
      <c r="B151" s="5" t="s">
        <v>1115</v>
      </c>
      <c r="C151" s="5">
        <f>IF(VLOOKUP($B151,Table2[[prolific]:[feedbackTime]],6,FALSE)=VLOOKUP(C$1,Table1[],2,FALSE),1,0)</f>
        <v>1</v>
      </c>
      <c r="D151" s="5">
        <f>IF(VLOOKUP($B151,Table2[[prolific]:[feedbackTime]],7,FALSE)=VLOOKUP(D$1,Table1[],2,FALSE),1,0)</f>
        <v>1</v>
      </c>
      <c r="E151" s="5">
        <f>IF(VLOOKUP($B151,Table2[[prolific]:[feedbackTime]],8,FALSE)=VLOOKUP(E$1,Table1[],2,FALSE),1,0)</f>
        <v>1</v>
      </c>
      <c r="F151" s="5">
        <f t="shared" si="65"/>
        <v>3</v>
      </c>
      <c r="G151" s="7">
        <f t="shared" si="66"/>
        <v>1</v>
      </c>
      <c r="H151" s="5">
        <f>IF(VLOOKUP($B151,Table2[[prolific]:[feedbackTime]],9,FALSE)=VLOOKUP(H$1,Table1[],2,FALSE),1,0)</f>
        <v>1</v>
      </c>
      <c r="I151" s="5">
        <f>IF(VLOOKUP($B151,Table2[[prolific]:[feedbackTime]],10,FALSE)=VLOOKUP(I$1,Table1[],2,FALSE),1,0)</f>
        <v>1</v>
      </c>
      <c r="J151" s="5">
        <f>IF(VLOOKUP($B151,Table2[[prolific]:[feedbackTime]],11,FALSE)=VLOOKUP(J$1,Table1[],2,FALSE),1,0)</f>
        <v>0</v>
      </c>
      <c r="K151" s="5">
        <f>IF(VLOOKUP($B151,Table2[[prolific]:[feedbackTime]],12,FALSE)=VLOOKUP(K$1,Table1[],2,FALSE),1,0)</f>
        <v>1</v>
      </c>
      <c r="L151" s="5">
        <f>IF(VLOOKUP($B151,Table2[[prolific]:[feedbackTime]],13,FALSE)=VLOOKUP(L$1,Table1[],2,FALSE),1,0)</f>
        <v>0</v>
      </c>
      <c r="M151" s="5">
        <f>IF(VLOOKUP($B151,Table2[[prolific]:[feedbackTime]],14,FALSE)=VLOOKUP(M$1,Table1[],2,FALSE),1,0)</f>
        <v>0</v>
      </c>
      <c r="N151" s="5">
        <f t="shared" si="67"/>
        <v>3</v>
      </c>
      <c r="O151" s="7">
        <f t="shared" si="68"/>
        <v>0.5</v>
      </c>
      <c r="P151" s="5">
        <f>IF(VLOOKUP($B151,Table2[[prolific]:[feedbackTime]],15,FALSE)=VLOOKUP(P$1,Table1[],2,FALSE),1,0)</f>
        <v>1</v>
      </c>
      <c r="Q151" s="5">
        <f>IF(VLOOKUP($B151,Table2[[prolific]:[feedbackTime]],16,FALSE)=VLOOKUP(Q$1,Table1[],2,FALSE),1,0)</f>
        <v>1</v>
      </c>
      <c r="R151" s="5">
        <f>IF(VLOOKUP($B151,Table2[[prolific]:[feedbackTime]],17,FALSE)=VLOOKUP(R$1,Table1[],2,FALSE),1,0)</f>
        <v>1</v>
      </c>
      <c r="S151" s="5">
        <f>IF(VLOOKUP($B151,Table2[[prolific]:[feedbackTime]],18,FALSE)=VLOOKUP(S$1,Table1[],2,FALSE),1,0)</f>
        <v>0</v>
      </c>
      <c r="T151" s="5">
        <f>IF(VLOOKUP($B151,Table2[[prolific]:[feedbackTime]],19,FALSE)=VLOOKUP(T$1,Table1[],2,FALSE),1,0)</f>
        <v>1</v>
      </c>
      <c r="U151" s="5">
        <f>IF(VLOOKUP($B151,Table2[[prolific]:[feedbackTime]],20,FALSE)=VLOOKUP(U$1,Table1[],2,FALSE),1,0)</f>
        <v>1</v>
      </c>
      <c r="V151" s="5">
        <f>IF(VLOOKUP($B151,Table2[[prolific]:[feedbackTime]],21,FALSE)=VLOOKUP(V$1,Table1[],2,FALSE),1,0)</f>
        <v>0</v>
      </c>
      <c r="W151" s="5">
        <f>IF(VLOOKUP($B151,Table2[[prolific]:[feedbackTime]],22,FALSE)=VLOOKUP(W$1,Table1[],2,FALSE),1,0)</f>
        <v>0</v>
      </c>
      <c r="X151" s="5">
        <f t="shared" si="69"/>
        <v>5</v>
      </c>
      <c r="Y151" s="7">
        <f t="shared" si="70"/>
        <v>0.625</v>
      </c>
      <c r="Z151" s="5">
        <f>IF(VLOOKUP($B151,Table2[[prolific]:[feedbackTime]],23,FALSE)=VLOOKUP(Z$1,Table1[],2,FALSE),1,0)</f>
        <v>1</v>
      </c>
      <c r="AA151" s="5">
        <f>IF(VLOOKUP($B151,Table2[[prolific]:[feedbackTime]],24,FALSE)=VLOOKUP(AA$1,Table1[],2,FALSE),1,0)</f>
        <v>0</v>
      </c>
      <c r="AB151" s="5">
        <f>IF(VLOOKUP($B151,Table2[[prolific]:[feedbackTime]],25,FALSE)=VLOOKUP(AB$1,Table1[],2,FALSE),1,0)</f>
        <v>0</v>
      </c>
      <c r="AC151" s="5">
        <f>IF(VLOOKUP($B151,Table2[[prolific]:[feedbackTime]],26,FALSE)=VLOOKUP(AC$1,Table1[],2,FALSE),1,0)</f>
        <v>1</v>
      </c>
      <c r="AD151" s="5">
        <f>IF(VLOOKUP($B151,Table2[[prolific]:[feedbackTime]],27,FALSE)=VLOOKUP(AD$1,Table1[],2,FALSE),1,0)</f>
        <v>0</v>
      </c>
      <c r="AE151" s="5">
        <f>IF(VLOOKUP($B151,Table2[[prolific]:[feedbackTime]],28,FALSE)=VLOOKUP(AE$1,Table1[],2,FALSE),1,0)</f>
        <v>0</v>
      </c>
      <c r="AF151" s="5">
        <f>IF(VLOOKUP($B151,Table2[[prolific]:[feedbackTime]],29,FALSE)=VLOOKUP(AF$1,Table1[],2,FALSE),1,0)</f>
        <v>1</v>
      </c>
      <c r="AG151" s="5">
        <f>IF(VLOOKUP($B151,Table2[[prolific]:[feedbackTime]],30,FALSE)=VLOOKUP(AG$1,Table1[],2,FALSE),1,0)</f>
        <v>1</v>
      </c>
      <c r="AH151" s="5">
        <f t="shared" si="71"/>
        <v>4</v>
      </c>
      <c r="AI151" s="7">
        <f t="shared" si="72"/>
        <v>0.5</v>
      </c>
      <c r="AJ151" s="7">
        <f t="shared" si="73"/>
        <v>0.54545454545454541</v>
      </c>
      <c r="AK151" s="5">
        <f t="shared" si="74"/>
        <v>12</v>
      </c>
    </row>
    <row r="152" spans="1:37" x14ac:dyDescent="0.25">
      <c r="A152">
        <f t="shared" si="64"/>
        <v>1</v>
      </c>
      <c r="B152" s="5" t="s">
        <v>1116</v>
      </c>
      <c r="C152" s="5">
        <f>IF(VLOOKUP($B152,Table2[[prolific]:[feedbackTime]],6,FALSE)=VLOOKUP(C$1,Table1[],2,FALSE),1,0)</f>
        <v>1</v>
      </c>
      <c r="D152" s="5">
        <f>IF(VLOOKUP($B152,Table2[[prolific]:[feedbackTime]],7,FALSE)=VLOOKUP(D$1,Table1[],2,FALSE),1,0)</f>
        <v>1</v>
      </c>
      <c r="E152" s="5">
        <f>IF(VLOOKUP($B152,Table2[[prolific]:[feedbackTime]],8,FALSE)=VLOOKUP(E$1,Table1[],2,FALSE),1,0)</f>
        <v>1</v>
      </c>
      <c r="F152" s="5">
        <f t="shared" si="65"/>
        <v>3</v>
      </c>
      <c r="G152" s="7">
        <f t="shared" si="66"/>
        <v>1</v>
      </c>
      <c r="H152" s="5">
        <f>IF(VLOOKUP($B152,Table2[[prolific]:[feedbackTime]],9,FALSE)=VLOOKUP(H$1,Table1[],2,FALSE),1,0)</f>
        <v>0</v>
      </c>
      <c r="I152" s="5">
        <f>IF(VLOOKUP($B152,Table2[[prolific]:[feedbackTime]],10,FALSE)=VLOOKUP(I$1,Table1[],2,FALSE),1,0)</f>
        <v>0</v>
      </c>
      <c r="J152" s="5">
        <f>IF(VLOOKUP($B152,Table2[[prolific]:[feedbackTime]],11,FALSE)=VLOOKUP(J$1,Table1[],2,FALSE),1,0)</f>
        <v>0</v>
      </c>
      <c r="K152" s="5">
        <f>IF(VLOOKUP($B152,Table2[[prolific]:[feedbackTime]],12,FALSE)=VLOOKUP(K$1,Table1[],2,FALSE),1,0)</f>
        <v>0</v>
      </c>
      <c r="L152" s="5">
        <f>IF(VLOOKUP($B152,Table2[[prolific]:[feedbackTime]],13,FALSE)=VLOOKUP(L$1,Table1[],2,FALSE),1,0)</f>
        <v>1</v>
      </c>
      <c r="M152" s="5">
        <f>IF(VLOOKUP($B152,Table2[[prolific]:[feedbackTime]],14,FALSE)=VLOOKUP(M$1,Table1[],2,FALSE),1,0)</f>
        <v>0</v>
      </c>
      <c r="N152" s="5">
        <f t="shared" si="67"/>
        <v>1</v>
      </c>
      <c r="O152" s="7">
        <f t="shared" si="68"/>
        <v>0.16666666666666666</v>
      </c>
      <c r="P152" s="5">
        <f>IF(VLOOKUP($B152,Table2[[prolific]:[feedbackTime]],15,FALSE)=VLOOKUP(P$1,Table1[],2,FALSE),1,0)</f>
        <v>1</v>
      </c>
      <c r="Q152" s="5">
        <f>IF(VLOOKUP($B152,Table2[[prolific]:[feedbackTime]],16,FALSE)=VLOOKUP(Q$1,Table1[],2,FALSE),1,0)</f>
        <v>1</v>
      </c>
      <c r="R152" s="5">
        <f>IF(VLOOKUP($B152,Table2[[prolific]:[feedbackTime]],17,FALSE)=VLOOKUP(R$1,Table1[],2,FALSE),1,0)</f>
        <v>1</v>
      </c>
      <c r="S152" s="5">
        <f>IF(VLOOKUP($B152,Table2[[prolific]:[feedbackTime]],18,FALSE)=VLOOKUP(S$1,Table1[],2,FALSE),1,0)</f>
        <v>1</v>
      </c>
      <c r="T152" s="5">
        <f>IF(VLOOKUP($B152,Table2[[prolific]:[feedbackTime]],19,FALSE)=VLOOKUP(T$1,Table1[],2,FALSE),1,0)</f>
        <v>1</v>
      </c>
      <c r="U152" s="5">
        <f>IF(VLOOKUP($B152,Table2[[prolific]:[feedbackTime]],20,FALSE)=VLOOKUP(U$1,Table1[],2,FALSE),1,0)</f>
        <v>1</v>
      </c>
      <c r="V152" s="5">
        <f>IF(VLOOKUP($B152,Table2[[prolific]:[feedbackTime]],21,FALSE)=VLOOKUP(V$1,Table1[],2,FALSE),1,0)</f>
        <v>0</v>
      </c>
      <c r="W152" s="5">
        <f>IF(VLOOKUP($B152,Table2[[prolific]:[feedbackTime]],22,FALSE)=VLOOKUP(W$1,Table1[],2,FALSE),1,0)</f>
        <v>1</v>
      </c>
      <c r="X152" s="5">
        <f t="shared" si="69"/>
        <v>7</v>
      </c>
      <c r="Y152" s="7">
        <f t="shared" si="70"/>
        <v>0.875</v>
      </c>
      <c r="Z152" s="5">
        <f>IF(VLOOKUP($B152,Table2[[prolific]:[feedbackTime]],23,FALSE)=VLOOKUP(Z$1,Table1[],2,FALSE),1,0)</f>
        <v>1</v>
      </c>
      <c r="AA152" s="5">
        <f>IF(VLOOKUP($B152,Table2[[prolific]:[feedbackTime]],24,FALSE)=VLOOKUP(AA$1,Table1[],2,FALSE),1,0)</f>
        <v>0</v>
      </c>
      <c r="AB152" s="5">
        <f>IF(VLOOKUP($B152,Table2[[prolific]:[feedbackTime]],25,FALSE)=VLOOKUP(AB$1,Table1[],2,FALSE),1,0)</f>
        <v>0</v>
      </c>
      <c r="AC152" s="5">
        <f>IF(VLOOKUP($B152,Table2[[prolific]:[feedbackTime]],26,FALSE)=VLOOKUP(AC$1,Table1[],2,FALSE),1,0)</f>
        <v>1</v>
      </c>
      <c r="AD152" s="5">
        <f>IF(VLOOKUP($B152,Table2[[prolific]:[feedbackTime]],27,FALSE)=VLOOKUP(AD$1,Table1[],2,FALSE),1,0)</f>
        <v>1</v>
      </c>
      <c r="AE152" s="5">
        <f>IF(VLOOKUP($B152,Table2[[prolific]:[feedbackTime]],28,FALSE)=VLOOKUP(AE$1,Table1[],2,FALSE),1,0)</f>
        <v>0</v>
      </c>
      <c r="AF152" s="5">
        <f>IF(VLOOKUP($B152,Table2[[prolific]:[feedbackTime]],29,FALSE)=VLOOKUP(AF$1,Table1[],2,FALSE),1,0)</f>
        <v>0</v>
      </c>
      <c r="AG152" s="5">
        <f>IF(VLOOKUP($B152,Table2[[prolific]:[feedbackTime]],30,FALSE)=VLOOKUP(AG$1,Table1[],2,FALSE),1,0)</f>
        <v>1</v>
      </c>
      <c r="AH152" s="5">
        <f t="shared" si="71"/>
        <v>4</v>
      </c>
      <c r="AI152" s="7">
        <f t="shared" si="72"/>
        <v>0.5</v>
      </c>
      <c r="AJ152" s="7">
        <f t="shared" si="73"/>
        <v>0.54545454545454541</v>
      </c>
      <c r="AK152" s="5">
        <f t="shared" si="74"/>
        <v>12</v>
      </c>
    </row>
    <row r="153" spans="1:37" x14ac:dyDescent="0.25">
      <c r="A153">
        <f t="shared" si="64"/>
        <v>1</v>
      </c>
      <c r="B153" s="5" t="s">
        <v>1117</v>
      </c>
      <c r="C153" s="5">
        <f>IF(VLOOKUP($B153,Table2[[prolific]:[feedbackTime]],6,FALSE)=VLOOKUP(C$1,Table1[],2,FALSE),1,0)</f>
        <v>1</v>
      </c>
      <c r="D153" s="5">
        <f>IF(VLOOKUP($B153,Table2[[prolific]:[feedbackTime]],7,FALSE)=VLOOKUP(D$1,Table1[],2,FALSE),1,0)</f>
        <v>1</v>
      </c>
      <c r="E153" s="5">
        <f>IF(VLOOKUP($B153,Table2[[prolific]:[feedbackTime]],8,FALSE)=VLOOKUP(E$1,Table1[],2,FALSE),1,0)</f>
        <v>1</v>
      </c>
      <c r="F153" s="5">
        <f t="shared" si="65"/>
        <v>3</v>
      </c>
      <c r="G153" s="7">
        <f t="shared" si="66"/>
        <v>1</v>
      </c>
      <c r="H153" s="5">
        <f>IF(VLOOKUP($B153,Table2[[prolific]:[feedbackTime]],9,FALSE)=VLOOKUP(H$1,Table1[],2,FALSE),1,0)</f>
        <v>1</v>
      </c>
      <c r="I153" s="5">
        <f>IF(VLOOKUP($B153,Table2[[prolific]:[feedbackTime]],10,FALSE)=VLOOKUP(I$1,Table1[],2,FALSE),1,0)</f>
        <v>1</v>
      </c>
      <c r="J153" s="5">
        <f>IF(VLOOKUP($B153,Table2[[prolific]:[feedbackTime]],11,FALSE)=VLOOKUP(J$1,Table1[],2,FALSE),1,0)</f>
        <v>0</v>
      </c>
      <c r="K153" s="5">
        <f>IF(VLOOKUP($B153,Table2[[prolific]:[feedbackTime]],12,FALSE)=VLOOKUP(K$1,Table1[],2,FALSE),1,0)</f>
        <v>0</v>
      </c>
      <c r="L153" s="5">
        <f>IF(VLOOKUP($B153,Table2[[prolific]:[feedbackTime]],13,FALSE)=VLOOKUP(L$1,Table1[],2,FALSE),1,0)</f>
        <v>0</v>
      </c>
      <c r="M153" s="5">
        <f>IF(VLOOKUP($B153,Table2[[prolific]:[feedbackTime]],14,FALSE)=VLOOKUP(M$1,Table1[],2,FALSE),1,0)</f>
        <v>0</v>
      </c>
      <c r="N153" s="5">
        <f t="shared" si="67"/>
        <v>2</v>
      </c>
      <c r="O153" s="7">
        <f t="shared" si="68"/>
        <v>0.33333333333333331</v>
      </c>
      <c r="P153" s="5">
        <f>IF(VLOOKUP($B153,Table2[[prolific]:[feedbackTime]],15,FALSE)=VLOOKUP(P$1,Table1[],2,FALSE),1,0)</f>
        <v>1</v>
      </c>
      <c r="Q153" s="5">
        <f>IF(VLOOKUP($B153,Table2[[prolific]:[feedbackTime]],16,FALSE)=VLOOKUP(Q$1,Table1[],2,FALSE),1,0)</f>
        <v>1</v>
      </c>
      <c r="R153" s="5">
        <f>IF(VLOOKUP($B153,Table2[[prolific]:[feedbackTime]],17,FALSE)=VLOOKUP(R$1,Table1[],2,FALSE),1,0)</f>
        <v>1</v>
      </c>
      <c r="S153" s="5">
        <f>IF(VLOOKUP($B153,Table2[[prolific]:[feedbackTime]],18,FALSE)=VLOOKUP(S$1,Table1[],2,FALSE),1,0)</f>
        <v>1</v>
      </c>
      <c r="T153" s="5">
        <f>IF(VLOOKUP($B153,Table2[[prolific]:[feedbackTime]],19,FALSE)=VLOOKUP(T$1,Table1[],2,FALSE),1,0)</f>
        <v>1</v>
      </c>
      <c r="U153" s="5">
        <f>IF(VLOOKUP($B153,Table2[[prolific]:[feedbackTime]],20,FALSE)=VLOOKUP(U$1,Table1[],2,FALSE),1,0)</f>
        <v>0</v>
      </c>
      <c r="V153" s="5">
        <f>IF(VLOOKUP($B153,Table2[[prolific]:[feedbackTime]],21,FALSE)=VLOOKUP(V$1,Table1[],2,FALSE),1,0)</f>
        <v>0</v>
      </c>
      <c r="W153" s="5">
        <f>IF(VLOOKUP($B153,Table2[[prolific]:[feedbackTime]],22,FALSE)=VLOOKUP(W$1,Table1[],2,FALSE),1,0)</f>
        <v>0</v>
      </c>
      <c r="X153" s="5">
        <f t="shared" si="69"/>
        <v>5</v>
      </c>
      <c r="Y153" s="7">
        <f t="shared" si="70"/>
        <v>0.625</v>
      </c>
      <c r="Z153" s="5">
        <f>IF(VLOOKUP($B153,Table2[[prolific]:[feedbackTime]],23,FALSE)=VLOOKUP(Z$1,Table1[],2,FALSE),1,0)</f>
        <v>1</v>
      </c>
      <c r="AA153" s="5">
        <f>IF(VLOOKUP($B153,Table2[[prolific]:[feedbackTime]],24,FALSE)=VLOOKUP(AA$1,Table1[],2,FALSE),1,0)</f>
        <v>1</v>
      </c>
      <c r="AB153" s="5">
        <f>IF(VLOOKUP($B153,Table2[[prolific]:[feedbackTime]],25,FALSE)=VLOOKUP(AB$1,Table1[],2,FALSE),1,0)</f>
        <v>0</v>
      </c>
      <c r="AC153" s="5">
        <f>IF(VLOOKUP($B153,Table2[[prolific]:[feedbackTime]],26,FALSE)=VLOOKUP(AC$1,Table1[],2,FALSE),1,0)</f>
        <v>1</v>
      </c>
      <c r="AD153" s="5">
        <f>IF(VLOOKUP($B153,Table2[[prolific]:[feedbackTime]],27,FALSE)=VLOOKUP(AD$1,Table1[],2,FALSE),1,0)</f>
        <v>0</v>
      </c>
      <c r="AE153" s="5">
        <f>IF(VLOOKUP($B153,Table2[[prolific]:[feedbackTime]],28,FALSE)=VLOOKUP(AE$1,Table1[],2,FALSE),1,0)</f>
        <v>1</v>
      </c>
      <c r="AF153" s="5">
        <f>IF(VLOOKUP($B153,Table2[[prolific]:[feedbackTime]],29,FALSE)=VLOOKUP(AF$1,Table1[],2,FALSE),1,0)</f>
        <v>1</v>
      </c>
      <c r="AG153" s="5">
        <f>IF(VLOOKUP($B153,Table2[[prolific]:[feedbackTime]],30,FALSE)=VLOOKUP(AG$1,Table1[],2,FALSE),1,0)</f>
        <v>1</v>
      </c>
      <c r="AH153" s="5">
        <f t="shared" si="71"/>
        <v>6</v>
      </c>
      <c r="AI153" s="7">
        <f t="shared" si="72"/>
        <v>0.75</v>
      </c>
      <c r="AJ153" s="7">
        <f t="shared" si="73"/>
        <v>0.59090909090909094</v>
      </c>
      <c r="AK153" s="5">
        <f t="shared" si="74"/>
        <v>13</v>
      </c>
    </row>
    <row r="154" spans="1:37" x14ac:dyDescent="0.25">
      <c r="A154">
        <f t="shared" si="64"/>
        <v>1</v>
      </c>
      <c r="B154" s="5" t="s">
        <v>1118</v>
      </c>
      <c r="C154" s="5">
        <f>IF(VLOOKUP($B154,Table2[[prolific]:[feedbackTime]],6,FALSE)=VLOOKUP(C$1,Table1[],2,FALSE),1,0)</f>
        <v>1</v>
      </c>
      <c r="D154" s="5">
        <f>IF(VLOOKUP($B154,Table2[[prolific]:[feedbackTime]],7,FALSE)=VLOOKUP(D$1,Table1[],2,FALSE),1,0)</f>
        <v>1</v>
      </c>
      <c r="E154" s="5">
        <f>IF(VLOOKUP($B154,Table2[[prolific]:[feedbackTime]],8,FALSE)=VLOOKUP(E$1,Table1[],2,FALSE),1,0)</f>
        <v>1</v>
      </c>
      <c r="F154" s="5">
        <f t="shared" si="65"/>
        <v>3</v>
      </c>
      <c r="G154" s="7">
        <f t="shared" si="66"/>
        <v>1</v>
      </c>
      <c r="H154" s="5">
        <f>IF(VLOOKUP($B154,Table2[[prolific]:[feedbackTime]],9,FALSE)=VLOOKUP(H$1,Table1[],2,FALSE),1,0)</f>
        <v>1</v>
      </c>
      <c r="I154" s="5">
        <f>IF(VLOOKUP($B154,Table2[[prolific]:[feedbackTime]],10,FALSE)=VLOOKUP(I$1,Table1[],2,FALSE),1,0)</f>
        <v>0</v>
      </c>
      <c r="J154" s="5">
        <f>IF(VLOOKUP($B154,Table2[[prolific]:[feedbackTime]],11,FALSE)=VLOOKUP(J$1,Table1[],2,FALSE),1,0)</f>
        <v>0</v>
      </c>
      <c r="K154" s="5">
        <f>IF(VLOOKUP($B154,Table2[[prolific]:[feedbackTime]],12,FALSE)=VLOOKUP(K$1,Table1[],2,FALSE),1,0)</f>
        <v>1</v>
      </c>
      <c r="L154" s="5">
        <f>IF(VLOOKUP($B154,Table2[[prolific]:[feedbackTime]],13,FALSE)=VLOOKUP(L$1,Table1[],2,FALSE),1,0)</f>
        <v>0</v>
      </c>
      <c r="M154" s="5">
        <f>IF(VLOOKUP($B154,Table2[[prolific]:[feedbackTime]],14,FALSE)=VLOOKUP(M$1,Table1[],2,FALSE),1,0)</f>
        <v>0</v>
      </c>
      <c r="N154" s="5">
        <f t="shared" si="67"/>
        <v>2</v>
      </c>
      <c r="O154" s="7">
        <f t="shared" si="68"/>
        <v>0.33333333333333331</v>
      </c>
      <c r="P154" s="5">
        <f>IF(VLOOKUP($B154,Table2[[prolific]:[feedbackTime]],15,FALSE)=VLOOKUP(P$1,Table1[],2,FALSE),1,0)</f>
        <v>1</v>
      </c>
      <c r="Q154" s="5">
        <f>IF(VLOOKUP($B154,Table2[[prolific]:[feedbackTime]],16,FALSE)=VLOOKUP(Q$1,Table1[],2,FALSE),1,0)</f>
        <v>1</v>
      </c>
      <c r="R154" s="5">
        <f>IF(VLOOKUP($B154,Table2[[prolific]:[feedbackTime]],17,FALSE)=VLOOKUP(R$1,Table1[],2,FALSE),1,0)</f>
        <v>1</v>
      </c>
      <c r="S154" s="5">
        <f>IF(VLOOKUP($B154,Table2[[prolific]:[feedbackTime]],18,FALSE)=VLOOKUP(S$1,Table1[],2,FALSE),1,0)</f>
        <v>1</v>
      </c>
      <c r="T154" s="5">
        <f>IF(VLOOKUP($B154,Table2[[prolific]:[feedbackTime]],19,FALSE)=VLOOKUP(T$1,Table1[],2,FALSE),1,0)</f>
        <v>1</v>
      </c>
      <c r="U154" s="5">
        <f>IF(VLOOKUP($B154,Table2[[prolific]:[feedbackTime]],20,FALSE)=VLOOKUP(U$1,Table1[],2,FALSE),1,0)</f>
        <v>1</v>
      </c>
      <c r="V154" s="5">
        <f>IF(VLOOKUP($B154,Table2[[prolific]:[feedbackTime]],21,FALSE)=VLOOKUP(V$1,Table1[],2,FALSE),1,0)</f>
        <v>0</v>
      </c>
      <c r="W154" s="5">
        <f>IF(VLOOKUP($B154,Table2[[prolific]:[feedbackTime]],22,FALSE)=VLOOKUP(W$1,Table1[],2,FALSE),1,0)</f>
        <v>1</v>
      </c>
      <c r="X154" s="5">
        <f t="shared" si="69"/>
        <v>7</v>
      </c>
      <c r="Y154" s="7">
        <f t="shared" si="70"/>
        <v>0.875</v>
      </c>
      <c r="Z154" s="5">
        <f>IF(VLOOKUP($B154,Table2[[prolific]:[feedbackTime]],23,FALSE)=VLOOKUP(Z$1,Table1[],2,FALSE),1,0)</f>
        <v>1</v>
      </c>
      <c r="AA154" s="5">
        <f>IF(VLOOKUP($B154,Table2[[prolific]:[feedbackTime]],24,FALSE)=VLOOKUP(AA$1,Table1[],2,FALSE),1,0)</f>
        <v>0</v>
      </c>
      <c r="AB154" s="5">
        <f>IF(VLOOKUP($B154,Table2[[prolific]:[feedbackTime]],25,FALSE)=VLOOKUP(AB$1,Table1[],2,FALSE),1,0)</f>
        <v>1</v>
      </c>
      <c r="AC154" s="5">
        <f>IF(VLOOKUP($B154,Table2[[prolific]:[feedbackTime]],26,FALSE)=VLOOKUP(AC$1,Table1[],2,FALSE),1,0)</f>
        <v>1</v>
      </c>
      <c r="AD154" s="5">
        <f>IF(VLOOKUP($B154,Table2[[prolific]:[feedbackTime]],27,FALSE)=VLOOKUP(AD$1,Table1[],2,FALSE),1,0)</f>
        <v>0</v>
      </c>
      <c r="AE154" s="5">
        <f>IF(VLOOKUP($B154,Table2[[prolific]:[feedbackTime]],28,FALSE)=VLOOKUP(AE$1,Table1[],2,FALSE),1,0)</f>
        <v>0</v>
      </c>
      <c r="AF154" s="5">
        <f>IF(VLOOKUP($B154,Table2[[prolific]:[feedbackTime]],29,FALSE)=VLOOKUP(AF$1,Table1[],2,FALSE),1,0)</f>
        <v>1</v>
      </c>
      <c r="AG154" s="5">
        <f>IF(VLOOKUP($B154,Table2[[prolific]:[feedbackTime]],30,FALSE)=VLOOKUP(AG$1,Table1[],2,FALSE),1,0)</f>
        <v>1</v>
      </c>
      <c r="AH154" s="5">
        <f t="shared" si="71"/>
        <v>5</v>
      </c>
      <c r="AI154" s="7">
        <f t="shared" si="72"/>
        <v>0.625</v>
      </c>
      <c r="AJ154" s="7">
        <f t="shared" si="73"/>
        <v>0.63636363636363635</v>
      </c>
      <c r="AK154" s="5">
        <f t="shared" si="74"/>
        <v>14</v>
      </c>
    </row>
    <row r="155" spans="1:37" x14ac:dyDescent="0.25">
      <c r="A155">
        <f t="shared" si="64"/>
        <v>1</v>
      </c>
      <c r="B155" s="5" t="s">
        <v>1120</v>
      </c>
      <c r="C155" s="5">
        <f>IF(VLOOKUP($B155,Table2[[prolific]:[feedbackTime]],6,FALSE)=VLOOKUP(C$1,Table1[],2,FALSE),1,0)</f>
        <v>1</v>
      </c>
      <c r="D155" s="5">
        <f>IF(VLOOKUP($B155,Table2[[prolific]:[feedbackTime]],7,FALSE)=VLOOKUP(D$1,Table1[],2,FALSE),1,0)</f>
        <v>1</v>
      </c>
      <c r="E155" s="5">
        <f>IF(VLOOKUP($B155,Table2[[prolific]:[feedbackTime]],8,FALSE)=VLOOKUP(E$1,Table1[],2,FALSE),1,0)</f>
        <v>1</v>
      </c>
      <c r="F155" s="5">
        <f t="shared" si="65"/>
        <v>3</v>
      </c>
      <c r="G155" s="7">
        <f t="shared" si="66"/>
        <v>1</v>
      </c>
      <c r="H155" s="5">
        <f>IF(VLOOKUP($B155,Table2[[prolific]:[feedbackTime]],9,FALSE)=VLOOKUP(H$1,Table1[],2,FALSE),1,0)</f>
        <v>1</v>
      </c>
      <c r="I155" s="5">
        <f>IF(VLOOKUP($B155,Table2[[prolific]:[feedbackTime]],10,FALSE)=VLOOKUP(I$1,Table1[],2,FALSE),1,0)</f>
        <v>0</v>
      </c>
      <c r="J155" s="5">
        <f>IF(VLOOKUP($B155,Table2[[prolific]:[feedbackTime]],11,FALSE)=VLOOKUP(J$1,Table1[],2,FALSE),1,0)</f>
        <v>0</v>
      </c>
      <c r="K155" s="5">
        <f>IF(VLOOKUP($B155,Table2[[prolific]:[feedbackTime]],12,FALSE)=VLOOKUP(K$1,Table1[],2,FALSE),1,0)</f>
        <v>1</v>
      </c>
      <c r="L155" s="5">
        <f>IF(VLOOKUP($B155,Table2[[prolific]:[feedbackTime]],13,FALSE)=VLOOKUP(L$1,Table1[],2,FALSE),1,0)</f>
        <v>0</v>
      </c>
      <c r="M155" s="5">
        <f>IF(VLOOKUP($B155,Table2[[prolific]:[feedbackTime]],14,FALSE)=VLOOKUP(M$1,Table1[],2,FALSE),1,0)</f>
        <v>1</v>
      </c>
      <c r="N155" s="5">
        <f t="shared" si="67"/>
        <v>3</v>
      </c>
      <c r="O155" s="7">
        <f t="shared" si="68"/>
        <v>0.5</v>
      </c>
      <c r="P155" s="5">
        <f>IF(VLOOKUP($B155,Table2[[prolific]:[feedbackTime]],15,FALSE)=VLOOKUP(P$1,Table1[],2,FALSE),1,0)</f>
        <v>1</v>
      </c>
      <c r="Q155" s="5">
        <f>IF(VLOOKUP($B155,Table2[[prolific]:[feedbackTime]],16,FALSE)=VLOOKUP(Q$1,Table1[],2,FALSE),1,0)</f>
        <v>1</v>
      </c>
      <c r="R155" s="5">
        <f>IF(VLOOKUP($B155,Table2[[prolific]:[feedbackTime]],17,FALSE)=VLOOKUP(R$1,Table1[],2,FALSE),1,0)</f>
        <v>1</v>
      </c>
      <c r="S155" s="5">
        <f>IF(VLOOKUP($B155,Table2[[prolific]:[feedbackTime]],18,FALSE)=VLOOKUP(S$1,Table1[],2,FALSE),1,0)</f>
        <v>1</v>
      </c>
      <c r="T155" s="5">
        <f>IF(VLOOKUP($B155,Table2[[prolific]:[feedbackTime]],19,FALSE)=VLOOKUP(T$1,Table1[],2,FALSE),1,0)</f>
        <v>1</v>
      </c>
      <c r="U155" s="5">
        <f>IF(VLOOKUP($B155,Table2[[prolific]:[feedbackTime]],20,FALSE)=VLOOKUP(U$1,Table1[],2,FALSE),1,0)</f>
        <v>1</v>
      </c>
      <c r="V155" s="5">
        <f>IF(VLOOKUP($B155,Table2[[prolific]:[feedbackTime]],21,FALSE)=VLOOKUP(V$1,Table1[],2,FALSE),1,0)</f>
        <v>0</v>
      </c>
      <c r="W155" s="5">
        <f>IF(VLOOKUP($B155,Table2[[prolific]:[feedbackTime]],22,FALSE)=VLOOKUP(W$1,Table1[],2,FALSE),1,0)</f>
        <v>1</v>
      </c>
      <c r="X155" s="5">
        <f t="shared" si="69"/>
        <v>7</v>
      </c>
      <c r="Y155" s="7">
        <f t="shared" si="70"/>
        <v>0.875</v>
      </c>
      <c r="Z155" s="5">
        <f>IF(VLOOKUP($B155,Table2[[prolific]:[feedbackTime]],23,FALSE)=VLOOKUP(Z$1,Table1[],2,FALSE),1,0)</f>
        <v>1</v>
      </c>
      <c r="AA155" s="5">
        <f>IF(VLOOKUP($B155,Table2[[prolific]:[feedbackTime]],24,FALSE)=VLOOKUP(AA$1,Table1[],2,FALSE),1,0)</f>
        <v>0</v>
      </c>
      <c r="AB155" s="5">
        <f>IF(VLOOKUP($B155,Table2[[prolific]:[feedbackTime]],25,FALSE)=VLOOKUP(AB$1,Table1[],2,FALSE),1,0)</f>
        <v>0</v>
      </c>
      <c r="AC155" s="5">
        <f>IF(VLOOKUP($B155,Table2[[prolific]:[feedbackTime]],26,FALSE)=VLOOKUP(AC$1,Table1[],2,FALSE),1,0)</f>
        <v>0</v>
      </c>
      <c r="AD155" s="5">
        <f>IF(VLOOKUP($B155,Table2[[prolific]:[feedbackTime]],27,FALSE)=VLOOKUP(AD$1,Table1[],2,FALSE),1,0)</f>
        <v>1</v>
      </c>
      <c r="AE155" s="5">
        <f>IF(VLOOKUP($B155,Table2[[prolific]:[feedbackTime]],28,FALSE)=VLOOKUP(AE$1,Table1[],2,FALSE),1,0)</f>
        <v>0</v>
      </c>
      <c r="AF155" s="5">
        <f>IF(VLOOKUP($B155,Table2[[prolific]:[feedbackTime]],29,FALSE)=VLOOKUP(AF$1,Table1[],2,FALSE),1,0)</f>
        <v>1</v>
      </c>
      <c r="AG155" s="5">
        <f>IF(VLOOKUP($B155,Table2[[prolific]:[feedbackTime]],30,FALSE)=VLOOKUP(AG$1,Table1[],2,FALSE),1,0)</f>
        <v>1</v>
      </c>
      <c r="AH155" s="5">
        <f t="shared" si="71"/>
        <v>4</v>
      </c>
      <c r="AI155" s="7">
        <f t="shared" si="72"/>
        <v>0.5</v>
      </c>
      <c r="AJ155" s="7">
        <f t="shared" si="73"/>
        <v>0.63636363636363635</v>
      </c>
      <c r="AK155" s="5">
        <f t="shared" si="74"/>
        <v>14</v>
      </c>
    </row>
    <row r="156" spans="1:37" x14ac:dyDescent="0.25">
      <c r="A156">
        <f t="shared" si="64"/>
        <v>1</v>
      </c>
      <c r="B156" s="5" t="s">
        <v>1121</v>
      </c>
      <c r="C156" s="5">
        <f>IF(VLOOKUP($B156,Table2[[prolific]:[feedbackTime]],6,FALSE)=VLOOKUP(C$1,Table1[],2,FALSE),1,0)</f>
        <v>1</v>
      </c>
      <c r="D156" s="5">
        <f>IF(VLOOKUP($B156,Table2[[prolific]:[feedbackTime]],7,FALSE)=VLOOKUP(D$1,Table1[],2,FALSE),1,0)</f>
        <v>1</v>
      </c>
      <c r="E156" s="5">
        <f>IF(VLOOKUP($B156,Table2[[prolific]:[feedbackTime]],8,FALSE)=VLOOKUP(E$1,Table1[],2,FALSE),1,0)</f>
        <v>1</v>
      </c>
      <c r="F156" s="5">
        <f t="shared" si="65"/>
        <v>3</v>
      </c>
      <c r="G156" s="7">
        <f t="shared" si="66"/>
        <v>1</v>
      </c>
      <c r="H156" s="5">
        <f>IF(VLOOKUP($B156,Table2[[prolific]:[feedbackTime]],9,FALSE)=VLOOKUP(H$1,Table1[],2,FALSE),1,0)</f>
        <v>1</v>
      </c>
      <c r="I156" s="5">
        <f>IF(VLOOKUP($B156,Table2[[prolific]:[feedbackTime]],10,FALSE)=VLOOKUP(I$1,Table1[],2,FALSE),1,0)</f>
        <v>1</v>
      </c>
      <c r="J156" s="5">
        <f>IF(VLOOKUP($B156,Table2[[prolific]:[feedbackTime]],11,FALSE)=VLOOKUP(J$1,Table1[],2,FALSE),1,0)</f>
        <v>1</v>
      </c>
      <c r="K156" s="5">
        <f>IF(VLOOKUP($B156,Table2[[prolific]:[feedbackTime]],12,FALSE)=VLOOKUP(K$1,Table1[],2,FALSE),1,0)</f>
        <v>1</v>
      </c>
      <c r="L156" s="5">
        <f>IF(VLOOKUP($B156,Table2[[prolific]:[feedbackTime]],13,FALSE)=VLOOKUP(L$1,Table1[],2,FALSE),1,0)</f>
        <v>0</v>
      </c>
      <c r="M156" s="5">
        <f>IF(VLOOKUP($B156,Table2[[prolific]:[feedbackTime]],14,FALSE)=VLOOKUP(M$1,Table1[],2,FALSE),1,0)</f>
        <v>1</v>
      </c>
      <c r="N156" s="5">
        <f t="shared" si="67"/>
        <v>5</v>
      </c>
      <c r="O156" s="7">
        <f t="shared" si="68"/>
        <v>0.83333333333333337</v>
      </c>
      <c r="P156" s="5">
        <f>IF(VLOOKUP($B156,Table2[[prolific]:[feedbackTime]],15,FALSE)=VLOOKUP(P$1,Table1[],2,FALSE),1,0)</f>
        <v>1</v>
      </c>
      <c r="Q156" s="5">
        <f>IF(VLOOKUP($B156,Table2[[prolific]:[feedbackTime]],16,FALSE)=VLOOKUP(Q$1,Table1[],2,FALSE),1,0)</f>
        <v>1</v>
      </c>
      <c r="R156" s="5">
        <f>IF(VLOOKUP($B156,Table2[[prolific]:[feedbackTime]],17,FALSE)=VLOOKUP(R$1,Table1[],2,FALSE),1,0)</f>
        <v>1</v>
      </c>
      <c r="S156" s="5">
        <f>IF(VLOOKUP($B156,Table2[[prolific]:[feedbackTime]],18,FALSE)=VLOOKUP(S$1,Table1[],2,FALSE),1,0)</f>
        <v>1</v>
      </c>
      <c r="T156" s="5">
        <f>IF(VLOOKUP($B156,Table2[[prolific]:[feedbackTime]],19,FALSE)=VLOOKUP(T$1,Table1[],2,FALSE),1,0)</f>
        <v>1</v>
      </c>
      <c r="U156" s="5">
        <f>IF(VLOOKUP($B156,Table2[[prolific]:[feedbackTime]],20,FALSE)=VLOOKUP(U$1,Table1[],2,FALSE),1,0)</f>
        <v>1</v>
      </c>
      <c r="V156" s="5">
        <f>IF(VLOOKUP($B156,Table2[[prolific]:[feedbackTime]],21,FALSE)=VLOOKUP(V$1,Table1[],2,FALSE),1,0)</f>
        <v>0</v>
      </c>
      <c r="W156" s="5">
        <f>IF(VLOOKUP($B156,Table2[[prolific]:[feedbackTime]],22,FALSE)=VLOOKUP(W$1,Table1[],2,FALSE),1,0)</f>
        <v>0</v>
      </c>
      <c r="X156" s="5">
        <f t="shared" si="69"/>
        <v>6</v>
      </c>
      <c r="Y156" s="7">
        <f t="shared" si="70"/>
        <v>0.75</v>
      </c>
      <c r="Z156" s="5">
        <f>IF(VLOOKUP($B156,Table2[[prolific]:[feedbackTime]],23,FALSE)=VLOOKUP(Z$1,Table1[],2,FALSE),1,0)</f>
        <v>1</v>
      </c>
      <c r="AA156" s="5">
        <f>IF(VLOOKUP($B156,Table2[[prolific]:[feedbackTime]],24,FALSE)=VLOOKUP(AA$1,Table1[],2,FALSE),1,0)</f>
        <v>0</v>
      </c>
      <c r="AB156" s="5">
        <f>IF(VLOOKUP($B156,Table2[[prolific]:[feedbackTime]],25,FALSE)=VLOOKUP(AB$1,Table1[],2,FALSE),1,0)</f>
        <v>0</v>
      </c>
      <c r="AC156" s="5">
        <f>IF(VLOOKUP($B156,Table2[[prolific]:[feedbackTime]],26,FALSE)=VLOOKUP(AC$1,Table1[],2,FALSE),1,0)</f>
        <v>1</v>
      </c>
      <c r="AD156" s="5">
        <f>IF(VLOOKUP($B156,Table2[[prolific]:[feedbackTime]],27,FALSE)=VLOOKUP(AD$1,Table1[],2,FALSE),1,0)</f>
        <v>0</v>
      </c>
      <c r="AE156" s="5">
        <f>IF(VLOOKUP($B156,Table2[[prolific]:[feedbackTime]],28,FALSE)=VLOOKUP(AE$1,Table1[],2,FALSE),1,0)</f>
        <v>1</v>
      </c>
      <c r="AF156" s="5">
        <f>IF(VLOOKUP($B156,Table2[[prolific]:[feedbackTime]],29,FALSE)=VLOOKUP(AF$1,Table1[],2,FALSE),1,0)</f>
        <v>1</v>
      </c>
      <c r="AG156" s="5">
        <f>IF(VLOOKUP($B156,Table2[[prolific]:[feedbackTime]],30,FALSE)=VLOOKUP(AG$1,Table1[],2,FALSE),1,0)</f>
        <v>1</v>
      </c>
      <c r="AH156" s="5">
        <f t="shared" si="71"/>
        <v>5</v>
      </c>
      <c r="AI156" s="7">
        <f t="shared" si="72"/>
        <v>0.625</v>
      </c>
      <c r="AJ156" s="7">
        <f t="shared" si="73"/>
        <v>0.72727272727272729</v>
      </c>
      <c r="AK156" s="5">
        <f t="shared" si="74"/>
        <v>16</v>
      </c>
    </row>
    <row r="157" spans="1:37" x14ac:dyDescent="0.25">
      <c r="A157">
        <f t="shared" si="64"/>
        <v>1</v>
      </c>
      <c r="B157" s="5" t="s">
        <v>1122</v>
      </c>
      <c r="C157" s="5">
        <f>IF(VLOOKUP($B157,Table2[[prolific]:[feedbackTime]],6,FALSE)=VLOOKUP(C$1,Table1[],2,FALSE),1,0)</f>
        <v>1</v>
      </c>
      <c r="D157" s="5">
        <f>IF(VLOOKUP($B157,Table2[[prolific]:[feedbackTime]],7,FALSE)=VLOOKUP(D$1,Table1[],2,FALSE),1,0)</f>
        <v>1</v>
      </c>
      <c r="E157" s="5">
        <f>IF(VLOOKUP($B157,Table2[[prolific]:[feedbackTime]],8,FALSE)=VLOOKUP(E$1,Table1[],2,FALSE),1,0)</f>
        <v>1</v>
      </c>
      <c r="F157" s="5">
        <f t="shared" si="65"/>
        <v>3</v>
      </c>
      <c r="G157" s="7">
        <f t="shared" si="66"/>
        <v>1</v>
      </c>
      <c r="H157" s="5">
        <f>IF(VLOOKUP($B157,Table2[[prolific]:[feedbackTime]],9,FALSE)=VLOOKUP(H$1,Table1[],2,FALSE),1,0)</f>
        <v>0</v>
      </c>
      <c r="I157" s="5">
        <f>IF(VLOOKUP($B157,Table2[[prolific]:[feedbackTime]],10,FALSE)=VLOOKUP(I$1,Table1[],2,FALSE),1,0)</f>
        <v>0</v>
      </c>
      <c r="J157" s="5">
        <f>IF(VLOOKUP($B157,Table2[[prolific]:[feedbackTime]],11,FALSE)=VLOOKUP(J$1,Table1[],2,FALSE),1,0)</f>
        <v>0</v>
      </c>
      <c r="K157" s="5">
        <f>IF(VLOOKUP($B157,Table2[[prolific]:[feedbackTime]],12,FALSE)=VLOOKUP(K$1,Table1[],2,FALSE),1,0)</f>
        <v>1</v>
      </c>
      <c r="L157" s="5">
        <f>IF(VLOOKUP($B157,Table2[[prolific]:[feedbackTime]],13,FALSE)=VLOOKUP(L$1,Table1[],2,FALSE),1,0)</f>
        <v>0</v>
      </c>
      <c r="M157" s="5">
        <f>IF(VLOOKUP($B157,Table2[[prolific]:[feedbackTime]],14,FALSE)=VLOOKUP(M$1,Table1[],2,FALSE),1,0)</f>
        <v>0</v>
      </c>
      <c r="N157" s="5">
        <f t="shared" si="67"/>
        <v>1</v>
      </c>
      <c r="O157" s="7">
        <f t="shared" si="68"/>
        <v>0.16666666666666666</v>
      </c>
      <c r="P157" s="5">
        <f>IF(VLOOKUP($B157,Table2[[prolific]:[feedbackTime]],15,FALSE)=VLOOKUP(P$1,Table1[],2,FALSE),1,0)</f>
        <v>1</v>
      </c>
      <c r="Q157" s="5">
        <f>IF(VLOOKUP($B157,Table2[[prolific]:[feedbackTime]],16,FALSE)=VLOOKUP(Q$1,Table1[],2,FALSE),1,0)</f>
        <v>1</v>
      </c>
      <c r="R157" s="5">
        <f>IF(VLOOKUP($B157,Table2[[prolific]:[feedbackTime]],17,FALSE)=VLOOKUP(R$1,Table1[],2,FALSE),1,0)</f>
        <v>1</v>
      </c>
      <c r="S157" s="5">
        <f>IF(VLOOKUP($B157,Table2[[prolific]:[feedbackTime]],18,FALSE)=VLOOKUP(S$1,Table1[],2,FALSE),1,0)</f>
        <v>1</v>
      </c>
      <c r="T157" s="5">
        <f>IF(VLOOKUP($B157,Table2[[prolific]:[feedbackTime]],19,FALSE)=VLOOKUP(T$1,Table1[],2,FALSE),1,0)</f>
        <v>1</v>
      </c>
      <c r="U157" s="5">
        <f>IF(VLOOKUP($B157,Table2[[prolific]:[feedbackTime]],20,FALSE)=VLOOKUP(U$1,Table1[],2,FALSE),1,0)</f>
        <v>1</v>
      </c>
      <c r="V157" s="5">
        <f>IF(VLOOKUP($B157,Table2[[prolific]:[feedbackTime]],21,FALSE)=VLOOKUP(V$1,Table1[],2,FALSE),1,0)</f>
        <v>1</v>
      </c>
      <c r="W157" s="5">
        <f>IF(VLOOKUP($B157,Table2[[prolific]:[feedbackTime]],22,FALSE)=VLOOKUP(W$1,Table1[],2,FALSE),1,0)</f>
        <v>1</v>
      </c>
      <c r="X157" s="5">
        <f t="shared" si="69"/>
        <v>8</v>
      </c>
      <c r="Y157" s="7">
        <f t="shared" si="70"/>
        <v>1</v>
      </c>
      <c r="Z157" s="5">
        <f>IF(VLOOKUP($B157,Table2[[prolific]:[feedbackTime]],23,FALSE)=VLOOKUP(Z$1,Table1[],2,FALSE),1,0)</f>
        <v>1</v>
      </c>
      <c r="AA157" s="5">
        <f>IF(VLOOKUP($B157,Table2[[prolific]:[feedbackTime]],24,FALSE)=VLOOKUP(AA$1,Table1[],2,FALSE),1,0)</f>
        <v>0</v>
      </c>
      <c r="AB157" s="5">
        <f>IF(VLOOKUP($B157,Table2[[prolific]:[feedbackTime]],25,FALSE)=VLOOKUP(AB$1,Table1[],2,FALSE),1,0)</f>
        <v>1</v>
      </c>
      <c r="AC157" s="5">
        <f>IF(VLOOKUP($B157,Table2[[prolific]:[feedbackTime]],26,FALSE)=VLOOKUP(AC$1,Table1[],2,FALSE),1,0)</f>
        <v>1</v>
      </c>
      <c r="AD157" s="5">
        <f>IF(VLOOKUP($B157,Table2[[prolific]:[feedbackTime]],27,FALSE)=VLOOKUP(AD$1,Table1[],2,FALSE),1,0)</f>
        <v>1</v>
      </c>
      <c r="AE157" s="5">
        <f>IF(VLOOKUP($B157,Table2[[prolific]:[feedbackTime]],28,FALSE)=VLOOKUP(AE$1,Table1[],2,FALSE),1,0)</f>
        <v>0</v>
      </c>
      <c r="AF157" s="5">
        <f>IF(VLOOKUP($B157,Table2[[prolific]:[feedbackTime]],29,FALSE)=VLOOKUP(AF$1,Table1[],2,FALSE),1,0)</f>
        <v>1</v>
      </c>
      <c r="AG157" s="5">
        <f>IF(VLOOKUP($B157,Table2[[prolific]:[feedbackTime]],30,FALSE)=VLOOKUP(AG$1,Table1[],2,FALSE),1,0)</f>
        <v>1</v>
      </c>
      <c r="AH157" s="5">
        <f t="shared" si="71"/>
        <v>6</v>
      </c>
      <c r="AI157" s="7">
        <f t="shared" si="72"/>
        <v>0.75</v>
      </c>
      <c r="AJ157" s="7">
        <f t="shared" si="73"/>
        <v>0.68181818181818177</v>
      </c>
      <c r="AK157" s="5">
        <f t="shared" si="74"/>
        <v>15</v>
      </c>
    </row>
    <row r="158" spans="1:37" x14ac:dyDescent="0.25">
      <c r="A158">
        <f t="shared" si="64"/>
        <v>1</v>
      </c>
      <c r="B158" s="5" t="s">
        <v>1123</v>
      </c>
      <c r="C158" s="5">
        <f>IF(VLOOKUP($B158,Table2[[prolific]:[feedbackTime]],6,FALSE)=VLOOKUP(C$1,Table1[],2,FALSE),1,0)</f>
        <v>1</v>
      </c>
      <c r="D158" s="5">
        <f>IF(VLOOKUP($B158,Table2[[prolific]:[feedbackTime]],7,FALSE)=VLOOKUP(D$1,Table1[],2,FALSE),1,0)</f>
        <v>1</v>
      </c>
      <c r="E158" s="5">
        <f>IF(VLOOKUP($B158,Table2[[prolific]:[feedbackTime]],8,FALSE)=VLOOKUP(E$1,Table1[],2,FALSE),1,0)</f>
        <v>1</v>
      </c>
      <c r="F158" s="5">
        <f t="shared" si="65"/>
        <v>3</v>
      </c>
      <c r="G158" s="7">
        <f t="shared" si="66"/>
        <v>1</v>
      </c>
      <c r="H158" s="5">
        <f>IF(VLOOKUP($B158,Table2[[prolific]:[feedbackTime]],9,FALSE)=VLOOKUP(H$1,Table1[],2,FALSE),1,0)</f>
        <v>1</v>
      </c>
      <c r="I158" s="5">
        <f>IF(VLOOKUP($B158,Table2[[prolific]:[feedbackTime]],10,FALSE)=VLOOKUP(I$1,Table1[],2,FALSE),1,0)</f>
        <v>1</v>
      </c>
      <c r="J158" s="5">
        <f>IF(VLOOKUP($B158,Table2[[prolific]:[feedbackTime]],11,FALSE)=VLOOKUP(J$1,Table1[],2,FALSE),1,0)</f>
        <v>1</v>
      </c>
      <c r="K158" s="5">
        <f>IF(VLOOKUP($B158,Table2[[prolific]:[feedbackTime]],12,FALSE)=VLOOKUP(K$1,Table1[],2,FALSE),1,0)</f>
        <v>1</v>
      </c>
      <c r="L158" s="5">
        <f>IF(VLOOKUP($B158,Table2[[prolific]:[feedbackTime]],13,FALSE)=VLOOKUP(L$1,Table1[],2,FALSE),1,0)</f>
        <v>0</v>
      </c>
      <c r="M158" s="5">
        <f>IF(VLOOKUP($B158,Table2[[prolific]:[feedbackTime]],14,FALSE)=VLOOKUP(M$1,Table1[],2,FALSE),1,0)</f>
        <v>1</v>
      </c>
      <c r="N158" s="5">
        <f t="shared" si="67"/>
        <v>5</v>
      </c>
      <c r="O158" s="7">
        <f t="shared" si="68"/>
        <v>0.83333333333333337</v>
      </c>
      <c r="P158" s="5">
        <f>IF(VLOOKUP($B158,Table2[[prolific]:[feedbackTime]],15,FALSE)=VLOOKUP(P$1,Table1[],2,FALSE),1,0)</f>
        <v>1</v>
      </c>
      <c r="Q158" s="5">
        <f>IF(VLOOKUP($B158,Table2[[prolific]:[feedbackTime]],16,FALSE)=VLOOKUP(Q$1,Table1[],2,FALSE),1,0)</f>
        <v>1</v>
      </c>
      <c r="R158" s="5">
        <f>IF(VLOOKUP($B158,Table2[[prolific]:[feedbackTime]],17,FALSE)=VLOOKUP(R$1,Table1[],2,FALSE),1,0)</f>
        <v>1</v>
      </c>
      <c r="S158" s="5">
        <f>IF(VLOOKUP($B158,Table2[[prolific]:[feedbackTime]],18,FALSE)=VLOOKUP(S$1,Table1[],2,FALSE),1,0)</f>
        <v>0</v>
      </c>
      <c r="T158" s="5">
        <f>IF(VLOOKUP($B158,Table2[[prolific]:[feedbackTime]],19,FALSE)=VLOOKUP(T$1,Table1[],2,FALSE),1,0)</f>
        <v>1</v>
      </c>
      <c r="U158" s="5">
        <f>IF(VLOOKUP($B158,Table2[[prolific]:[feedbackTime]],20,FALSE)=VLOOKUP(U$1,Table1[],2,FALSE),1,0)</f>
        <v>1</v>
      </c>
      <c r="V158" s="5">
        <f>IF(VLOOKUP($B158,Table2[[prolific]:[feedbackTime]],21,FALSE)=VLOOKUP(V$1,Table1[],2,FALSE),1,0)</f>
        <v>0</v>
      </c>
      <c r="W158" s="5">
        <f>IF(VLOOKUP($B158,Table2[[prolific]:[feedbackTime]],22,FALSE)=VLOOKUP(W$1,Table1[],2,FALSE),1,0)</f>
        <v>1</v>
      </c>
      <c r="X158" s="5">
        <f t="shared" si="69"/>
        <v>6</v>
      </c>
      <c r="Y158" s="7">
        <f t="shared" si="70"/>
        <v>0.75</v>
      </c>
      <c r="Z158" s="5">
        <f>IF(VLOOKUP($B158,Table2[[prolific]:[feedbackTime]],23,FALSE)=VLOOKUP(Z$1,Table1[],2,FALSE),1,0)</f>
        <v>1</v>
      </c>
      <c r="AA158" s="5">
        <f>IF(VLOOKUP($B158,Table2[[prolific]:[feedbackTime]],24,FALSE)=VLOOKUP(AA$1,Table1[],2,FALSE),1,0)</f>
        <v>0</v>
      </c>
      <c r="AB158" s="5">
        <f>IF(VLOOKUP($B158,Table2[[prolific]:[feedbackTime]],25,FALSE)=VLOOKUP(AB$1,Table1[],2,FALSE),1,0)</f>
        <v>0</v>
      </c>
      <c r="AC158" s="5">
        <f>IF(VLOOKUP($B158,Table2[[prolific]:[feedbackTime]],26,FALSE)=VLOOKUP(AC$1,Table1[],2,FALSE),1,0)</f>
        <v>1</v>
      </c>
      <c r="AD158" s="5">
        <f>IF(VLOOKUP($B158,Table2[[prolific]:[feedbackTime]],27,FALSE)=VLOOKUP(AD$1,Table1[],2,FALSE),1,0)</f>
        <v>0</v>
      </c>
      <c r="AE158" s="5">
        <f>IF(VLOOKUP($B158,Table2[[prolific]:[feedbackTime]],28,FALSE)=VLOOKUP(AE$1,Table1[],2,FALSE),1,0)</f>
        <v>1</v>
      </c>
      <c r="AF158" s="5">
        <f>IF(VLOOKUP($B158,Table2[[prolific]:[feedbackTime]],29,FALSE)=VLOOKUP(AF$1,Table1[],2,FALSE),1,0)</f>
        <v>1</v>
      </c>
      <c r="AG158" s="5">
        <f>IF(VLOOKUP($B158,Table2[[prolific]:[feedbackTime]],30,FALSE)=VLOOKUP(AG$1,Table1[],2,FALSE),1,0)</f>
        <v>1</v>
      </c>
      <c r="AH158" s="5">
        <f t="shared" si="71"/>
        <v>5</v>
      </c>
      <c r="AI158" s="7">
        <f t="shared" si="72"/>
        <v>0.625</v>
      </c>
      <c r="AJ158" s="7">
        <f t="shared" si="73"/>
        <v>0.72727272727272729</v>
      </c>
      <c r="AK158" s="5">
        <f t="shared" si="74"/>
        <v>16</v>
      </c>
    </row>
    <row r="159" spans="1:37" x14ac:dyDescent="0.25">
      <c r="A159">
        <f t="shared" si="64"/>
        <v>1</v>
      </c>
      <c r="B159" s="5" t="s">
        <v>1238</v>
      </c>
      <c r="C159" s="5" t="e">
        <f>IF(VLOOKUP($B159,Table2[[prolific]:[feedbackTime]],6,FALSE)=VLOOKUP(C$1,Table1[],2,FALSE),1,0)</f>
        <v>#N/A</v>
      </c>
      <c r="D159" s="5" t="e">
        <f>IF(VLOOKUP($B159,Table2[[prolific]:[feedbackTime]],7,FALSE)=VLOOKUP(D$1,Table1[],2,FALSE),1,0)</f>
        <v>#N/A</v>
      </c>
      <c r="E159" s="5" t="e">
        <f>IF(VLOOKUP($B159,Table2[[prolific]:[feedbackTime]],8,FALSE)=VLOOKUP(E$1,Table1[],2,FALSE),1,0)</f>
        <v>#N/A</v>
      </c>
      <c r="F159" s="5" t="e">
        <f t="shared" si="65"/>
        <v>#N/A</v>
      </c>
      <c r="G159" s="7" t="e">
        <f t="shared" si="66"/>
        <v>#N/A</v>
      </c>
      <c r="H159" s="5" t="e">
        <f>IF(VLOOKUP($B159,Table2[[prolific]:[feedbackTime]],9,FALSE)=VLOOKUP(H$1,Table1[],2,FALSE),1,0)</f>
        <v>#N/A</v>
      </c>
      <c r="I159" s="5" t="e">
        <f>IF(VLOOKUP($B159,Table2[[prolific]:[feedbackTime]],10,FALSE)=VLOOKUP(I$1,Table1[],2,FALSE),1,0)</f>
        <v>#N/A</v>
      </c>
      <c r="J159" s="5" t="e">
        <f>IF(VLOOKUP($B159,Table2[[prolific]:[feedbackTime]],11,FALSE)=VLOOKUP(J$1,Table1[],2,FALSE),1,0)</f>
        <v>#N/A</v>
      </c>
      <c r="K159" s="5" t="e">
        <f>IF(VLOOKUP($B159,Table2[[prolific]:[feedbackTime]],12,FALSE)=VLOOKUP(K$1,Table1[],2,FALSE),1,0)</f>
        <v>#N/A</v>
      </c>
      <c r="L159" s="5" t="e">
        <f>IF(VLOOKUP($B159,Table2[[prolific]:[feedbackTime]],13,FALSE)=VLOOKUP(L$1,Table1[],2,FALSE),1,0)</f>
        <v>#N/A</v>
      </c>
      <c r="M159" s="5" t="e">
        <f>IF(VLOOKUP($B159,Table2[[prolific]:[feedbackTime]],14,FALSE)=VLOOKUP(M$1,Table1[],2,FALSE),1,0)</f>
        <v>#N/A</v>
      </c>
      <c r="N159" s="5" t="e">
        <f t="shared" si="67"/>
        <v>#N/A</v>
      </c>
      <c r="O159" s="7" t="e">
        <f t="shared" si="68"/>
        <v>#N/A</v>
      </c>
      <c r="P159" s="5" t="e">
        <f>IF(VLOOKUP($B159,Table2[[prolific]:[feedbackTime]],15,FALSE)=VLOOKUP(P$1,Table1[],2,FALSE),1,0)</f>
        <v>#N/A</v>
      </c>
      <c r="Q159" s="5" t="e">
        <f>IF(VLOOKUP($B159,Table2[[prolific]:[feedbackTime]],16,FALSE)=VLOOKUP(Q$1,Table1[],2,FALSE),1,0)</f>
        <v>#N/A</v>
      </c>
      <c r="R159" s="5" t="e">
        <f>IF(VLOOKUP($B159,Table2[[prolific]:[feedbackTime]],17,FALSE)=VLOOKUP(R$1,Table1[],2,FALSE),1,0)</f>
        <v>#N/A</v>
      </c>
      <c r="S159" s="5" t="e">
        <f>IF(VLOOKUP($B159,Table2[[prolific]:[feedbackTime]],18,FALSE)=VLOOKUP(S$1,Table1[],2,FALSE),1,0)</f>
        <v>#N/A</v>
      </c>
      <c r="T159" s="5" t="e">
        <f>IF(VLOOKUP($B159,Table2[[prolific]:[feedbackTime]],19,FALSE)=VLOOKUP(T$1,Table1[],2,FALSE),1,0)</f>
        <v>#N/A</v>
      </c>
      <c r="U159" s="5" t="e">
        <f>IF(VLOOKUP($B159,Table2[[prolific]:[feedbackTime]],20,FALSE)=VLOOKUP(U$1,Table1[],2,FALSE),1,0)</f>
        <v>#N/A</v>
      </c>
      <c r="V159" s="5" t="e">
        <f>IF(VLOOKUP($B159,Table2[[prolific]:[feedbackTime]],21,FALSE)=VLOOKUP(V$1,Table1[],2,FALSE),1,0)</f>
        <v>#N/A</v>
      </c>
      <c r="W159" s="5" t="e">
        <f>IF(VLOOKUP($B159,Table2[[prolific]:[feedbackTime]],22,FALSE)=VLOOKUP(W$1,Table1[],2,FALSE),1,0)</f>
        <v>#N/A</v>
      </c>
      <c r="X159" s="5" t="e">
        <f t="shared" si="69"/>
        <v>#N/A</v>
      </c>
      <c r="Y159" s="7" t="e">
        <f t="shared" si="70"/>
        <v>#N/A</v>
      </c>
      <c r="Z159" s="5" t="e">
        <f>IF(VLOOKUP($B159,Table2[[prolific]:[feedbackTime]],23,FALSE)=VLOOKUP(Z$1,Table1[],2,FALSE),1,0)</f>
        <v>#N/A</v>
      </c>
      <c r="AA159" s="5" t="e">
        <f>IF(VLOOKUP($B159,Table2[[prolific]:[feedbackTime]],24,FALSE)=VLOOKUP(AA$1,Table1[],2,FALSE),1,0)</f>
        <v>#N/A</v>
      </c>
      <c r="AB159" s="5" t="e">
        <f>IF(VLOOKUP($B159,Table2[[prolific]:[feedbackTime]],25,FALSE)=VLOOKUP(AB$1,Table1[],2,FALSE),1,0)</f>
        <v>#N/A</v>
      </c>
      <c r="AC159" s="5" t="e">
        <f>IF(VLOOKUP($B159,Table2[[prolific]:[feedbackTime]],26,FALSE)=VLOOKUP(AC$1,Table1[],2,FALSE),1,0)</f>
        <v>#N/A</v>
      </c>
      <c r="AD159" s="5" t="e">
        <f>IF(VLOOKUP($B159,Table2[[prolific]:[feedbackTime]],27,FALSE)=VLOOKUP(AD$1,Table1[],2,FALSE),1,0)</f>
        <v>#N/A</v>
      </c>
      <c r="AE159" s="5" t="e">
        <f>IF(VLOOKUP($B159,Table2[[prolific]:[feedbackTime]],28,FALSE)=VLOOKUP(AE$1,Table1[],2,FALSE),1,0)</f>
        <v>#N/A</v>
      </c>
      <c r="AF159" s="5" t="e">
        <f>IF(VLOOKUP($B159,Table2[[prolific]:[feedbackTime]],29,FALSE)=VLOOKUP(AF$1,Table1[],2,FALSE),1,0)</f>
        <v>#N/A</v>
      </c>
      <c r="AG159" s="5" t="e">
        <f>IF(VLOOKUP($B159,Table2[[prolific]:[feedbackTime]],30,FALSE)=VLOOKUP(AG$1,Table1[],2,FALSE),1,0)</f>
        <v>#N/A</v>
      </c>
      <c r="AH159" s="5" t="e">
        <f t="shared" si="71"/>
        <v>#N/A</v>
      </c>
      <c r="AI159" s="7" t="e">
        <f t="shared" si="72"/>
        <v>#N/A</v>
      </c>
      <c r="AJ159" s="7" t="e">
        <f t="shared" si="73"/>
        <v>#N/A</v>
      </c>
      <c r="AK159" s="5" t="e">
        <f t="shared" si="74"/>
        <v>#N/A</v>
      </c>
    </row>
    <row r="160" spans="1:37" x14ac:dyDescent="0.25">
      <c r="A160">
        <f t="shared" si="64"/>
        <v>1</v>
      </c>
      <c r="B160" s="68" t="s">
        <v>1124</v>
      </c>
      <c r="C160" s="5">
        <f>IF(VLOOKUP($B160,Table2[[prolific]:[feedbackTime]],6,FALSE)=VLOOKUP(C$1,Table1[],2,FALSE),1,0)</f>
        <v>1</v>
      </c>
      <c r="D160" s="5">
        <f>IF(VLOOKUP($B160,Table2[[prolific]:[feedbackTime]],7,FALSE)=VLOOKUP(D$1,Table1[],2,FALSE),1,0)</f>
        <v>1</v>
      </c>
      <c r="E160" s="5">
        <f>IF(VLOOKUP($B160,Table2[[prolific]:[feedbackTime]],8,FALSE)=VLOOKUP(E$1,Table1[],2,FALSE),1,0)</f>
        <v>1</v>
      </c>
      <c r="F160" s="5">
        <f t="shared" si="65"/>
        <v>3</v>
      </c>
      <c r="G160" s="7">
        <f t="shared" si="66"/>
        <v>1</v>
      </c>
      <c r="H160" s="5">
        <f>IF(VLOOKUP($B160,Table2[[prolific]:[feedbackTime]],9,FALSE)=VLOOKUP(H$1,Table1[],2,FALSE),1,0)</f>
        <v>1</v>
      </c>
      <c r="I160" s="5">
        <f>IF(VLOOKUP($B160,Table2[[prolific]:[feedbackTime]],10,FALSE)=VLOOKUP(I$1,Table1[],2,FALSE),1,0)</f>
        <v>1</v>
      </c>
      <c r="J160" s="5">
        <f>IF(VLOOKUP($B160,Table2[[prolific]:[feedbackTime]],11,FALSE)=VLOOKUP(J$1,Table1[],2,FALSE),1,0)</f>
        <v>1</v>
      </c>
      <c r="K160" s="5">
        <f>IF(VLOOKUP($B160,Table2[[prolific]:[feedbackTime]],12,FALSE)=VLOOKUP(K$1,Table1[],2,FALSE),1,0)</f>
        <v>1</v>
      </c>
      <c r="L160" s="5">
        <f>IF(VLOOKUP($B160,Table2[[prolific]:[feedbackTime]],13,FALSE)=VLOOKUP(L$1,Table1[],2,FALSE),1,0)</f>
        <v>1</v>
      </c>
      <c r="M160" s="5">
        <f>IF(VLOOKUP($B160,Table2[[prolific]:[feedbackTime]],14,FALSE)=VLOOKUP(M$1,Table1[],2,FALSE),1,0)</f>
        <v>1</v>
      </c>
      <c r="N160" s="5">
        <f t="shared" si="67"/>
        <v>6</v>
      </c>
      <c r="O160" s="7">
        <f t="shared" si="68"/>
        <v>1</v>
      </c>
      <c r="P160" s="5">
        <f>IF(VLOOKUP($B160,Table2[[prolific]:[feedbackTime]],15,FALSE)=VLOOKUP(P$1,Table1[],2,FALSE),1,0)</f>
        <v>1</v>
      </c>
      <c r="Q160" s="5">
        <f>IF(VLOOKUP($B160,Table2[[prolific]:[feedbackTime]],16,FALSE)=VLOOKUP(Q$1,Table1[],2,FALSE),1,0)</f>
        <v>1</v>
      </c>
      <c r="R160" s="5">
        <f>IF(VLOOKUP($B160,Table2[[prolific]:[feedbackTime]],17,FALSE)=VLOOKUP(R$1,Table1[],2,FALSE),1,0)</f>
        <v>1</v>
      </c>
      <c r="S160" s="5">
        <f>IF(VLOOKUP($B160,Table2[[prolific]:[feedbackTime]],18,FALSE)=VLOOKUP(S$1,Table1[],2,FALSE),1,0)</f>
        <v>1</v>
      </c>
      <c r="T160" s="5">
        <f>IF(VLOOKUP($B160,Table2[[prolific]:[feedbackTime]],19,FALSE)=VLOOKUP(T$1,Table1[],2,FALSE),1,0)</f>
        <v>1</v>
      </c>
      <c r="U160" s="5">
        <f>IF(VLOOKUP($B160,Table2[[prolific]:[feedbackTime]],20,FALSE)=VLOOKUP(U$1,Table1[],2,FALSE),1,0)</f>
        <v>1</v>
      </c>
      <c r="V160" s="5">
        <f>IF(VLOOKUP($B160,Table2[[prolific]:[feedbackTime]],21,FALSE)=VLOOKUP(V$1,Table1[],2,FALSE),1,0)</f>
        <v>0</v>
      </c>
      <c r="W160" s="5">
        <f>IF(VLOOKUP($B160,Table2[[prolific]:[feedbackTime]],22,FALSE)=VLOOKUP(W$1,Table1[],2,FALSE),1,0)</f>
        <v>1</v>
      </c>
      <c r="X160" s="5">
        <f t="shared" si="69"/>
        <v>7</v>
      </c>
      <c r="Y160" s="7">
        <f t="shared" si="70"/>
        <v>0.875</v>
      </c>
      <c r="Z160" s="5">
        <f>IF(VLOOKUP($B160,Table2[[prolific]:[feedbackTime]],23,FALSE)=VLOOKUP(Z$1,Table1[],2,FALSE),1,0)</f>
        <v>1</v>
      </c>
      <c r="AA160" s="5">
        <f>IF(VLOOKUP($B160,Table2[[prolific]:[feedbackTime]],24,FALSE)=VLOOKUP(AA$1,Table1[],2,FALSE),1,0)</f>
        <v>1</v>
      </c>
      <c r="AB160" s="5">
        <f>IF(VLOOKUP($B160,Table2[[prolific]:[feedbackTime]],25,FALSE)=VLOOKUP(AB$1,Table1[],2,FALSE),1,0)</f>
        <v>0</v>
      </c>
      <c r="AC160" s="5">
        <f>IF(VLOOKUP($B160,Table2[[prolific]:[feedbackTime]],26,FALSE)=VLOOKUP(AC$1,Table1[],2,FALSE),1,0)</f>
        <v>1</v>
      </c>
      <c r="AD160" s="5">
        <f>IF(VLOOKUP($B160,Table2[[prolific]:[feedbackTime]],27,FALSE)=VLOOKUP(AD$1,Table1[],2,FALSE),1,0)</f>
        <v>0</v>
      </c>
      <c r="AE160" s="5">
        <f>IF(VLOOKUP($B160,Table2[[prolific]:[feedbackTime]],28,FALSE)=VLOOKUP(AE$1,Table1[],2,FALSE),1,0)</f>
        <v>1</v>
      </c>
      <c r="AF160" s="5">
        <f>IF(VLOOKUP($B160,Table2[[prolific]:[feedbackTime]],29,FALSE)=VLOOKUP(AF$1,Table1[],2,FALSE),1,0)</f>
        <v>1</v>
      </c>
      <c r="AG160" s="5">
        <f>IF(VLOOKUP($B160,Table2[[prolific]:[feedbackTime]],30,FALSE)=VLOOKUP(AG$1,Table1[],2,FALSE),1,0)</f>
        <v>1</v>
      </c>
      <c r="AH160" s="5">
        <f t="shared" si="71"/>
        <v>6</v>
      </c>
      <c r="AI160" s="7">
        <f t="shared" si="72"/>
        <v>0.75</v>
      </c>
      <c r="AJ160" s="7">
        <f t="shared" si="73"/>
        <v>0.86363636363636365</v>
      </c>
      <c r="AK160" s="5">
        <f t="shared" si="74"/>
        <v>19</v>
      </c>
    </row>
    <row r="161" spans="1:37" x14ac:dyDescent="0.25">
      <c r="A161">
        <f t="shared" si="64"/>
        <v>2</v>
      </c>
      <c r="B161" s="5" t="s">
        <v>1167</v>
      </c>
      <c r="C161" s="5">
        <f>IF(VLOOKUP($B161,Table2[[prolific]:[feedbackTime]],6,FALSE)=VLOOKUP(C$1,Table1[],2,FALSE),1,0)</f>
        <v>1</v>
      </c>
      <c r="D161" s="5">
        <f>IF(VLOOKUP($B161,Table2[[prolific]:[feedbackTime]],7,FALSE)=VLOOKUP(D$1,Table1[],2,FALSE),1,0)</f>
        <v>1</v>
      </c>
      <c r="E161" s="5">
        <f>IF(VLOOKUP($B161,Table2[[prolific]:[feedbackTime]],8,FALSE)=VLOOKUP(E$1,Table1[],2,FALSE),1,0)</f>
        <v>1</v>
      </c>
      <c r="F161" s="5">
        <f t="shared" si="65"/>
        <v>3</v>
      </c>
      <c r="G161" s="7">
        <f t="shared" si="66"/>
        <v>1</v>
      </c>
      <c r="H161" s="5">
        <f>IF(VLOOKUP($B161,Table2[[prolific]:[feedbackTime]],9,FALSE)=VLOOKUP(H$1,Table1[],2,FALSE),1,0)</f>
        <v>1</v>
      </c>
      <c r="I161" s="5">
        <f>IF(VLOOKUP($B161,Table2[[prolific]:[feedbackTime]],10,FALSE)=VLOOKUP(I$1,Table1[],2,FALSE),1,0)</f>
        <v>0</v>
      </c>
      <c r="J161" s="5">
        <f>IF(VLOOKUP($B161,Table2[[prolific]:[feedbackTime]],11,FALSE)=VLOOKUP(J$1,Table1[],2,FALSE),1,0)</f>
        <v>0</v>
      </c>
      <c r="K161" s="5">
        <f>IF(VLOOKUP($B161,Table2[[prolific]:[feedbackTime]],12,FALSE)=VLOOKUP(K$1,Table1[],2,FALSE),1,0)</f>
        <v>0</v>
      </c>
      <c r="L161" s="5">
        <f>IF(VLOOKUP($B161,Table2[[prolific]:[feedbackTime]],13,FALSE)=VLOOKUP(L$1,Table1[],2,FALSE),1,0)</f>
        <v>0</v>
      </c>
      <c r="M161" s="5">
        <f>IF(VLOOKUP($B161,Table2[[prolific]:[feedbackTime]],14,FALSE)=VLOOKUP(M$1,Table1[],2,FALSE),1,0)</f>
        <v>1</v>
      </c>
      <c r="N161" s="5">
        <f t="shared" si="67"/>
        <v>2</v>
      </c>
      <c r="O161" s="7">
        <f t="shared" si="68"/>
        <v>0.33333333333333331</v>
      </c>
      <c r="P161" s="5">
        <f>IF(VLOOKUP($B161,Table2[[prolific]:[feedbackTime]],15,FALSE)=VLOOKUP(P$1,Table1[],2,FALSE),1,0)</f>
        <v>1</v>
      </c>
      <c r="Q161" s="5">
        <f>IF(VLOOKUP($B161,Table2[[prolific]:[feedbackTime]],16,FALSE)=VLOOKUP(Q$1,Table1[],2,FALSE),1,0)</f>
        <v>1</v>
      </c>
      <c r="R161" s="5">
        <f>IF(VLOOKUP($B161,Table2[[prolific]:[feedbackTime]],17,FALSE)=VLOOKUP(R$1,Table1[],2,FALSE),1,0)</f>
        <v>0</v>
      </c>
      <c r="S161" s="5">
        <f>IF(VLOOKUP($B161,Table2[[prolific]:[feedbackTime]],18,FALSE)=VLOOKUP(S$1,Table1[],2,FALSE),1,0)</f>
        <v>0</v>
      </c>
      <c r="T161" s="5">
        <f>IF(VLOOKUP($B161,Table2[[prolific]:[feedbackTime]],19,FALSE)=VLOOKUP(T$1,Table1[],2,FALSE),1,0)</f>
        <v>0</v>
      </c>
      <c r="U161" s="5">
        <f>IF(VLOOKUP($B161,Table2[[prolific]:[feedbackTime]],20,FALSE)=VLOOKUP(U$1,Table1[],2,FALSE),1,0)</f>
        <v>0</v>
      </c>
      <c r="V161" s="5">
        <f>IF(VLOOKUP($B161,Table2[[prolific]:[feedbackTime]],21,FALSE)=VLOOKUP(V$1,Table1[],2,FALSE),1,0)</f>
        <v>0</v>
      </c>
      <c r="W161" s="5">
        <f>IF(VLOOKUP($B161,Table2[[prolific]:[feedbackTime]],22,FALSE)=VLOOKUP(W$1,Table1[],2,FALSE),1,0)</f>
        <v>0</v>
      </c>
      <c r="X161" s="5">
        <f t="shared" si="69"/>
        <v>2</v>
      </c>
      <c r="Y161" s="7">
        <f t="shared" si="70"/>
        <v>0.25</v>
      </c>
      <c r="Z161" s="5">
        <f>IF(VLOOKUP($B161,Table2[[prolific]:[feedbackTime]],23,FALSE)=VLOOKUP(Z$1,Table1[],2,FALSE),1,0)</f>
        <v>1</v>
      </c>
      <c r="AA161" s="5">
        <f>IF(VLOOKUP($B161,Table2[[prolific]:[feedbackTime]],24,FALSE)=VLOOKUP(AA$1,Table1[],2,FALSE),1,0)</f>
        <v>1</v>
      </c>
      <c r="AB161" s="5">
        <f>IF(VLOOKUP($B161,Table2[[prolific]:[feedbackTime]],25,FALSE)=VLOOKUP(AB$1,Table1[],2,FALSE),1,0)</f>
        <v>1</v>
      </c>
      <c r="AC161" s="5">
        <f>IF(VLOOKUP($B161,Table2[[prolific]:[feedbackTime]],26,FALSE)=VLOOKUP(AC$1,Table1[],2,FALSE),1,0)</f>
        <v>0</v>
      </c>
      <c r="AD161" s="5">
        <f>IF(VLOOKUP($B161,Table2[[prolific]:[feedbackTime]],27,FALSE)=VLOOKUP(AD$1,Table1[],2,FALSE),1,0)</f>
        <v>1</v>
      </c>
      <c r="AE161" s="5">
        <f>IF(VLOOKUP($B161,Table2[[prolific]:[feedbackTime]],28,FALSE)=VLOOKUP(AE$1,Table1[],2,FALSE),1,0)</f>
        <v>1</v>
      </c>
      <c r="AF161" s="5">
        <f>IF(VLOOKUP($B161,Table2[[prolific]:[feedbackTime]],29,FALSE)=VLOOKUP(AF$1,Table1[],2,FALSE),1,0)</f>
        <v>1</v>
      </c>
      <c r="AG161" s="5">
        <f>IF(VLOOKUP($B161,Table2[[prolific]:[feedbackTime]],30,FALSE)=VLOOKUP(AG$1,Table1[],2,FALSE),1,0)</f>
        <v>0</v>
      </c>
      <c r="AH161" s="5">
        <f t="shared" si="71"/>
        <v>6</v>
      </c>
      <c r="AI161" s="7">
        <f t="shared" si="72"/>
        <v>0.75</v>
      </c>
      <c r="AJ161" s="7">
        <f t="shared" si="73"/>
        <v>0.45454545454545453</v>
      </c>
      <c r="AK161" s="5">
        <f t="shared" si="74"/>
        <v>10</v>
      </c>
    </row>
    <row r="162" spans="1:37" x14ac:dyDescent="0.25">
      <c r="A162">
        <f t="shared" ref="A162:A191" si="75">COUNTIF(B:B,B162)</f>
        <v>1</v>
      </c>
      <c r="B162" s="5" t="s">
        <v>1239</v>
      </c>
      <c r="C162" s="5" t="e">
        <f>IF(VLOOKUP($B162,Table2[[prolific]:[feedbackTime]],6,FALSE)=VLOOKUP(C$1,Table1[],2,FALSE),1,0)</f>
        <v>#N/A</v>
      </c>
      <c r="D162" s="5" t="e">
        <f>IF(VLOOKUP($B162,Table2[[prolific]:[feedbackTime]],7,FALSE)=VLOOKUP(D$1,Table1[],2,FALSE),1,0)</f>
        <v>#N/A</v>
      </c>
      <c r="E162" s="5" t="e">
        <f>IF(VLOOKUP($B162,Table2[[prolific]:[feedbackTime]],8,FALSE)=VLOOKUP(E$1,Table1[],2,FALSE),1,0)</f>
        <v>#N/A</v>
      </c>
      <c r="F162" s="5" t="e">
        <f t="shared" si="65"/>
        <v>#N/A</v>
      </c>
      <c r="G162" s="7" t="e">
        <f t="shared" si="66"/>
        <v>#N/A</v>
      </c>
      <c r="H162" s="5" t="e">
        <f>IF(VLOOKUP($B162,Table2[[prolific]:[feedbackTime]],9,FALSE)=VLOOKUP(H$1,Table1[],2,FALSE),1,0)</f>
        <v>#N/A</v>
      </c>
      <c r="I162" s="5" t="e">
        <f>IF(VLOOKUP($B162,Table2[[prolific]:[feedbackTime]],10,FALSE)=VLOOKUP(I$1,Table1[],2,FALSE),1,0)</f>
        <v>#N/A</v>
      </c>
      <c r="J162" s="5" t="e">
        <f>IF(VLOOKUP($B162,Table2[[prolific]:[feedbackTime]],11,FALSE)=VLOOKUP(J$1,Table1[],2,FALSE),1,0)</f>
        <v>#N/A</v>
      </c>
      <c r="K162" s="5" t="e">
        <f>IF(VLOOKUP($B162,Table2[[prolific]:[feedbackTime]],12,FALSE)=VLOOKUP(K$1,Table1[],2,FALSE),1,0)</f>
        <v>#N/A</v>
      </c>
      <c r="L162" s="5" t="e">
        <f>IF(VLOOKUP($B162,Table2[[prolific]:[feedbackTime]],13,FALSE)=VLOOKUP(L$1,Table1[],2,FALSE),1,0)</f>
        <v>#N/A</v>
      </c>
      <c r="M162" s="5" t="e">
        <f>IF(VLOOKUP($B162,Table2[[prolific]:[feedbackTime]],14,FALSE)=VLOOKUP(M$1,Table1[],2,FALSE),1,0)</f>
        <v>#N/A</v>
      </c>
      <c r="N162" s="5" t="e">
        <f t="shared" si="67"/>
        <v>#N/A</v>
      </c>
      <c r="O162" s="7" t="e">
        <f t="shared" si="68"/>
        <v>#N/A</v>
      </c>
      <c r="P162" s="5" t="e">
        <f>IF(VLOOKUP($B162,Table2[[prolific]:[feedbackTime]],15,FALSE)=VLOOKUP(P$1,Table1[],2,FALSE),1,0)</f>
        <v>#N/A</v>
      </c>
      <c r="Q162" s="5" t="e">
        <f>IF(VLOOKUP($B162,Table2[[prolific]:[feedbackTime]],16,FALSE)=VLOOKUP(Q$1,Table1[],2,FALSE),1,0)</f>
        <v>#N/A</v>
      </c>
      <c r="R162" s="5" t="e">
        <f>IF(VLOOKUP($B162,Table2[[prolific]:[feedbackTime]],17,FALSE)=VLOOKUP(R$1,Table1[],2,FALSE),1,0)</f>
        <v>#N/A</v>
      </c>
      <c r="S162" s="5" t="e">
        <f>IF(VLOOKUP($B162,Table2[[prolific]:[feedbackTime]],18,FALSE)=VLOOKUP(S$1,Table1[],2,FALSE),1,0)</f>
        <v>#N/A</v>
      </c>
      <c r="T162" s="5" t="e">
        <f>IF(VLOOKUP($B162,Table2[[prolific]:[feedbackTime]],19,FALSE)=VLOOKUP(T$1,Table1[],2,FALSE),1,0)</f>
        <v>#N/A</v>
      </c>
      <c r="U162" s="5" t="e">
        <f>IF(VLOOKUP($B162,Table2[[prolific]:[feedbackTime]],20,FALSE)=VLOOKUP(U$1,Table1[],2,FALSE),1,0)</f>
        <v>#N/A</v>
      </c>
      <c r="V162" s="5" t="e">
        <f>IF(VLOOKUP($B162,Table2[[prolific]:[feedbackTime]],21,FALSE)=VLOOKUP(V$1,Table1[],2,FALSE),1,0)</f>
        <v>#N/A</v>
      </c>
      <c r="W162" s="5" t="e">
        <f>IF(VLOOKUP($B162,Table2[[prolific]:[feedbackTime]],22,FALSE)=VLOOKUP(W$1,Table1[],2,FALSE),1,0)</f>
        <v>#N/A</v>
      </c>
      <c r="X162" s="5" t="e">
        <f t="shared" si="69"/>
        <v>#N/A</v>
      </c>
      <c r="Y162" s="7" t="e">
        <f t="shared" si="70"/>
        <v>#N/A</v>
      </c>
      <c r="Z162" s="5" t="e">
        <f>IF(VLOOKUP($B162,Table2[[prolific]:[feedbackTime]],23,FALSE)=VLOOKUP(Z$1,Table1[],2,FALSE),1,0)</f>
        <v>#N/A</v>
      </c>
      <c r="AA162" s="5" t="e">
        <f>IF(VLOOKUP($B162,Table2[[prolific]:[feedbackTime]],24,FALSE)=VLOOKUP(AA$1,Table1[],2,FALSE),1,0)</f>
        <v>#N/A</v>
      </c>
      <c r="AB162" s="5" t="e">
        <f>IF(VLOOKUP($B162,Table2[[prolific]:[feedbackTime]],25,FALSE)=VLOOKUP(AB$1,Table1[],2,FALSE),1,0)</f>
        <v>#N/A</v>
      </c>
      <c r="AC162" s="5" t="e">
        <f>IF(VLOOKUP($B162,Table2[[prolific]:[feedbackTime]],26,FALSE)=VLOOKUP(AC$1,Table1[],2,FALSE),1,0)</f>
        <v>#N/A</v>
      </c>
      <c r="AD162" s="5" t="e">
        <f>IF(VLOOKUP($B162,Table2[[prolific]:[feedbackTime]],27,FALSE)=VLOOKUP(AD$1,Table1[],2,FALSE),1,0)</f>
        <v>#N/A</v>
      </c>
      <c r="AE162" s="5" t="e">
        <f>IF(VLOOKUP($B162,Table2[[prolific]:[feedbackTime]],28,FALSE)=VLOOKUP(AE$1,Table1[],2,FALSE),1,0)</f>
        <v>#N/A</v>
      </c>
      <c r="AF162" s="5" t="e">
        <f>IF(VLOOKUP($B162,Table2[[prolific]:[feedbackTime]],29,FALSE)=VLOOKUP(AF$1,Table1[],2,FALSE),1,0)</f>
        <v>#N/A</v>
      </c>
      <c r="AG162" s="5" t="e">
        <f>IF(VLOOKUP($B162,Table2[[prolific]:[feedbackTime]],30,FALSE)=VLOOKUP(AG$1,Table1[],2,FALSE),1,0)</f>
        <v>#N/A</v>
      </c>
      <c r="AH162" s="5" t="e">
        <f t="shared" si="71"/>
        <v>#N/A</v>
      </c>
      <c r="AI162" s="7" t="e">
        <f t="shared" si="72"/>
        <v>#N/A</v>
      </c>
      <c r="AJ162" s="7" t="e">
        <f t="shared" si="73"/>
        <v>#N/A</v>
      </c>
      <c r="AK162" s="5" t="e">
        <f t="shared" si="74"/>
        <v>#N/A</v>
      </c>
    </row>
    <row r="163" spans="1:37" x14ac:dyDescent="0.25">
      <c r="A163">
        <f t="shared" si="75"/>
        <v>1</v>
      </c>
      <c r="B163" s="5" t="s">
        <v>1125</v>
      </c>
      <c r="C163" s="5">
        <f>IF(VLOOKUP($B163,Table2[[prolific]:[feedbackTime]],6,FALSE)=VLOOKUP(C$1,Table1[],2,FALSE),1,0)</f>
        <v>1</v>
      </c>
      <c r="D163" s="5">
        <f>IF(VLOOKUP($B163,Table2[[prolific]:[feedbackTime]],7,FALSE)=VLOOKUP(D$1,Table1[],2,FALSE),1,0)</f>
        <v>1</v>
      </c>
      <c r="E163" s="5">
        <f>IF(VLOOKUP($B163,Table2[[prolific]:[feedbackTime]],8,FALSE)=VLOOKUP(E$1,Table1[],2,FALSE),1,0)</f>
        <v>1</v>
      </c>
      <c r="F163" s="5">
        <f t="shared" si="65"/>
        <v>3</v>
      </c>
      <c r="G163" s="7">
        <f t="shared" si="66"/>
        <v>1</v>
      </c>
      <c r="H163" s="5">
        <f>IF(VLOOKUP($B163,Table2[[prolific]:[feedbackTime]],9,FALSE)=VLOOKUP(H$1,Table1[],2,FALSE),1,0)</f>
        <v>1</v>
      </c>
      <c r="I163" s="5">
        <f>IF(VLOOKUP($B163,Table2[[prolific]:[feedbackTime]],10,FALSE)=VLOOKUP(I$1,Table1[],2,FALSE),1,0)</f>
        <v>1</v>
      </c>
      <c r="J163" s="5">
        <f>IF(VLOOKUP($B163,Table2[[prolific]:[feedbackTime]],11,FALSE)=VLOOKUP(J$1,Table1[],2,FALSE),1,0)</f>
        <v>1</v>
      </c>
      <c r="K163" s="5">
        <f>IF(VLOOKUP($B163,Table2[[prolific]:[feedbackTime]],12,FALSE)=VLOOKUP(K$1,Table1[],2,FALSE),1,0)</f>
        <v>1</v>
      </c>
      <c r="L163" s="5">
        <f>IF(VLOOKUP($B163,Table2[[prolific]:[feedbackTime]],13,FALSE)=VLOOKUP(L$1,Table1[],2,FALSE),1,0)</f>
        <v>0</v>
      </c>
      <c r="M163" s="5">
        <f>IF(VLOOKUP($B163,Table2[[prolific]:[feedbackTime]],14,FALSE)=VLOOKUP(M$1,Table1[],2,FALSE),1,0)</f>
        <v>0</v>
      </c>
      <c r="N163" s="5">
        <f t="shared" si="67"/>
        <v>4</v>
      </c>
      <c r="O163" s="7">
        <f t="shared" si="68"/>
        <v>0.66666666666666663</v>
      </c>
      <c r="P163" s="5">
        <f>IF(VLOOKUP($B163,Table2[[prolific]:[feedbackTime]],15,FALSE)=VLOOKUP(P$1,Table1[],2,FALSE),1,0)</f>
        <v>1</v>
      </c>
      <c r="Q163" s="5">
        <f>IF(VLOOKUP($B163,Table2[[prolific]:[feedbackTime]],16,FALSE)=VLOOKUP(Q$1,Table1[],2,FALSE),1,0)</f>
        <v>1</v>
      </c>
      <c r="R163" s="5">
        <f>IF(VLOOKUP($B163,Table2[[prolific]:[feedbackTime]],17,FALSE)=VLOOKUP(R$1,Table1[],2,FALSE),1,0)</f>
        <v>1</v>
      </c>
      <c r="S163" s="5">
        <f>IF(VLOOKUP($B163,Table2[[prolific]:[feedbackTime]],18,FALSE)=VLOOKUP(S$1,Table1[],2,FALSE),1,0)</f>
        <v>1</v>
      </c>
      <c r="T163" s="5">
        <f>IF(VLOOKUP($B163,Table2[[prolific]:[feedbackTime]],19,FALSE)=VLOOKUP(T$1,Table1[],2,FALSE),1,0)</f>
        <v>1</v>
      </c>
      <c r="U163" s="5">
        <f>IF(VLOOKUP($B163,Table2[[prolific]:[feedbackTime]],20,FALSE)=VLOOKUP(U$1,Table1[],2,FALSE),1,0)</f>
        <v>1</v>
      </c>
      <c r="V163" s="5">
        <f>IF(VLOOKUP($B163,Table2[[prolific]:[feedbackTime]],21,FALSE)=VLOOKUP(V$1,Table1[],2,FALSE),1,0)</f>
        <v>0</v>
      </c>
      <c r="W163" s="5">
        <f>IF(VLOOKUP($B163,Table2[[prolific]:[feedbackTime]],22,FALSE)=VLOOKUP(W$1,Table1[],2,FALSE),1,0)</f>
        <v>1</v>
      </c>
      <c r="X163" s="5">
        <f t="shared" si="69"/>
        <v>7</v>
      </c>
      <c r="Y163" s="7">
        <f t="shared" si="70"/>
        <v>0.875</v>
      </c>
      <c r="Z163" s="5">
        <f>IF(VLOOKUP($B163,Table2[[prolific]:[feedbackTime]],23,FALSE)=VLOOKUP(Z$1,Table1[],2,FALSE),1,0)</f>
        <v>1</v>
      </c>
      <c r="AA163" s="5">
        <f>IF(VLOOKUP($B163,Table2[[prolific]:[feedbackTime]],24,FALSE)=VLOOKUP(AA$1,Table1[],2,FALSE),1,0)</f>
        <v>0</v>
      </c>
      <c r="AB163" s="5">
        <f>IF(VLOOKUP($B163,Table2[[prolific]:[feedbackTime]],25,FALSE)=VLOOKUP(AB$1,Table1[],2,FALSE),1,0)</f>
        <v>0</v>
      </c>
      <c r="AC163" s="5">
        <f>IF(VLOOKUP($B163,Table2[[prolific]:[feedbackTime]],26,FALSE)=VLOOKUP(AC$1,Table1[],2,FALSE),1,0)</f>
        <v>1</v>
      </c>
      <c r="AD163" s="5">
        <f>IF(VLOOKUP($B163,Table2[[prolific]:[feedbackTime]],27,FALSE)=VLOOKUP(AD$1,Table1[],2,FALSE),1,0)</f>
        <v>1</v>
      </c>
      <c r="AE163" s="5">
        <f>IF(VLOOKUP($B163,Table2[[prolific]:[feedbackTime]],28,FALSE)=VLOOKUP(AE$1,Table1[],2,FALSE),1,0)</f>
        <v>1</v>
      </c>
      <c r="AF163" s="5">
        <f>IF(VLOOKUP($B163,Table2[[prolific]:[feedbackTime]],29,FALSE)=VLOOKUP(AF$1,Table1[],2,FALSE),1,0)</f>
        <v>1</v>
      </c>
      <c r="AG163" s="5">
        <f>IF(VLOOKUP($B163,Table2[[prolific]:[feedbackTime]],30,FALSE)=VLOOKUP(AG$1,Table1[],2,FALSE),1,0)</f>
        <v>1</v>
      </c>
      <c r="AH163" s="5">
        <f t="shared" si="71"/>
        <v>6</v>
      </c>
      <c r="AI163" s="7">
        <f t="shared" si="72"/>
        <v>0.75</v>
      </c>
      <c r="AJ163" s="7">
        <f t="shared" si="73"/>
        <v>0.77272727272727271</v>
      </c>
      <c r="AK163" s="5">
        <f t="shared" si="74"/>
        <v>17</v>
      </c>
    </row>
    <row r="164" spans="1:37" x14ac:dyDescent="0.25">
      <c r="A164">
        <f t="shared" si="75"/>
        <v>1</v>
      </c>
      <c r="B164" s="5" t="s">
        <v>1126</v>
      </c>
      <c r="C164" s="5">
        <f>IF(VLOOKUP($B164,Table2[[prolific]:[feedbackTime]],6,FALSE)=VLOOKUP(C$1,Table1[],2,FALSE),1,0)</f>
        <v>1</v>
      </c>
      <c r="D164" s="5">
        <f>IF(VLOOKUP($B164,Table2[[prolific]:[feedbackTime]],7,FALSE)=VLOOKUP(D$1,Table1[],2,FALSE),1,0)</f>
        <v>1</v>
      </c>
      <c r="E164" s="5">
        <f>IF(VLOOKUP($B164,Table2[[prolific]:[feedbackTime]],8,FALSE)=VLOOKUP(E$1,Table1[],2,FALSE),1,0)</f>
        <v>1</v>
      </c>
      <c r="F164" s="5">
        <f t="shared" si="65"/>
        <v>3</v>
      </c>
      <c r="G164" s="7">
        <f t="shared" si="66"/>
        <v>1</v>
      </c>
      <c r="H164" s="5">
        <f>IF(VLOOKUP($B164,Table2[[prolific]:[feedbackTime]],9,FALSE)=VLOOKUP(H$1,Table1[],2,FALSE),1,0)</f>
        <v>1</v>
      </c>
      <c r="I164" s="5">
        <f>IF(VLOOKUP($B164,Table2[[prolific]:[feedbackTime]],10,FALSE)=VLOOKUP(I$1,Table1[],2,FALSE),1,0)</f>
        <v>1</v>
      </c>
      <c r="J164" s="5">
        <f>IF(VLOOKUP($B164,Table2[[prolific]:[feedbackTime]],11,FALSE)=VLOOKUP(J$1,Table1[],2,FALSE),1,0)</f>
        <v>1</v>
      </c>
      <c r="K164" s="5">
        <f>IF(VLOOKUP($B164,Table2[[prolific]:[feedbackTime]],12,FALSE)=VLOOKUP(K$1,Table1[],2,FALSE),1,0)</f>
        <v>1</v>
      </c>
      <c r="L164" s="5">
        <f>IF(VLOOKUP($B164,Table2[[prolific]:[feedbackTime]],13,FALSE)=VLOOKUP(L$1,Table1[],2,FALSE),1,0)</f>
        <v>1</v>
      </c>
      <c r="M164" s="5">
        <f>IF(VLOOKUP($B164,Table2[[prolific]:[feedbackTime]],14,FALSE)=VLOOKUP(M$1,Table1[],2,FALSE),1,0)</f>
        <v>1</v>
      </c>
      <c r="N164" s="5">
        <f t="shared" si="67"/>
        <v>6</v>
      </c>
      <c r="O164" s="7">
        <f t="shared" si="68"/>
        <v>1</v>
      </c>
      <c r="P164" s="5">
        <f>IF(VLOOKUP($B164,Table2[[prolific]:[feedbackTime]],15,FALSE)=VLOOKUP(P$1,Table1[],2,FALSE),1,0)</f>
        <v>1</v>
      </c>
      <c r="Q164" s="5">
        <f>IF(VLOOKUP($B164,Table2[[prolific]:[feedbackTime]],16,FALSE)=VLOOKUP(Q$1,Table1[],2,FALSE),1,0)</f>
        <v>1</v>
      </c>
      <c r="R164" s="5">
        <f>IF(VLOOKUP($B164,Table2[[prolific]:[feedbackTime]],17,FALSE)=VLOOKUP(R$1,Table1[],2,FALSE),1,0)</f>
        <v>1</v>
      </c>
      <c r="S164" s="5">
        <f>IF(VLOOKUP($B164,Table2[[prolific]:[feedbackTime]],18,FALSE)=VLOOKUP(S$1,Table1[],2,FALSE),1,0)</f>
        <v>1</v>
      </c>
      <c r="T164" s="5">
        <f>IF(VLOOKUP($B164,Table2[[prolific]:[feedbackTime]],19,FALSE)=VLOOKUP(T$1,Table1[],2,FALSE),1,0)</f>
        <v>1</v>
      </c>
      <c r="U164" s="5">
        <f>IF(VLOOKUP($B164,Table2[[prolific]:[feedbackTime]],20,FALSE)=VLOOKUP(U$1,Table1[],2,FALSE),1,0)</f>
        <v>1</v>
      </c>
      <c r="V164" s="5">
        <f>IF(VLOOKUP($B164,Table2[[prolific]:[feedbackTime]],21,FALSE)=VLOOKUP(V$1,Table1[],2,FALSE),1,0)</f>
        <v>1</v>
      </c>
      <c r="W164" s="5">
        <f>IF(VLOOKUP($B164,Table2[[prolific]:[feedbackTime]],22,FALSE)=VLOOKUP(W$1,Table1[],2,FALSE),1,0)</f>
        <v>1</v>
      </c>
      <c r="X164" s="5">
        <f t="shared" si="69"/>
        <v>8</v>
      </c>
      <c r="Y164" s="7">
        <f t="shared" si="70"/>
        <v>1</v>
      </c>
      <c r="Z164" s="5">
        <f>IF(VLOOKUP($B164,Table2[[prolific]:[feedbackTime]],23,FALSE)=VLOOKUP(Z$1,Table1[],2,FALSE),1,0)</f>
        <v>1</v>
      </c>
      <c r="AA164" s="5">
        <f>IF(VLOOKUP($B164,Table2[[prolific]:[feedbackTime]],24,FALSE)=VLOOKUP(AA$1,Table1[],2,FALSE),1,0)</f>
        <v>0</v>
      </c>
      <c r="AB164" s="5">
        <f>IF(VLOOKUP($B164,Table2[[prolific]:[feedbackTime]],25,FALSE)=VLOOKUP(AB$1,Table1[],2,FALSE),1,0)</f>
        <v>0</v>
      </c>
      <c r="AC164" s="5">
        <f>IF(VLOOKUP($B164,Table2[[prolific]:[feedbackTime]],26,FALSE)=VLOOKUP(AC$1,Table1[],2,FALSE),1,0)</f>
        <v>1</v>
      </c>
      <c r="AD164" s="5">
        <f>IF(VLOOKUP($B164,Table2[[prolific]:[feedbackTime]],27,FALSE)=VLOOKUP(AD$1,Table1[],2,FALSE),1,0)</f>
        <v>0</v>
      </c>
      <c r="AE164" s="5">
        <f>IF(VLOOKUP($B164,Table2[[prolific]:[feedbackTime]],28,FALSE)=VLOOKUP(AE$1,Table1[],2,FALSE),1,0)</f>
        <v>1</v>
      </c>
      <c r="AF164" s="5">
        <f>IF(VLOOKUP($B164,Table2[[prolific]:[feedbackTime]],29,FALSE)=VLOOKUP(AF$1,Table1[],2,FALSE),1,0)</f>
        <v>1</v>
      </c>
      <c r="AG164" s="5">
        <f>IF(VLOOKUP($B164,Table2[[prolific]:[feedbackTime]],30,FALSE)=VLOOKUP(AG$1,Table1[],2,FALSE),1,0)</f>
        <v>1</v>
      </c>
      <c r="AH164" s="5">
        <f t="shared" si="71"/>
        <v>5</v>
      </c>
      <c r="AI164" s="7">
        <f t="shared" si="72"/>
        <v>0.625</v>
      </c>
      <c r="AJ164" s="7">
        <f t="shared" si="73"/>
        <v>0.86363636363636365</v>
      </c>
      <c r="AK164" s="5">
        <f t="shared" si="74"/>
        <v>19</v>
      </c>
    </row>
    <row r="165" spans="1:37" x14ac:dyDescent="0.25">
      <c r="A165">
        <f t="shared" si="75"/>
        <v>1</v>
      </c>
      <c r="B165" s="5" t="s">
        <v>1240</v>
      </c>
      <c r="C165" s="5" t="e">
        <f>IF(VLOOKUP($B165,Table2[[prolific]:[feedbackTime]],6,FALSE)=VLOOKUP(C$1,Table1[],2,FALSE),1,0)</f>
        <v>#N/A</v>
      </c>
      <c r="D165" s="5" t="e">
        <f>IF(VLOOKUP($B165,Table2[[prolific]:[feedbackTime]],7,FALSE)=VLOOKUP(D$1,Table1[],2,FALSE),1,0)</f>
        <v>#N/A</v>
      </c>
      <c r="E165" s="5" t="e">
        <f>IF(VLOOKUP($B165,Table2[[prolific]:[feedbackTime]],8,FALSE)=VLOOKUP(E$1,Table1[],2,FALSE),1,0)</f>
        <v>#N/A</v>
      </c>
      <c r="F165" s="5" t="e">
        <f t="shared" si="65"/>
        <v>#N/A</v>
      </c>
      <c r="G165" s="7" t="e">
        <f t="shared" si="66"/>
        <v>#N/A</v>
      </c>
      <c r="H165" s="5" t="e">
        <f>IF(VLOOKUP($B165,Table2[[prolific]:[feedbackTime]],9,FALSE)=VLOOKUP(H$1,Table1[],2,FALSE),1,0)</f>
        <v>#N/A</v>
      </c>
      <c r="I165" s="5" t="e">
        <f>IF(VLOOKUP($B165,Table2[[prolific]:[feedbackTime]],10,FALSE)=VLOOKUP(I$1,Table1[],2,FALSE),1,0)</f>
        <v>#N/A</v>
      </c>
      <c r="J165" s="5" t="e">
        <f>IF(VLOOKUP($B165,Table2[[prolific]:[feedbackTime]],11,FALSE)=VLOOKUP(J$1,Table1[],2,FALSE),1,0)</f>
        <v>#N/A</v>
      </c>
      <c r="K165" s="5" t="e">
        <f>IF(VLOOKUP($B165,Table2[[prolific]:[feedbackTime]],12,FALSE)=VLOOKUP(K$1,Table1[],2,FALSE),1,0)</f>
        <v>#N/A</v>
      </c>
      <c r="L165" s="5" t="e">
        <f>IF(VLOOKUP($B165,Table2[[prolific]:[feedbackTime]],13,FALSE)=VLOOKUP(L$1,Table1[],2,FALSE),1,0)</f>
        <v>#N/A</v>
      </c>
      <c r="M165" s="5" t="e">
        <f>IF(VLOOKUP($B165,Table2[[prolific]:[feedbackTime]],14,FALSE)=VLOOKUP(M$1,Table1[],2,FALSE),1,0)</f>
        <v>#N/A</v>
      </c>
      <c r="N165" s="5" t="e">
        <f t="shared" si="67"/>
        <v>#N/A</v>
      </c>
      <c r="O165" s="7" t="e">
        <f t="shared" si="68"/>
        <v>#N/A</v>
      </c>
      <c r="P165" s="5" t="e">
        <f>IF(VLOOKUP($B165,Table2[[prolific]:[feedbackTime]],15,FALSE)=VLOOKUP(P$1,Table1[],2,FALSE),1,0)</f>
        <v>#N/A</v>
      </c>
      <c r="Q165" s="5" t="e">
        <f>IF(VLOOKUP($B165,Table2[[prolific]:[feedbackTime]],16,FALSE)=VLOOKUP(Q$1,Table1[],2,FALSE),1,0)</f>
        <v>#N/A</v>
      </c>
      <c r="R165" s="5" t="e">
        <f>IF(VLOOKUP($B165,Table2[[prolific]:[feedbackTime]],17,FALSE)=VLOOKUP(R$1,Table1[],2,FALSE),1,0)</f>
        <v>#N/A</v>
      </c>
      <c r="S165" s="5" t="e">
        <f>IF(VLOOKUP($B165,Table2[[prolific]:[feedbackTime]],18,FALSE)=VLOOKUP(S$1,Table1[],2,FALSE),1,0)</f>
        <v>#N/A</v>
      </c>
      <c r="T165" s="5" t="e">
        <f>IF(VLOOKUP($B165,Table2[[prolific]:[feedbackTime]],19,FALSE)=VLOOKUP(T$1,Table1[],2,FALSE),1,0)</f>
        <v>#N/A</v>
      </c>
      <c r="U165" s="5" t="e">
        <f>IF(VLOOKUP($B165,Table2[[prolific]:[feedbackTime]],20,FALSE)=VLOOKUP(U$1,Table1[],2,FALSE),1,0)</f>
        <v>#N/A</v>
      </c>
      <c r="V165" s="5" t="e">
        <f>IF(VLOOKUP($B165,Table2[[prolific]:[feedbackTime]],21,FALSE)=VLOOKUP(V$1,Table1[],2,FALSE),1,0)</f>
        <v>#N/A</v>
      </c>
      <c r="W165" s="5" t="e">
        <f>IF(VLOOKUP($B165,Table2[[prolific]:[feedbackTime]],22,FALSE)=VLOOKUP(W$1,Table1[],2,FALSE),1,0)</f>
        <v>#N/A</v>
      </c>
      <c r="X165" s="5" t="e">
        <f t="shared" si="69"/>
        <v>#N/A</v>
      </c>
      <c r="Y165" s="7" t="e">
        <f t="shared" si="70"/>
        <v>#N/A</v>
      </c>
      <c r="Z165" s="5" t="e">
        <f>IF(VLOOKUP($B165,Table2[[prolific]:[feedbackTime]],23,FALSE)=VLOOKUP(Z$1,Table1[],2,FALSE),1,0)</f>
        <v>#N/A</v>
      </c>
      <c r="AA165" s="5" t="e">
        <f>IF(VLOOKUP($B165,Table2[[prolific]:[feedbackTime]],24,FALSE)=VLOOKUP(AA$1,Table1[],2,FALSE),1,0)</f>
        <v>#N/A</v>
      </c>
      <c r="AB165" s="5" t="e">
        <f>IF(VLOOKUP($B165,Table2[[prolific]:[feedbackTime]],25,FALSE)=VLOOKUP(AB$1,Table1[],2,FALSE),1,0)</f>
        <v>#N/A</v>
      </c>
      <c r="AC165" s="5" t="e">
        <f>IF(VLOOKUP($B165,Table2[[prolific]:[feedbackTime]],26,FALSE)=VLOOKUP(AC$1,Table1[],2,FALSE),1,0)</f>
        <v>#N/A</v>
      </c>
      <c r="AD165" s="5" t="e">
        <f>IF(VLOOKUP($B165,Table2[[prolific]:[feedbackTime]],27,FALSE)=VLOOKUP(AD$1,Table1[],2,FALSE),1,0)</f>
        <v>#N/A</v>
      </c>
      <c r="AE165" s="5" t="e">
        <f>IF(VLOOKUP($B165,Table2[[prolific]:[feedbackTime]],28,FALSE)=VLOOKUP(AE$1,Table1[],2,FALSE),1,0)</f>
        <v>#N/A</v>
      </c>
      <c r="AF165" s="5" t="e">
        <f>IF(VLOOKUP($B165,Table2[[prolific]:[feedbackTime]],29,FALSE)=VLOOKUP(AF$1,Table1[],2,FALSE),1,0)</f>
        <v>#N/A</v>
      </c>
      <c r="AG165" s="5" t="e">
        <f>IF(VLOOKUP($B165,Table2[[prolific]:[feedbackTime]],30,FALSE)=VLOOKUP(AG$1,Table1[],2,FALSE),1,0)</f>
        <v>#N/A</v>
      </c>
      <c r="AH165" s="5" t="e">
        <f t="shared" si="71"/>
        <v>#N/A</v>
      </c>
      <c r="AI165" s="7" t="e">
        <f t="shared" si="72"/>
        <v>#N/A</v>
      </c>
      <c r="AJ165" s="7" t="e">
        <f t="shared" si="73"/>
        <v>#N/A</v>
      </c>
      <c r="AK165" s="5" t="e">
        <f t="shared" si="74"/>
        <v>#N/A</v>
      </c>
    </row>
    <row r="166" spans="1:37" x14ac:dyDescent="0.25">
      <c r="A166">
        <f t="shared" si="75"/>
        <v>1</v>
      </c>
      <c r="B166" s="5" t="s">
        <v>1127</v>
      </c>
      <c r="C166" s="5">
        <f>IF(VLOOKUP($B166,Table2[[prolific]:[feedbackTime]],6,FALSE)=VLOOKUP(C$1,Table1[],2,FALSE),1,0)</f>
        <v>1</v>
      </c>
      <c r="D166" s="5">
        <f>IF(VLOOKUP($B166,Table2[[prolific]:[feedbackTime]],7,FALSE)=VLOOKUP(D$1,Table1[],2,FALSE),1,0)</f>
        <v>1</v>
      </c>
      <c r="E166" s="5">
        <f>IF(VLOOKUP($B166,Table2[[prolific]:[feedbackTime]],8,FALSE)=VLOOKUP(E$1,Table1[],2,FALSE),1,0)</f>
        <v>1</v>
      </c>
      <c r="F166" s="5">
        <f t="shared" si="65"/>
        <v>3</v>
      </c>
      <c r="G166" s="7">
        <f t="shared" si="66"/>
        <v>1</v>
      </c>
      <c r="H166" s="5">
        <f>IF(VLOOKUP($B166,Table2[[prolific]:[feedbackTime]],9,FALSE)=VLOOKUP(H$1,Table1[],2,FALSE),1,0)</f>
        <v>1</v>
      </c>
      <c r="I166" s="5">
        <f>IF(VLOOKUP($B166,Table2[[prolific]:[feedbackTime]],10,FALSE)=VLOOKUP(I$1,Table1[],2,FALSE),1,0)</f>
        <v>0</v>
      </c>
      <c r="J166" s="5">
        <f>IF(VLOOKUP($B166,Table2[[prolific]:[feedbackTime]],11,FALSE)=VLOOKUP(J$1,Table1[],2,FALSE),1,0)</f>
        <v>1</v>
      </c>
      <c r="K166" s="5">
        <f>IF(VLOOKUP($B166,Table2[[prolific]:[feedbackTime]],12,FALSE)=VLOOKUP(K$1,Table1[],2,FALSE),1,0)</f>
        <v>1</v>
      </c>
      <c r="L166" s="5">
        <f>IF(VLOOKUP($B166,Table2[[prolific]:[feedbackTime]],13,FALSE)=VLOOKUP(L$1,Table1[],2,FALSE),1,0)</f>
        <v>0</v>
      </c>
      <c r="M166" s="5">
        <f>IF(VLOOKUP($B166,Table2[[prolific]:[feedbackTime]],14,FALSE)=VLOOKUP(M$1,Table1[],2,FALSE),1,0)</f>
        <v>1</v>
      </c>
      <c r="N166" s="5">
        <f t="shared" si="67"/>
        <v>4</v>
      </c>
      <c r="O166" s="7">
        <f t="shared" si="68"/>
        <v>0.66666666666666663</v>
      </c>
      <c r="P166" s="5">
        <f>IF(VLOOKUP($B166,Table2[[prolific]:[feedbackTime]],15,FALSE)=VLOOKUP(P$1,Table1[],2,FALSE),1,0)</f>
        <v>1</v>
      </c>
      <c r="Q166" s="5">
        <f>IF(VLOOKUP($B166,Table2[[prolific]:[feedbackTime]],16,FALSE)=VLOOKUP(Q$1,Table1[],2,FALSE),1,0)</f>
        <v>1</v>
      </c>
      <c r="R166" s="5">
        <f>IF(VLOOKUP($B166,Table2[[prolific]:[feedbackTime]],17,FALSE)=VLOOKUP(R$1,Table1[],2,FALSE),1,0)</f>
        <v>1</v>
      </c>
      <c r="S166" s="5">
        <f>IF(VLOOKUP($B166,Table2[[prolific]:[feedbackTime]],18,FALSE)=VLOOKUP(S$1,Table1[],2,FALSE),1,0)</f>
        <v>1</v>
      </c>
      <c r="T166" s="5">
        <f>IF(VLOOKUP($B166,Table2[[prolific]:[feedbackTime]],19,FALSE)=VLOOKUP(T$1,Table1[],2,FALSE),1,0)</f>
        <v>1</v>
      </c>
      <c r="U166" s="5">
        <f>IF(VLOOKUP($B166,Table2[[prolific]:[feedbackTime]],20,FALSE)=VLOOKUP(U$1,Table1[],2,FALSE),1,0)</f>
        <v>1</v>
      </c>
      <c r="V166" s="5">
        <f>IF(VLOOKUP($B166,Table2[[prolific]:[feedbackTime]],21,FALSE)=VLOOKUP(V$1,Table1[],2,FALSE),1,0)</f>
        <v>0</v>
      </c>
      <c r="W166" s="5">
        <f>IF(VLOOKUP($B166,Table2[[prolific]:[feedbackTime]],22,FALSE)=VLOOKUP(W$1,Table1[],2,FALSE),1,0)</f>
        <v>0</v>
      </c>
      <c r="X166" s="5">
        <f t="shared" si="69"/>
        <v>6</v>
      </c>
      <c r="Y166" s="7">
        <f t="shared" si="70"/>
        <v>0.75</v>
      </c>
      <c r="Z166" s="5">
        <f>IF(VLOOKUP($B166,Table2[[prolific]:[feedbackTime]],23,FALSE)=VLOOKUP(Z$1,Table1[],2,FALSE),1,0)</f>
        <v>1</v>
      </c>
      <c r="AA166" s="5">
        <f>IF(VLOOKUP($B166,Table2[[prolific]:[feedbackTime]],24,FALSE)=VLOOKUP(AA$1,Table1[],2,FALSE),1,0)</f>
        <v>1</v>
      </c>
      <c r="AB166" s="5">
        <f>IF(VLOOKUP($B166,Table2[[prolific]:[feedbackTime]],25,FALSE)=VLOOKUP(AB$1,Table1[],2,FALSE),1,0)</f>
        <v>0</v>
      </c>
      <c r="AC166" s="5">
        <f>IF(VLOOKUP($B166,Table2[[prolific]:[feedbackTime]],26,FALSE)=VLOOKUP(AC$1,Table1[],2,FALSE),1,0)</f>
        <v>1</v>
      </c>
      <c r="AD166" s="5">
        <f>IF(VLOOKUP($B166,Table2[[prolific]:[feedbackTime]],27,FALSE)=VLOOKUP(AD$1,Table1[],2,FALSE),1,0)</f>
        <v>0</v>
      </c>
      <c r="AE166" s="5">
        <f>IF(VLOOKUP($B166,Table2[[prolific]:[feedbackTime]],28,FALSE)=VLOOKUP(AE$1,Table1[],2,FALSE),1,0)</f>
        <v>1</v>
      </c>
      <c r="AF166" s="5">
        <f>IF(VLOOKUP($B166,Table2[[prolific]:[feedbackTime]],29,FALSE)=VLOOKUP(AF$1,Table1[],2,FALSE),1,0)</f>
        <v>1</v>
      </c>
      <c r="AG166" s="5">
        <f>IF(VLOOKUP($B166,Table2[[prolific]:[feedbackTime]],30,FALSE)=VLOOKUP(AG$1,Table1[],2,FALSE),1,0)</f>
        <v>1</v>
      </c>
      <c r="AH166" s="5">
        <f t="shared" si="71"/>
        <v>6</v>
      </c>
      <c r="AI166" s="7">
        <f t="shared" si="72"/>
        <v>0.75</v>
      </c>
      <c r="AJ166" s="7">
        <f t="shared" si="73"/>
        <v>0.72727272727272729</v>
      </c>
      <c r="AK166" s="5">
        <f t="shared" si="74"/>
        <v>16</v>
      </c>
    </row>
    <row r="167" spans="1:37" x14ac:dyDescent="0.25">
      <c r="A167">
        <f t="shared" si="75"/>
        <v>1</v>
      </c>
      <c r="B167" s="5" t="s">
        <v>1128</v>
      </c>
      <c r="C167" s="5">
        <f>IF(VLOOKUP($B167,Table2[[prolific]:[feedbackTime]],6,FALSE)=VLOOKUP(C$1,Table1[],2,FALSE),1,0)</f>
        <v>1</v>
      </c>
      <c r="D167" s="5">
        <f>IF(VLOOKUP($B167,Table2[[prolific]:[feedbackTime]],7,FALSE)=VLOOKUP(D$1,Table1[],2,FALSE),1,0)</f>
        <v>1</v>
      </c>
      <c r="E167" s="5">
        <f>IF(VLOOKUP($B167,Table2[[prolific]:[feedbackTime]],8,FALSE)=VLOOKUP(E$1,Table1[],2,FALSE),1,0)</f>
        <v>1</v>
      </c>
      <c r="F167" s="5">
        <f t="shared" si="65"/>
        <v>3</v>
      </c>
      <c r="G167" s="7">
        <f t="shared" si="66"/>
        <v>1</v>
      </c>
      <c r="H167" s="5">
        <f>IF(VLOOKUP($B167,Table2[[prolific]:[feedbackTime]],9,FALSE)=VLOOKUP(H$1,Table1[],2,FALSE),1,0)</f>
        <v>0</v>
      </c>
      <c r="I167" s="5">
        <f>IF(VLOOKUP($B167,Table2[[prolific]:[feedbackTime]],10,FALSE)=VLOOKUP(I$1,Table1[],2,FALSE),1,0)</f>
        <v>0</v>
      </c>
      <c r="J167" s="5">
        <f>IF(VLOOKUP($B167,Table2[[prolific]:[feedbackTime]],11,FALSE)=VLOOKUP(J$1,Table1[],2,FALSE),1,0)</f>
        <v>1</v>
      </c>
      <c r="K167" s="5">
        <f>IF(VLOOKUP($B167,Table2[[prolific]:[feedbackTime]],12,FALSE)=VLOOKUP(K$1,Table1[],2,FALSE),1,0)</f>
        <v>1</v>
      </c>
      <c r="L167" s="5">
        <f>IF(VLOOKUP($B167,Table2[[prolific]:[feedbackTime]],13,FALSE)=VLOOKUP(L$1,Table1[],2,FALSE),1,0)</f>
        <v>0</v>
      </c>
      <c r="M167" s="5">
        <f>IF(VLOOKUP($B167,Table2[[prolific]:[feedbackTime]],14,FALSE)=VLOOKUP(M$1,Table1[],2,FALSE),1,0)</f>
        <v>0</v>
      </c>
      <c r="N167" s="5">
        <f t="shared" si="67"/>
        <v>2</v>
      </c>
      <c r="O167" s="7">
        <f t="shared" si="68"/>
        <v>0.33333333333333331</v>
      </c>
      <c r="P167" s="5">
        <f>IF(VLOOKUP($B167,Table2[[prolific]:[feedbackTime]],15,FALSE)=VLOOKUP(P$1,Table1[],2,FALSE),1,0)</f>
        <v>1</v>
      </c>
      <c r="Q167" s="5">
        <f>IF(VLOOKUP($B167,Table2[[prolific]:[feedbackTime]],16,FALSE)=VLOOKUP(Q$1,Table1[],2,FALSE),1,0)</f>
        <v>1</v>
      </c>
      <c r="R167" s="5">
        <f>IF(VLOOKUP($B167,Table2[[prolific]:[feedbackTime]],17,FALSE)=VLOOKUP(R$1,Table1[],2,FALSE),1,0)</f>
        <v>0</v>
      </c>
      <c r="S167" s="5">
        <f>IF(VLOOKUP($B167,Table2[[prolific]:[feedbackTime]],18,FALSE)=VLOOKUP(S$1,Table1[],2,FALSE),1,0)</f>
        <v>1</v>
      </c>
      <c r="T167" s="5">
        <f>IF(VLOOKUP($B167,Table2[[prolific]:[feedbackTime]],19,FALSE)=VLOOKUP(T$1,Table1[],2,FALSE),1,0)</f>
        <v>1</v>
      </c>
      <c r="U167" s="5">
        <f>IF(VLOOKUP($B167,Table2[[prolific]:[feedbackTime]],20,FALSE)=VLOOKUP(U$1,Table1[],2,FALSE),1,0)</f>
        <v>0</v>
      </c>
      <c r="V167" s="5">
        <f>IF(VLOOKUP($B167,Table2[[prolific]:[feedbackTime]],21,FALSE)=VLOOKUP(V$1,Table1[],2,FALSE),1,0)</f>
        <v>0</v>
      </c>
      <c r="W167" s="5">
        <f>IF(VLOOKUP($B167,Table2[[prolific]:[feedbackTime]],22,FALSE)=VLOOKUP(W$1,Table1[],2,FALSE),1,0)</f>
        <v>1</v>
      </c>
      <c r="X167" s="5">
        <f t="shared" si="69"/>
        <v>5</v>
      </c>
      <c r="Y167" s="7">
        <f t="shared" si="70"/>
        <v>0.625</v>
      </c>
      <c r="Z167" s="5">
        <f>IF(VLOOKUP($B167,Table2[[prolific]:[feedbackTime]],23,FALSE)=VLOOKUP(Z$1,Table1[],2,FALSE),1,0)</f>
        <v>1</v>
      </c>
      <c r="AA167" s="5">
        <f>IF(VLOOKUP($B167,Table2[[prolific]:[feedbackTime]],24,FALSE)=VLOOKUP(AA$1,Table1[],2,FALSE),1,0)</f>
        <v>0</v>
      </c>
      <c r="AB167" s="5">
        <f>IF(VLOOKUP($B167,Table2[[prolific]:[feedbackTime]],25,FALSE)=VLOOKUP(AB$1,Table1[],2,FALSE),1,0)</f>
        <v>1</v>
      </c>
      <c r="AC167" s="5">
        <f>IF(VLOOKUP($B167,Table2[[prolific]:[feedbackTime]],26,FALSE)=VLOOKUP(AC$1,Table1[],2,FALSE),1,0)</f>
        <v>0</v>
      </c>
      <c r="AD167" s="5">
        <f>IF(VLOOKUP($B167,Table2[[prolific]:[feedbackTime]],27,FALSE)=VLOOKUP(AD$1,Table1[],2,FALSE),1,0)</f>
        <v>1</v>
      </c>
      <c r="AE167" s="5">
        <f>IF(VLOOKUP($B167,Table2[[prolific]:[feedbackTime]],28,FALSE)=VLOOKUP(AE$1,Table1[],2,FALSE),1,0)</f>
        <v>1</v>
      </c>
      <c r="AF167" s="5">
        <f>IF(VLOOKUP($B167,Table2[[prolific]:[feedbackTime]],29,FALSE)=VLOOKUP(AF$1,Table1[],2,FALSE),1,0)</f>
        <v>1</v>
      </c>
      <c r="AG167" s="5">
        <f>IF(VLOOKUP($B167,Table2[[prolific]:[feedbackTime]],30,FALSE)=VLOOKUP(AG$1,Table1[],2,FALSE),1,0)</f>
        <v>1</v>
      </c>
      <c r="AH167" s="5">
        <f t="shared" si="71"/>
        <v>6</v>
      </c>
      <c r="AI167" s="7">
        <f t="shared" si="72"/>
        <v>0.75</v>
      </c>
      <c r="AJ167" s="7">
        <f t="shared" si="73"/>
        <v>0.59090909090909094</v>
      </c>
      <c r="AK167" s="5">
        <f t="shared" si="74"/>
        <v>13</v>
      </c>
    </row>
    <row r="168" spans="1:37" x14ac:dyDescent="0.25">
      <c r="A168">
        <f t="shared" si="75"/>
        <v>1</v>
      </c>
      <c r="B168" s="5" t="s">
        <v>1131</v>
      </c>
      <c r="C168" s="5">
        <f>IF(VLOOKUP($B168,Table2[[prolific]:[feedbackTime]],6,FALSE)=VLOOKUP(C$1,Table1[],2,FALSE),1,0)</f>
        <v>0</v>
      </c>
      <c r="D168" s="5">
        <f>IF(VLOOKUP($B168,Table2[[prolific]:[feedbackTime]],7,FALSE)=VLOOKUP(D$1,Table1[],2,FALSE),1,0)</f>
        <v>0</v>
      </c>
      <c r="E168" s="5">
        <f>IF(VLOOKUP($B168,Table2[[prolific]:[feedbackTime]],8,FALSE)=VLOOKUP(E$1,Table1[],2,FALSE),1,0)</f>
        <v>1</v>
      </c>
      <c r="F168" s="5">
        <f t="shared" si="65"/>
        <v>1</v>
      </c>
      <c r="G168" s="7">
        <f t="shared" si="66"/>
        <v>0.33333333333333331</v>
      </c>
      <c r="H168" s="5">
        <f>IF(VLOOKUP($B168,Table2[[prolific]:[feedbackTime]],9,FALSE)=VLOOKUP(H$1,Table1[],2,FALSE),1,0)</f>
        <v>1</v>
      </c>
      <c r="I168" s="5">
        <f>IF(VLOOKUP($B168,Table2[[prolific]:[feedbackTime]],10,FALSE)=VLOOKUP(I$1,Table1[],2,FALSE),1,0)</f>
        <v>1</v>
      </c>
      <c r="J168" s="5">
        <f>IF(VLOOKUP($B168,Table2[[prolific]:[feedbackTime]],11,FALSE)=VLOOKUP(J$1,Table1[],2,FALSE),1,0)</f>
        <v>1</v>
      </c>
      <c r="K168" s="5">
        <f>IF(VLOOKUP($B168,Table2[[prolific]:[feedbackTime]],12,FALSE)=VLOOKUP(K$1,Table1[],2,FALSE),1,0)</f>
        <v>1</v>
      </c>
      <c r="L168" s="5">
        <f>IF(VLOOKUP($B168,Table2[[prolific]:[feedbackTime]],13,FALSE)=VLOOKUP(L$1,Table1[],2,FALSE),1,0)</f>
        <v>0</v>
      </c>
      <c r="M168" s="5">
        <f>IF(VLOOKUP($B168,Table2[[prolific]:[feedbackTime]],14,FALSE)=VLOOKUP(M$1,Table1[],2,FALSE),1,0)</f>
        <v>1</v>
      </c>
      <c r="N168" s="5">
        <f t="shared" si="67"/>
        <v>5</v>
      </c>
      <c r="O168" s="7">
        <f t="shared" si="68"/>
        <v>0.83333333333333337</v>
      </c>
      <c r="P168" s="5">
        <f>IF(VLOOKUP($B168,Table2[[prolific]:[feedbackTime]],15,FALSE)=VLOOKUP(P$1,Table1[],2,FALSE),1,0)</f>
        <v>1</v>
      </c>
      <c r="Q168" s="5">
        <f>IF(VLOOKUP($B168,Table2[[prolific]:[feedbackTime]],16,FALSE)=VLOOKUP(Q$1,Table1[],2,FALSE),1,0)</f>
        <v>1</v>
      </c>
      <c r="R168" s="5">
        <f>IF(VLOOKUP($B168,Table2[[prolific]:[feedbackTime]],17,FALSE)=VLOOKUP(R$1,Table1[],2,FALSE),1,0)</f>
        <v>1</v>
      </c>
      <c r="S168" s="5">
        <f>IF(VLOOKUP($B168,Table2[[prolific]:[feedbackTime]],18,FALSE)=VLOOKUP(S$1,Table1[],2,FALSE),1,0)</f>
        <v>1</v>
      </c>
      <c r="T168" s="5">
        <f>IF(VLOOKUP($B168,Table2[[prolific]:[feedbackTime]],19,FALSE)=VLOOKUP(T$1,Table1[],2,FALSE),1,0)</f>
        <v>1</v>
      </c>
      <c r="U168" s="5">
        <f>IF(VLOOKUP($B168,Table2[[prolific]:[feedbackTime]],20,FALSE)=VLOOKUP(U$1,Table1[],2,FALSE),1,0)</f>
        <v>1</v>
      </c>
      <c r="V168" s="5">
        <f>IF(VLOOKUP($B168,Table2[[prolific]:[feedbackTime]],21,FALSE)=VLOOKUP(V$1,Table1[],2,FALSE),1,0)</f>
        <v>1</v>
      </c>
      <c r="W168" s="5">
        <f>IF(VLOOKUP($B168,Table2[[prolific]:[feedbackTime]],22,FALSE)=VLOOKUP(W$1,Table1[],2,FALSE),1,0)</f>
        <v>0</v>
      </c>
      <c r="X168" s="5">
        <f t="shared" si="69"/>
        <v>7</v>
      </c>
      <c r="Y168" s="7">
        <f t="shared" si="70"/>
        <v>0.875</v>
      </c>
      <c r="Z168" s="5">
        <f>IF(VLOOKUP($B168,Table2[[prolific]:[feedbackTime]],23,FALSE)=VLOOKUP(Z$1,Table1[],2,FALSE),1,0)</f>
        <v>1</v>
      </c>
      <c r="AA168" s="5">
        <f>IF(VLOOKUP($B168,Table2[[prolific]:[feedbackTime]],24,FALSE)=VLOOKUP(AA$1,Table1[],2,FALSE),1,0)</f>
        <v>0</v>
      </c>
      <c r="AB168" s="5">
        <f>IF(VLOOKUP($B168,Table2[[prolific]:[feedbackTime]],25,FALSE)=VLOOKUP(AB$1,Table1[],2,FALSE),1,0)</f>
        <v>0</v>
      </c>
      <c r="AC168" s="5">
        <f>IF(VLOOKUP($B168,Table2[[prolific]:[feedbackTime]],26,FALSE)=VLOOKUP(AC$1,Table1[],2,FALSE),1,0)</f>
        <v>1</v>
      </c>
      <c r="AD168" s="5">
        <f>IF(VLOOKUP($B168,Table2[[prolific]:[feedbackTime]],27,FALSE)=VLOOKUP(AD$1,Table1[],2,FALSE),1,0)</f>
        <v>0</v>
      </c>
      <c r="AE168" s="5">
        <f>IF(VLOOKUP($B168,Table2[[prolific]:[feedbackTime]],28,FALSE)=VLOOKUP(AE$1,Table1[],2,FALSE),1,0)</f>
        <v>1</v>
      </c>
      <c r="AF168" s="5">
        <f>IF(VLOOKUP($B168,Table2[[prolific]:[feedbackTime]],29,FALSE)=VLOOKUP(AF$1,Table1[],2,FALSE),1,0)</f>
        <v>1</v>
      </c>
      <c r="AG168" s="5">
        <f>IF(VLOOKUP($B168,Table2[[prolific]:[feedbackTime]],30,FALSE)=VLOOKUP(AG$1,Table1[],2,FALSE),1,0)</f>
        <v>1</v>
      </c>
      <c r="AH168" s="5">
        <f t="shared" si="71"/>
        <v>5</v>
      </c>
      <c r="AI168" s="7">
        <f t="shared" si="72"/>
        <v>0.625</v>
      </c>
      <c r="AJ168" s="7">
        <f t="shared" si="73"/>
        <v>0.77272727272727271</v>
      </c>
      <c r="AK168" s="5">
        <f t="shared" si="74"/>
        <v>17</v>
      </c>
    </row>
    <row r="169" spans="1:37" x14ac:dyDescent="0.25">
      <c r="A169">
        <f t="shared" si="75"/>
        <v>1</v>
      </c>
      <c r="B169" s="5" t="s">
        <v>1241</v>
      </c>
      <c r="C169" s="5" t="e">
        <f>IF(VLOOKUP($B169,Table2[[prolific]:[feedbackTime]],6,FALSE)=VLOOKUP(C$1,Table1[],2,FALSE),1,0)</f>
        <v>#N/A</v>
      </c>
      <c r="D169" s="5" t="e">
        <f>IF(VLOOKUP($B169,Table2[[prolific]:[feedbackTime]],7,FALSE)=VLOOKUP(D$1,Table1[],2,FALSE),1,0)</f>
        <v>#N/A</v>
      </c>
      <c r="E169" s="5" t="e">
        <f>IF(VLOOKUP($B169,Table2[[prolific]:[feedbackTime]],8,FALSE)=VLOOKUP(E$1,Table1[],2,FALSE),1,0)</f>
        <v>#N/A</v>
      </c>
      <c r="F169" s="5" t="e">
        <f t="shared" si="65"/>
        <v>#N/A</v>
      </c>
      <c r="G169" s="7" t="e">
        <f t="shared" si="66"/>
        <v>#N/A</v>
      </c>
      <c r="H169" s="5" t="e">
        <f>IF(VLOOKUP($B169,Table2[[prolific]:[feedbackTime]],9,FALSE)=VLOOKUP(H$1,Table1[],2,FALSE),1,0)</f>
        <v>#N/A</v>
      </c>
      <c r="I169" s="5" t="e">
        <f>IF(VLOOKUP($B169,Table2[[prolific]:[feedbackTime]],10,FALSE)=VLOOKUP(I$1,Table1[],2,FALSE),1,0)</f>
        <v>#N/A</v>
      </c>
      <c r="J169" s="5" t="e">
        <f>IF(VLOOKUP($B169,Table2[[prolific]:[feedbackTime]],11,FALSE)=VLOOKUP(J$1,Table1[],2,FALSE),1,0)</f>
        <v>#N/A</v>
      </c>
      <c r="K169" s="5" t="e">
        <f>IF(VLOOKUP($B169,Table2[[prolific]:[feedbackTime]],12,FALSE)=VLOOKUP(K$1,Table1[],2,FALSE),1,0)</f>
        <v>#N/A</v>
      </c>
      <c r="L169" s="5" t="e">
        <f>IF(VLOOKUP($B169,Table2[[prolific]:[feedbackTime]],13,FALSE)=VLOOKUP(L$1,Table1[],2,FALSE),1,0)</f>
        <v>#N/A</v>
      </c>
      <c r="M169" s="5" t="e">
        <f>IF(VLOOKUP($B169,Table2[[prolific]:[feedbackTime]],14,FALSE)=VLOOKUP(M$1,Table1[],2,FALSE),1,0)</f>
        <v>#N/A</v>
      </c>
      <c r="N169" s="5" t="e">
        <f t="shared" si="67"/>
        <v>#N/A</v>
      </c>
      <c r="O169" s="7" t="e">
        <f t="shared" si="68"/>
        <v>#N/A</v>
      </c>
      <c r="P169" s="5" t="e">
        <f>IF(VLOOKUP($B169,Table2[[prolific]:[feedbackTime]],15,FALSE)=VLOOKUP(P$1,Table1[],2,FALSE),1,0)</f>
        <v>#N/A</v>
      </c>
      <c r="Q169" s="5" t="e">
        <f>IF(VLOOKUP($B169,Table2[[prolific]:[feedbackTime]],16,FALSE)=VLOOKUP(Q$1,Table1[],2,FALSE),1,0)</f>
        <v>#N/A</v>
      </c>
      <c r="R169" s="5" t="e">
        <f>IF(VLOOKUP($B169,Table2[[prolific]:[feedbackTime]],17,FALSE)=VLOOKUP(R$1,Table1[],2,FALSE),1,0)</f>
        <v>#N/A</v>
      </c>
      <c r="S169" s="5" t="e">
        <f>IF(VLOOKUP($B169,Table2[[prolific]:[feedbackTime]],18,FALSE)=VLOOKUP(S$1,Table1[],2,FALSE),1,0)</f>
        <v>#N/A</v>
      </c>
      <c r="T169" s="5" t="e">
        <f>IF(VLOOKUP($B169,Table2[[prolific]:[feedbackTime]],19,FALSE)=VLOOKUP(T$1,Table1[],2,FALSE),1,0)</f>
        <v>#N/A</v>
      </c>
      <c r="U169" s="5" t="e">
        <f>IF(VLOOKUP($B169,Table2[[prolific]:[feedbackTime]],20,FALSE)=VLOOKUP(U$1,Table1[],2,FALSE),1,0)</f>
        <v>#N/A</v>
      </c>
      <c r="V169" s="5" t="e">
        <f>IF(VLOOKUP($B169,Table2[[prolific]:[feedbackTime]],21,FALSE)=VLOOKUP(V$1,Table1[],2,FALSE),1,0)</f>
        <v>#N/A</v>
      </c>
      <c r="W169" s="5" t="e">
        <f>IF(VLOOKUP($B169,Table2[[prolific]:[feedbackTime]],22,FALSE)=VLOOKUP(W$1,Table1[],2,FALSE),1,0)</f>
        <v>#N/A</v>
      </c>
      <c r="X169" s="5" t="e">
        <f t="shared" si="69"/>
        <v>#N/A</v>
      </c>
      <c r="Y169" s="7" t="e">
        <f t="shared" si="70"/>
        <v>#N/A</v>
      </c>
      <c r="Z169" s="5" t="e">
        <f>IF(VLOOKUP($B169,Table2[[prolific]:[feedbackTime]],23,FALSE)=VLOOKUP(Z$1,Table1[],2,FALSE),1,0)</f>
        <v>#N/A</v>
      </c>
      <c r="AA169" s="5" t="e">
        <f>IF(VLOOKUP($B169,Table2[[prolific]:[feedbackTime]],24,FALSE)=VLOOKUP(AA$1,Table1[],2,FALSE),1,0)</f>
        <v>#N/A</v>
      </c>
      <c r="AB169" s="5" t="e">
        <f>IF(VLOOKUP($B169,Table2[[prolific]:[feedbackTime]],25,FALSE)=VLOOKUP(AB$1,Table1[],2,FALSE),1,0)</f>
        <v>#N/A</v>
      </c>
      <c r="AC169" s="5" t="e">
        <f>IF(VLOOKUP($B169,Table2[[prolific]:[feedbackTime]],26,FALSE)=VLOOKUP(AC$1,Table1[],2,FALSE),1,0)</f>
        <v>#N/A</v>
      </c>
      <c r="AD169" s="5" t="e">
        <f>IF(VLOOKUP($B169,Table2[[prolific]:[feedbackTime]],27,FALSE)=VLOOKUP(AD$1,Table1[],2,FALSE),1,0)</f>
        <v>#N/A</v>
      </c>
      <c r="AE169" s="5" t="e">
        <f>IF(VLOOKUP($B169,Table2[[prolific]:[feedbackTime]],28,FALSE)=VLOOKUP(AE$1,Table1[],2,FALSE),1,0)</f>
        <v>#N/A</v>
      </c>
      <c r="AF169" s="5" t="e">
        <f>IF(VLOOKUP($B169,Table2[[prolific]:[feedbackTime]],29,FALSE)=VLOOKUP(AF$1,Table1[],2,FALSE),1,0)</f>
        <v>#N/A</v>
      </c>
      <c r="AG169" s="5" t="e">
        <f>IF(VLOOKUP($B169,Table2[[prolific]:[feedbackTime]],30,FALSE)=VLOOKUP(AG$1,Table1[],2,FALSE),1,0)</f>
        <v>#N/A</v>
      </c>
      <c r="AH169" s="5" t="e">
        <f t="shared" si="71"/>
        <v>#N/A</v>
      </c>
      <c r="AI169" s="7" t="e">
        <f t="shared" si="72"/>
        <v>#N/A</v>
      </c>
      <c r="AJ169" s="7" t="e">
        <f t="shared" si="73"/>
        <v>#N/A</v>
      </c>
      <c r="AK169" s="5" t="e">
        <f t="shared" si="74"/>
        <v>#N/A</v>
      </c>
    </row>
    <row r="170" spans="1:37" x14ac:dyDescent="0.25">
      <c r="A170">
        <f t="shared" si="75"/>
        <v>1</v>
      </c>
      <c r="B170" s="5" t="s">
        <v>1129</v>
      </c>
      <c r="C170" s="5">
        <f>IF(VLOOKUP($B170,Table2[[prolific]:[feedbackTime]],6,FALSE)=VLOOKUP(C$1,Table1[],2,FALSE),1,0)</f>
        <v>1</v>
      </c>
      <c r="D170" s="5">
        <f>IF(VLOOKUP($B170,Table2[[prolific]:[feedbackTime]],7,FALSE)=VLOOKUP(D$1,Table1[],2,FALSE),1,0)</f>
        <v>1</v>
      </c>
      <c r="E170" s="5">
        <f>IF(VLOOKUP($B170,Table2[[prolific]:[feedbackTime]],8,FALSE)=VLOOKUP(E$1,Table1[],2,FALSE),1,0)</f>
        <v>1</v>
      </c>
      <c r="F170" s="5">
        <f t="shared" si="65"/>
        <v>3</v>
      </c>
      <c r="G170" s="7">
        <f t="shared" si="66"/>
        <v>1</v>
      </c>
      <c r="H170" s="5">
        <f>IF(VLOOKUP($B170,Table2[[prolific]:[feedbackTime]],9,FALSE)=VLOOKUP(H$1,Table1[],2,FALSE),1,0)</f>
        <v>1</v>
      </c>
      <c r="I170" s="5">
        <f>IF(VLOOKUP($B170,Table2[[prolific]:[feedbackTime]],10,FALSE)=VLOOKUP(I$1,Table1[],2,FALSE),1,0)</f>
        <v>0</v>
      </c>
      <c r="J170" s="5">
        <f>IF(VLOOKUP($B170,Table2[[prolific]:[feedbackTime]],11,FALSE)=VLOOKUP(J$1,Table1[],2,FALSE),1,0)</f>
        <v>1</v>
      </c>
      <c r="K170" s="5">
        <f>IF(VLOOKUP($B170,Table2[[prolific]:[feedbackTime]],12,FALSE)=VLOOKUP(K$1,Table1[],2,FALSE),1,0)</f>
        <v>1</v>
      </c>
      <c r="L170" s="5">
        <f>IF(VLOOKUP($B170,Table2[[prolific]:[feedbackTime]],13,FALSE)=VLOOKUP(L$1,Table1[],2,FALSE),1,0)</f>
        <v>0</v>
      </c>
      <c r="M170" s="5">
        <f>IF(VLOOKUP($B170,Table2[[prolific]:[feedbackTime]],14,FALSE)=VLOOKUP(M$1,Table1[],2,FALSE),1,0)</f>
        <v>1</v>
      </c>
      <c r="N170" s="5">
        <f t="shared" si="67"/>
        <v>4</v>
      </c>
      <c r="O170" s="7">
        <f t="shared" si="68"/>
        <v>0.66666666666666663</v>
      </c>
      <c r="P170" s="5">
        <f>IF(VLOOKUP($B170,Table2[[prolific]:[feedbackTime]],15,FALSE)=VLOOKUP(P$1,Table1[],2,FALSE),1,0)</f>
        <v>1</v>
      </c>
      <c r="Q170" s="5">
        <f>IF(VLOOKUP($B170,Table2[[prolific]:[feedbackTime]],16,FALSE)=VLOOKUP(Q$1,Table1[],2,FALSE),1,0)</f>
        <v>1</v>
      </c>
      <c r="R170" s="5">
        <f>IF(VLOOKUP($B170,Table2[[prolific]:[feedbackTime]],17,FALSE)=VLOOKUP(R$1,Table1[],2,FALSE),1,0)</f>
        <v>1</v>
      </c>
      <c r="S170" s="5">
        <f>IF(VLOOKUP($B170,Table2[[prolific]:[feedbackTime]],18,FALSE)=VLOOKUP(S$1,Table1[],2,FALSE),1,0)</f>
        <v>1</v>
      </c>
      <c r="T170" s="5">
        <f>IF(VLOOKUP($B170,Table2[[prolific]:[feedbackTime]],19,FALSE)=VLOOKUP(T$1,Table1[],2,FALSE),1,0)</f>
        <v>1</v>
      </c>
      <c r="U170" s="5">
        <f>IF(VLOOKUP($B170,Table2[[prolific]:[feedbackTime]],20,FALSE)=VLOOKUP(U$1,Table1[],2,FALSE),1,0)</f>
        <v>1</v>
      </c>
      <c r="V170" s="5">
        <f>IF(VLOOKUP($B170,Table2[[prolific]:[feedbackTime]],21,FALSE)=VLOOKUP(V$1,Table1[],2,FALSE),1,0)</f>
        <v>0</v>
      </c>
      <c r="W170" s="5">
        <f>IF(VLOOKUP($B170,Table2[[prolific]:[feedbackTime]],22,FALSE)=VLOOKUP(W$1,Table1[],2,FALSE),1,0)</f>
        <v>1</v>
      </c>
      <c r="X170" s="5">
        <f t="shared" si="69"/>
        <v>7</v>
      </c>
      <c r="Y170" s="7">
        <f t="shared" si="70"/>
        <v>0.875</v>
      </c>
      <c r="Z170" s="5">
        <f>IF(VLOOKUP($B170,Table2[[prolific]:[feedbackTime]],23,FALSE)=VLOOKUP(Z$1,Table1[],2,FALSE),1,0)</f>
        <v>1</v>
      </c>
      <c r="AA170" s="5">
        <f>IF(VLOOKUP($B170,Table2[[prolific]:[feedbackTime]],24,FALSE)=VLOOKUP(AA$1,Table1[],2,FALSE),1,0)</f>
        <v>1</v>
      </c>
      <c r="AB170" s="5">
        <f>IF(VLOOKUP($B170,Table2[[prolific]:[feedbackTime]],25,FALSE)=VLOOKUP(AB$1,Table1[],2,FALSE),1,0)</f>
        <v>1</v>
      </c>
      <c r="AC170" s="5">
        <f>IF(VLOOKUP($B170,Table2[[prolific]:[feedbackTime]],26,FALSE)=VLOOKUP(AC$1,Table1[],2,FALSE),1,0)</f>
        <v>1</v>
      </c>
      <c r="AD170" s="5">
        <f>IF(VLOOKUP($B170,Table2[[prolific]:[feedbackTime]],27,FALSE)=VLOOKUP(AD$1,Table1[],2,FALSE),1,0)</f>
        <v>1</v>
      </c>
      <c r="AE170" s="5">
        <f>IF(VLOOKUP($B170,Table2[[prolific]:[feedbackTime]],28,FALSE)=VLOOKUP(AE$1,Table1[],2,FALSE),1,0)</f>
        <v>1</v>
      </c>
      <c r="AF170" s="5">
        <f>IF(VLOOKUP($B170,Table2[[prolific]:[feedbackTime]],29,FALSE)=VLOOKUP(AF$1,Table1[],2,FALSE),1,0)</f>
        <v>1</v>
      </c>
      <c r="AG170" s="5">
        <f>IF(VLOOKUP($B170,Table2[[prolific]:[feedbackTime]],30,FALSE)=VLOOKUP(AG$1,Table1[],2,FALSE),1,0)</f>
        <v>1</v>
      </c>
      <c r="AH170" s="5">
        <f t="shared" si="71"/>
        <v>8</v>
      </c>
      <c r="AI170" s="7">
        <f t="shared" si="72"/>
        <v>1</v>
      </c>
      <c r="AJ170" s="7">
        <f t="shared" si="73"/>
        <v>0.86363636363636365</v>
      </c>
      <c r="AK170" s="5">
        <f t="shared" si="74"/>
        <v>19</v>
      </c>
    </row>
    <row r="171" spans="1:37" x14ac:dyDescent="0.25">
      <c r="A171">
        <f t="shared" si="75"/>
        <v>1</v>
      </c>
      <c r="B171" s="5" t="s">
        <v>1060</v>
      </c>
      <c r="C171" s="5">
        <f>IF(VLOOKUP($B171,Table2[[prolific]:[feedbackTime]],6,FALSE)=VLOOKUP(C$1,Table1[],2,FALSE),1,0)</f>
        <v>1</v>
      </c>
      <c r="D171" s="5">
        <f>IF(VLOOKUP($B171,Table2[[prolific]:[feedbackTime]],7,FALSE)=VLOOKUP(D$1,Table1[],2,FALSE),1,0)</f>
        <v>1</v>
      </c>
      <c r="E171" s="5">
        <f>IF(VLOOKUP($B171,Table2[[prolific]:[feedbackTime]],8,FALSE)=VLOOKUP(E$1,Table1[],2,FALSE),1,0)</f>
        <v>1</v>
      </c>
      <c r="F171" s="5">
        <f t="shared" ref="F171:F191" si="76">SUM(C171:E171)</f>
        <v>3</v>
      </c>
      <c r="G171" s="7">
        <f t="shared" ref="G171:G191" si="77">F171/3</f>
        <v>1</v>
      </c>
      <c r="H171" s="5">
        <f>IF(VLOOKUP($B171,Table2[[prolific]:[feedbackTime]],9,FALSE)=VLOOKUP(H$1,Table1[],2,FALSE),1,0)</f>
        <v>0</v>
      </c>
      <c r="I171" s="5">
        <f>IF(VLOOKUP($B171,Table2[[prolific]:[feedbackTime]],10,FALSE)=VLOOKUP(I$1,Table1[],2,FALSE),1,0)</f>
        <v>0</v>
      </c>
      <c r="J171" s="5">
        <f>IF(VLOOKUP($B171,Table2[[prolific]:[feedbackTime]],11,FALSE)=VLOOKUP(J$1,Table1[],2,FALSE),1,0)</f>
        <v>0</v>
      </c>
      <c r="K171" s="5">
        <f>IF(VLOOKUP($B171,Table2[[prolific]:[feedbackTime]],12,FALSE)=VLOOKUP(K$1,Table1[],2,FALSE),1,0)</f>
        <v>0</v>
      </c>
      <c r="L171" s="5">
        <f>IF(VLOOKUP($B171,Table2[[prolific]:[feedbackTime]],13,FALSE)=VLOOKUP(L$1,Table1[],2,FALSE),1,0)</f>
        <v>1</v>
      </c>
      <c r="M171" s="5">
        <f>IF(VLOOKUP($B171,Table2[[prolific]:[feedbackTime]],14,FALSE)=VLOOKUP(M$1,Table1[],2,FALSE),1,0)</f>
        <v>0</v>
      </c>
      <c r="N171" s="5">
        <f t="shared" ref="N171:N191" si="78">SUM(H171:M171)</f>
        <v>1</v>
      </c>
      <c r="O171" s="7">
        <f t="shared" ref="O171:O191" si="79">N171/6</f>
        <v>0.16666666666666666</v>
      </c>
      <c r="P171" s="5">
        <f>IF(VLOOKUP($B171,Table2[[prolific]:[feedbackTime]],15,FALSE)=VLOOKUP(P$1,Table1[],2,FALSE),1,0)</f>
        <v>0</v>
      </c>
      <c r="Q171" s="5">
        <f>IF(VLOOKUP($B171,Table2[[prolific]:[feedbackTime]],16,FALSE)=VLOOKUP(Q$1,Table1[],2,FALSE),1,0)</f>
        <v>0</v>
      </c>
      <c r="R171" s="5">
        <f>IF(VLOOKUP($B171,Table2[[prolific]:[feedbackTime]],17,FALSE)=VLOOKUP(R$1,Table1[],2,FALSE),1,0)</f>
        <v>1</v>
      </c>
      <c r="S171" s="5">
        <f>IF(VLOOKUP($B171,Table2[[prolific]:[feedbackTime]],18,FALSE)=VLOOKUP(S$1,Table1[],2,FALSE),1,0)</f>
        <v>1</v>
      </c>
      <c r="T171" s="5">
        <f>IF(VLOOKUP($B171,Table2[[prolific]:[feedbackTime]],19,FALSE)=VLOOKUP(T$1,Table1[],2,FALSE),1,0)</f>
        <v>0</v>
      </c>
      <c r="U171" s="5">
        <f>IF(VLOOKUP($B171,Table2[[prolific]:[feedbackTime]],20,FALSE)=VLOOKUP(U$1,Table1[],2,FALSE),1,0)</f>
        <v>1</v>
      </c>
      <c r="V171" s="5">
        <f>IF(VLOOKUP($B171,Table2[[prolific]:[feedbackTime]],21,FALSE)=VLOOKUP(V$1,Table1[],2,FALSE),1,0)</f>
        <v>0</v>
      </c>
      <c r="W171" s="5">
        <f>IF(VLOOKUP($B171,Table2[[prolific]:[feedbackTime]],22,FALSE)=VLOOKUP(W$1,Table1[],2,FALSE),1,0)</f>
        <v>0</v>
      </c>
      <c r="X171" s="5">
        <f t="shared" ref="X171:X191" si="80">SUM(P171:W171)</f>
        <v>3</v>
      </c>
      <c r="Y171" s="7">
        <f t="shared" ref="Y171:Y191" si="81">X171/8</f>
        <v>0.375</v>
      </c>
      <c r="Z171" s="5">
        <f>IF(VLOOKUP($B171,Table2[[prolific]:[feedbackTime]],23,FALSE)=VLOOKUP(Z$1,Table1[],2,FALSE),1,0)</f>
        <v>1</v>
      </c>
      <c r="AA171" s="5">
        <f>IF(VLOOKUP($B171,Table2[[prolific]:[feedbackTime]],24,FALSE)=VLOOKUP(AA$1,Table1[],2,FALSE),1,0)</f>
        <v>0</v>
      </c>
      <c r="AB171" s="5">
        <f>IF(VLOOKUP($B171,Table2[[prolific]:[feedbackTime]],25,FALSE)=VLOOKUP(AB$1,Table1[],2,FALSE),1,0)</f>
        <v>1</v>
      </c>
      <c r="AC171" s="5">
        <f>IF(VLOOKUP($B171,Table2[[prolific]:[feedbackTime]],26,FALSE)=VLOOKUP(AC$1,Table1[],2,FALSE),1,0)</f>
        <v>0</v>
      </c>
      <c r="AD171" s="5">
        <f>IF(VLOOKUP($B171,Table2[[prolific]:[feedbackTime]],27,FALSE)=VLOOKUP(AD$1,Table1[],2,FALSE),1,0)</f>
        <v>1</v>
      </c>
      <c r="AE171" s="5">
        <f>IF(VLOOKUP($B171,Table2[[prolific]:[feedbackTime]],28,FALSE)=VLOOKUP(AE$1,Table1[],2,FALSE),1,0)</f>
        <v>0</v>
      </c>
      <c r="AF171" s="5">
        <f>IF(VLOOKUP($B171,Table2[[prolific]:[feedbackTime]],29,FALSE)=VLOOKUP(AF$1,Table1[],2,FALSE),1,0)</f>
        <v>1</v>
      </c>
      <c r="AG171" s="5">
        <f>IF(VLOOKUP($B171,Table2[[prolific]:[feedbackTime]],30,FALSE)=VLOOKUP(AG$1,Table1[],2,FALSE),1,0)</f>
        <v>0</v>
      </c>
      <c r="AH171" s="5">
        <f t="shared" ref="AH171:AH191" si="82">SUM(Z171:AG171)</f>
        <v>4</v>
      </c>
      <c r="AI171" s="7">
        <f t="shared" ref="AI171:AI191" si="83">AH171/8</f>
        <v>0.5</v>
      </c>
      <c r="AJ171" s="7">
        <f t="shared" ref="AJ171:AJ191" si="84">(N171+X171+AH171)/22</f>
        <v>0.36363636363636365</v>
      </c>
      <c r="AK171" s="5">
        <f t="shared" ref="AK171:AK191" si="85">(N171+X171+AH171)</f>
        <v>8</v>
      </c>
    </row>
    <row r="172" spans="1:37" x14ac:dyDescent="0.25">
      <c r="A172">
        <f t="shared" si="75"/>
        <v>1</v>
      </c>
      <c r="B172" s="5" t="s">
        <v>1061</v>
      </c>
      <c r="C172" s="5">
        <f>IF(VLOOKUP($B172,Table2[[prolific]:[feedbackTime]],6,FALSE)=VLOOKUP(C$1,Table1[],2,FALSE),1,0)</f>
        <v>1</v>
      </c>
      <c r="D172" s="5">
        <f>IF(VLOOKUP($B172,Table2[[prolific]:[feedbackTime]],7,FALSE)=VLOOKUP(D$1,Table1[],2,FALSE),1,0)</f>
        <v>1</v>
      </c>
      <c r="E172" s="5">
        <f>IF(VLOOKUP($B172,Table2[[prolific]:[feedbackTime]],8,FALSE)=VLOOKUP(E$1,Table1[],2,FALSE),1,0)</f>
        <v>1</v>
      </c>
      <c r="F172" s="5">
        <f t="shared" si="76"/>
        <v>3</v>
      </c>
      <c r="G172" s="7">
        <f t="shared" si="77"/>
        <v>1</v>
      </c>
      <c r="H172" s="5">
        <f>IF(VLOOKUP($B172,Table2[[prolific]:[feedbackTime]],9,FALSE)=VLOOKUP(H$1,Table1[],2,FALSE),1,0)</f>
        <v>1</v>
      </c>
      <c r="I172" s="5">
        <f>IF(VLOOKUP($B172,Table2[[prolific]:[feedbackTime]],10,FALSE)=VLOOKUP(I$1,Table1[],2,FALSE),1,0)</f>
        <v>0</v>
      </c>
      <c r="J172" s="5">
        <f>IF(VLOOKUP($B172,Table2[[prolific]:[feedbackTime]],11,FALSE)=VLOOKUP(J$1,Table1[],2,FALSE),1,0)</f>
        <v>1</v>
      </c>
      <c r="K172" s="5">
        <f>IF(VLOOKUP($B172,Table2[[prolific]:[feedbackTime]],12,FALSE)=VLOOKUP(K$1,Table1[],2,FALSE),1,0)</f>
        <v>1</v>
      </c>
      <c r="L172" s="5">
        <f>IF(VLOOKUP($B172,Table2[[prolific]:[feedbackTime]],13,FALSE)=VLOOKUP(L$1,Table1[],2,FALSE),1,0)</f>
        <v>0</v>
      </c>
      <c r="M172" s="5">
        <f>IF(VLOOKUP($B172,Table2[[prolific]:[feedbackTime]],14,FALSE)=VLOOKUP(M$1,Table1[],2,FALSE),1,0)</f>
        <v>0</v>
      </c>
      <c r="N172" s="5">
        <f t="shared" si="78"/>
        <v>3</v>
      </c>
      <c r="O172" s="7">
        <f t="shared" si="79"/>
        <v>0.5</v>
      </c>
      <c r="P172" s="5">
        <f>IF(VLOOKUP($B172,Table2[[prolific]:[feedbackTime]],15,FALSE)=VLOOKUP(P$1,Table1[],2,FALSE),1,0)</f>
        <v>1</v>
      </c>
      <c r="Q172" s="5">
        <f>IF(VLOOKUP($B172,Table2[[prolific]:[feedbackTime]],16,FALSE)=VLOOKUP(Q$1,Table1[],2,FALSE),1,0)</f>
        <v>1</v>
      </c>
      <c r="R172" s="5">
        <f>IF(VLOOKUP($B172,Table2[[prolific]:[feedbackTime]],17,FALSE)=VLOOKUP(R$1,Table1[],2,FALSE),1,0)</f>
        <v>0</v>
      </c>
      <c r="S172" s="5">
        <f>IF(VLOOKUP($B172,Table2[[prolific]:[feedbackTime]],18,FALSE)=VLOOKUP(S$1,Table1[],2,FALSE),1,0)</f>
        <v>0</v>
      </c>
      <c r="T172" s="5">
        <f>IF(VLOOKUP($B172,Table2[[prolific]:[feedbackTime]],19,FALSE)=VLOOKUP(T$1,Table1[],2,FALSE),1,0)</f>
        <v>1</v>
      </c>
      <c r="U172" s="5">
        <f>IF(VLOOKUP($B172,Table2[[prolific]:[feedbackTime]],20,FALSE)=VLOOKUP(U$1,Table1[],2,FALSE),1,0)</f>
        <v>0</v>
      </c>
      <c r="V172" s="5">
        <f>IF(VLOOKUP($B172,Table2[[prolific]:[feedbackTime]],21,FALSE)=VLOOKUP(V$1,Table1[],2,FALSE),1,0)</f>
        <v>0</v>
      </c>
      <c r="W172" s="5">
        <f>IF(VLOOKUP($B172,Table2[[prolific]:[feedbackTime]],22,FALSE)=VLOOKUP(W$1,Table1[],2,FALSE),1,0)</f>
        <v>0</v>
      </c>
      <c r="X172" s="5">
        <f t="shared" si="80"/>
        <v>3</v>
      </c>
      <c r="Y172" s="7">
        <f t="shared" si="81"/>
        <v>0.375</v>
      </c>
      <c r="Z172" s="5">
        <f>IF(VLOOKUP($B172,Table2[[prolific]:[feedbackTime]],23,FALSE)=VLOOKUP(Z$1,Table1[],2,FALSE),1,0)</f>
        <v>1</v>
      </c>
      <c r="AA172" s="5">
        <f>IF(VLOOKUP($B172,Table2[[prolific]:[feedbackTime]],24,FALSE)=VLOOKUP(AA$1,Table1[],2,FALSE),1,0)</f>
        <v>1</v>
      </c>
      <c r="AB172" s="5">
        <f>IF(VLOOKUP($B172,Table2[[prolific]:[feedbackTime]],25,FALSE)=VLOOKUP(AB$1,Table1[],2,FALSE),1,0)</f>
        <v>1</v>
      </c>
      <c r="AC172" s="5">
        <f>IF(VLOOKUP($B172,Table2[[prolific]:[feedbackTime]],26,FALSE)=VLOOKUP(AC$1,Table1[],2,FALSE),1,0)</f>
        <v>1</v>
      </c>
      <c r="AD172" s="5">
        <f>IF(VLOOKUP($B172,Table2[[prolific]:[feedbackTime]],27,FALSE)=VLOOKUP(AD$1,Table1[],2,FALSE),1,0)</f>
        <v>0</v>
      </c>
      <c r="AE172" s="5">
        <f>IF(VLOOKUP($B172,Table2[[prolific]:[feedbackTime]],28,FALSE)=VLOOKUP(AE$1,Table1[],2,FALSE),1,0)</f>
        <v>1</v>
      </c>
      <c r="AF172" s="5">
        <f>IF(VLOOKUP($B172,Table2[[prolific]:[feedbackTime]],29,FALSE)=VLOOKUP(AF$1,Table1[],2,FALSE),1,0)</f>
        <v>0</v>
      </c>
      <c r="AG172" s="5">
        <f>IF(VLOOKUP($B172,Table2[[prolific]:[feedbackTime]],30,FALSE)=VLOOKUP(AG$1,Table1[],2,FALSE),1,0)</f>
        <v>0</v>
      </c>
      <c r="AH172" s="5">
        <f t="shared" si="82"/>
        <v>5</v>
      </c>
      <c r="AI172" s="7">
        <f t="shared" si="83"/>
        <v>0.625</v>
      </c>
      <c r="AJ172" s="7">
        <f t="shared" si="84"/>
        <v>0.5</v>
      </c>
      <c r="AK172" s="5">
        <f t="shared" si="85"/>
        <v>11</v>
      </c>
    </row>
    <row r="173" spans="1:37" x14ac:dyDescent="0.25">
      <c r="A173">
        <f t="shared" si="75"/>
        <v>1</v>
      </c>
      <c r="B173" s="5" t="s">
        <v>1062</v>
      </c>
      <c r="C173" s="5">
        <f>IF(VLOOKUP($B173,Table2[[prolific]:[feedbackTime]],6,FALSE)=VLOOKUP(C$1,Table1[],2,FALSE),1,0)</f>
        <v>1</v>
      </c>
      <c r="D173" s="5">
        <f>IF(VLOOKUP($B173,Table2[[prolific]:[feedbackTime]],7,FALSE)=VLOOKUP(D$1,Table1[],2,FALSE),1,0)</f>
        <v>1</v>
      </c>
      <c r="E173" s="5">
        <f>IF(VLOOKUP($B173,Table2[[prolific]:[feedbackTime]],8,FALSE)=VLOOKUP(E$1,Table1[],2,FALSE),1,0)</f>
        <v>1</v>
      </c>
      <c r="F173" s="5">
        <f t="shared" si="76"/>
        <v>3</v>
      </c>
      <c r="G173" s="7">
        <f t="shared" si="77"/>
        <v>1</v>
      </c>
      <c r="H173" s="5">
        <f>IF(VLOOKUP($B173,Table2[[prolific]:[feedbackTime]],9,FALSE)=VLOOKUP(H$1,Table1[],2,FALSE),1,0)</f>
        <v>1</v>
      </c>
      <c r="I173" s="5">
        <f>IF(VLOOKUP($B173,Table2[[prolific]:[feedbackTime]],10,FALSE)=VLOOKUP(I$1,Table1[],2,FALSE),1,0)</f>
        <v>0</v>
      </c>
      <c r="J173" s="5">
        <f>IF(VLOOKUP($B173,Table2[[prolific]:[feedbackTime]],11,FALSE)=VLOOKUP(J$1,Table1[],2,FALSE),1,0)</f>
        <v>0</v>
      </c>
      <c r="K173" s="5">
        <f>IF(VLOOKUP($B173,Table2[[prolific]:[feedbackTime]],12,FALSE)=VLOOKUP(K$1,Table1[],2,FALSE),1,0)</f>
        <v>1</v>
      </c>
      <c r="L173" s="5">
        <f>IF(VLOOKUP($B173,Table2[[prolific]:[feedbackTime]],13,FALSE)=VLOOKUP(L$1,Table1[],2,FALSE),1,0)</f>
        <v>0</v>
      </c>
      <c r="M173" s="5">
        <f>IF(VLOOKUP($B173,Table2[[prolific]:[feedbackTime]],14,FALSE)=VLOOKUP(M$1,Table1[],2,FALSE),1,0)</f>
        <v>0</v>
      </c>
      <c r="N173" s="5">
        <f t="shared" si="78"/>
        <v>2</v>
      </c>
      <c r="O173" s="7">
        <f t="shared" si="79"/>
        <v>0.33333333333333331</v>
      </c>
      <c r="P173" s="5">
        <f>IF(VLOOKUP($B173,Table2[[prolific]:[feedbackTime]],15,FALSE)=VLOOKUP(P$1,Table1[],2,FALSE),1,0)</f>
        <v>0</v>
      </c>
      <c r="Q173" s="5">
        <f>IF(VLOOKUP($B173,Table2[[prolific]:[feedbackTime]],16,FALSE)=VLOOKUP(Q$1,Table1[],2,FALSE),1,0)</f>
        <v>1</v>
      </c>
      <c r="R173" s="5">
        <f>IF(VLOOKUP($B173,Table2[[prolific]:[feedbackTime]],17,FALSE)=VLOOKUP(R$1,Table1[],2,FALSE),1,0)</f>
        <v>0</v>
      </c>
      <c r="S173" s="5">
        <f>IF(VLOOKUP($B173,Table2[[prolific]:[feedbackTime]],18,FALSE)=VLOOKUP(S$1,Table1[],2,FALSE),1,0)</f>
        <v>1</v>
      </c>
      <c r="T173" s="5">
        <f>IF(VLOOKUP($B173,Table2[[prolific]:[feedbackTime]],19,FALSE)=VLOOKUP(T$1,Table1[],2,FALSE),1,0)</f>
        <v>1</v>
      </c>
      <c r="U173" s="5">
        <f>IF(VLOOKUP($B173,Table2[[prolific]:[feedbackTime]],20,FALSE)=VLOOKUP(U$1,Table1[],2,FALSE),1,0)</f>
        <v>0</v>
      </c>
      <c r="V173" s="5">
        <f>IF(VLOOKUP($B173,Table2[[prolific]:[feedbackTime]],21,FALSE)=VLOOKUP(V$1,Table1[],2,FALSE),1,0)</f>
        <v>0</v>
      </c>
      <c r="W173" s="5">
        <f>IF(VLOOKUP($B173,Table2[[prolific]:[feedbackTime]],22,FALSE)=VLOOKUP(W$1,Table1[],2,FALSE),1,0)</f>
        <v>0</v>
      </c>
      <c r="X173" s="5">
        <f t="shared" si="80"/>
        <v>3</v>
      </c>
      <c r="Y173" s="7">
        <f t="shared" si="81"/>
        <v>0.375</v>
      </c>
      <c r="Z173" s="5">
        <f>IF(VLOOKUP($B173,Table2[[prolific]:[feedbackTime]],23,FALSE)=VLOOKUP(Z$1,Table1[],2,FALSE),1,0)</f>
        <v>1</v>
      </c>
      <c r="AA173" s="5">
        <f>IF(VLOOKUP($B173,Table2[[prolific]:[feedbackTime]],24,FALSE)=VLOOKUP(AA$1,Table1[],2,FALSE),1,0)</f>
        <v>1</v>
      </c>
      <c r="AB173" s="5">
        <f>IF(VLOOKUP($B173,Table2[[prolific]:[feedbackTime]],25,FALSE)=VLOOKUP(AB$1,Table1[],2,FALSE),1,0)</f>
        <v>1</v>
      </c>
      <c r="AC173" s="5">
        <f>IF(VLOOKUP($B173,Table2[[prolific]:[feedbackTime]],26,FALSE)=VLOOKUP(AC$1,Table1[],2,FALSE),1,0)</f>
        <v>1</v>
      </c>
      <c r="AD173" s="5">
        <f>IF(VLOOKUP($B173,Table2[[prolific]:[feedbackTime]],27,FALSE)=VLOOKUP(AD$1,Table1[],2,FALSE),1,0)</f>
        <v>0</v>
      </c>
      <c r="AE173" s="5">
        <f>IF(VLOOKUP($B173,Table2[[prolific]:[feedbackTime]],28,FALSE)=VLOOKUP(AE$1,Table1[],2,FALSE),1,0)</f>
        <v>0</v>
      </c>
      <c r="AF173" s="5">
        <f>IF(VLOOKUP($B173,Table2[[prolific]:[feedbackTime]],29,FALSE)=VLOOKUP(AF$1,Table1[],2,FALSE),1,0)</f>
        <v>0</v>
      </c>
      <c r="AG173" s="5">
        <f>IF(VLOOKUP($B173,Table2[[prolific]:[feedbackTime]],30,FALSE)=VLOOKUP(AG$1,Table1[],2,FALSE),1,0)</f>
        <v>0</v>
      </c>
      <c r="AH173" s="5">
        <f t="shared" si="82"/>
        <v>4</v>
      </c>
      <c r="AI173" s="7">
        <f t="shared" si="83"/>
        <v>0.5</v>
      </c>
      <c r="AJ173" s="7">
        <f t="shared" si="84"/>
        <v>0.40909090909090912</v>
      </c>
      <c r="AK173" s="5">
        <f t="shared" si="85"/>
        <v>9</v>
      </c>
    </row>
    <row r="174" spans="1:37" x14ac:dyDescent="0.25">
      <c r="A174">
        <f t="shared" si="75"/>
        <v>1</v>
      </c>
      <c r="B174" s="5" t="s">
        <v>1063</v>
      </c>
      <c r="C174" s="5">
        <f>IF(VLOOKUP($B174,Table2[[prolific]:[feedbackTime]],6,FALSE)=VLOOKUP(C$1,Table1[],2,FALSE),1,0)</f>
        <v>1</v>
      </c>
      <c r="D174" s="5">
        <f>IF(VLOOKUP($B174,Table2[[prolific]:[feedbackTime]],7,FALSE)=VLOOKUP(D$1,Table1[],2,FALSE),1,0)</f>
        <v>1</v>
      </c>
      <c r="E174" s="5">
        <f>IF(VLOOKUP($B174,Table2[[prolific]:[feedbackTime]],8,FALSE)=VLOOKUP(E$1,Table1[],2,FALSE),1,0)</f>
        <v>1</v>
      </c>
      <c r="F174" s="5">
        <f t="shared" si="76"/>
        <v>3</v>
      </c>
      <c r="G174" s="7">
        <f t="shared" si="77"/>
        <v>1</v>
      </c>
      <c r="H174" s="5">
        <f>IF(VLOOKUP($B174,Table2[[prolific]:[feedbackTime]],9,FALSE)=VLOOKUP(H$1,Table1[],2,FALSE),1,0)</f>
        <v>1</v>
      </c>
      <c r="I174" s="5">
        <f>IF(VLOOKUP($B174,Table2[[prolific]:[feedbackTime]],10,FALSE)=VLOOKUP(I$1,Table1[],2,FALSE),1,0)</f>
        <v>1</v>
      </c>
      <c r="J174" s="5">
        <f>IF(VLOOKUP($B174,Table2[[prolific]:[feedbackTime]],11,FALSE)=VLOOKUP(J$1,Table1[],2,FALSE),1,0)</f>
        <v>1</v>
      </c>
      <c r="K174" s="5">
        <f>IF(VLOOKUP($B174,Table2[[prolific]:[feedbackTime]],12,FALSE)=VLOOKUP(K$1,Table1[],2,FALSE),1,0)</f>
        <v>1</v>
      </c>
      <c r="L174" s="5">
        <f>IF(VLOOKUP($B174,Table2[[prolific]:[feedbackTime]],13,FALSE)=VLOOKUP(L$1,Table1[],2,FALSE),1,0)</f>
        <v>1</v>
      </c>
      <c r="M174" s="5">
        <f>IF(VLOOKUP($B174,Table2[[prolific]:[feedbackTime]],14,FALSE)=VLOOKUP(M$1,Table1[],2,FALSE),1,0)</f>
        <v>0</v>
      </c>
      <c r="N174" s="5">
        <f t="shared" si="78"/>
        <v>5</v>
      </c>
      <c r="O174" s="7">
        <f t="shared" si="79"/>
        <v>0.83333333333333337</v>
      </c>
      <c r="P174" s="5">
        <f>IF(VLOOKUP($B174,Table2[[prolific]:[feedbackTime]],15,FALSE)=VLOOKUP(P$1,Table1[],2,FALSE),1,0)</f>
        <v>1</v>
      </c>
      <c r="Q174" s="5">
        <f>IF(VLOOKUP($B174,Table2[[prolific]:[feedbackTime]],16,FALSE)=VLOOKUP(Q$1,Table1[],2,FALSE),1,0)</f>
        <v>1</v>
      </c>
      <c r="R174" s="5">
        <f>IF(VLOOKUP($B174,Table2[[prolific]:[feedbackTime]],17,FALSE)=VLOOKUP(R$1,Table1[],2,FALSE),1,0)</f>
        <v>1</v>
      </c>
      <c r="S174" s="5">
        <f>IF(VLOOKUP($B174,Table2[[prolific]:[feedbackTime]],18,FALSE)=VLOOKUP(S$1,Table1[],2,FALSE),1,0)</f>
        <v>0</v>
      </c>
      <c r="T174" s="5">
        <f>IF(VLOOKUP($B174,Table2[[prolific]:[feedbackTime]],19,FALSE)=VLOOKUP(T$1,Table1[],2,FALSE),1,0)</f>
        <v>1</v>
      </c>
      <c r="U174" s="5">
        <f>IF(VLOOKUP($B174,Table2[[prolific]:[feedbackTime]],20,FALSE)=VLOOKUP(U$1,Table1[],2,FALSE),1,0)</f>
        <v>1</v>
      </c>
      <c r="V174" s="5">
        <f>IF(VLOOKUP($B174,Table2[[prolific]:[feedbackTime]],21,FALSE)=VLOOKUP(V$1,Table1[],2,FALSE),1,0)</f>
        <v>1</v>
      </c>
      <c r="W174" s="5">
        <f>IF(VLOOKUP($B174,Table2[[prolific]:[feedbackTime]],22,FALSE)=VLOOKUP(W$1,Table1[],2,FALSE),1,0)</f>
        <v>0</v>
      </c>
      <c r="X174" s="5">
        <f t="shared" si="80"/>
        <v>6</v>
      </c>
      <c r="Y174" s="7">
        <f t="shared" si="81"/>
        <v>0.75</v>
      </c>
      <c r="Z174" s="5">
        <f>IF(VLOOKUP($B174,Table2[[prolific]:[feedbackTime]],23,FALSE)=VLOOKUP(Z$1,Table1[],2,FALSE),1,0)</f>
        <v>1</v>
      </c>
      <c r="AA174" s="5">
        <f>IF(VLOOKUP($B174,Table2[[prolific]:[feedbackTime]],24,FALSE)=VLOOKUP(AA$1,Table1[],2,FALSE),1,0)</f>
        <v>1</v>
      </c>
      <c r="AB174" s="5">
        <f>IF(VLOOKUP($B174,Table2[[prolific]:[feedbackTime]],25,FALSE)=VLOOKUP(AB$1,Table1[],2,FALSE),1,0)</f>
        <v>0</v>
      </c>
      <c r="AC174" s="5">
        <f>IF(VLOOKUP($B174,Table2[[prolific]:[feedbackTime]],26,FALSE)=VLOOKUP(AC$1,Table1[],2,FALSE),1,0)</f>
        <v>1</v>
      </c>
      <c r="AD174" s="5">
        <f>IF(VLOOKUP($B174,Table2[[prolific]:[feedbackTime]],27,FALSE)=VLOOKUP(AD$1,Table1[],2,FALSE),1,0)</f>
        <v>0</v>
      </c>
      <c r="AE174" s="5">
        <f>IF(VLOOKUP($B174,Table2[[prolific]:[feedbackTime]],28,FALSE)=VLOOKUP(AE$1,Table1[],2,FALSE),1,0)</f>
        <v>0</v>
      </c>
      <c r="AF174" s="5">
        <f>IF(VLOOKUP($B174,Table2[[prolific]:[feedbackTime]],29,FALSE)=VLOOKUP(AF$1,Table1[],2,FALSE),1,0)</f>
        <v>0</v>
      </c>
      <c r="AG174" s="5">
        <f>IF(VLOOKUP($B174,Table2[[prolific]:[feedbackTime]],30,FALSE)=VLOOKUP(AG$1,Table1[],2,FALSE),1,0)</f>
        <v>0</v>
      </c>
      <c r="AH174" s="5">
        <f t="shared" si="82"/>
        <v>3</v>
      </c>
      <c r="AI174" s="7">
        <f t="shared" si="83"/>
        <v>0.375</v>
      </c>
      <c r="AJ174" s="7">
        <f t="shared" si="84"/>
        <v>0.63636363636363635</v>
      </c>
      <c r="AK174" s="5">
        <f t="shared" si="85"/>
        <v>14</v>
      </c>
    </row>
    <row r="175" spans="1:37" x14ac:dyDescent="0.25">
      <c r="A175">
        <f t="shared" si="75"/>
        <v>1</v>
      </c>
      <c r="B175" s="5" t="s">
        <v>1064</v>
      </c>
      <c r="C175" s="5">
        <f>IF(VLOOKUP($B175,Table2[[prolific]:[feedbackTime]],6,FALSE)=VLOOKUP(C$1,Table1[],2,FALSE),1,0)</f>
        <v>1</v>
      </c>
      <c r="D175" s="5">
        <f>IF(VLOOKUP($B175,Table2[[prolific]:[feedbackTime]],7,FALSE)=VLOOKUP(D$1,Table1[],2,FALSE),1,0)</f>
        <v>1</v>
      </c>
      <c r="E175" s="5">
        <f>IF(VLOOKUP($B175,Table2[[prolific]:[feedbackTime]],8,FALSE)=VLOOKUP(E$1,Table1[],2,FALSE),1,0)</f>
        <v>1</v>
      </c>
      <c r="F175" s="5">
        <f t="shared" si="76"/>
        <v>3</v>
      </c>
      <c r="G175" s="7">
        <f t="shared" si="77"/>
        <v>1</v>
      </c>
      <c r="H175" s="5">
        <f>IF(VLOOKUP($B175,Table2[[prolific]:[feedbackTime]],9,FALSE)=VLOOKUP(H$1,Table1[],2,FALSE),1,0)</f>
        <v>1</v>
      </c>
      <c r="I175" s="5">
        <f>IF(VLOOKUP($B175,Table2[[prolific]:[feedbackTime]],10,FALSE)=VLOOKUP(I$1,Table1[],2,FALSE),1,0)</f>
        <v>1</v>
      </c>
      <c r="J175" s="5">
        <f>IF(VLOOKUP($B175,Table2[[prolific]:[feedbackTime]],11,FALSE)=VLOOKUP(J$1,Table1[],2,FALSE),1,0)</f>
        <v>1</v>
      </c>
      <c r="K175" s="5">
        <f>IF(VLOOKUP($B175,Table2[[prolific]:[feedbackTime]],12,FALSE)=VLOOKUP(K$1,Table1[],2,FALSE),1,0)</f>
        <v>1</v>
      </c>
      <c r="L175" s="5">
        <f>IF(VLOOKUP($B175,Table2[[prolific]:[feedbackTime]],13,FALSE)=VLOOKUP(L$1,Table1[],2,FALSE),1,0)</f>
        <v>0</v>
      </c>
      <c r="M175" s="5">
        <f>IF(VLOOKUP($B175,Table2[[prolific]:[feedbackTime]],14,FALSE)=VLOOKUP(M$1,Table1[],2,FALSE),1,0)</f>
        <v>0</v>
      </c>
      <c r="N175" s="5">
        <f t="shared" si="78"/>
        <v>4</v>
      </c>
      <c r="O175" s="7">
        <f t="shared" si="79"/>
        <v>0.66666666666666663</v>
      </c>
      <c r="P175" s="5">
        <f>IF(VLOOKUP($B175,Table2[[prolific]:[feedbackTime]],15,FALSE)=VLOOKUP(P$1,Table1[],2,FALSE),1,0)</f>
        <v>1</v>
      </c>
      <c r="Q175" s="5">
        <f>IF(VLOOKUP($B175,Table2[[prolific]:[feedbackTime]],16,FALSE)=VLOOKUP(Q$1,Table1[],2,FALSE),1,0)</f>
        <v>1</v>
      </c>
      <c r="R175" s="5">
        <f>IF(VLOOKUP($B175,Table2[[prolific]:[feedbackTime]],17,FALSE)=VLOOKUP(R$1,Table1[],2,FALSE),1,0)</f>
        <v>0</v>
      </c>
      <c r="S175" s="5">
        <f>IF(VLOOKUP($B175,Table2[[prolific]:[feedbackTime]],18,FALSE)=VLOOKUP(S$1,Table1[],2,FALSE),1,0)</f>
        <v>0</v>
      </c>
      <c r="T175" s="5">
        <f>IF(VLOOKUP($B175,Table2[[prolific]:[feedbackTime]],19,FALSE)=VLOOKUP(T$1,Table1[],2,FALSE),1,0)</f>
        <v>1</v>
      </c>
      <c r="U175" s="5">
        <f>IF(VLOOKUP($B175,Table2[[prolific]:[feedbackTime]],20,FALSE)=VLOOKUP(U$1,Table1[],2,FALSE),1,0)</f>
        <v>1</v>
      </c>
      <c r="V175" s="5">
        <f>IF(VLOOKUP($B175,Table2[[prolific]:[feedbackTime]],21,FALSE)=VLOOKUP(V$1,Table1[],2,FALSE),1,0)</f>
        <v>0</v>
      </c>
      <c r="W175" s="5">
        <f>IF(VLOOKUP($B175,Table2[[prolific]:[feedbackTime]],22,FALSE)=VLOOKUP(W$1,Table1[],2,FALSE),1,0)</f>
        <v>0</v>
      </c>
      <c r="X175" s="5">
        <f t="shared" si="80"/>
        <v>4</v>
      </c>
      <c r="Y175" s="7">
        <f t="shared" si="81"/>
        <v>0.5</v>
      </c>
      <c r="Z175" s="5">
        <f>IF(VLOOKUP($B175,Table2[[prolific]:[feedbackTime]],23,FALSE)=VLOOKUP(Z$1,Table1[],2,FALSE),1,0)</f>
        <v>1</v>
      </c>
      <c r="AA175" s="5">
        <f>IF(VLOOKUP($B175,Table2[[prolific]:[feedbackTime]],24,FALSE)=VLOOKUP(AA$1,Table1[],2,FALSE),1,0)</f>
        <v>1</v>
      </c>
      <c r="AB175" s="5">
        <f>IF(VLOOKUP($B175,Table2[[prolific]:[feedbackTime]],25,FALSE)=VLOOKUP(AB$1,Table1[],2,FALSE),1,0)</f>
        <v>0</v>
      </c>
      <c r="AC175" s="5">
        <f>IF(VLOOKUP($B175,Table2[[prolific]:[feedbackTime]],26,FALSE)=VLOOKUP(AC$1,Table1[],2,FALSE),1,0)</f>
        <v>1</v>
      </c>
      <c r="AD175" s="5">
        <f>IF(VLOOKUP($B175,Table2[[prolific]:[feedbackTime]],27,FALSE)=VLOOKUP(AD$1,Table1[],2,FALSE),1,0)</f>
        <v>0</v>
      </c>
      <c r="AE175" s="5">
        <f>IF(VLOOKUP($B175,Table2[[prolific]:[feedbackTime]],28,FALSE)=VLOOKUP(AE$1,Table1[],2,FALSE),1,0)</f>
        <v>0</v>
      </c>
      <c r="AF175" s="5">
        <f>IF(VLOOKUP($B175,Table2[[prolific]:[feedbackTime]],29,FALSE)=VLOOKUP(AF$1,Table1[],2,FALSE),1,0)</f>
        <v>0</v>
      </c>
      <c r="AG175" s="5">
        <f>IF(VLOOKUP($B175,Table2[[prolific]:[feedbackTime]],30,FALSE)=VLOOKUP(AG$1,Table1[],2,FALSE),1,0)</f>
        <v>0</v>
      </c>
      <c r="AH175" s="5">
        <f t="shared" si="82"/>
        <v>3</v>
      </c>
      <c r="AI175" s="7">
        <f t="shared" si="83"/>
        <v>0.375</v>
      </c>
      <c r="AJ175" s="7">
        <f t="shared" si="84"/>
        <v>0.5</v>
      </c>
      <c r="AK175" s="5">
        <f t="shared" si="85"/>
        <v>11</v>
      </c>
    </row>
    <row r="176" spans="1:37" x14ac:dyDescent="0.25">
      <c r="A176">
        <f t="shared" si="75"/>
        <v>1</v>
      </c>
      <c r="B176" s="5" t="s">
        <v>1065</v>
      </c>
      <c r="C176" s="5">
        <f>IF(VLOOKUP($B176,Table2[[prolific]:[feedbackTime]],6,FALSE)=VLOOKUP(C$1,Table1[],2,FALSE),1,0)</f>
        <v>1</v>
      </c>
      <c r="D176" s="5">
        <f>IF(VLOOKUP($B176,Table2[[prolific]:[feedbackTime]],7,FALSE)=VLOOKUP(D$1,Table1[],2,FALSE),1,0)</f>
        <v>1</v>
      </c>
      <c r="E176" s="5">
        <f>IF(VLOOKUP($B176,Table2[[prolific]:[feedbackTime]],8,FALSE)=VLOOKUP(E$1,Table1[],2,FALSE),1,0)</f>
        <v>1</v>
      </c>
      <c r="F176" s="5">
        <f t="shared" si="76"/>
        <v>3</v>
      </c>
      <c r="G176" s="7">
        <f t="shared" si="77"/>
        <v>1</v>
      </c>
      <c r="H176" s="5">
        <f>IF(VLOOKUP($B176,Table2[[prolific]:[feedbackTime]],9,FALSE)=VLOOKUP(H$1,Table1[],2,FALSE),1,0)</f>
        <v>1</v>
      </c>
      <c r="I176" s="5">
        <f>IF(VLOOKUP($B176,Table2[[prolific]:[feedbackTime]],10,FALSE)=VLOOKUP(I$1,Table1[],2,FALSE),1,0)</f>
        <v>1</v>
      </c>
      <c r="J176" s="5">
        <f>IF(VLOOKUP($B176,Table2[[prolific]:[feedbackTime]],11,FALSE)=VLOOKUP(J$1,Table1[],2,FALSE),1,0)</f>
        <v>1</v>
      </c>
      <c r="K176" s="5">
        <f>IF(VLOOKUP($B176,Table2[[prolific]:[feedbackTime]],12,FALSE)=VLOOKUP(K$1,Table1[],2,FALSE),1,0)</f>
        <v>1</v>
      </c>
      <c r="L176" s="5">
        <f>IF(VLOOKUP($B176,Table2[[prolific]:[feedbackTime]],13,FALSE)=VLOOKUP(L$1,Table1[],2,FALSE),1,0)</f>
        <v>1</v>
      </c>
      <c r="M176" s="5">
        <f>IF(VLOOKUP($B176,Table2[[prolific]:[feedbackTime]],14,FALSE)=VLOOKUP(M$1,Table1[],2,FALSE),1,0)</f>
        <v>1</v>
      </c>
      <c r="N176" s="5">
        <f t="shared" si="78"/>
        <v>6</v>
      </c>
      <c r="O176" s="7">
        <f t="shared" si="79"/>
        <v>1</v>
      </c>
      <c r="P176" s="5">
        <f>IF(VLOOKUP($B176,Table2[[prolific]:[feedbackTime]],15,FALSE)=VLOOKUP(P$1,Table1[],2,FALSE),1,0)</f>
        <v>1</v>
      </c>
      <c r="Q176" s="5">
        <f>IF(VLOOKUP($B176,Table2[[prolific]:[feedbackTime]],16,FALSE)=VLOOKUP(Q$1,Table1[],2,FALSE),1,0)</f>
        <v>1</v>
      </c>
      <c r="R176" s="5">
        <f>IF(VLOOKUP($B176,Table2[[prolific]:[feedbackTime]],17,FALSE)=VLOOKUP(R$1,Table1[],2,FALSE),1,0)</f>
        <v>1</v>
      </c>
      <c r="S176" s="5">
        <f>IF(VLOOKUP($B176,Table2[[prolific]:[feedbackTime]],18,FALSE)=VLOOKUP(S$1,Table1[],2,FALSE),1,0)</f>
        <v>1</v>
      </c>
      <c r="T176" s="5">
        <f>IF(VLOOKUP($B176,Table2[[prolific]:[feedbackTime]],19,FALSE)=VLOOKUP(T$1,Table1[],2,FALSE),1,0)</f>
        <v>1</v>
      </c>
      <c r="U176" s="5">
        <f>IF(VLOOKUP($B176,Table2[[prolific]:[feedbackTime]],20,FALSE)=VLOOKUP(U$1,Table1[],2,FALSE),1,0)</f>
        <v>1</v>
      </c>
      <c r="V176" s="5">
        <f>IF(VLOOKUP($B176,Table2[[prolific]:[feedbackTime]],21,FALSE)=VLOOKUP(V$1,Table1[],2,FALSE),1,0)</f>
        <v>1</v>
      </c>
      <c r="W176" s="5">
        <f>IF(VLOOKUP($B176,Table2[[prolific]:[feedbackTime]],22,FALSE)=VLOOKUP(W$1,Table1[],2,FALSE),1,0)</f>
        <v>1</v>
      </c>
      <c r="X176" s="5">
        <f t="shared" si="80"/>
        <v>8</v>
      </c>
      <c r="Y176" s="7">
        <f t="shared" si="81"/>
        <v>1</v>
      </c>
      <c r="Z176" s="5">
        <f>IF(VLOOKUP($B176,Table2[[prolific]:[feedbackTime]],23,FALSE)=VLOOKUP(Z$1,Table1[],2,FALSE),1,0)</f>
        <v>1</v>
      </c>
      <c r="AA176" s="5">
        <f>IF(VLOOKUP($B176,Table2[[prolific]:[feedbackTime]],24,FALSE)=VLOOKUP(AA$1,Table1[],2,FALSE),1,0)</f>
        <v>1</v>
      </c>
      <c r="AB176" s="5">
        <f>IF(VLOOKUP($B176,Table2[[prolific]:[feedbackTime]],25,FALSE)=VLOOKUP(AB$1,Table1[],2,FALSE),1,0)</f>
        <v>1</v>
      </c>
      <c r="AC176" s="5">
        <f>IF(VLOOKUP($B176,Table2[[prolific]:[feedbackTime]],26,FALSE)=VLOOKUP(AC$1,Table1[],2,FALSE),1,0)</f>
        <v>1</v>
      </c>
      <c r="AD176" s="5">
        <f>IF(VLOOKUP($B176,Table2[[prolific]:[feedbackTime]],27,FALSE)=VLOOKUP(AD$1,Table1[],2,FALSE),1,0)</f>
        <v>0</v>
      </c>
      <c r="AE176" s="5">
        <f>IF(VLOOKUP($B176,Table2[[prolific]:[feedbackTime]],28,FALSE)=VLOOKUP(AE$1,Table1[],2,FALSE),1,0)</f>
        <v>0</v>
      </c>
      <c r="AF176" s="5">
        <f>IF(VLOOKUP($B176,Table2[[prolific]:[feedbackTime]],29,FALSE)=VLOOKUP(AF$1,Table1[],2,FALSE),1,0)</f>
        <v>0</v>
      </c>
      <c r="AG176" s="5">
        <f>IF(VLOOKUP($B176,Table2[[prolific]:[feedbackTime]],30,FALSE)=VLOOKUP(AG$1,Table1[],2,FALSE),1,0)</f>
        <v>0</v>
      </c>
      <c r="AH176" s="5">
        <f t="shared" si="82"/>
        <v>4</v>
      </c>
      <c r="AI176" s="7">
        <f t="shared" si="83"/>
        <v>0.5</v>
      </c>
      <c r="AJ176" s="7">
        <f t="shared" si="84"/>
        <v>0.81818181818181823</v>
      </c>
      <c r="AK176" s="5">
        <f t="shared" si="85"/>
        <v>18</v>
      </c>
    </row>
    <row r="177" spans="1:37" x14ac:dyDescent="0.25">
      <c r="A177">
        <f t="shared" si="75"/>
        <v>1</v>
      </c>
      <c r="B177" s="5" t="s">
        <v>1066</v>
      </c>
      <c r="C177" s="5">
        <f>IF(VLOOKUP($B177,Table2[[prolific]:[feedbackTime]],6,FALSE)=VLOOKUP(C$1,Table1[],2,FALSE),1,0)</f>
        <v>1</v>
      </c>
      <c r="D177" s="5">
        <f>IF(VLOOKUP($B177,Table2[[prolific]:[feedbackTime]],7,FALSE)=VLOOKUP(D$1,Table1[],2,FALSE),1,0)</f>
        <v>1</v>
      </c>
      <c r="E177" s="5">
        <f>IF(VLOOKUP($B177,Table2[[prolific]:[feedbackTime]],8,FALSE)=VLOOKUP(E$1,Table1[],2,FALSE),1,0)</f>
        <v>1</v>
      </c>
      <c r="F177" s="5">
        <f t="shared" si="76"/>
        <v>3</v>
      </c>
      <c r="G177" s="7">
        <f t="shared" si="77"/>
        <v>1</v>
      </c>
      <c r="H177" s="5">
        <f>IF(VLOOKUP($B177,Table2[[prolific]:[feedbackTime]],9,FALSE)=VLOOKUP(H$1,Table1[],2,FALSE),1,0)</f>
        <v>1</v>
      </c>
      <c r="I177" s="5">
        <f>IF(VLOOKUP($B177,Table2[[prolific]:[feedbackTime]],10,FALSE)=VLOOKUP(I$1,Table1[],2,FALSE),1,0)</f>
        <v>0</v>
      </c>
      <c r="J177" s="5">
        <f>IF(VLOOKUP($B177,Table2[[prolific]:[feedbackTime]],11,FALSE)=VLOOKUP(J$1,Table1[],2,FALSE),1,0)</f>
        <v>0</v>
      </c>
      <c r="K177" s="5">
        <f>IF(VLOOKUP($B177,Table2[[prolific]:[feedbackTime]],12,FALSE)=VLOOKUP(K$1,Table1[],2,FALSE),1,0)</f>
        <v>1</v>
      </c>
      <c r="L177" s="5">
        <f>IF(VLOOKUP($B177,Table2[[prolific]:[feedbackTime]],13,FALSE)=VLOOKUP(L$1,Table1[],2,FALSE),1,0)</f>
        <v>0</v>
      </c>
      <c r="M177" s="5">
        <f>IF(VLOOKUP($B177,Table2[[prolific]:[feedbackTime]],14,FALSE)=VLOOKUP(M$1,Table1[],2,FALSE),1,0)</f>
        <v>0</v>
      </c>
      <c r="N177" s="5">
        <f t="shared" si="78"/>
        <v>2</v>
      </c>
      <c r="O177" s="7">
        <f t="shared" si="79"/>
        <v>0.33333333333333331</v>
      </c>
      <c r="P177" s="5">
        <f>IF(VLOOKUP($B177,Table2[[prolific]:[feedbackTime]],15,FALSE)=VLOOKUP(P$1,Table1[],2,FALSE),1,0)</f>
        <v>1</v>
      </c>
      <c r="Q177" s="5">
        <f>IF(VLOOKUP($B177,Table2[[prolific]:[feedbackTime]],16,FALSE)=VLOOKUP(Q$1,Table1[],2,FALSE),1,0)</f>
        <v>1</v>
      </c>
      <c r="R177" s="5">
        <f>IF(VLOOKUP($B177,Table2[[prolific]:[feedbackTime]],17,FALSE)=VLOOKUP(R$1,Table1[],2,FALSE),1,0)</f>
        <v>0</v>
      </c>
      <c r="S177" s="5">
        <f>IF(VLOOKUP($B177,Table2[[prolific]:[feedbackTime]],18,FALSE)=VLOOKUP(S$1,Table1[],2,FALSE),1,0)</f>
        <v>0</v>
      </c>
      <c r="T177" s="5">
        <f>IF(VLOOKUP($B177,Table2[[prolific]:[feedbackTime]],19,FALSE)=VLOOKUP(T$1,Table1[],2,FALSE),1,0)</f>
        <v>1</v>
      </c>
      <c r="U177" s="5">
        <f>IF(VLOOKUP($B177,Table2[[prolific]:[feedbackTime]],20,FALSE)=VLOOKUP(U$1,Table1[],2,FALSE),1,0)</f>
        <v>1</v>
      </c>
      <c r="V177" s="5">
        <f>IF(VLOOKUP($B177,Table2[[prolific]:[feedbackTime]],21,FALSE)=VLOOKUP(V$1,Table1[],2,FALSE),1,0)</f>
        <v>0</v>
      </c>
      <c r="W177" s="5">
        <f>IF(VLOOKUP($B177,Table2[[prolific]:[feedbackTime]],22,FALSE)=VLOOKUP(W$1,Table1[],2,FALSE),1,0)</f>
        <v>0</v>
      </c>
      <c r="X177" s="5">
        <f t="shared" si="80"/>
        <v>4</v>
      </c>
      <c r="Y177" s="7">
        <f t="shared" si="81"/>
        <v>0.5</v>
      </c>
      <c r="Z177" s="5">
        <f>IF(VLOOKUP($B177,Table2[[prolific]:[feedbackTime]],23,FALSE)=VLOOKUP(Z$1,Table1[],2,FALSE),1,0)</f>
        <v>1</v>
      </c>
      <c r="AA177" s="5">
        <f>IF(VLOOKUP($B177,Table2[[prolific]:[feedbackTime]],24,FALSE)=VLOOKUP(AA$1,Table1[],2,FALSE),1,0)</f>
        <v>1</v>
      </c>
      <c r="AB177" s="5">
        <f>IF(VLOOKUP($B177,Table2[[prolific]:[feedbackTime]],25,FALSE)=VLOOKUP(AB$1,Table1[],2,FALSE),1,0)</f>
        <v>0</v>
      </c>
      <c r="AC177" s="5">
        <f>IF(VLOOKUP($B177,Table2[[prolific]:[feedbackTime]],26,FALSE)=VLOOKUP(AC$1,Table1[],2,FALSE),1,0)</f>
        <v>1</v>
      </c>
      <c r="AD177" s="5">
        <f>IF(VLOOKUP($B177,Table2[[prolific]:[feedbackTime]],27,FALSE)=VLOOKUP(AD$1,Table1[],2,FALSE),1,0)</f>
        <v>0</v>
      </c>
      <c r="AE177" s="5">
        <f>IF(VLOOKUP($B177,Table2[[prolific]:[feedbackTime]],28,FALSE)=VLOOKUP(AE$1,Table1[],2,FALSE),1,0)</f>
        <v>0</v>
      </c>
      <c r="AF177" s="5">
        <f>IF(VLOOKUP($B177,Table2[[prolific]:[feedbackTime]],29,FALSE)=VLOOKUP(AF$1,Table1[],2,FALSE),1,0)</f>
        <v>0</v>
      </c>
      <c r="AG177" s="5">
        <f>IF(VLOOKUP($B177,Table2[[prolific]:[feedbackTime]],30,FALSE)=VLOOKUP(AG$1,Table1[],2,FALSE),1,0)</f>
        <v>1</v>
      </c>
      <c r="AH177" s="5">
        <f t="shared" si="82"/>
        <v>4</v>
      </c>
      <c r="AI177" s="7">
        <f t="shared" si="83"/>
        <v>0.5</v>
      </c>
      <c r="AJ177" s="7">
        <f t="shared" si="84"/>
        <v>0.45454545454545453</v>
      </c>
      <c r="AK177" s="5">
        <f t="shared" si="85"/>
        <v>10</v>
      </c>
    </row>
    <row r="178" spans="1:37" x14ac:dyDescent="0.25">
      <c r="A178">
        <f t="shared" si="75"/>
        <v>1</v>
      </c>
      <c r="B178" s="5" t="s">
        <v>1067</v>
      </c>
      <c r="C178" s="5">
        <f>IF(VLOOKUP($B178,Table2[[prolific]:[feedbackTime]],6,FALSE)=VLOOKUP(C$1,Table1[],2,FALSE),1,0)</f>
        <v>1</v>
      </c>
      <c r="D178" s="5">
        <f>IF(VLOOKUP($B178,Table2[[prolific]:[feedbackTime]],7,FALSE)=VLOOKUP(D$1,Table1[],2,FALSE),1,0)</f>
        <v>1</v>
      </c>
      <c r="E178" s="5">
        <f>IF(VLOOKUP($B178,Table2[[prolific]:[feedbackTime]],8,FALSE)=VLOOKUP(E$1,Table1[],2,FALSE),1,0)</f>
        <v>1</v>
      </c>
      <c r="F178" s="5">
        <f t="shared" si="76"/>
        <v>3</v>
      </c>
      <c r="G178" s="7">
        <f t="shared" si="77"/>
        <v>1</v>
      </c>
      <c r="H178" s="5">
        <f>IF(VLOOKUP($B178,Table2[[prolific]:[feedbackTime]],9,FALSE)=VLOOKUP(H$1,Table1[],2,FALSE),1,0)</f>
        <v>1</v>
      </c>
      <c r="I178" s="5">
        <f>IF(VLOOKUP($B178,Table2[[prolific]:[feedbackTime]],10,FALSE)=VLOOKUP(I$1,Table1[],2,FALSE),1,0)</f>
        <v>1</v>
      </c>
      <c r="J178" s="5">
        <f>IF(VLOOKUP($B178,Table2[[prolific]:[feedbackTime]],11,FALSE)=VLOOKUP(J$1,Table1[],2,FALSE),1,0)</f>
        <v>1</v>
      </c>
      <c r="K178" s="5">
        <f>IF(VLOOKUP($B178,Table2[[prolific]:[feedbackTime]],12,FALSE)=VLOOKUP(K$1,Table1[],2,FALSE),1,0)</f>
        <v>1</v>
      </c>
      <c r="L178" s="5">
        <f>IF(VLOOKUP($B178,Table2[[prolific]:[feedbackTime]],13,FALSE)=VLOOKUP(L$1,Table1[],2,FALSE),1,0)</f>
        <v>0</v>
      </c>
      <c r="M178" s="5">
        <f>IF(VLOOKUP($B178,Table2[[prolific]:[feedbackTime]],14,FALSE)=VLOOKUP(M$1,Table1[],2,FALSE),1,0)</f>
        <v>0</v>
      </c>
      <c r="N178" s="5">
        <f t="shared" si="78"/>
        <v>4</v>
      </c>
      <c r="O178" s="7">
        <f t="shared" si="79"/>
        <v>0.66666666666666663</v>
      </c>
      <c r="P178" s="5">
        <f>IF(VLOOKUP($B178,Table2[[prolific]:[feedbackTime]],15,FALSE)=VLOOKUP(P$1,Table1[],2,FALSE),1,0)</f>
        <v>1</v>
      </c>
      <c r="Q178" s="5">
        <f>IF(VLOOKUP($B178,Table2[[prolific]:[feedbackTime]],16,FALSE)=VLOOKUP(Q$1,Table1[],2,FALSE),1,0)</f>
        <v>1</v>
      </c>
      <c r="R178" s="5">
        <f>IF(VLOOKUP($B178,Table2[[prolific]:[feedbackTime]],17,FALSE)=VLOOKUP(R$1,Table1[],2,FALSE),1,0)</f>
        <v>0</v>
      </c>
      <c r="S178" s="5">
        <f>IF(VLOOKUP($B178,Table2[[prolific]:[feedbackTime]],18,FALSE)=VLOOKUP(S$1,Table1[],2,FALSE),1,0)</f>
        <v>1</v>
      </c>
      <c r="T178" s="5">
        <f>IF(VLOOKUP($B178,Table2[[prolific]:[feedbackTime]],19,FALSE)=VLOOKUP(T$1,Table1[],2,FALSE),1,0)</f>
        <v>1</v>
      </c>
      <c r="U178" s="5">
        <f>IF(VLOOKUP($B178,Table2[[prolific]:[feedbackTime]],20,FALSE)=VLOOKUP(U$1,Table1[],2,FALSE),1,0)</f>
        <v>1</v>
      </c>
      <c r="V178" s="5">
        <f>IF(VLOOKUP($B178,Table2[[prolific]:[feedbackTime]],21,FALSE)=VLOOKUP(V$1,Table1[],2,FALSE),1,0)</f>
        <v>1</v>
      </c>
      <c r="W178" s="5">
        <f>IF(VLOOKUP($B178,Table2[[prolific]:[feedbackTime]],22,FALSE)=VLOOKUP(W$1,Table1[],2,FALSE),1,0)</f>
        <v>1</v>
      </c>
      <c r="X178" s="5">
        <f t="shared" si="80"/>
        <v>7</v>
      </c>
      <c r="Y178" s="7">
        <f t="shared" si="81"/>
        <v>0.875</v>
      </c>
      <c r="Z178" s="5">
        <f>IF(VLOOKUP($B178,Table2[[prolific]:[feedbackTime]],23,FALSE)=VLOOKUP(Z$1,Table1[],2,FALSE),1,0)</f>
        <v>1</v>
      </c>
      <c r="AA178" s="5">
        <f>IF(VLOOKUP($B178,Table2[[prolific]:[feedbackTime]],24,FALSE)=VLOOKUP(AA$1,Table1[],2,FALSE),1,0)</f>
        <v>1</v>
      </c>
      <c r="AB178" s="5">
        <f>IF(VLOOKUP($B178,Table2[[prolific]:[feedbackTime]],25,FALSE)=VLOOKUP(AB$1,Table1[],2,FALSE),1,0)</f>
        <v>1</v>
      </c>
      <c r="AC178" s="5">
        <f>IF(VLOOKUP($B178,Table2[[prolific]:[feedbackTime]],26,FALSE)=VLOOKUP(AC$1,Table1[],2,FALSE),1,0)</f>
        <v>1</v>
      </c>
      <c r="AD178" s="5">
        <f>IF(VLOOKUP($B178,Table2[[prolific]:[feedbackTime]],27,FALSE)=VLOOKUP(AD$1,Table1[],2,FALSE),1,0)</f>
        <v>0</v>
      </c>
      <c r="AE178" s="5">
        <f>IF(VLOOKUP($B178,Table2[[prolific]:[feedbackTime]],28,FALSE)=VLOOKUP(AE$1,Table1[],2,FALSE),1,0)</f>
        <v>0</v>
      </c>
      <c r="AF178" s="5">
        <f>IF(VLOOKUP($B178,Table2[[prolific]:[feedbackTime]],29,FALSE)=VLOOKUP(AF$1,Table1[],2,FALSE),1,0)</f>
        <v>0</v>
      </c>
      <c r="AG178" s="5">
        <f>IF(VLOOKUP($B178,Table2[[prolific]:[feedbackTime]],30,FALSE)=VLOOKUP(AG$1,Table1[],2,FALSE),1,0)</f>
        <v>0</v>
      </c>
      <c r="AH178" s="5">
        <f t="shared" si="82"/>
        <v>4</v>
      </c>
      <c r="AI178" s="7">
        <f t="shared" si="83"/>
        <v>0.5</v>
      </c>
      <c r="AJ178" s="7">
        <f t="shared" si="84"/>
        <v>0.68181818181818177</v>
      </c>
      <c r="AK178" s="5">
        <f t="shared" si="85"/>
        <v>15</v>
      </c>
    </row>
    <row r="179" spans="1:37" x14ac:dyDescent="0.25">
      <c r="A179">
        <f t="shared" si="75"/>
        <v>2</v>
      </c>
      <c r="B179" s="5" t="s">
        <v>1242</v>
      </c>
      <c r="C179" s="5" t="e">
        <f>IF(VLOOKUP($B179,Table2[[prolific]:[feedbackTime]],6,FALSE)=VLOOKUP(C$1,Table1[],2,FALSE),1,0)</f>
        <v>#N/A</v>
      </c>
      <c r="D179" s="5" t="e">
        <f>IF(VLOOKUP($B179,Table2[[prolific]:[feedbackTime]],7,FALSE)=VLOOKUP(D$1,Table1[],2,FALSE),1,0)</f>
        <v>#N/A</v>
      </c>
      <c r="E179" s="5" t="e">
        <f>IF(VLOOKUP($B179,Table2[[prolific]:[feedbackTime]],8,FALSE)=VLOOKUP(E$1,Table1[],2,FALSE),1,0)</f>
        <v>#N/A</v>
      </c>
      <c r="F179" s="5" t="e">
        <f t="shared" si="76"/>
        <v>#N/A</v>
      </c>
      <c r="G179" s="7" t="e">
        <f t="shared" si="77"/>
        <v>#N/A</v>
      </c>
      <c r="H179" s="5" t="e">
        <f>IF(VLOOKUP($B179,Table2[[prolific]:[feedbackTime]],9,FALSE)=VLOOKUP(H$1,Table1[],2,FALSE),1,0)</f>
        <v>#N/A</v>
      </c>
      <c r="I179" s="5" t="e">
        <f>IF(VLOOKUP($B179,Table2[[prolific]:[feedbackTime]],10,FALSE)=VLOOKUP(I$1,Table1[],2,FALSE),1,0)</f>
        <v>#N/A</v>
      </c>
      <c r="J179" s="5" t="e">
        <f>IF(VLOOKUP($B179,Table2[[prolific]:[feedbackTime]],11,FALSE)=VLOOKUP(J$1,Table1[],2,FALSE),1,0)</f>
        <v>#N/A</v>
      </c>
      <c r="K179" s="5" t="e">
        <f>IF(VLOOKUP($B179,Table2[[prolific]:[feedbackTime]],12,FALSE)=VLOOKUP(K$1,Table1[],2,FALSE),1,0)</f>
        <v>#N/A</v>
      </c>
      <c r="L179" s="5" t="e">
        <f>IF(VLOOKUP($B179,Table2[[prolific]:[feedbackTime]],13,FALSE)=VLOOKUP(L$1,Table1[],2,FALSE),1,0)</f>
        <v>#N/A</v>
      </c>
      <c r="M179" s="5" t="e">
        <f>IF(VLOOKUP($B179,Table2[[prolific]:[feedbackTime]],14,FALSE)=VLOOKUP(M$1,Table1[],2,FALSE),1,0)</f>
        <v>#N/A</v>
      </c>
      <c r="N179" s="5" t="e">
        <f t="shared" si="78"/>
        <v>#N/A</v>
      </c>
      <c r="O179" s="7" t="e">
        <f t="shared" si="79"/>
        <v>#N/A</v>
      </c>
      <c r="P179" s="5" t="e">
        <f>IF(VLOOKUP($B179,Table2[[prolific]:[feedbackTime]],15,FALSE)=VLOOKUP(P$1,Table1[],2,FALSE),1,0)</f>
        <v>#N/A</v>
      </c>
      <c r="Q179" s="5" t="e">
        <f>IF(VLOOKUP($B179,Table2[[prolific]:[feedbackTime]],16,FALSE)=VLOOKUP(Q$1,Table1[],2,FALSE),1,0)</f>
        <v>#N/A</v>
      </c>
      <c r="R179" s="5" t="e">
        <f>IF(VLOOKUP($B179,Table2[[prolific]:[feedbackTime]],17,FALSE)=VLOOKUP(R$1,Table1[],2,FALSE),1,0)</f>
        <v>#N/A</v>
      </c>
      <c r="S179" s="5" t="e">
        <f>IF(VLOOKUP($B179,Table2[[prolific]:[feedbackTime]],18,FALSE)=VLOOKUP(S$1,Table1[],2,FALSE),1,0)</f>
        <v>#N/A</v>
      </c>
      <c r="T179" s="5" t="e">
        <f>IF(VLOOKUP($B179,Table2[[prolific]:[feedbackTime]],19,FALSE)=VLOOKUP(T$1,Table1[],2,FALSE),1,0)</f>
        <v>#N/A</v>
      </c>
      <c r="U179" s="5" t="e">
        <f>IF(VLOOKUP($B179,Table2[[prolific]:[feedbackTime]],20,FALSE)=VLOOKUP(U$1,Table1[],2,FALSE),1,0)</f>
        <v>#N/A</v>
      </c>
      <c r="V179" s="5" t="e">
        <f>IF(VLOOKUP($B179,Table2[[prolific]:[feedbackTime]],21,FALSE)=VLOOKUP(V$1,Table1[],2,FALSE),1,0)</f>
        <v>#N/A</v>
      </c>
      <c r="W179" s="5" t="e">
        <f>IF(VLOOKUP($B179,Table2[[prolific]:[feedbackTime]],22,FALSE)=VLOOKUP(W$1,Table1[],2,FALSE),1,0)</f>
        <v>#N/A</v>
      </c>
      <c r="X179" s="5" t="e">
        <f t="shared" si="80"/>
        <v>#N/A</v>
      </c>
      <c r="Y179" s="7" t="e">
        <f t="shared" si="81"/>
        <v>#N/A</v>
      </c>
      <c r="Z179" s="5" t="e">
        <f>IF(VLOOKUP($B179,Table2[[prolific]:[feedbackTime]],23,FALSE)=VLOOKUP(Z$1,Table1[],2,FALSE),1,0)</f>
        <v>#N/A</v>
      </c>
      <c r="AA179" s="5" t="e">
        <f>IF(VLOOKUP($B179,Table2[[prolific]:[feedbackTime]],24,FALSE)=VLOOKUP(AA$1,Table1[],2,FALSE),1,0)</f>
        <v>#N/A</v>
      </c>
      <c r="AB179" s="5" t="e">
        <f>IF(VLOOKUP($B179,Table2[[prolific]:[feedbackTime]],25,FALSE)=VLOOKUP(AB$1,Table1[],2,FALSE),1,0)</f>
        <v>#N/A</v>
      </c>
      <c r="AC179" s="5" t="e">
        <f>IF(VLOOKUP($B179,Table2[[prolific]:[feedbackTime]],26,FALSE)=VLOOKUP(AC$1,Table1[],2,FALSE),1,0)</f>
        <v>#N/A</v>
      </c>
      <c r="AD179" s="5" t="e">
        <f>IF(VLOOKUP($B179,Table2[[prolific]:[feedbackTime]],27,FALSE)=VLOOKUP(AD$1,Table1[],2,FALSE),1,0)</f>
        <v>#N/A</v>
      </c>
      <c r="AE179" s="5" t="e">
        <f>IF(VLOOKUP($B179,Table2[[prolific]:[feedbackTime]],28,FALSE)=VLOOKUP(AE$1,Table1[],2,FALSE),1,0)</f>
        <v>#N/A</v>
      </c>
      <c r="AF179" s="5" t="e">
        <f>IF(VLOOKUP($B179,Table2[[prolific]:[feedbackTime]],29,FALSE)=VLOOKUP(AF$1,Table1[],2,FALSE),1,0)</f>
        <v>#N/A</v>
      </c>
      <c r="AG179" s="5" t="e">
        <f>IF(VLOOKUP($B179,Table2[[prolific]:[feedbackTime]],30,FALSE)=VLOOKUP(AG$1,Table1[],2,FALSE),1,0)</f>
        <v>#N/A</v>
      </c>
      <c r="AH179" s="5" t="e">
        <f t="shared" si="82"/>
        <v>#N/A</v>
      </c>
      <c r="AI179" s="7" t="e">
        <f t="shared" si="83"/>
        <v>#N/A</v>
      </c>
      <c r="AJ179" s="7" t="e">
        <f t="shared" si="84"/>
        <v>#N/A</v>
      </c>
      <c r="AK179" s="5" t="e">
        <f t="shared" si="85"/>
        <v>#N/A</v>
      </c>
    </row>
    <row r="180" spans="1:37" x14ac:dyDescent="0.25">
      <c r="A180">
        <f t="shared" si="75"/>
        <v>1</v>
      </c>
      <c r="B180" s="5" t="s">
        <v>1068</v>
      </c>
      <c r="C180" s="5">
        <f>IF(VLOOKUP($B180,Table2[[prolific]:[feedbackTime]],6,FALSE)=VLOOKUP(C$1,Table1[],2,FALSE),1,0)</f>
        <v>1</v>
      </c>
      <c r="D180" s="5">
        <f>IF(VLOOKUP($B180,Table2[[prolific]:[feedbackTime]],7,FALSE)=VLOOKUP(D$1,Table1[],2,FALSE),1,0)</f>
        <v>1</v>
      </c>
      <c r="E180" s="5">
        <f>IF(VLOOKUP($B180,Table2[[prolific]:[feedbackTime]],8,FALSE)=VLOOKUP(E$1,Table1[],2,FALSE),1,0)</f>
        <v>1</v>
      </c>
      <c r="F180" s="5">
        <f t="shared" si="76"/>
        <v>3</v>
      </c>
      <c r="G180" s="7">
        <f t="shared" si="77"/>
        <v>1</v>
      </c>
      <c r="H180" s="5">
        <f>IF(VLOOKUP($B180,Table2[[prolific]:[feedbackTime]],9,FALSE)=VLOOKUP(H$1,Table1[],2,FALSE),1,0)</f>
        <v>1</v>
      </c>
      <c r="I180" s="5">
        <f>IF(VLOOKUP($B180,Table2[[prolific]:[feedbackTime]],10,FALSE)=VLOOKUP(I$1,Table1[],2,FALSE),1,0)</f>
        <v>1</v>
      </c>
      <c r="J180" s="5">
        <f>IF(VLOOKUP($B180,Table2[[prolific]:[feedbackTime]],11,FALSE)=VLOOKUP(J$1,Table1[],2,FALSE),1,0)</f>
        <v>0</v>
      </c>
      <c r="K180" s="5">
        <f>IF(VLOOKUP($B180,Table2[[prolific]:[feedbackTime]],12,FALSE)=VLOOKUP(K$1,Table1[],2,FALSE),1,0)</f>
        <v>1</v>
      </c>
      <c r="L180" s="5">
        <f>IF(VLOOKUP($B180,Table2[[prolific]:[feedbackTime]],13,FALSE)=VLOOKUP(L$1,Table1[],2,FALSE),1,0)</f>
        <v>1</v>
      </c>
      <c r="M180" s="5">
        <f>IF(VLOOKUP($B180,Table2[[prolific]:[feedbackTime]],14,FALSE)=VLOOKUP(M$1,Table1[],2,FALSE),1,0)</f>
        <v>0</v>
      </c>
      <c r="N180" s="5">
        <f t="shared" si="78"/>
        <v>4</v>
      </c>
      <c r="O180" s="7">
        <f t="shared" si="79"/>
        <v>0.66666666666666663</v>
      </c>
      <c r="P180" s="5">
        <f>IF(VLOOKUP($B180,Table2[[prolific]:[feedbackTime]],15,FALSE)=VLOOKUP(P$1,Table1[],2,FALSE),1,0)</f>
        <v>1</v>
      </c>
      <c r="Q180" s="5">
        <f>IF(VLOOKUP($B180,Table2[[prolific]:[feedbackTime]],16,FALSE)=VLOOKUP(Q$1,Table1[],2,FALSE),1,0)</f>
        <v>1</v>
      </c>
      <c r="R180" s="5">
        <f>IF(VLOOKUP($B180,Table2[[prolific]:[feedbackTime]],17,FALSE)=VLOOKUP(R$1,Table1[],2,FALSE),1,0)</f>
        <v>1</v>
      </c>
      <c r="S180" s="5">
        <f>IF(VLOOKUP($B180,Table2[[prolific]:[feedbackTime]],18,FALSE)=VLOOKUP(S$1,Table1[],2,FALSE),1,0)</f>
        <v>1</v>
      </c>
      <c r="T180" s="5">
        <f>IF(VLOOKUP($B180,Table2[[prolific]:[feedbackTime]],19,FALSE)=VLOOKUP(T$1,Table1[],2,FALSE),1,0)</f>
        <v>1</v>
      </c>
      <c r="U180" s="5">
        <f>IF(VLOOKUP($B180,Table2[[prolific]:[feedbackTime]],20,FALSE)=VLOOKUP(U$1,Table1[],2,FALSE),1,0)</f>
        <v>1</v>
      </c>
      <c r="V180" s="5">
        <f>IF(VLOOKUP($B180,Table2[[prolific]:[feedbackTime]],21,FALSE)=VLOOKUP(V$1,Table1[],2,FALSE),1,0)</f>
        <v>1</v>
      </c>
      <c r="W180" s="5">
        <f>IF(VLOOKUP($B180,Table2[[prolific]:[feedbackTime]],22,FALSE)=VLOOKUP(W$1,Table1[],2,FALSE),1,0)</f>
        <v>1</v>
      </c>
      <c r="X180" s="5">
        <f t="shared" si="80"/>
        <v>8</v>
      </c>
      <c r="Y180" s="7">
        <f t="shared" si="81"/>
        <v>1</v>
      </c>
      <c r="Z180" s="5">
        <f>IF(VLOOKUP($B180,Table2[[prolific]:[feedbackTime]],23,FALSE)=VLOOKUP(Z$1,Table1[],2,FALSE),1,0)</f>
        <v>1</v>
      </c>
      <c r="AA180" s="5">
        <f>IF(VLOOKUP($B180,Table2[[prolific]:[feedbackTime]],24,FALSE)=VLOOKUP(AA$1,Table1[],2,FALSE),1,0)</f>
        <v>1</v>
      </c>
      <c r="AB180" s="5">
        <f>IF(VLOOKUP($B180,Table2[[prolific]:[feedbackTime]],25,FALSE)=VLOOKUP(AB$1,Table1[],2,FALSE),1,0)</f>
        <v>0</v>
      </c>
      <c r="AC180" s="5">
        <f>IF(VLOOKUP($B180,Table2[[prolific]:[feedbackTime]],26,FALSE)=VLOOKUP(AC$1,Table1[],2,FALSE),1,0)</f>
        <v>1</v>
      </c>
      <c r="AD180" s="5">
        <f>IF(VLOOKUP($B180,Table2[[prolific]:[feedbackTime]],27,FALSE)=VLOOKUP(AD$1,Table1[],2,FALSE),1,0)</f>
        <v>0</v>
      </c>
      <c r="AE180" s="5">
        <f>IF(VLOOKUP($B180,Table2[[prolific]:[feedbackTime]],28,FALSE)=VLOOKUP(AE$1,Table1[],2,FALSE),1,0)</f>
        <v>1</v>
      </c>
      <c r="AF180" s="5">
        <f>IF(VLOOKUP($B180,Table2[[prolific]:[feedbackTime]],29,FALSE)=VLOOKUP(AF$1,Table1[],2,FALSE),1,0)</f>
        <v>1</v>
      </c>
      <c r="AG180" s="5">
        <f>IF(VLOOKUP($B180,Table2[[prolific]:[feedbackTime]],30,FALSE)=VLOOKUP(AG$1,Table1[],2,FALSE),1,0)</f>
        <v>0</v>
      </c>
      <c r="AH180" s="5">
        <f t="shared" si="82"/>
        <v>5</v>
      </c>
      <c r="AI180" s="7">
        <f t="shared" si="83"/>
        <v>0.625</v>
      </c>
      <c r="AJ180" s="7">
        <f t="shared" si="84"/>
        <v>0.77272727272727271</v>
      </c>
      <c r="AK180" s="5">
        <f t="shared" si="85"/>
        <v>17</v>
      </c>
    </row>
    <row r="181" spans="1:37" x14ac:dyDescent="0.25">
      <c r="A181">
        <f t="shared" si="75"/>
        <v>1</v>
      </c>
      <c r="B181" s="5" t="s">
        <v>1069</v>
      </c>
      <c r="C181" s="5">
        <f>IF(VLOOKUP($B181,Table2[[prolific]:[feedbackTime]],6,FALSE)=VLOOKUP(C$1,Table1[],2,FALSE),1,0)</f>
        <v>1</v>
      </c>
      <c r="D181" s="5">
        <f>IF(VLOOKUP($B181,Table2[[prolific]:[feedbackTime]],7,FALSE)=VLOOKUP(D$1,Table1[],2,FALSE),1,0)</f>
        <v>1</v>
      </c>
      <c r="E181" s="5">
        <f>IF(VLOOKUP($B181,Table2[[prolific]:[feedbackTime]],8,FALSE)=VLOOKUP(E$1,Table1[],2,FALSE),1,0)</f>
        <v>1</v>
      </c>
      <c r="F181" s="5">
        <f t="shared" si="76"/>
        <v>3</v>
      </c>
      <c r="G181" s="7">
        <f t="shared" si="77"/>
        <v>1</v>
      </c>
      <c r="H181" s="5">
        <f>IF(VLOOKUP($B181,Table2[[prolific]:[feedbackTime]],9,FALSE)=VLOOKUP(H$1,Table1[],2,FALSE),1,0)</f>
        <v>1</v>
      </c>
      <c r="I181" s="5">
        <f>IF(VLOOKUP($B181,Table2[[prolific]:[feedbackTime]],10,FALSE)=VLOOKUP(I$1,Table1[],2,FALSE),1,0)</f>
        <v>1</v>
      </c>
      <c r="J181" s="5">
        <f>IF(VLOOKUP($B181,Table2[[prolific]:[feedbackTime]],11,FALSE)=VLOOKUP(J$1,Table1[],2,FALSE),1,0)</f>
        <v>1</v>
      </c>
      <c r="K181" s="5">
        <f>IF(VLOOKUP($B181,Table2[[prolific]:[feedbackTime]],12,FALSE)=VLOOKUP(K$1,Table1[],2,FALSE),1,0)</f>
        <v>1</v>
      </c>
      <c r="L181" s="5">
        <f>IF(VLOOKUP($B181,Table2[[prolific]:[feedbackTime]],13,FALSE)=VLOOKUP(L$1,Table1[],2,FALSE),1,0)</f>
        <v>1</v>
      </c>
      <c r="M181" s="5">
        <f>IF(VLOOKUP($B181,Table2[[prolific]:[feedbackTime]],14,FALSE)=VLOOKUP(M$1,Table1[],2,FALSE),1,0)</f>
        <v>1</v>
      </c>
      <c r="N181" s="5">
        <f t="shared" si="78"/>
        <v>6</v>
      </c>
      <c r="O181" s="7">
        <f t="shared" si="79"/>
        <v>1</v>
      </c>
      <c r="P181" s="5">
        <f>IF(VLOOKUP($B181,Table2[[prolific]:[feedbackTime]],15,FALSE)=VLOOKUP(P$1,Table1[],2,FALSE),1,0)</f>
        <v>1</v>
      </c>
      <c r="Q181" s="5">
        <f>IF(VLOOKUP($B181,Table2[[prolific]:[feedbackTime]],16,FALSE)=VLOOKUP(Q$1,Table1[],2,FALSE),1,0)</f>
        <v>1</v>
      </c>
      <c r="R181" s="5">
        <f>IF(VLOOKUP($B181,Table2[[prolific]:[feedbackTime]],17,FALSE)=VLOOKUP(R$1,Table1[],2,FALSE),1,0)</f>
        <v>1</v>
      </c>
      <c r="S181" s="5">
        <f>IF(VLOOKUP($B181,Table2[[prolific]:[feedbackTime]],18,FALSE)=VLOOKUP(S$1,Table1[],2,FALSE),1,0)</f>
        <v>1</v>
      </c>
      <c r="T181" s="5">
        <f>IF(VLOOKUP($B181,Table2[[prolific]:[feedbackTime]],19,FALSE)=VLOOKUP(T$1,Table1[],2,FALSE),1,0)</f>
        <v>1</v>
      </c>
      <c r="U181" s="5">
        <f>IF(VLOOKUP($B181,Table2[[prolific]:[feedbackTime]],20,FALSE)=VLOOKUP(U$1,Table1[],2,FALSE),1,0)</f>
        <v>1</v>
      </c>
      <c r="V181" s="5">
        <f>IF(VLOOKUP($B181,Table2[[prolific]:[feedbackTime]],21,FALSE)=VLOOKUP(V$1,Table1[],2,FALSE),1,0)</f>
        <v>0</v>
      </c>
      <c r="W181" s="5">
        <f>IF(VLOOKUP($B181,Table2[[prolific]:[feedbackTime]],22,FALSE)=VLOOKUP(W$1,Table1[],2,FALSE),1,0)</f>
        <v>1</v>
      </c>
      <c r="X181" s="5">
        <f t="shared" si="80"/>
        <v>7</v>
      </c>
      <c r="Y181" s="7">
        <f t="shared" si="81"/>
        <v>0.875</v>
      </c>
      <c r="Z181" s="5">
        <f>IF(VLOOKUP($B181,Table2[[prolific]:[feedbackTime]],23,FALSE)=VLOOKUP(Z$1,Table1[],2,FALSE),1,0)</f>
        <v>1</v>
      </c>
      <c r="AA181" s="5">
        <f>IF(VLOOKUP($B181,Table2[[prolific]:[feedbackTime]],24,FALSE)=VLOOKUP(AA$1,Table1[],2,FALSE),1,0)</f>
        <v>1</v>
      </c>
      <c r="AB181" s="5">
        <f>IF(VLOOKUP($B181,Table2[[prolific]:[feedbackTime]],25,FALSE)=VLOOKUP(AB$1,Table1[],2,FALSE),1,0)</f>
        <v>1</v>
      </c>
      <c r="AC181" s="5">
        <f>IF(VLOOKUP($B181,Table2[[prolific]:[feedbackTime]],26,FALSE)=VLOOKUP(AC$1,Table1[],2,FALSE),1,0)</f>
        <v>1</v>
      </c>
      <c r="AD181" s="5">
        <f>IF(VLOOKUP($B181,Table2[[prolific]:[feedbackTime]],27,FALSE)=VLOOKUP(AD$1,Table1[],2,FALSE),1,0)</f>
        <v>0</v>
      </c>
      <c r="AE181" s="5">
        <f>IF(VLOOKUP($B181,Table2[[prolific]:[feedbackTime]],28,FALSE)=VLOOKUP(AE$1,Table1[],2,FALSE),1,0)</f>
        <v>0</v>
      </c>
      <c r="AF181" s="5">
        <f>IF(VLOOKUP($B181,Table2[[prolific]:[feedbackTime]],29,FALSE)=VLOOKUP(AF$1,Table1[],2,FALSE),1,0)</f>
        <v>1</v>
      </c>
      <c r="AG181" s="5">
        <f>IF(VLOOKUP($B181,Table2[[prolific]:[feedbackTime]],30,FALSE)=VLOOKUP(AG$1,Table1[],2,FALSE),1,0)</f>
        <v>0</v>
      </c>
      <c r="AH181" s="5">
        <f t="shared" si="82"/>
        <v>5</v>
      </c>
      <c r="AI181" s="7">
        <f t="shared" si="83"/>
        <v>0.625</v>
      </c>
      <c r="AJ181" s="7">
        <f t="shared" si="84"/>
        <v>0.81818181818181823</v>
      </c>
      <c r="AK181" s="5">
        <f t="shared" si="85"/>
        <v>18</v>
      </c>
    </row>
    <row r="182" spans="1:37" x14ac:dyDescent="0.25">
      <c r="A182">
        <f t="shared" si="75"/>
        <v>1</v>
      </c>
      <c r="B182" s="5" t="s">
        <v>1070</v>
      </c>
      <c r="C182" s="5">
        <f>IF(VLOOKUP($B182,Table2[[prolific]:[feedbackTime]],6,FALSE)=VLOOKUP(C$1,Table1[],2,FALSE),1,0)</f>
        <v>1</v>
      </c>
      <c r="D182" s="5">
        <f>IF(VLOOKUP($B182,Table2[[prolific]:[feedbackTime]],7,FALSE)=VLOOKUP(D$1,Table1[],2,FALSE),1,0)</f>
        <v>1</v>
      </c>
      <c r="E182" s="5">
        <f>IF(VLOOKUP($B182,Table2[[prolific]:[feedbackTime]],8,FALSE)=VLOOKUP(E$1,Table1[],2,FALSE),1,0)</f>
        <v>1</v>
      </c>
      <c r="F182" s="5">
        <f t="shared" si="76"/>
        <v>3</v>
      </c>
      <c r="G182" s="7">
        <f t="shared" si="77"/>
        <v>1</v>
      </c>
      <c r="H182" s="5">
        <f>IF(VLOOKUP($B182,Table2[[prolific]:[feedbackTime]],9,FALSE)=VLOOKUP(H$1,Table1[],2,FALSE),1,0)</f>
        <v>1</v>
      </c>
      <c r="I182" s="5">
        <f>IF(VLOOKUP($B182,Table2[[prolific]:[feedbackTime]],10,FALSE)=VLOOKUP(I$1,Table1[],2,FALSE),1,0)</f>
        <v>0</v>
      </c>
      <c r="J182" s="5">
        <f>IF(VLOOKUP($B182,Table2[[prolific]:[feedbackTime]],11,FALSE)=VLOOKUP(J$1,Table1[],2,FALSE),1,0)</f>
        <v>0</v>
      </c>
      <c r="K182" s="5">
        <f>IF(VLOOKUP($B182,Table2[[prolific]:[feedbackTime]],12,FALSE)=VLOOKUP(K$1,Table1[],2,FALSE),1,0)</f>
        <v>1</v>
      </c>
      <c r="L182" s="5">
        <f>IF(VLOOKUP($B182,Table2[[prolific]:[feedbackTime]],13,FALSE)=VLOOKUP(L$1,Table1[],2,FALSE),1,0)</f>
        <v>1</v>
      </c>
      <c r="M182" s="5">
        <f>IF(VLOOKUP($B182,Table2[[prolific]:[feedbackTime]],14,FALSE)=VLOOKUP(M$1,Table1[],2,FALSE),1,0)</f>
        <v>1</v>
      </c>
      <c r="N182" s="5">
        <f t="shared" si="78"/>
        <v>4</v>
      </c>
      <c r="O182" s="7">
        <f t="shared" si="79"/>
        <v>0.66666666666666663</v>
      </c>
      <c r="P182" s="5">
        <f>IF(VLOOKUP($B182,Table2[[prolific]:[feedbackTime]],15,FALSE)=VLOOKUP(P$1,Table1[],2,FALSE),1,0)</f>
        <v>1</v>
      </c>
      <c r="Q182" s="5">
        <f>IF(VLOOKUP($B182,Table2[[prolific]:[feedbackTime]],16,FALSE)=VLOOKUP(Q$1,Table1[],2,FALSE),1,0)</f>
        <v>1</v>
      </c>
      <c r="R182" s="5">
        <f>IF(VLOOKUP($B182,Table2[[prolific]:[feedbackTime]],17,FALSE)=VLOOKUP(R$1,Table1[],2,FALSE),1,0)</f>
        <v>0</v>
      </c>
      <c r="S182" s="5">
        <f>IF(VLOOKUP($B182,Table2[[prolific]:[feedbackTime]],18,FALSE)=VLOOKUP(S$1,Table1[],2,FALSE),1,0)</f>
        <v>0</v>
      </c>
      <c r="T182" s="5">
        <f>IF(VLOOKUP($B182,Table2[[prolific]:[feedbackTime]],19,FALSE)=VLOOKUP(T$1,Table1[],2,FALSE),1,0)</f>
        <v>1</v>
      </c>
      <c r="U182" s="5">
        <f>IF(VLOOKUP($B182,Table2[[prolific]:[feedbackTime]],20,FALSE)=VLOOKUP(U$1,Table1[],2,FALSE),1,0)</f>
        <v>1</v>
      </c>
      <c r="V182" s="5">
        <f>IF(VLOOKUP($B182,Table2[[prolific]:[feedbackTime]],21,FALSE)=VLOOKUP(V$1,Table1[],2,FALSE),1,0)</f>
        <v>1</v>
      </c>
      <c r="W182" s="5">
        <f>IF(VLOOKUP($B182,Table2[[prolific]:[feedbackTime]],22,FALSE)=VLOOKUP(W$1,Table1[],2,FALSE),1,0)</f>
        <v>1</v>
      </c>
      <c r="X182" s="5">
        <f t="shared" si="80"/>
        <v>6</v>
      </c>
      <c r="Y182" s="7">
        <f t="shared" si="81"/>
        <v>0.75</v>
      </c>
      <c r="Z182" s="5">
        <f>IF(VLOOKUP($B182,Table2[[prolific]:[feedbackTime]],23,FALSE)=VLOOKUP(Z$1,Table1[],2,FALSE),1,0)</f>
        <v>1</v>
      </c>
      <c r="AA182" s="5">
        <f>IF(VLOOKUP($B182,Table2[[prolific]:[feedbackTime]],24,FALSE)=VLOOKUP(AA$1,Table1[],2,FALSE),1,0)</f>
        <v>1</v>
      </c>
      <c r="AB182" s="5">
        <f>IF(VLOOKUP($B182,Table2[[prolific]:[feedbackTime]],25,FALSE)=VLOOKUP(AB$1,Table1[],2,FALSE),1,0)</f>
        <v>0</v>
      </c>
      <c r="AC182" s="5">
        <f>IF(VLOOKUP($B182,Table2[[prolific]:[feedbackTime]],26,FALSE)=VLOOKUP(AC$1,Table1[],2,FALSE),1,0)</f>
        <v>1</v>
      </c>
      <c r="AD182" s="5">
        <f>IF(VLOOKUP($B182,Table2[[prolific]:[feedbackTime]],27,FALSE)=VLOOKUP(AD$1,Table1[],2,FALSE),1,0)</f>
        <v>0</v>
      </c>
      <c r="AE182" s="5">
        <f>IF(VLOOKUP($B182,Table2[[prolific]:[feedbackTime]],28,FALSE)=VLOOKUP(AE$1,Table1[],2,FALSE),1,0)</f>
        <v>0</v>
      </c>
      <c r="AF182" s="5">
        <f>IF(VLOOKUP($B182,Table2[[prolific]:[feedbackTime]],29,FALSE)=VLOOKUP(AF$1,Table1[],2,FALSE),1,0)</f>
        <v>0</v>
      </c>
      <c r="AG182" s="5">
        <f>IF(VLOOKUP($B182,Table2[[prolific]:[feedbackTime]],30,FALSE)=VLOOKUP(AG$1,Table1[],2,FALSE),1,0)</f>
        <v>0</v>
      </c>
      <c r="AH182" s="5">
        <f t="shared" si="82"/>
        <v>3</v>
      </c>
      <c r="AI182" s="7">
        <f t="shared" si="83"/>
        <v>0.375</v>
      </c>
      <c r="AJ182" s="7">
        <f t="shared" si="84"/>
        <v>0.59090909090909094</v>
      </c>
      <c r="AK182" s="5">
        <f t="shared" si="85"/>
        <v>13</v>
      </c>
    </row>
    <row r="183" spans="1:37" x14ac:dyDescent="0.25">
      <c r="A183">
        <f t="shared" si="75"/>
        <v>1</v>
      </c>
      <c r="B183" s="5" t="s">
        <v>1071</v>
      </c>
      <c r="C183" s="5">
        <f>IF(VLOOKUP($B183,Table2[[prolific]:[feedbackTime]],6,FALSE)=VLOOKUP(C$1,Table1[],2,FALSE),1,0)</f>
        <v>1</v>
      </c>
      <c r="D183" s="5">
        <f>IF(VLOOKUP($B183,Table2[[prolific]:[feedbackTime]],7,FALSE)=VLOOKUP(D$1,Table1[],2,FALSE),1,0)</f>
        <v>1</v>
      </c>
      <c r="E183" s="5">
        <f>IF(VLOOKUP($B183,Table2[[prolific]:[feedbackTime]],8,FALSE)=VLOOKUP(E$1,Table1[],2,FALSE),1,0)</f>
        <v>1</v>
      </c>
      <c r="F183" s="5">
        <f t="shared" si="76"/>
        <v>3</v>
      </c>
      <c r="G183" s="7">
        <f t="shared" si="77"/>
        <v>1</v>
      </c>
      <c r="H183" s="5">
        <f>IF(VLOOKUP($B183,Table2[[prolific]:[feedbackTime]],9,FALSE)=VLOOKUP(H$1,Table1[],2,FALSE),1,0)</f>
        <v>1</v>
      </c>
      <c r="I183" s="5">
        <f>IF(VLOOKUP($B183,Table2[[prolific]:[feedbackTime]],10,FALSE)=VLOOKUP(I$1,Table1[],2,FALSE),1,0)</f>
        <v>0</v>
      </c>
      <c r="J183" s="5">
        <f>IF(VLOOKUP($B183,Table2[[prolific]:[feedbackTime]],11,FALSE)=VLOOKUP(J$1,Table1[],2,FALSE),1,0)</f>
        <v>1</v>
      </c>
      <c r="K183" s="5">
        <f>IF(VLOOKUP($B183,Table2[[prolific]:[feedbackTime]],12,FALSE)=VLOOKUP(K$1,Table1[],2,FALSE),1,0)</f>
        <v>1</v>
      </c>
      <c r="L183" s="5">
        <f>IF(VLOOKUP($B183,Table2[[prolific]:[feedbackTime]],13,FALSE)=VLOOKUP(L$1,Table1[],2,FALSE),1,0)</f>
        <v>0</v>
      </c>
      <c r="M183" s="5">
        <f>IF(VLOOKUP($B183,Table2[[prolific]:[feedbackTime]],14,FALSE)=VLOOKUP(M$1,Table1[],2,FALSE),1,0)</f>
        <v>1</v>
      </c>
      <c r="N183" s="5">
        <f t="shared" si="78"/>
        <v>4</v>
      </c>
      <c r="O183" s="7">
        <f t="shared" si="79"/>
        <v>0.66666666666666663</v>
      </c>
      <c r="P183" s="5">
        <f>IF(VLOOKUP($B183,Table2[[prolific]:[feedbackTime]],15,FALSE)=VLOOKUP(P$1,Table1[],2,FALSE),1,0)</f>
        <v>1</v>
      </c>
      <c r="Q183" s="5">
        <f>IF(VLOOKUP($B183,Table2[[prolific]:[feedbackTime]],16,FALSE)=VLOOKUP(Q$1,Table1[],2,FALSE),1,0)</f>
        <v>1</v>
      </c>
      <c r="R183" s="5">
        <f>IF(VLOOKUP($B183,Table2[[prolific]:[feedbackTime]],17,FALSE)=VLOOKUP(R$1,Table1[],2,FALSE),1,0)</f>
        <v>1</v>
      </c>
      <c r="S183" s="5">
        <f>IF(VLOOKUP($B183,Table2[[prolific]:[feedbackTime]],18,FALSE)=VLOOKUP(S$1,Table1[],2,FALSE),1,0)</f>
        <v>0</v>
      </c>
      <c r="T183" s="5">
        <f>IF(VLOOKUP($B183,Table2[[prolific]:[feedbackTime]],19,FALSE)=VLOOKUP(T$1,Table1[],2,FALSE),1,0)</f>
        <v>1</v>
      </c>
      <c r="U183" s="5">
        <f>IF(VLOOKUP($B183,Table2[[prolific]:[feedbackTime]],20,FALSE)=VLOOKUP(U$1,Table1[],2,FALSE),1,0)</f>
        <v>1</v>
      </c>
      <c r="V183" s="5">
        <f>IF(VLOOKUP($B183,Table2[[prolific]:[feedbackTime]],21,FALSE)=VLOOKUP(V$1,Table1[],2,FALSE),1,0)</f>
        <v>0</v>
      </c>
      <c r="W183" s="5">
        <f>IF(VLOOKUP($B183,Table2[[prolific]:[feedbackTime]],22,FALSE)=VLOOKUP(W$1,Table1[],2,FALSE),1,0)</f>
        <v>0</v>
      </c>
      <c r="X183" s="5">
        <f t="shared" si="80"/>
        <v>5</v>
      </c>
      <c r="Y183" s="7">
        <f t="shared" si="81"/>
        <v>0.625</v>
      </c>
      <c r="Z183" s="5">
        <f>IF(VLOOKUP($B183,Table2[[prolific]:[feedbackTime]],23,FALSE)=VLOOKUP(Z$1,Table1[],2,FALSE),1,0)</f>
        <v>1</v>
      </c>
      <c r="AA183" s="5">
        <f>IF(VLOOKUP($B183,Table2[[prolific]:[feedbackTime]],24,FALSE)=VLOOKUP(AA$1,Table1[],2,FALSE),1,0)</f>
        <v>1</v>
      </c>
      <c r="AB183" s="5">
        <f>IF(VLOOKUP($B183,Table2[[prolific]:[feedbackTime]],25,FALSE)=VLOOKUP(AB$1,Table1[],2,FALSE),1,0)</f>
        <v>0</v>
      </c>
      <c r="AC183" s="5">
        <f>IF(VLOOKUP($B183,Table2[[prolific]:[feedbackTime]],26,FALSE)=VLOOKUP(AC$1,Table1[],2,FALSE),1,0)</f>
        <v>1</v>
      </c>
      <c r="AD183" s="5">
        <f>IF(VLOOKUP($B183,Table2[[prolific]:[feedbackTime]],27,FALSE)=VLOOKUP(AD$1,Table1[],2,FALSE),1,0)</f>
        <v>0</v>
      </c>
      <c r="AE183" s="5">
        <f>IF(VLOOKUP($B183,Table2[[prolific]:[feedbackTime]],28,FALSE)=VLOOKUP(AE$1,Table1[],2,FALSE),1,0)</f>
        <v>0</v>
      </c>
      <c r="AF183" s="5">
        <f>IF(VLOOKUP($B183,Table2[[prolific]:[feedbackTime]],29,FALSE)=VLOOKUP(AF$1,Table1[],2,FALSE),1,0)</f>
        <v>0</v>
      </c>
      <c r="AG183" s="5">
        <f>IF(VLOOKUP($B183,Table2[[prolific]:[feedbackTime]],30,FALSE)=VLOOKUP(AG$1,Table1[],2,FALSE),1,0)</f>
        <v>0</v>
      </c>
      <c r="AH183" s="5">
        <f t="shared" si="82"/>
        <v>3</v>
      </c>
      <c r="AI183" s="7">
        <f t="shared" si="83"/>
        <v>0.375</v>
      </c>
      <c r="AJ183" s="7">
        <f t="shared" si="84"/>
        <v>0.54545454545454541</v>
      </c>
      <c r="AK183" s="5">
        <f t="shared" si="85"/>
        <v>12</v>
      </c>
    </row>
    <row r="184" spans="1:37" x14ac:dyDescent="0.25">
      <c r="A184">
        <f t="shared" si="75"/>
        <v>1</v>
      </c>
      <c r="B184" s="5" t="s">
        <v>1072</v>
      </c>
      <c r="C184" s="5">
        <f>IF(VLOOKUP($B184,Table2[[prolific]:[feedbackTime]],6,FALSE)=VLOOKUP(C$1,Table1[],2,FALSE),1,0)</f>
        <v>1</v>
      </c>
      <c r="D184" s="5">
        <f>IF(VLOOKUP($B184,Table2[[prolific]:[feedbackTime]],7,FALSE)=VLOOKUP(D$1,Table1[],2,FALSE),1,0)</f>
        <v>1</v>
      </c>
      <c r="E184" s="5">
        <f>IF(VLOOKUP($B184,Table2[[prolific]:[feedbackTime]],8,FALSE)=VLOOKUP(E$1,Table1[],2,FALSE),1,0)</f>
        <v>1</v>
      </c>
      <c r="F184" s="5">
        <f t="shared" si="76"/>
        <v>3</v>
      </c>
      <c r="G184" s="7">
        <f t="shared" si="77"/>
        <v>1</v>
      </c>
      <c r="H184" s="5">
        <f>IF(VLOOKUP($B184,Table2[[prolific]:[feedbackTime]],9,FALSE)=VLOOKUP(H$1,Table1[],2,FALSE),1,0)</f>
        <v>1</v>
      </c>
      <c r="I184" s="5">
        <f>IF(VLOOKUP($B184,Table2[[prolific]:[feedbackTime]],10,FALSE)=VLOOKUP(I$1,Table1[],2,FALSE),1,0)</f>
        <v>1</v>
      </c>
      <c r="J184" s="5">
        <f>IF(VLOOKUP($B184,Table2[[prolific]:[feedbackTime]],11,FALSE)=VLOOKUP(J$1,Table1[],2,FALSE),1,0)</f>
        <v>0</v>
      </c>
      <c r="K184" s="5">
        <f>IF(VLOOKUP($B184,Table2[[prolific]:[feedbackTime]],12,FALSE)=VLOOKUP(K$1,Table1[],2,FALSE),1,0)</f>
        <v>1</v>
      </c>
      <c r="L184" s="5">
        <f>IF(VLOOKUP($B184,Table2[[prolific]:[feedbackTime]],13,FALSE)=VLOOKUP(L$1,Table1[],2,FALSE),1,0)</f>
        <v>0</v>
      </c>
      <c r="M184" s="5">
        <f>IF(VLOOKUP($B184,Table2[[prolific]:[feedbackTime]],14,FALSE)=VLOOKUP(M$1,Table1[],2,FALSE),1,0)</f>
        <v>0</v>
      </c>
      <c r="N184" s="5">
        <f t="shared" si="78"/>
        <v>3</v>
      </c>
      <c r="O184" s="7">
        <f t="shared" si="79"/>
        <v>0.5</v>
      </c>
      <c r="P184" s="5">
        <f>IF(VLOOKUP($B184,Table2[[prolific]:[feedbackTime]],15,FALSE)=VLOOKUP(P$1,Table1[],2,FALSE),1,0)</f>
        <v>1</v>
      </c>
      <c r="Q184" s="5">
        <f>IF(VLOOKUP($B184,Table2[[prolific]:[feedbackTime]],16,FALSE)=VLOOKUP(Q$1,Table1[],2,FALSE),1,0)</f>
        <v>1</v>
      </c>
      <c r="R184" s="5">
        <f>IF(VLOOKUP($B184,Table2[[prolific]:[feedbackTime]],17,FALSE)=VLOOKUP(R$1,Table1[],2,FALSE),1,0)</f>
        <v>1</v>
      </c>
      <c r="S184" s="5">
        <f>IF(VLOOKUP($B184,Table2[[prolific]:[feedbackTime]],18,FALSE)=VLOOKUP(S$1,Table1[],2,FALSE),1,0)</f>
        <v>1</v>
      </c>
      <c r="T184" s="5">
        <f>IF(VLOOKUP($B184,Table2[[prolific]:[feedbackTime]],19,FALSE)=VLOOKUP(T$1,Table1[],2,FALSE),1,0)</f>
        <v>1</v>
      </c>
      <c r="U184" s="5">
        <f>IF(VLOOKUP($B184,Table2[[prolific]:[feedbackTime]],20,FALSE)=VLOOKUP(U$1,Table1[],2,FALSE),1,0)</f>
        <v>1</v>
      </c>
      <c r="V184" s="5">
        <f>IF(VLOOKUP($B184,Table2[[prolific]:[feedbackTime]],21,FALSE)=VLOOKUP(V$1,Table1[],2,FALSE),1,0)</f>
        <v>1</v>
      </c>
      <c r="W184" s="5">
        <f>IF(VLOOKUP($B184,Table2[[prolific]:[feedbackTime]],22,FALSE)=VLOOKUP(W$1,Table1[],2,FALSE),1,0)</f>
        <v>0</v>
      </c>
      <c r="X184" s="5">
        <f t="shared" si="80"/>
        <v>7</v>
      </c>
      <c r="Y184" s="7">
        <f t="shared" si="81"/>
        <v>0.875</v>
      </c>
      <c r="Z184" s="5">
        <f>IF(VLOOKUP($B184,Table2[[prolific]:[feedbackTime]],23,FALSE)=VLOOKUP(Z$1,Table1[],2,FALSE),1,0)</f>
        <v>1</v>
      </c>
      <c r="AA184" s="5">
        <f>IF(VLOOKUP($B184,Table2[[prolific]:[feedbackTime]],24,FALSE)=VLOOKUP(AA$1,Table1[],2,FALSE),1,0)</f>
        <v>0</v>
      </c>
      <c r="AB184" s="5">
        <f>IF(VLOOKUP($B184,Table2[[prolific]:[feedbackTime]],25,FALSE)=VLOOKUP(AB$1,Table1[],2,FALSE),1,0)</f>
        <v>1</v>
      </c>
      <c r="AC184" s="5">
        <f>IF(VLOOKUP($B184,Table2[[prolific]:[feedbackTime]],26,FALSE)=VLOOKUP(AC$1,Table1[],2,FALSE),1,0)</f>
        <v>1</v>
      </c>
      <c r="AD184" s="5">
        <f>IF(VLOOKUP($B184,Table2[[prolific]:[feedbackTime]],27,FALSE)=VLOOKUP(AD$1,Table1[],2,FALSE),1,0)</f>
        <v>1</v>
      </c>
      <c r="AE184" s="5">
        <f>IF(VLOOKUP($B184,Table2[[prolific]:[feedbackTime]],28,FALSE)=VLOOKUP(AE$1,Table1[],2,FALSE),1,0)</f>
        <v>0</v>
      </c>
      <c r="AF184" s="5">
        <f>IF(VLOOKUP($B184,Table2[[prolific]:[feedbackTime]],29,FALSE)=VLOOKUP(AF$1,Table1[],2,FALSE),1,0)</f>
        <v>0</v>
      </c>
      <c r="AG184" s="5">
        <f>IF(VLOOKUP($B184,Table2[[prolific]:[feedbackTime]],30,FALSE)=VLOOKUP(AG$1,Table1[],2,FALSE),1,0)</f>
        <v>1</v>
      </c>
      <c r="AH184" s="5">
        <f t="shared" si="82"/>
        <v>5</v>
      </c>
      <c r="AI184" s="7">
        <f t="shared" si="83"/>
        <v>0.625</v>
      </c>
      <c r="AJ184" s="7">
        <f t="shared" si="84"/>
        <v>0.68181818181818177</v>
      </c>
      <c r="AK184" s="5">
        <f t="shared" si="85"/>
        <v>15</v>
      </c>
    </row>
    <row r="185" spans="1:37" x14ac:dyDescent="0.25">
      <c r="A185">
        <f t="shared" si="75"/>
        <v>1</v>
      </c>
      <c r="B185" s="5" t="s">
        <v>1073</v>
      </c>
      <c r="C185" s="5">
        <f>IF(VLOOKUP($B185,Table2[[prolific]:[feedbackTime]],6,FALSE)=VLOOKUP(C$1,Table1[],2,FALSE),1,0)</f>
        <v>1</v>
      </c>
      <c r="D185" s="5">
        <f>IF(VLOOKUP($B185,Table2[[prolific]:[feedbackTime]],7,FALSE)=VLOOKUP(D$1,Table1[],2,FALSE),1,0)</f>
        <v>1</v>
      </c>
      <c r="E185" s="5">
        <f>IF(VLOOKUP($B185,Table2[[prolific]:[feedbackTime]],8,FALSE)=VLOOKUP(E$1,Table1[],2,FALSE),1,0)</f>
        <v>1</v>
      </c>
      <c r="F185" s="5">
        <f t="shared" si="76"/>
        <v>3</v>
      </c>
      <c r="G185" s="7">
        <f t="shared" si="77"/>
        <v>1</v>
      </c>
      <c r="H185" s="5">
        <f>IF(VLOOKUP($B185,Table2[[prolific]:[feedbackTime]],9,FALSE)=VLOOKUP(H$1,Table1[],2,FALSE),1,0)</f>
        <v>1</v>
      </c>
      <c r="I185" s="5">
        <f>IF(VLOOKUP($B185,Table2[[prolific]:[feedbackTime]],10,FALSE)=VLOOKUP(I$1,Table1[],2,FALSE),1,0)</f>
        <v>0</v>
      </c>
      <c r="J185" s="5">
        <f>IF(VLOOKUP($B185,Table2[[prolific]:[feedbackTime]],11,FALSE)=VLOOKUP(J$1,Table1[],2,FALSE),1,0)</f>
        <v>1</v>
      </c>
      <c r="K185" s="5">
        <f>IF(VLOOKUP($B185,Table2[[prolific]:[feedbackTime]],12,FALSE)=VLOOKUP(K$1,Table1[],2,FALSE),1,0)</f>
        <v>1</v>
      </c>
      <c r="L185" s="5">
        <f>IF(VLOOKUP($B185,Table2[[prolific]:[feedbackTime]],13,FALSE)=VLOOKUP(L$1,Table1[],2,FALSE),1,0)</f>
        <v>0</v>
      </c>
      <c r="M185" s="5">
        <f>IF(VLOOKUP($B185,Table2[[prolific]:[feedbackTime]],14,FALSE)=VLOOKUP(M$1,Table1[],2,FALSE),1,0)</f>
        <v>0</v>
      </c>
      <c r="N185" s="5">
        <f t="shared" si="78"/>
        <v>3</v>
      </c>
      <c r="O185" s="7">
        <f t="shared" si="79"/>
        <v>0.5</v>
      </c>
      <c r="P185" s="5">
        <f>IF(VLOOKUP($B185,Table2[[prolific]:[feedbackTime]],15,FALSE)=VLOOKUP(P$1,Table1[],2,FALSE),1,0)</f>
        <v>1</v>
      </c>
      <c r="Q185" s="5">
        <f>IF(VLOOKUP($B185,Table2[[prolific]:[feedbackTime]],16,FALSE)=VLOOKUP(Q$1,Table1[],2,FALSE),1,0)</f>
        <v>1</v>
      </c>
      <c r="R185" s="5">
        <f>IF(VLOOKUP($B185,Table2[[prolific]:[feedbackTime]],17,FALSE)=VLOOKUP(R$1,Table1[],2,FALSE),1,0)</f>
        <v>0</v>
      </c>
      <c r="S185" s="5">
        <f>IF(VLOOKUP($B185,Table2[[prolific]:[feedbackTime]],18,FALSE)=VLOOKUP(S$1,Table1[],2,FALSE),1,0)</f>
        <v>0</v>
      </c>
      <c r="T185" s="5">
        <f>IF(VLOOKUP($B185,Table2[[prolific]:[feedbackTime]],19,FALSE)=VLOOKUP(T$1,Table1[],2,FALSE),1,0)</f>
        <v>1</v>
      </c>
      <c r="U185" s="5">
        <f>IF(VLOOKUP($B185,Table2[[prolific]:[feedbackTime]],20,FALSE)=VLOOKUP(U$1,Table1[],2,FALSE),1,0)</f>
        <v>1</v>
      </c>
      <c r="V185" s="5">
        <f>IF(VLOOKUP($B185,Table2[[prolific]:[feedbackTime]],21,FALSE)=VLOOKUP(V$1,Table1[],2,FALSE),1,0)</f>
        <v>0</v>
      </c>
      <c r="W185" s="5">
        <f>IF(VLOOKUP($B185,Table2[[prolific]:[feedbackTime]],22,FALSE)=VLOOKUP(W$1,Table1[],2,FALSE),1,0)</f>
        <v>1</v>
      </c>
      <c r="X185" s="5">
        <f t="shared" si="80"/>
        <v>5</v>
      </c>
      <c r="Y185" s="7">
        <f t="shared" si="81"/>
        <v>0.625</v>
      </c>
      <c r="Z185" s="5">
        <f>IF(VLOOKUP($B185,Table2[[prolific]:[feedbackTime]],23,FALSE)=VLOOKUP(Z$1,Table1[],2,FALSE),1,0)</f>
        <v>1</v>
      </c>
      <c r="AA185" s="5">
        <f>IF(VLOOKUP($B185,Table2[[prolific]:[feedbackTime]],24,FALSE)=VLOOKUP(AA$1,Table1[],2,FALSE),1,0)</f>
        <v>1</v>
      </c>
      <c r="AB185" s="5">
        <f>IF(VLOOKUP($B185,Table2[[prolific]:[feedbackTime]],25,FALSE)=VLOOKUP(AB$1,Table1[],2,FALSE),1,0)</f>
        <v>0</v>
      </c>
      <c r="AC185" s="5">
        <f>IF(VLOOKUP($B185,Table2[[prolific]:[feedbackTime]],26,FALSE)=VLOOKUP(AC$1,Table1[],2,FALSE),1,0)</f>
        <v>1</v>
      </c>
      <c r="AD185" s="5">
        <f>IF(VLOOKUP($B185,Table2[[prolific]:[feedbackTime]],27,FALSE)=VLOOKUP(AD$1,Table1[],2,FALSE),1,0)</f>
        <v>0</v>
      </c>
      <c r="AE185" s="5">
        <f>IF(VLOOKUP($B185,Table2[[prolific]:[feedbackTime]],28,FALSE)=VLOOKUP(AE$1,Table1[],2,FALSE),1,0)</f>
        <v>0</v>
      </c>
      <c r="AF185" s="5">
        <f>IF(VLOOKUP($B185,Table2[[prolific]:[feedbackTime]],29,FALSE)=VLOOKUP(AF$1,Table1[],2,FALSE),1,0)</f>
        <v>0</v>
      </c>
      <c r="AG185" s="5">
        <f>IF(VLOOKUP($B185,Table2[[prolific]:[feedbackTime]],30,FALSE)=VLOOKUP(AG$1,Table1[],2,FALSE),1,0)</f>
        <v>0</v>
      </c>
      <c r="AH185" s="5">
        <f t="shared" si="82"/>
        <v>3</v>
      </c>
      <c r="AI185" s="7">
        <f t="shared" si="83"/>
        <v>0.375</v>
      </c>
      <c r="AJ185" s="7">
        <f t="shared" si="84"/>
        <v>0.5</v>
      </c>
      <c r="AK185" s="5">
        <f t="shared" si="85"/>
        <v>11</v>
      </c>
    </row>
    <row r="186" spans="1:37" x14ac:dyDescent="0.25">
      <c r="A186">
        <f t="shared" si="75"/>
        <v>1</v>
      </c>
      <c r="B186" s="5" t="s">
        <v>1074</v>
      </c>
      <c r="C186" s="5">
        <f>IF(VLOOKUP($B186,Table2[[prolific]:[feedbackTime]],6,FALSE)=VLOOKUP(C$1,Table1[],2,FALSE),1,0)</f>
        <v>1</v>
      </c>
      <c r="D186" s="5">
        <f>IF(VLOOKUP($B186,Table2[[prolific]:[feedbackTime]],7,FALSE)=VLOOKUP(D$1,Table1[],2,FALSE),1,0)</f>
        <v>1</v>
      </c>
      <c r="E186" s="5">
        <f>IF(VLOOKUP($B186,Table2[[prolific]:[feedbackTime]],8,FALSE)=VLOOKUP(E$1,Table1[],2,FALSE),1,0)</f>
        <v>1</v>
      </c>
      <c r="F186" s="5">
        <f t="shared" si="76"/>
        <v>3</v>
      </c>
      <c r="G186" s="7">
        <f t="shared" si="77"/>
        <v>1</v>
      </c>
      <c r="H186" s="5">
        <f>IF(VLOOKUP($B186,Table2[[prolific]:[feedbackTime]],9,FALSE)=VLOOKUP(H$1,Table1[],2,FALSE),1,0)</f>
        <v>1</v>
      </c>
      <c r="I186" s="5">
        <f>IF(VLOOKUP($B186,Table2[[prolific]:[feedbackTime]],10,FALSE)=VLOOKUP(I$1,Table1[],2,FALSE),1,0)</f>
        <v>1</v>
      </c>
      <c r="J186" s="5">
        <f>IF(VLOOKUP($B186,Table2[[prolific]:[feedbackTime]],11,FALSE)=VLOOKUP(J$1,Table1[],2,FALSE),1,0)</f>
        <v>0</v>
      </c>
      <c r="K186" s="5">
        <f>IF(VLOOKUP($B186,Table2[[prolific]:[feedbackTime]],12,FALSE)=VLOOKUP(K$1,Table1[],2,FALSE),1,0)</f>
        <v>1</v>
      </c>
      <c r="L186" s="5">
        <f>IF(VLOOKUP($B186,Table2[[prolific]:[feedbackTime]],13,FALSE)=VLOOKUP(L$1,Table1[],2,FALSE),1,0)</f>
        <v>0</v>
      </c>
      <c r="M186" s="5">
        <f>IF(VLOOKUP($B186,Table2[[prolific]:[feedbackTime]],14,FALSE)=VLOOKUP(M$1,Table1[],2,FALSE),1,0)</f>
        <v>0</v>
      </c>
      <c r="N186" s="5">
        <f t="shared" si="78"/>
        <v>3</v>
      </c>
      <c r="O186" s="7">
        <f t="shared" si="79"/>
        <v>0.5</v>
      </c>
      <c r="P186" s="5">
        <f>IF(VLOOKUP($B186,Table2[[prolific]:[feedbackTime]],15,FALSE)=VLOOKUP(P$1,Table1[],2,FALSE),1,0)</f>
        <v>1</v>
      </c>
      <c r="Q186" s="5">
        <f>IF(VLOOKUP($B186,Table2[[prolific]:[feedbackTime]],16,FALSE)=VLOOKUP(Q$1,Table1[],2,FALSE),1,0)</f>
        <v>1</v>
      </c>
      <c r="R186" s="5">
        <f>IF(VLOOKUP($B186,Table2[[prolific]:[feedbackTime]],17,FALSE)=VLOOKUP(R$1,Table1[],2,FALSE),1,0)</f>
        <v>1</v>
      </c>
      <c r="S186" s="5">
        <f>IF(VLOOKUP($B186,Table2[[prolific]:[feedbackTime]],18,FALSE)=VLOOKUP(S$1,Table1[],2,FALSE),1,0)</f>
        <v>1</v>
      </c>
      <c r="T186" s="5">
        <f>IF(VLOOKUP($B186,Table2[[prolific]:[feedbackTime]],19,FALSE)=VLOOKUP(T$1,Table1[],2,FALSE),1,0)</f>
        <v>1</v>
      </c>
      <c r="U186" s="5">
        <f>IF(VLOOKUP($B186,Table2[[prolific]:[feedbackTime]],20,FALSE)=VLOOKUP(U$1,Table1[],2,FALSE),1,0)</f>
        <v>1</v>
      </c>
      <c r="V186" s="5">
        <f>IF(VLOOKUP($B186,Table2[[prolific]:[feedbackTime]],21,FALSE)=VLOOKUP(V$1,Table1[],2,FALSE),1,0)</f>
        <v>0</v>
      </c>
      <c r="W186" s="5">
        <f>IF(VLOOKUP($B186,Table2[[prolific]:[feedbackTime]],22,FALSE)=VLOOKUP(W$1,Table1[],2,FALSE),1,0)</f>
        <v>0</v>
      </c>
      <c r="X186" s="5">
        <f t="shared" si="80"/>
        <v>6</v>
      </c>
      <c r="Y186" s="7">
        <f t="shared" si="81"/>
        <v>0.75</v>
      </c>
      <c r="Z186" s="5">
        <f>IF(VLOOKUP($B186,Table2[[prolific]:[feedbackTime]],23,FALSE)=VLOOKUP(Z$1,Table1[],2,FALSE),1,0)</f>
        <v>1</v>
      </c>
      <c r="AA186" s="5">
        <f>IF(VLOOKUP($B186,Table2[[prolific]:[feedbackTime]],24,FALSE)=VLOOKUP(AA$1,Table1[],2,FALSE),1,0)</f>
        <v>1</v>
      </c>
      <c r="AB186" s="5">
        <f>IF(VLOOKUP($B186,Table2[[prolific]:[feedbackTime]],25,FALSE)=VLOOKUP(AB$1,Table1[],2,FALSE),1,0)</f>
        <v>1</v>
      </c>
      <c r="AC186" s="5">
        <f>IF(VLOOKUP($B186,Table2[[prolific]:[feedbackTime]],26,FALSE)=VLOOKUP(AC$1,Table1[],2,FALSE),1,0)</f>
        <v>1</v>
      </c>
      <c r="AD186" s="5">
        <f>IF(VLOOKUP($B186,Table2[[prolific]:[feedbackTime]],27,FALSE)=VLOOKUP(AD$1,Table1[],2,FALSE),1,0)</f>
        <v>0</v>
      </c>
      <c r="AE186" s="5">
        <f>IF(VLOOKUP($B186,Table2[[prolific]:[feedbackTime]],28,FALSE)=VLOOKUP(AE$1,Table1[],2,FALSE),1,0)</f>
        <v>0</v>
      </c>
      <c r="AF186" s="5">
        <f>IF(VLOOKUP($B186,Table2[[prolific]:[feedbackTime]],29,FALSE)=VLOOKUP(AF$1,Table1[],2,FALSE),1,0)</f>
        <v>0</v>
      </c>
      <c r="AG186" s="5">
        <f>IF(VLOOKUP($B186,Table2[[prolific]:[feedbackTime]],30,FALSE)=VLOOKUP(AG$1,Table1[],2,FALSE),1,0)</f>
        <v>0</v>
      </c>
      <c r="AH186" s="5">
        <f t="shared" si="82"/>
        <v>4</v>
      </c>
      <c r="AI186" s="7">
        <f t="shared" si="83"/>
        <v>0.5</v>
      </c>
      <c r="AJ186" s="7">
        <f t="shared" si="84"/>
        <v>0.59090909090909094</v>
      </c>
      <c r="AK186" s="5">
        <f t="shared" si="85"/>
        <v>13</v>
      </c>
    </row>
    <row r="187" spans="1:37" x14ac:dyDescent="0.25">
      <c r="A187">
        <f t="shared" si="75"/>
        <v>1</v>
      </c>
      <c r="B187" s="5" t="s">
        <v>1075</v>
      </c>
      <c r="C187" s="5">
        <f>IF(VLOOKUP($B187,Table2[[prolific]:[feedbackTime]],6,FALSE)=VLOOKUP(C$1,Table1[],2,FALSE),1,0)</f>
        <v>1</v>
      </c>
      <c r="D187" s="5">
        <f>IF(VLOOKUP($B187,Table2[[prolific]:[feedbackTime]],7,FALSE)=VLOOKUP(D$1,Table1[],2,FALSE),1,0)</f>
        <v>1</v>
      </c>
      <c r="E187" s="5">
        <f>IF(VLOOKUP($B187,Table2[[prolific]:[feedbackTime]],8,FALSE)=VLOOKUP(E$1,Table1[],2,FALSE),1,0)</f>
        <v>1</v>
      </c>
      <c r="F187" s="5">
        <f t="shared" si="76"/>
        <v>3</v>
      </c>
      <c r="G187" s="7">
        <f t="shared" si="77"/>
        <v>1</v>
      </c>
      <c r="H187" s="5">
        <f>IF(VLOOKUP($B187,Table2[[prolific]:[feedbackTime]],9,FALSE)=VLOOKUP(H$1,Table1[],2,FALSE),1,0)</f>
        <v>0</v>
      </c>
      <c r="I187" s="5">
        <f>IF(VLOOKUP($B187,Table2[[prolific]:[feedbackTime]],10,FALSE)=VLOOKUP(I$1,Table1[],2,FALSE),1,0)</f>
        <v>1</v>
      </c>
      <c r="J187" s="5">
        <f>IF(VLOOKUP($B187,Table2[[prolific]:[feedbackTime]],11,FALSE)=VLOOKUP(J$1,Table1[],2,FALSE),1,0)</f>
        <v>0</v>
      </c>
      <c r="K187" s="5">
        <f>IF(VLOOKUP($B187,Table2[[prolific]:[feedbackTime]],12,FALSE)=VLOOKUP(K$1,Table1[],2,FALSE),1,0)</f>
        <v>1</v>
      </c>
      <c r="L187" s="5">
        <f>IF(VLOOKUP($B187,Table2[[prolific]:[feedbackTime]],13,FALSE)=VLOOKUP(L$1,Table1[],2,FALSE),1,0)</f>
        <v>0</v>
      </c>
      <c r="M187" s="5">
        <f>IF(VLOOKUP($B187,Table2[[prolific]:[feedbackTime]],14,FALSE)=VLOOKUP(M$1,Table1[],2,FALSE),1,0)</f>
        <v>1</v>
      </c>
      <c r="N187" s="5">
        <f t="shared" si="78"/>
        <v>3</v>
      </c>
      <c r="O187" s="7">
        <f t="shared" si="79"/>
        <v>0.5</v>
      </c>
      <c r="P187" s="5">
        <f>IF(VLOOKUP($B187,Table2[[prolific]:[feedbackTime]],15,FALSE)=VLOOKUP(P$1,Table1[],2,FALSE),1,0)</f>
        <v>1</v>
      </c>
      <c r="Q187" s="5">
        <f>IF(VLOOKUP($B187,Table2[[prolific]:[feedbackTime]],16,FALSE)=VLOOKUP(Q$1,Table1[],2,FALSE),1,0)</f>
        <v>1</v>
      </c>
      <c r="R187" s="5">
        <f>IF(VLOOKUP($B187,Table2[[prolific]:[feedbackTime]],17,FALSE)=VLOOKUP(R$1,Table1[],2,FALSE),1,0)</f>
        <v>0</v>
      </c>
      <c r="S187" s="5">
        <f>IF(VLOOKUP($B187,Table2[[prolific]:[feedbackTime]],18,FALSE)=VLOOKUP(S$1,Table1[],2,FALSE),1,0)</f>
        <v>1</v>
      </c>
      <c r="T187" s="5">
        <f>IF(VLOOKUP($B187,Table2[[prolific]:[feedbackTime]],19,FALSE)=VLOOKUP(T$1,Table1[],2,FALSE),1,0)</f>
        <v>1</v>
      </c>
      <c r="U187" s="5">
        <f>IF(VLOOKUP($B187,Table2[[prolific]:[feedbackTime]],20,FALSE)=VLOOKUP(U$1,Table1[],2,FALSE),1,0)</f>
        <v>1</v>
      </c>
      <c r="V187" s="5">
        <f>IF(VLOOKUP($B187,Table2[[prolific]:[feedbackTime]],21,FALSE)=VLOOKUP(V$1,Table1[],2,FALSE),1,0)</f>
        <v>0</v>
      </c>
      <c r="W187" s="5">
        <f>IF(VLOOKUP($B187,Table2[[prolific]:[feedbackTime]],22,FALSE)=VLOOKUP(W$1,Table1[],2,FALSE),1,0)</f>
        <v>1</v>
      </c>
      <c r="X187" s="5">
        <f t="shared" si="80"/>
        <v>6</v>
      </c>
      <c r="Y187" s="7">
        <f t="shared" si="81"/>
        <v>0.75</v>
      </c>
      <c r="Z187" s="5">
        <f>IF(VLOOKUP($B187,Table2[[prolific]:[feedbackTime]],23,FALSE)=VLOOKUP(Z$1,Table1[],2,FALSE),1,0)</f>
        <v>1</v>
      </c>
      <c r="AA187" s="5">
        <f>IF(VLOOKUP($B187,Table2[[prolific]:[feedbackTime]],24,FALSE)=VLOOKUP(AA$1,Table1[],2,FALSE),1,0)</f>
        <v>1</v>
      </c>
      <c r="AB187" s="5">
        <f>IF(VLOOKUP($B187,Table2[[prolific]:[feedbackTime]],25,FALSE)=VLOOKUP(AB$1,Table1[],2,FALSE),1,0)</f>
        <v>1</v>
      </c>
      <c r="AC187" s="5">
        <f>IF(VLOOKUP($B187,Table2[[prolific]:[feedbackTime]],26,FALSE)=VLOOKUP(AC$1,Table1[],2,FALSE),1,0)</f>
        <v>1</v>
      </c>
      <c r="AD187" s="5">
        <f>IF(VLOOKUP($B187,Table2[[prolific]:[feedbackTime]],27,FALSE)=VLOOKUP(AD$1,Table1[],2,FALSE),1,0)</f>
        <v>0</v>
      </c>
      <c r="AE187" s="5">
        <f>IF(VLOOKUP($B187,Table2[[prolific]:[feedbackTime]],28,FALSE)=VLOOKUP(AE$1,Table1[],2,FALSE),1,0)</f>
        <v>1</v>
      </c>
      <c r="AF187" s="5">
        <f>IF(VLOOKUP($B187,Table2[[prolific]:[feedbackTime]],29,FALSE)=VLOOKUP(AF$1,Table1[],2,FALSE),1,0)</f>
        <v>1</v>
      </c>
      <c r="AG187" s="5">
        <f>IF(VLOOKUP($B187,Table2[[prolific]:[feedbackTime]],30,FALSE)=VLOOKUP(AG$1,Table1[],2,FALSE),1,0)</f>
        <v>1</v>
      </c>
      <c r="AH187" s="5">
        <f t="shared" si="82"/>
        <v>7</v>
      </c>
      <c r="AI187" s="7">
        <f t="shared" si="83"/>
        <v>0.875</v>
      </c>
      <c r="AJ187" s="7">
        <f t="shared" si="84"/>
        <v>0.72727272727272729</v>
      </c>
      <c r="AK187" s="5">
        <f t="shared" si="85"/>
        <v>16</v>
      </c>
    </row>
    <row r="188" spans="1:37" x14ac:dyDescent="0.25">
      <c r="A188">
        <f t="shared" si="75"/>
        <v>1</v>
      </c>
      <c r="B188" s="5" t="s">
        <v>1076</v>
      </c>
      <c r="C188" s="5">
        <f>IF(VLOOKUP($B188,Table2[[prolific]:[feedbackTime]],6,FALSE)=VLOOKUP(C$1,Table1[],2,FALSE),1,0)</f>
        <v>1</v>
      </c>
      <c r="D188" s="5">
        <f>IF(VLOOKUP($B188,Table2[[prolific]:[feedbackTime]],7,FALSE)=VLOOKUP(D$1,Table1[],2,FALSE),1,0)</f>
        <v>1</v>
      </c>
      <c r="E188" s="5">
        <f>IF(VLOOKUP($B188,Table2[[prolific]:[feedbackTime]],8,FALSE)=VLOOKUP(E$1,Table1[],2,FALSE),1,0)</f>
        <v>1</v>
      </c>
      <c r="F188" s="5">
        <f t="shared" si="76"/>
        <v>3</v>
      </c>
      <c r="G188" s="7">
        <f t="shared" si="77"/>
        <v>1</v>
      </c>
      <c r="H188" s="5">
        <f>IF(VLOOKUP($B188,Table2[[prolific]:[feedbackTime]],9,FALSE)=VLOOKUP(H$1,Table1[],2,FALSE),1,0)</f>
        <v>1</v>
      </c>
      <c r="I188" s="5">
        <f>IF(VLOOKUP($B188,Table2[[prolific]:[feedbackTime]],10,FALSE)=VLOOKUP(I$1,Table1[],2,FALSE),1,0)</f>
        <v>1</v>
      </c>
      <c r="J188" s="5">
        <f>IF(VLOOKUP($B188,Table2[[prolific]:[feedbackTime]],11,FALSE)=VLOOKUP(J$1,Table1[],2,FALSE),1,0)</f>
        <v>1</v>
      </c>
      <c r="K188" s="5">
        <f>IF(VLOOKUP($B188,Table2[[prolific]:[feedbackTime]],12,FALSE)=VLOOKUP(K$1,Table1[],2,FALSE),1,0)</f>
        <v>1</v>
      </c>
      <c r="L188" s="5">
        <f>IF(VLOOKUP($B188,Table2[[prolific]:[feedbackTime]],13,FALSE)=VLOOKUP(L$1,Table1[],2,FALSE),1,0)</f>
        <v>1</v>
      </c>
      <c r="M188" s="5">
        <f>IF(VLOOKUP($B188,Table2[[prolific]:[feedbackTime]],14,FALSE)=VLOOKUP(M$1,Table1[],2,FALSE),1,0)</f>
        <v>1</v>
      </c>
      <c r="N188" s="5">
        <f t="shared" si="78"/>
        <v>6</v>
      </c>
      <c r="O188" s="7">
        <f t="shared" si="79"/>
        <v>1</v>
      </c>
      <c r="P188" s="5">
        <f>IF(VLOOKUP($B188,Table2[[prolific]:[feedbackTime]],15,FALSE)=VLOOKUP(P$1,Table1[],2,FALSE),1,0)</f>
        <v>1</v>
      </c>
      <c r="Q188" s="5">
        <f>IF(VLOOKUP($B188,Table2[[prolific]:[feedbackTime]],16,FALSE)=VLOOKUP(Q$1,Table1[],2,FALSE),1,0)</f>
        <v>1</v>
      </c>
      <c r="R188" s="5">
        <f>IF(VLOOKUP($B188,Table2[[prolific]:[feedbackTime]],17,FALSE)=VLOOKUP(R$1,Table1[],2,FALSE),1,0)</f>
        <v>1</v>
      </c>
      <c r="S188" s="5">
        <f>IF(VLOOKUP($B188,Table2[[prolific]:[feedbackTime]],18,FALSE)=VLOOKUP(S$1,Table1[],2,FALSE),1,0)</f>
        <v>1</v>
      </c>
      <c r="T188" s="5">
        <f>IF(VLOOKUP($B188,Table2[[prolific]:[feedbackTime]],19,FALSE)=VLOOKUP(T$1,Table1[],2,FALSE),1,0)</f>
        <v>1</v>
      </c>
      <c r="U188" s="5">
        <f>IF(VLOOKUP($B188,Table2[[prolific]:[feedbackTime]],20,FALSE)=VLOOKUP(U$1,Table1[],2,FALSE),1,0)</f>
        <v>1</v>
      </c>
      <c r="V188" s="5">
        <f>IF(VLOOKUP($B188,Table2[[prolific]:[feedbackTime]],21,FALSE)=VLOOKUP(V$1,Table1[],2,FALSE),1,0)</f>
        <v>1</v>
      </c>
      <c r="W188" s="5">
        <f>IF(VLOOKUP($B188,Table2[[prolific]:[feedbackTime]],22,FALSE)=VLOOKUP(W$1,Table1[],2,FALSE),1,0)</f>
        <v>0</v>
      </c>
      <c r="X188" s="5">
        <f t="shared" si="80"/>
        <v>7</v>
      </c>
      <c r="Y188" s="7">
        <f t="shared" si="81"/>
        <v>0.875</v>
      </c>
      <c r="Z188" s="5">
        <f>IF(VLOOKUP($B188,Table2[[prolific]:[feedbackTime]],23,FALSE)=VLOOKUP(Z$1,Table1[],2,FALSE),1,0)</f>
        <v>1</v>
      </c>
      <c r="AA188" s="5">
        <f>IF(VLOOKUP($B188,Table2[[prolific]:[feedbackTime]],24,FALSE)=VLOOKUP(AA$1,Table1[],2,FALSE),1,0)</f>
        <v>1</v>
      </c>
      <c r="AB188" s="5">
        <f>IF(VLOOKUP($B188,Table2[[prolific]:[feedbackTime]],25,FALSE)=VLOOKUP(AB$1,Table1[],2,FALSE),1,0)</f>
        <v>1</v>
      </c>
      <c r="AC188" s="5">
        <f>IF(VLOOKUP($B188,Table2[[prolific]:[feedbackTime]],26,FALSE)=VLOOKUP(AC$1,Table1[],2,FALSE),1,0)</f>
        <v>1</v>
      </c>
      <c r="AD188" s="5">
        <f>IF(VLOOKUP($B188,Table2[[prolific]:[feedbackTime]],27,FALSE)=VLOOKUP(AD$1,Table1[],2,FALSE),1,0)</f>
        <v>0</v>
      </c>
      <c r="AE188" s="5">
        <f>IF(VLOOKUP($B188,Table2[[prolific]:[feedbackTime]],28,FALSE)=VLOOKUP(AE$1,Table1[],2,FALSE),1,0)</f>
        <v>0</v>
      </c>
      <c r="AF188" s="5">
        <f>IF(VLOOKUP($B188,Table2[[prolific]:[feedbackTime]],29,FALSE)=VLOOKUP(AF$1,Table1[],2,FALSE),1,0)</f>
        <v>0</v>
      </c>
      <c r="AG188" s="5">
        <f>IF(VLOOKUP($B188,Table2[[prolific]:[feedbackTime]],30,FALSE)=VLOOKUP(AG$1,Table1[],2,FALSE),1,0)</f>
        <v>0</v>
      </c>
      <c r="AH188" s="5">
        <f t="shared" si="82"/>
        <v>4</v>
      </c>
      <c r="AI188" s="7">
        <f t="shared" si="83"/>
        <v>0.5</v>
      </c>
      <c r="AJ188" s="7">
        <f t="shared" si="84"/>
        <v>0.77272727272727271</v>
      </c>
      <c r="AK188" s="5">
        <f t="shared" si="85"/>
        <v>17</v>
      </c>
    </row>
    <row r="189" spans="1:37" x14ac:dyDescent="0.25">
      <c r="A189">
        <f t="shared" si="75"/>
        <v>1</v>
      </c>
      <c r="B189" s="5" t="s">
        <v>1077</v>
      </c>
      <c r="C189" s="5">
        <f>IF(VLOOKUP($B189,Table2[[prolific]:[feedbackTime]],6,FALSE)=VLOOKUP(C$1,Table1[],2,FALSE),1,0)</f>
        <v>1</v>
      </c>
      <c r="D189" s="5">
        <f>IF(VLOOKUP($B189,Table2[[prolific]:[feedbackTime]],7,FALSE)=VLOOKUP(D$1,Table1[],2,FALSE),1,0)</f>
        <v>1</v>
      </c>
      <c r="E189" s="5">
        <f>IF(VLOOKUP($B189,Table2[[prolific]:[feedbackTime]],8,FALSE)=VLOOKUP(E$1,Table1[],2,FALSE),1,0)</f>
        <v>1</v>
      </c>
      <c r="F189" s="5">
        <f t="shared" si="76"/>
        <v>3</v>
      </c>
      <c r="G189" s="7">
        <f t="shared" si="77"/>
        <v>1</v>
      </c>
      <c r="H189" s="5">
        <f>IF(VLOOKUP($B189,Table2[[prolific]:[feedbackTime]],9,FALSE)=VLOOKUP(H$1,Table1[],2,FALSE),1,0)</f>
        <v>1</v>
      </c>
      <c r="I189" s="5">
        <f>IF(VLOOKUP($B189,Table2[[prolific]:[feedbackTime]],10,FALSE)=VLOOKUP(I$1,Table1[],2,FALSE),1,0)</f>
        <v>0</v>
      </c>
      <c r="J189" s="5">
        <f>IF(VLOOKUP($B189,Table2[[prolific]:[feedbackTime]],11,FALSE)=VLOOKUP(J$1,Table1[],2,FALSE),1,0)</f>
        <v>1</v>
      </c>
      <c r="K189" s="5">
        <f>IF(VLOOKUP($B189,Table2[[prolific]:[feedbackTime]],12,FALSE)=VLOOKUP(K$1,Table1[],2,FALSE),1,0)</f>
        <v>0</v>
      </c>
      <c r="L189" s="5">
        <f>IF(VLOOKUP($B189,Table2[[prolific]:[feedbackTime]],13,FALSE)=VLOOKUP(L$1,Table1[],2,FALSE),1,0)</f>
        <v>1</v>
      </c>
      <c r="M189" s="5">
        <f>IF(VLOOKUP($B189,Table2[[prolific]:[feedbackTime]],14,FALSE)=VLOOKUP(M$1,Table1[],2,FALSE),1,0)</f>
        <v>0</v>
      </c>
      <c r="N189" s="5">
        <f t="shared" si="78"/>
        <v>3</v>
      </c>
      <c r="O189" s="7">
        <f t="shared" si="79"/>
        <v>0.5</v>
      </c>
      <c r="P189" s="5">
        <f>IF(VLOOKUP($B189,Table2[[prolific]:[feedbackTime]],15,FALSE)=VLOOKUP(P$1,Table1[],2,FALSE),1,0)</f>
        <v>1</v>
      </c>
      <c r="Q189" s="5">
        <f>IF(VLOOKUP($B189,Table2[[prolific]:[feedbackTime]],16,FALSE)=VLOOKUP(Q$1,Table1[],2,FALSE),1,0)</f>
        <v>1</v>
      </c>
      <c r="R189" s="5">
        <f>IF(VLOOKUP($B189,Table2[[prolific]:[feedbackTime]],17,FALSE)=VLOOKUP(R$1,Table1[],2,FALSE),1,0)</f>
        <v>1</v>
      </c>
      <c r="S189" s="5">
        <f>IF(VLOOKUP($B189,Table2[[prolific]:[feedbackTime]],18,FALSE)=VLOOKUP(S$1,Table1[],2,FALSE),1,0)</f>
        <v>1</v>
      </c>
      <c r="T189" s="5">
        <f>IF(VLOOKUP($B189,Table2[[prolific]:[feedbackTime]],19,FALSE)=VLOOKUP(T$1,Table1[],2,FALSE),1,0)</f>
        <v>1</v>
      </c>
      <c r="U189" s="5">
        <f>IF(VLOOKUP($B189,Table2[[prolific]:[feedbackTime]],20,FALSE)=VLOOKUP(U$1,Table1[],2,FALSE),1,0)</f>
        <v>1</v>
      </c>
      <c r="V189" s="5">
        <f>IF(VLOOKUP($B189,Table2[[prolific]:[feedbackTime]],21,FALSE)=VLOOKUP(V$1,Table1[],2,FALSE),1,0)</f>
        <v>1</v>
      </c>
      <c r="W189" s="5">
        <f>IF(VLOOKUP($B189,Table2[[prolific]:[feedbackTime]],22,FALSE)=VLOOKUP(W$1,Table1[],2,FALSE),1,0)</f>
        <v>1</v>
      </c>
      <c r="X189" s="5">
        <f t="shared" si="80"/>
        <v>8</v>
      </c>
      <c r="Y189" s="7">
        <f t="shared" si="81"/>
        <v>1</v>
      </c>
      <c r="Z189" s="5">
        <f>IF(VLOOKUP($B189,Table2[[prolific]:[feedbackTime]],23,FALSE)=VLOOKUP(Z$1,Table1[],2,FALSE),1,0)</f>
        <v>1</v>
      </c>
      <c r="AA189" s="5">
        <f>IF(VLOOKUP($B189,Table2[[prolific]:[feedbackTime]],24,FALSE)=VLOOKUP(AA$1,Table1[],2,FALSE),1,0)</f>
        <v>0</v>
      </c>
      <c r="AB189" s="5">
        <f>IF(VLOOKUP($B189,Table2[[prolific]:[feedbackTime]],25,FALSE)=VLOOKUP(AB$1,Table1[],2,FALSE),1,0)</f>
        <v>1</v>
      </c>
      <c r="AC189" s="5">
        <f>IF(VLOOKUP($B189,Table2[[prolific]:[feedbackTime]],26,FALSE)=VLOOKUP(AC$1,Table1[],2,FALSE),1,0)</f>
        <v>1</v>
      </c>
      <c r="AD189" s="5">
        <f>IF(VLOOKUP($B189,Table2[[prolific]:[feedbackTime]],27,FALSE)=VLOOKUP(AD$1,Table1[],2,FALSE),1,0)</f>
        <v>0</v>
      </c>
      <c r="AE189" s="5">
        <f>IF(VLOOKUP($B189,Table2[[prolific]:[feedbackTime]],28,FALSE)=VLOOKUP(AE$1,Table1[],2,FALSE),1,0)</f>
        <v>1</v>
      </c>
      <c r="AF189" s="5">
        <f>IF(VLOOKUP($B189,Table2[[prolific]:[feedbackTime]],29,FALSE)=VLOOKUP(AF$1,Table1[],2,FALSE),1,0)</f>
        <v>0</v>
      </c>
      <c r="AG189" s="5">
        <f>IF(VLOOKUP($B189,Table2[[prolific]:[feedbackTime]],30,FALSE)=VLOOKUP(AG$1,Table1[],2,FALSE),1,0)</f>
        <v>0</v>
      </c>
      <c r="AH189" s="5">
        <f t="shared" si="82"/>
        <v>4</v>
      </c>
      <c r="AI189" s="7">
        <f t="shared" si="83"/>
        <v>0.5</v>
      </c>
      <c r="AJ189" s="7">
        <f t="shared" si="84"/>
        <v>0.68181818181818177</v>
      </c>
      <c r="AK189" s="5">
        <f t="shared" si="85"/>
        <v>15</v>
      </c>
    </row>
    <row r="190" spans="1:37" x14ac:dyDescent="0.25">
      <c r="A190">
        <f t="shared" si="75"/>
        <v>1</v>
      </c>
      <c r="B190" s="5" t="s">
        <v>1078</v>
      </c>
      <c r="C190" s="5">
        <f>IF(VLOOKUP($B190,Table2[[prolific]:[feedbackTime]],6,FALSE)=VLOOKUP(C$1,Table1[],2,FALSE),1,0)</f>
        <v>1</v>
      </c>
      <c r="D190" s="5">
        <f>IF(VLOOKUP($B190,Table2[[prolific]:[feedbackTime]],7,FALSE)=VLOOKUP(D$1,Table1[],2,FALSE),1,0)</f>
        <v>1</v>
      </c>
      <c r="E190" s="5">
        <f>IF(VLOOKUP($B190,Table2[[prolific]:[feedbackTime]],8,FALSE)=VLOOKUP(E$1,Table1[],2,FALSE),1,0)</f>
        <v>1</v>
      </c>
      <c r="F190" s="5">
        <f t="shared" si="76"/>
        <v>3</v>
      </c>
      <c r="G190" s="7">
        <f t="shared" si="77"/>
        <v>1</v>
      </c>
      <c r="H190" s="5">
        <f>IF(VLOOKUP($B190,Table2[[prolific]:[feedbackTime]],9,FALSE)=VLOOKUP(H$1,Table1[],2,FALSE),1,0)</f>
        <v>1</v>
      </c>
      <c r="I190" s="5">
        <f>IF(VLOOKUP($B190,Table2[[prolific]:[feedbackTime]],10,FALSE)=VLOOKUP(I$1,Table1[],2,FALSE),1,0)</f>
        <v>0</v>
      </c>
      <c r="J190" s="5">
        <f>IF(VLOOKUP($B190,Table2[[prolific]:[feedbackTime]],11,FALSE)=VLOOKUP(J$1,Table1[],2,FALSE),1,0)</f>
        <v>1</v>
      </c>
      <c r="K190" s="5">
        <f>IF(VLOOKUP($B190,Table2[[prolific]:[feedbackTime]],12,FALSE)=VLOOKUP(K$1,Table1[],2,FALSE),1,0)</f>
        <v>1</v>
      </c>
      <c r="L190" s="5">
        <f>IF(VLOOKUP($B190,Table2[[prolific]:[feedbackTime]],13,FALSE)=VLOOKUP(L$1,Table1[],2,FALSE),1,0)</f>
        <v>0</v>
      </c>
      <c r="M190" s="5">
        <f>IF(VLOOKUP($B190,Table2[[prolific]:[feedbackTime]],14,FALSE)=VLOOKUP(M$1,Table1[],2,FALSE),1,0)</f>
        <v>1</v>
      </c>
      <c r="N190" s="5">
        <f t="shared" si="78"/>
        <v>4</v>
      </c>
      <c r="O190" s="7">
        <f t="shared" si="79"/>
        <v>0.66666666666666663</v>
      </c>
      <c r="P190" s="5">
        <f>IF(VLOOKUP($B190,Table2[[prolific]:[feedbackTime]],15,FALSE)=VLOOKUP(P$1,Table1[],2,FALSE),1,0)</f>
        <v>1</v>
      </c>
      <c r="Q190" s="5">
        <f>IF(VLOOKUP($B190,Table2[[prolific]:[feedbackTime]],16,FALSE)=VLOOKUP(Q$1,Table1[],2,FALSE),1,0)</f>
        <v>1</v>
      </c>
      <c r="R190" s="5">
        <f>IF(VLOOKUP($B190,Table2[[prolific]:[feedbackTime]],17,FALSE)=VLOOKUP(R$1,Table1[],2,FALSE),1,0)</f>
        <v>0</v>
      </c>
      <c r="S190" s="5">
        <f>IF(VLOOKUP($B190,Table2[[prolific]:[feedbackTime]],18,FALSE)=VLOOKUP(S$1,Table1[],2,FALSE),1,0)</f>
        <v>1</v>
      </c>
      <c r="T190" s="5">
        <f>IF(VLOOKUP($B190,Table2[[prolific]:[feedbackTime]],19,FALSE)=VLOOKUP(T$1,Table1[],2,FALSE),1,0)</f>
        <v>1</v>
      </c>
      <c r="U190" s="5">
        <f>IF(VLOOKUP($B190,Table2[[prolific]:[feedbackTime]],20,FALSE)=VLOOKUP(U$1,Table1[],2,FALSE),1,0)</f>
        <v>1</v>
      </c>
      <c r="V190" s="5">
        <f>IF(VLOOKUP($B190,Table2[[prolific]:[feedbackTime]],21,FALSE)=VLOOKUP(V$1,Table1[],2,FALSE),1,0)</f>
        <v>1</v>
      </c>
      <c r="W190" s="5">
        <f>IF(VLOOKUP($B190,Table2[[prolific]:[feedbackTime]],22,FALSE)=VLOOKUP(W$1,Table1[],2,FALSE),1,0)</f>
        <v>1</v>
      </c>
      <c r="X190" s="5">
        <f t="shared" si="80"/>
        <v>7</v>
      </c>
      <c r="Y190" s="7">
        <f t="shared" si="81"/>
        <v>0.875</v>
      </c>
      <c r="Z190" s="5">
        <f>IF(VLOOKUP($B190,Table2[[prolific]:[feedbackTime]],23,FALSE)=VLOOKUP(Z$1,Table1[],2,FALSE),1,0)</f>
        <v>1</v>
      </c>
      <c r="AA190" s="5">
        <f>IF(VLOOKUP($B190,Table2[[prolific]:[feedbackTime]],24,FALSE)=VLOOKUP(AA$1,Table1[],2,FALSE),1,0)</f>
        <v>1</v>
      </c>
      <c r="AB190" s="5">
        <f>IF(VLOOKUP($B190,Table2[[prolific]:[feedbackTime]],25,FALSE)=VLOOKUP(AB$1,Table1[],2,FALSE),1,0)</f>
        <v>1</v>
      </c>
      <c r="AC190" s="5">
        <f>IF(VLOOKUP($B190,Table2[[prolific]:[feedbackTime]],26,FALSE)=VLOOKUP(AC$1,Table1[],2,FALSE),1,0)</f>
        <v>1</v>
      </c>
      <c r="AD190" s="5">
        <f>IF(VLOOKUP($B190,Table2[[prolific]:[feedbackTime]],27,FALSE)=VLOOKUP(AD$1,Table1[],2,FALSE),1,0)</f>
        <v>0</v>
      </c>
      <c r="AE190" s="5">
        <f>IF(VLOOKUP($B190,Table2[[prolific]:[feedbackTime]],28,FALSE)=VLOOKUP(AE$1,Table1[],2,FALSE),1,0)</f>
        <v>0</v>
      </c>
      <c r="AF190" s="5">
        <f>IF(VLOOKUP($B190,Table2[[prolific]:[feedbackTime]],29,FALSE)=VLOOKUP(AF$1,Table1[],2,FALSE),1,0)</f>
        <v>0</v>
      </c>
      <c r="AG190" s="5">
        <f>IF(VLOOKUP($B190,Table2[[prolific]:[feedbackTime]],30,FALSE)=VLOOKUP(AG$1,Table1[],2,FALSE),1,0)</f>
        <v>1</v>
      </c>
      <c r="AH190" s="5">
        <f t="shared" si="82"/>
        <v>5</v>
      </c>
      <c r="AI190" s="7">
        <f t="shared" si="83"/>
        <v>0.625</v>
      </c>
      <c r="AJ190" s="7">
        <f t="shared" si="84"/>
        <v>0.72727272727272729</v>
      </c>
      <c r="AK190" s="5">
        <f t="shared" si="85"/>
        <v>16</v>
      </c>
    </row>
    <row r="191" spans="1:37" x14ac:dyDescent="0.25">
      <c r="A191">
        <f t="shared" si="75"/>
        <v>1</v>
      </c>
      <c r="B191" s="5" t="s">
        <v>1079</v>
      </c>
      <c r="C191" s="5">
        <f>IF(VLOOKUP($B191,Table2[[prolific]:[feedbackTime]],6,FALSE)=VLOOKUP(C$1,Table1[],2,FALSE),1,0)</f>
        <v>1</v>
      </c>
      <c r="D191" s="5">
        <f>IF(VLOOKUP($B191,Table2[[prolific]:[feedbackTime]],7,FALSE)=VLOOKUP(D$1,Table1[],2,FALSE),1,0)</f>
        <v>1</v>
      </c>
      <c r="E191" s="5">
        <f>IF(VLOOKUP($B191,Table2[[prolific]:[feedbackTime]],8,FALSE)=VLOOKUP(E$1,Table1[],2,FALSE),1,0)</f>
        <v>1</v>
      </c>
      <c r="F191" s="5">
        <f t="shared" si="76"/>
        <v>3</v>
      </c>
      <c r="G191" s="7">
        <f t="shared" si="77"/>
        <v>1</v>
      </c>
      <c r="H191" s="5">
        <f>IF(VLOOKUP($B191,Table2[[prolific]:[feedbackTime]],9,FALSE)=VLOOKUP(H$1,Table1[],2,FALSE),1,0)</f>
        <v>0</v>
      </c>
      <c r="I191" s="5">
        <f>IF(VLOOKUP($B191,Table2[[prolific]:[feedbackTime]],10,FALSE)=VLOOKUP(I$1,Table1[],2,FALSE),1,0)</f>
        <v>1</v>
      </c>
      <c r="J191" s="5">
        <f>IF(VLOOKUP($B191,Table2[[prolific]:[feedbackTime]],11,FALSE)=VLOOKUP(J$1,Table1[],2,FALSE),1,0)</f>
        <v>1</v>
      </c>
      <c r="K191" s="5">
        <f>IF(VLOOKUP($B191,Table2[[prolific]:[feedbackTime]],12,FALSE)=VLOOKUP(K$1,Table1[],2,FALSE),1,0)</f>
        <v>1</v>
      </c>
      <c r="L191" s="5">
        <f>IF(VLOOKUP($B191,Table2[[prolific]:[feedbackTime]],13,FALSE)=VLOOKUP(L$1,Table1[],2,FALSE),1,0)</f>
        <v>0</v>
      </c>
      <c r="M191" s="5">
        <f>IF(VLOOKUP($B191,Table2[[prolific]:[feedbackTime]],14,FALSE)=VLOOKUP(M$1,Table1[],2,FALSE),1,0)</f>
        <v>1</v>
      </c>
      <c r="N191" s="5">
        <f t="shared" si="78"/>
        <v>4</v>
      </c>
      <c r="O191" s="7">
        <f t="shared" si="79"/>
        <v>0.66666666666666663</v>
      </c>
      <c r="P191" s="5">
        <f>IF(VLOOKUP($B191,Table2[[prolific]:[feedbackTime]],15,FALSE)=VLOOKUP(P$1,Table1[],2,FALSE),1,0)</f>
        <v>1</v>
      </c>
      <c r="Q191" s="5">
        <f>IF(VLOOKUP($B191,Table2[[prolific]:[feedbackTime]],16,FALSE)=VLOOKUP(Q$1,Table1[],2,FALSE),1,0)</f>
        <v>1</v>
      </c>
      <c r="R191" s="5">
        <f>IF(VLOOKUP($B191,Table2[[prolific]:[feedbackTime]],17,FALSE)=VLOOKUP(R$1,Table1[],2,FALSE),1,0)</f>
        <v>1</v>
      </c>
      <c r="S191" s="5">
        <f>IF(VLOOKUP($B191,Table2[[prolific]:[feedbackTime]],18,FALSE)=VLOOKUP(S$1,Table1[],2,FALSE),1,0)</f>
        <v>1</v>
      </c>
      <c r="T191" s="5">
        <f>IF(VLOOKUP($B191,Table2[[prolific]:[feedbackTime]],19,FALSE)=VLOOKUP(T$1,Table1[],2,FALSE),1,0)</f>
        <v>1</v>
      </c>
      <c r="U191" s="5">
        <f>IF(VLOOKUP($B191,Table2[[prolific]:[feedbackTime]],20,FALSE)=VLOOKUP(U$1,Table1[],2,FALSE),1,0)</f>
        <v>1</v>
      </c>
      <c r="V191" s="5">
        <f>IF(VLOOKUP($B191,Table2[[prolific]:[feedbackTime]],21,FALSE)=VLOOKUP(V$1,Table1[],2,FALSE),1,0)</f>
        <v>1</v>
      </c>
      <c r="W191" s="5">
        <f>IF(VLOOKUP($B191,Table2[[prolific]:[feedbackTime]],22,FALSE)=VLOOKUP(W$1,Table1[],2,FALSE),1,0)</f>
        <v>1</v>
      </c>
      <c r="X191" s="5">
        <f t="shared" si="80"/>
        <v>8</v>
      </c>
      <c r="Y191" s="7">
        <f t="shared" si="81"/>
        <v>1</v>
      </c>
      <c r="Z191" s="5">
        <f>IF(VLOOKUP($B191,Table2[[prolific]:[feedbackTime]],23,FALSE)=VLOOKUP(Z$1,Table1[],2,FALSE),1,0)</f>
        <v>1</v>
      </c>
      <c r="AA191" s="5">
        <f>IF(VLOOKUP($B191,Table2[[prolific]:[feedbackTime]],24,FALSE)=VLOOKUP(AA$1,Table1[],2,FALSE),1,0)</f>
        <v>1</v>
      </c>
      <c r="AB191" s="5">
        <f>IF(VLOOKUP($B191,Table2[[prolific]:[feedbackTime]],25,FALSE)=VLOOKUP(AB$1,Table1[],2,FALSE),1,0)</f>
        <v>0</v>
      </c>
      <c r="AC191" s="5">
        <f>IF(VLOOKUP($B191,Table2[[prolific]:[feedbackTime]],26,FALSE)=VLOOKUP(AC$1,Table1[],2,FALSE),1,0)</f>
        <v>1</v>
      </c>
      <c r="AD191" s="5">
        <f>IF(VLOOKUP($B191,Table2[[prolific]:[feedbackTime]],27,FALSE)=VLOOKUP(AD$1,Table1[],2,FALSE),1,0)</f>
        <v>0</v>
      </c>
      <c r="AE191" s="5">
        <f>IF(VLOOKUP($B191,Table2[[prolific]:[feedbackTime]],28,FALSE)=VLOOKUP(AE$1,Table1[],2,FALSE),1,0)</f>
        <v>0</v>
      </c>
      <c r="AF191" s="5">
        <f>IF(VLOOKUP($B191,Table2[[prolific]:[feedbackTime]],29,FALSE)=VLOOKUP(AF$1,Table1[],2,FALSE),1,0)</f>
        <v>0</v>
      </c>
      <c r="AG191" s="5">
        <f>IF(VLOOKUP($B191,Table2[[prolific]:[feedbackTime]],30,FALSE)=VLOOKUP(AG$1,Table1[],2,FALSE),1,0)</f>
        <v>0</v>
      </c>
      <c r="AH191" s="5">
        <f t="shared" si="82"/>
        <v>3</v>
      </c>
      <c r="AI191" s="7">
        <f t="shared" si="83"/>
        <v>0.375</v>
      </c>
      <c r="AJ191" s="7">
        <f t="shared" si="84"/>
        <v>0.68181818181818177</v>
      </c>
      <c r="AK191" s="5">
        <f t="shared" si="85"/>
        <v>15</v>
      </c>
    </row>
    <row r="192" spans="1:37" x14ac:dyDescent="0.25">
      <c r="A192">
        <f t="shared" ref="A192:A233" si="86">COUNTIF(B:B,B192)</f>
        <v>1</v>
      </c>
      <c r="B192" s="5" t="s">
        <v>1194</v>
      </c>
      <c r="C192" s="5">
        <f>IF(VLOOKUP($B192,Table2[[prolific]:[feedbackTime]],6,FALSE)=VLOOKUP(C$1,Table1[],2,FALSE),1,0)</f>
        <v>1</v>
      </c>
      <c r="D192" s="5">
        <f>IF(VLOOKUP($B192,Table2[[prolific]:[feedbackTime]],7,FALSE)=VLOOKUP(D$1,Table1[],2,FALSE),1,0)</f>
        <v>1</v>
      </c>
      <c r="E192" s="5">
        <f>IF(VLOOKUP($B192,Table2[[prolific]:[feedbackTime]],8,FALSE)=VLOOKUP(E$1,Table1[],2,FALSE),1,0)</f>
        <v>1</v>
      </c>
      <c r="F192" s="5">
        <f t="shared" ref="F192:F214" si="87">SUM(C192:E192)</f>
        <v>3</v>
      </c>
      <c r="G192" s="7">
        <f t="shared" ref="G192:G214" si="88">F192/3</f>
        <v>1</v>
      </c>
      <c r="H192" s="5">
        <f>IF(VLOOKUP($B192,Table2[[prolific]:[feedbackTime]],9,FALSE)=VLOOKUP(H$1,Table1[],2,FALSE),1,0)</f>
        <v>1</v>
      </c>
      <c r="I192" s="5">
        <f>IF(VLOOKUP($B192,Table2[[prolific]:[feedbackTime]],10,FALSE)=VLOOKUP(I$1,Table1[],2,FALSE),1,0)</f>
        <v>1</v>
      </c>
      <c r="J192" s="5">
        <f>IF(VLOOKUP($B192,Table2[[prolific]:[feedbackTime]],11,FALSE)=VLOOKUP(J$1,Table1[],2,FALSE),1,0)</f>
        <v>1</v>
      </c>
      <c r="K192" s="5">
        <f>IF(VLOOKUP($B192,Table2[[prolific]:[feedbackTime]],12,FALSE)=VLOOKUP(K$1,Table1[],2,FALSE),1,0)</f>
        <v>1</v>
      </c>
      <c r="L192" s="5">
        <f>IF(VLOOKUP($B192,Table2[[prolific]:[feedbackTime]],13,FALSE)=VLOOKUP(L$1,Table1[],2,FALSE),1,0)</f>
        <v>1</v>
      </c>
      <c r="M192" s="5">
        <f>IF(VLOOKUP($B192,Table2[[prolific]:[feedbackTime]],14,FALSE)=VLOOKUP(M$1,Table1[],2,FALSE),1,0)</f>
        <v>0</v>
      </c>
      <c r="N192" s="5">
        <f t="shared" ref="N192:N214" si="89">SUM(H192:M192)</f>
        <v>5</v>
      </c>
      <c r="O192" s="7">
        <f t="shared" ref="O192:O214" si="90">N192/6</f>
        <v>0.83333333333333337</v>
      </c>
      <c r="P192" s="5">
        <f>IF(VLOOKUP($B192,Table2[[prolific]:[feedbackTime]],15,FALSE)=VLOOKUP(P$1,Table1[],2,FALSE),1,0)</f>
        <v>1</v>
      </c>
      <c r="Q192" s="5">
        <f>IF(VLOOKUP($B192,Table2[[prolific]:[feedbackTime]],16,FALSE)=VLOOKUP(Q$1,Table1[],2,FALSE),1,0)</f>
        <v>1</v>
      </c>
      <c r="R192" s="5">
        <f>IF(VLOOKUP($B192,Table2[[prolific]:[feedbackTime]],17,FALSE)=VLOOKUP(R$1,Table1[],2,FALSE),1,0)</f>
        <v>1</v>
      </c>
      <c r="S192" s="5">
        <f>IF(VLOOKUP($B192,Table2[[prolific]:[feedbackTime]],18,FALSE)=VLOOKUP(S$1,Table1[],2,FALSE),1,0)</f>
        <v>1</v>
      </c>
      <c r="T192" s="5">
        <f>IF(VLOOKUP($B192,Table2[[prolific]:[feedbackTime]],19,FALSE)=VLOOKUP(T$1,Table1[],2,FALSE),1,0)</f>
        <v>1</v>
      </c>
      <c r="U192" s="5">
        <f>IF(VLOOKUP($B192,Table2[[prolific]:[feedbackTime]],20,FALSE)=VLOOKUP(U$1,Table1[],2,FALSE),1,0)</f>
        <v>1</v>
      </c>
      <c r="V192" s="5">
        <f>IF(VLOOKUP($B192,Table2[[prolific]:[feedbackTime]],21,FALSE)=VLOOKUP(V$1,Table1[],2,FALSE),1,0)</f>
        <v>1</v>
      </c>
      <c r="W192" s="5">
        <f>IF(VLOOKUP($B192,Table2[[prolific]:[feedbackTime]],22,FALSE)=VLOOKUP(W$1,Table1[],2,FALSE),1,0)</f>
        <v>1</v>
      </c>
      <c r="X192" s="5">
        <f t="shared" ref="X192:X214" si="91">SUM(P192:W192)</f>
        <v>8</v>
      </c>
      <c r="Y192" s="7">
        <f t="shared" ref="Y192:Y214" si="92">X192/8</f>
        <v>1</v>
      </c>
      <c r="Z192" s="5">
        <f>IF(VLOOKUP($B192,Table2[[prolific]:[feedbackTime]],23,FALSE)=VLOOKUP(Z$1,Table1[],2,FALSE),1,0)</f>
        <v>1</v>
      </c>
      <c r="AA192" s="5">
        <f>IF(VLOOKUP($B192,Table2[[prolific]:[feedbackTime]],24,FALSE)=VLOOKUP(AA$1,Table1[],2,FALSE),1,0)</f>
        <v>1</v>
      </c>
      <c r="AB192" s="5">
        <f>IF(VLOOKUP($B192,Table2[[prolific]:[feedbackTime]],25,FALSE)=VLOOKUP(AB$1,Table1[],2,FALSE),1,0)</f>
        <v>1</v>
      </c>
      <c r="AC192" s="5">
        <f>IF(VLOOKUP($B192,Table2[[prolific]:[feedbackTime]],26,FALSE)=VLOOKUP(AC$1,Table1[],2,FALSE),1,0)</f>
        <v>1</v>
      </c>
      <c r="AD192" s="5">
        <f>IF(VLOOKUP($B192,Table2[[prolific]:[feedbackTime]],27,FALSE)=VLOOKUP(AD$1,Table1[],2,FALSE),1,0)</f>
        <v>1</v>
      </c>
      <c r="AE192" s="5">
        <f>IF(VLOOKUP($B192,Table2[[prolific]:[feedbackTime]],28,FALSE)=VLOOKUP(AE$1,Table1[],2,FALSE),1,0)</f>
        <v>1</v>
      </c>
      <c r="AF192" s="5">
        <f>IF(VLOOKUP($B192,Table2[[prolific]:[feedbackTime]],29,FALSE)=VLOOKUP(AF$1,Table1[],2,FALSE),1,0)</f>
        <v>1</v>
      </c>
      <c r="AG192" s="5">
        <f>IF(VLOOKUP($B192,Table2[[prolific]:[feedbackTime]],30,FALSE)=VLOOKUP(AG$1,Table1[],2,FALSE),1,0)</f>
        <v>1</v>
      </c>
      <c r="AH192" s="5">
        <f t="shared" ref="AH192:AH214" si="93">SUM(Z192:AG192)</f>
        <v>8</v>
      </c>
      <c r="AI192" s="7">
        <f t="shared" ref="AI192:AI214" si="94">AH192/8</f>
        <v>1</v>
      </c>
      <c r="AJ192" s="7">
        <f t="shared" ref="AJ192:AJ214" si="95">(N192+X192+AH192)/22</f>
        <v>0.95454545454545459</v>
      </c>
      <c r="AK192" s="5">
        <f t="shared" ref="AK192:AK214" si="96">(N192+X192+AH192)</f>
        <v>21</v>
      </c>
    </row>
    <row r="193" spans="1:37" x14ac:dyDescent="0.25">
      <c r="A193">
        <f>COUNTIF(B:B,B193)</f>
        <v>1</v>
      </c>
      <c r="B193" s="5" t="s">
        <v>1195</v>
      </c>
      <c r="C193" s="5">
        <f>IF(VLOOKUP($B193,Table2[[prolific]:[feedbackTime]],6,FALSE)=VLOOKUP(C$1,Table1[],2,FALSE),1,0)</f>
        <v>1</v>
      </c>
      <c r="D193" s="5">
        <f>IF(VLOOKUP($B193,Table2[[prolific]:[feedbackTime]],7,FALSE)=VLOOKUP(D$1,Table1[],2,FALSE),1,0)</f>
        <v>1</v>
      </c>
      <c r="E193" s="5">
        <f>IF(VLOOKUP($B193,Table2[[prolific]:[feedbackTime]],8,FALSE)=VLOOKUP(E$1,Table1[],2,FALSE),1,0)</f>
        <v>1</v>
      </c>
      <c r="F193" s="5">
        <f t="shared" si="87"/>
        <v>3</v>
      </c>
      <c r="G193" s="7">
        <f t="shared" si="88"/>
        <v>1</v>
      </c>
      <c r="H193" s="5">
        <f>IF(VLOOKUP($B193,Table2[[prolific]:[feedbackTime]],9,FALSE)=VLOOKUP(H$1,Table1[],2,FALSE),1,0)</f>
        <v>1</v>
      </c>
      <c r="I193" s="5">
        <f>IF(VLOOKUP($B193,Table2[[prolific]:[feedbackTime]],10,FALSE)=VLOOKUP(I$1,Table1[],2,FALSE),1,0)</f>
        <v>1</v>
      </c>
      <c r="J193" s="5">
        <f>IF(VLOOKUP($B193,Table2[[prolific]:[feedbackTime]],11,FALSE)=VLOOKUP(J$1,Table1[],2,FALSE),1,0)</f>
        <v>0</v>
      </c>
      <c r="K193" s="5">
        <f>IF(VLOOKUP($B193,Table2[[prolific]:[feedbackTime]],12,FALSE)=VLOOKUP(K$1,Table1[],2,FALSE),1,0)</f>
        <v>1</v>
      </c>
      <c r="L193" s="5">
        <f>IF(VLOOKUP($B193,Table2[[prolific]:[feedbackTime]],13,FALSE)=VLOOKUP(L$1,Table1[],2,FALSE),1,0)</f>
        <v>0</v>
      </c>
      <c r="M193" s="5">
        <f>IF(VLOOKUP($B193,Table2[[prolific]:[feedbackTime]],14,FALSE)=VLOOKUP(M$1,Table1[],2,FALSE),1,0)</f>
        <v>0</v>
      </c>
      <c r="N193" s="5">
        <f t="shared" si="89"/>
        <v>3</v>
      </c>
      <c r="O193" s="7">
        <f t="shared" si="90"/>
        <v>0.5</v>
      </c>
      <c r="P193" s="5">
        <f>IF(VLOOKUP($B193,Table2[[prolific]:[feedbackTime]],15,FALSE)=VLOOKUP(P$1,Table1[],2,FALSE),1,0)</f>
        <v>1</v>
      </c>
      <c r="Q193" s="5">
        <f>IF(VLOOKUP($B193,Table2[[prolific]:[feedbackTime]],16,FALSE)=VLOOKUP(Q$1,Table1[],2,FALSE),1,0)</f>
        <v>1</v>
      </c>
      <c r="R193" s="5">
        <f>IF(VLOOKUP($B193,Table2[[prolific]:[feedbackTime]],17,FALSE)=VLOOKUP(R$1,Table1[],2,FALSE),1,0)</f>
        <v>1</v>
      </c>
      <c r="S193" s="5">
        <f>IF(VLOOKUP($B193,Table2[[prolific]:[feedbackTime]],18,FALSE)=VLOOKUP(S$1,Table1[],2,FALSE),1,0)</f>
        <v>0</v>
      </c>
      <c r="T193" s="5">
        <f>IF(VLOOKUP($B193,Table2[[prolific]:[feedbackTime]],19,FALSE)=VLOOKUP(T$1,Table1[],2,FALSE),1,0)</f>
        <v>1</v>
      </c>
      <c r="U193" s="5">
        <f>IF(VLOOKUP($B193,Table2[[prolific]:[feedbackTime]],20,FALSE)=VLOOKUP(U$1,Table1[],2,FALSE),1,0)</f>
        <v>1</v>
      </c>
      <c r="V193" s="5">
        <f>IF(VLOOKUP($B193,Table2[[prolific]:[feedbackTime]],21,FALSE)=VLOOKUP(V$1,Table1[],2,FALSE),1,0)</f>
        <v>1</v>
      </c>
      <c r="W193" s="5">
        <f>IF(VLOOKUP($B193,Table2[[prolific]:[feedbackTime]],22,FALSE)=VLOOKUP(W$1,Table1[],2,FALSE),1,0)</f>
        <v>1</v>
      </c>
      <c r="X193" s="5">
        <f t="shared" si="91"/>
        <v>7</v>
      </c>
      <c r="Y193" s="7">
        <f t="shared" si="92"/>
        <v>0.875</v>
      </c>
      <c r="Z193" s="5">
        <f>IF(VLOOKUP($B193,Table2[[prolific]:[feedbackTime]],23,FALSE)=VLOOKUP(Z$1,Table1[],2,FALSE),1,0)</f>
        <v>1</v>
      </c>
      <c r="AA193" s="5">
        <f>IF(VLOOKUP($B193,Table2[[prolific]:[feedbackTime]],24,FALSE)=VLOOKUP(AA$1,Table1[],2,FALSE),1,0)</f>
        <v>1</v>
      </c>
      <c r="AB193" s="5">
        <f>IF(VLOOKUP($B193,Table2[[prolific]:[feedbackTime]],25,FALSE)=VLOOKUP(AB$1,Table1[],2,FALSE),1,0)</f>
        <v>1</v>
      </c>
      <c r="AC193" s="5">
        <f>IF(VLOOKUP($B193,Table2[[prolific]:[feedbackTime]],26,FALSE)=VLOOKUP(AC$1,Table1[],2,FALSE),1,0)</f>
        <v>1</v>
      </c>
      <c r="AD193" s="5">
        <f>IF(VLOOKUP($B193,Table2[[prolific]:[feedbackTime]],27,FALSE)=VLOOKUP(AD$1,Table1[],2,FALSE),1,0)</f>
        <v>1</v>
      </c>
      <c r="AE193" s="5">
        <f>IF(VLOOKUP($B193,Table2[[prolific]:[feedbackTime]],28,FALSE)=VLOOKUP(AE$1,Table1[],2,FALSE),1,0)</f>
        <v>1</v>
      </c>
      <c r="AF193" s="5">
        <f>IF(VLOOKUP($B193,Table2[[prolific]:[feedbackTime]],29,FALSE)=VLOOKUP(AF$1,Table1[],2,FALSE),1,0)</f>
        <v>1</v>
      </c>
      <c r="AG193" s="5">
        <f>IF(VLOOKUP($B193,Table2[[prolific]:[feedbackTime]],30,FALSE)=VLOOKUP(AG$1,Table1[],2,FALSE),1,0)</f>
        <v>1</v>
      </c>
      <c r="AH193" s="5">
        <f t="shared" si="93"/>
        <v>8</v>
      </c>
      <c r="AI193" s="7">
        <f t="shared" si="94"/>
        <v>1</v>
      </c>
      <c r="AJ193" s="7">
        <f t="shared" si="95"/>
        <v>0.81818181818181823</v>
      </c>
      <c r="AK193" s="5">
        <f t="shared" si="96"/>
        <v>18</v>
      </c>
    </row>
    <row r="194" spans="1:37" x14ac:dyDescent="0.25">
      <c r="A194">
        <f t="shared" si="86"/>
        <v>1</v>
      </c>
      <c r="B194" s="5" t="s">
        <v>1196</v>
      </c>
      <c r="C194" s="5">
        <f>IF(VLOOKUP($B194,Table2[[prolific]:[feedbackTime]],6,FALSE)=VLOOKUP(C$1,Table1[],2,FALSE),1,0)</f>
        <v>1</v>
      </c>
      <c r="D194" s="5">
        <f>IF(VLOOKUP($B194,Table2[[prolific]:[feedbackTime]],7,FALSE)=VLOOKUP(D$1,Table1[],2,FALSE),1,0)</f>
        <v>1</v>
      </c>
      <c r="E194" s="5">
        <f>IF(VLOOKUP($B194,Table2[[prolific]:[feedbackTime]],8,FALSE)=VLOOKUP(E$1,Table1[],2,FALSE),1,0)</f>
        <v>1</v>
      </c>
      <c r="F194" s="5">
        <f t="shared" si="87"/>
        <v>3</v>
      </c>
      <c r="G194" s="7">
        <f t="shared" si="88"/>
        <v>1</v>
      </c>
      <c r="H194" s="5">
        <f>IF(VLOOKUP($B194,Table2[[prolific]:[feedbackTime]],9,FALSE)=VLOOKUP(H$1,Table1[],2,FALSE),1,0)</f>
        <v>1</v>
      </c>
      <c r="I194" s="5">
        <f>IF(VLOOKUP($B194,Table2[[prolific]:[feedbackTime]],10,FALSE)=VLOOKUP(I$1,Table1[],2,FALSE),1,0)</f>
        <v>1</v>
      </c>
      <c r="J194" s="5">
        <f>IF(VLOOKUP($B194,Table2[[prolific]:[feedbackTime]],11,FALSE)=VLOOKUP(J$1,Table1[],2,FALSE),1,0)</f>
        <v>0</v>
      </c>
      <c r="K194" s="5">
        <f>IF(VLOOKUP($B194,Table2[[prolific]:[feedbackTime]],12,FALSE)=VLOOKUP(K$1,Table1[],2,FALSE),1,0)</f>
        <v>1</v>
      </c>
      <c r="L194" s="5">
        <f>IF(VLOOKUP($B194,Table2[[prolific]:[feedbackTime]],13,FALSE)=VLOOKUP(L$1,Table1[],2,FALSE),1,0)</f>
        <v>1</v>
      </c>
      <c r="M194" s="5">
        <f>IF(VLOOKUP($B194,Table2[[prolific]:[feedbackTime]],14,FALSE)=VLOOKUP(M$1,Table1[],2,FALSE),1,0)</f>
        <v>0</v>
      </c>
      <c r="N194" s="5">
        <f t="shared" si="89"/>
        <v>4</v>
      </c>
      <c r="O194" s="7">
        <f t="shared" si="90"/>
        <v>0.66666666666666663</v>
      </c>
      <c r="P194" s="5">
        <f>IF(VLOOKUP($B194,Table2[[prolific]:[feedbackTime]],15,FALSE)=VLOOKUP(P$1,Table1[],2,FALSE),1,0)</f>
        <v>1</v>
      </c>
      <c r="Q194" s="5">
        <f>IF(VLOOKUP($B194,Table2[[prolific]:[feedbackTime]],16,FALSE)=VLOOKUP(Q$1,Table1[],2,FALSE),1,0)</f>
        <v>1</v>
      </c>
      <c r="R194" s="5">
        <f>IF(VLOOKUP($B194,Table2[[prolific]:[feedbackTime]],17,FALSE)=VLOOKUP(R$1,Table1[],2,FALSE),1,0)</f>
        <v>0</v>
      </c>
      <c r="S194" s="5">
        <f>IF(VLOOKUP($B194,Table2[[prolific]:[feedbackTime]],18,FALSE)=VLOOKUP(S$1,Table1[],2,FALSE),1,0)</f>
        <v>0</v>
      </c>
      <c r="T194" s="5">
        <f>IF(VLOOKUP($B194,Table2[[prolific]:[feedbackTime]],19,FALSE)=VLOOKUP(T$1,Table1[],2,FALSE),1,0)</f>
        <v>1</v>
      </c>
      <c r="U194" s="5">
        <f>IF(VLOOKUP($B194,Table2[[prolific]:[feedbackTime]],20,FALSE)=VLOOKUP(U$1,Table1[],2,FALSE),1,0)</f>
        <v>1</v>
      </c>
      <c r="V194" s="5">
        <f>IF(VLOOKUP($B194,Table2[[prolific]:[feedbackTime]],21,FALSE)=VLOOKUP(V$1,Table1[],2,FALSE),1,0)</f>
        <v>0</v>
      </c>
      <c r="W194" s="5">
        <f>IF(VLOOKUP($B194,Table2[[prolific]:[feedbackTime]],22,FALSE)=VLOOKUP(W$1,Table1[],2,FALSE),1,0)</f>
        <v>1</v>
      </c>
      <c r="X194" s="5">
        <f t="shared" si="91"/>
        <v>5</v>
      </c>
      <c r="Y194" s="7">
        <f t="shared" si="92"/>
        <v>0.625</v>
      </c>
      <c r="Z194" s="5">
        <f>IF(VLOOKUP($B194,Table2[[prolific]:[feedbackTime]],23,FALSE)=VLOOKUP(Z$1,Table1[],2,FALSE),1,0)</f>
        <v>1</v>
      </c>
      <c r="AA194" s="5">
        <f>IF(VLOOKUP($B194,Table2[[prolific]:[feedbackTime]],24,FALSE)=VLOOKUP(AA$1,Table1[],2,FALSE),1,0)</f>
        <v>1</v>
      </c>
      <c r="AB194" s="5">
        <f>IF(VLOOKUP($B194,Table2[[prolific]:[feedbackTime]],25,FALSE)=VLOOKUP(AB$1,Table1[],2,FALSE),1,0)</f>
        <v>1</v>
      </c>
      <c r="AC194" s="5">
        <f>IF(VLOOKUP($B194,Table2[[prolific]:[feedbackTime]],26,FALSE)=VLOOKUP(AC$1,Table1[],2,FALSE),1,0)</f>
        <v>1</v>
      </c>
      <c r="AD194" s="5">
        <f>IF(VLOOKUP($B194,Table2[[prolific]:[feedbackTime]],27,FALSE)=VLOOKUP(AD$1,Table1[],2,FALSE),1,0)</f>
        <v>0</v>
      </c>
      <c r="AE194" s="5">
        <f>IF(VLOOKUP($B194,Table2[[prolific]:[feedbackTime]],28,FALSE)=VLOOKUP(AE$1,Table1[],2,FALSE),1,0)</f>
        <v>0</v>
      </c>
      <c r="AF194" s="5">
        <f>IF(VLOOKUP($B194,Table2[[prolific]:[feedbackTime]],29,FALSE)=VLOOKUP(AF$1,Table1[],2,FALSE),1,0)</f>
        <v>1</v>
      </c>
      <c r="AG194" s="5">
        <f>IF(VLOOKUP($B194,Table2[[prolific]:[feedbackTime]],30,FALSE)=VLOOKUP(AG$1,Table1[],2,FALSE),1,0)</f>
        <v>1</v>
      </c>
      <c r="AH194" s="5">
        <f t="shared" si="93"/>
        <v>6</v>
      </c>
      <c r="AI194" s="7">
        <f t="shared" si="94"/>
        <v>0.75</v>
      </c>
      <c r="AJ194" s="7">
        <f t="shared" si="95"/>
        <v>0.68181818181818177</v>
      </c>
      <c r="AK194" s="5">
        <f t="shared" si="96"/>
        <v>15</v>
      </c>
    </row>
    <row r="195" spans="1:37" x14ac:dyDescent="0.25">
      <c r="A195">
        <f t="shared" si="86"/>
        <v>1</v>
      </c>
      <c r="B195" s="5" t="s">
        <v>1197</v>
      </c>
      <c r="C195" s="5">
        <f>IF(VLOOKUP($B195,Table2[[prolific]:[feedbackTime]],6,FALSE)=VLOOKUP(C$1,Table1[],2,FALSE),1,0)</f>
        <v>1</v>
      </c>
      <c r="D195" s="5">
        <f>IF(VLOOKUP($B195,Table2[[prolific]:[feedbackTime]],7,FALSE)=VLOOKUP(D$1,Table1[],2,FALSE),1,0)</f>
        <v>1</v>
      </c>
      <c r="E195" s="5">
        <f>IF(VLOOKUP($B195,Table2[[prolific]:[feedbackTime]],8,FALSE)=VLOOKUP(E$1,Table1[],2,FALSE),1,0)</f>
        <v>1</v>
      </c>
      <c r="F195" s="5">
        <f t="shared" si="87"/>
        <v>3</v>
      </c>
      <c r="G195" s="7">
        <f t="shared" si="88"/>
        <v>1</v>
      </c>
      <c r="H195" s="5">
        <f>IF(VLOOKUP($B195,Table2[[prolific]:[feedbackTime]],9,FALSE)=VLOOKUP(H$1,Table1[],2,FALSE),1,0)</f>
        <v>1</v>
      </c>
      <c r="I195" s="5">
        <f>IF(VLOOKUP($B195,Table2[[prolific]:[feedbackTime]],10,FALSE)=VLOOKUP(I$1,Table1[],2,FALSE),1,0)</f>
        <v>1</v>
      </c>
      <c r="J195" s="5">
        <f>IF(VLOOKUP($B195,Table2[[prolific]:[feedbackTime]],11,FALSE)=VLOOKUP(J$1,Table1[],2,FALSE),1,0)</f>
        <v>1</v>
      </c>
      <c r="K195" s="5">
        <f>IF(VLOOKUP($B195,Table2[[prolific]:[feedbackTime]],12,FALSE)=VLOOKUP(K$1,Table1[],2,FALSE),1,0)</f>
        <v>1</v>
      </c>
      <c r="L195" s="5">
        <f>IF(VLOOKUP($B195,Table2[[prolific]:[feedbackTime]],13,FALSE)=VLOOKUP(L$1,Table1[],2,FALSE),1,0)</f>
        <v>0</v>
      </c>
      <c r="M195" s="5">
        <f>IF(VLOOKUP($B195,Table2[[prolific]:[feedbackTime]],14,FALSE)=VLOOKUP(M$1,Table1[],2,FALSE),1,0)</f>
        <v>1</v>
      </c>
      <c r="N195" s="5">
        <f t="shared" si="89"/>
        <v>5</v>
      </c>
      <c r="O195" s="7">
        <f t="shared" si="90"/>
        <v>0.83333333333333337</v>
      </c>
      <c r="P195" s="5">
        <f>IF(VLOOKUP($B195,Table2[[prolific]:[feedbackTime]],15,FALSE)=VLOOKUP(P$1,Table1[],2,FALSE),1,0)</f>
        <v>1</v>
      </c>
      <c r="Q195" s="5">
        <f>IF(VLOOKUP($B195,Table2[[prolific]:[feedbackTime]],16,FALSE)=VLOOKUP(Q$1,Table1[],2,FALSE),1,0)</f>
        <v>1</v>
      </c>
      <c r="R195" s="5">
        <f>IF(VLOOKUP($B195,Table2[[prolific]:[feedbackTime]],17,FALSE)=VLOOKUP(R$1,Table1[],2,FALSE),1,0)</f>
        <v>1</v>
      </c>
      <c r="S195" s="5">
        <f>IF(VLOOKUP($B195,Table2[[prolific]:[feedbackTime]],18,FALSE)=VLOOKUP(S$1,Table1[],2,FALSE),1,0)</f>
        <v>1</v>
      </c>
      <c r="T195" s="5">
        <f>IF(VLOOKUP($B195,Table2[[prolific]:[feedbackTime]],19,FALSE)=VLOOKUP(T$1,Table1[],2,FALSE),1,0)</f>
        <v>1</v>
      </c>
      <c r="U195" s="5">
        <f>IF(VLOOKUP($B195,Table2[[prolific]:[feedbackTime]],20,FALSE)=VLOOKUP(U$1,Table1[],2,FALSE),1,0)</f>
        <v>1</v>
      </c>
      <c r="V195" s="5">
        <f>IF(VLOOKUP($B195,Table2[[prolific]:[feedbackTime]],21,FALSE)=VLOOKUP(V$1,Table1[],2,FALSE),1,0)</f>
        <v>0</v>
      </c>
      <c r="W195" s="5">
        <f>IF(VLOOKUP($B195,Table2[[prolific]:[feedbackTime]],22,FALSE)=VLOOKUP(W$1,Table1[],2,FALSE),1,0)</f>
        <v>1</v>
      </c>
      <c r="X195" s="5">
        <f t="shared" si="91"/>
        <v>7</v>
      </c>
      <c r="Y195" s="7">
        <f t="shared" si="92"/>
        <v>0.875</v>
      </c>
      <c r="Z195" s="5">
        <f>IF(VLOOKUP($B195,Table2[[prolific]:[feedbackTime]],23,FALSE)=VLOOKUP(Z$1,Table1[],2,FALSE),1,0)</f>
        <v>1</v>
      </c>
      <c r="AA195" s="5">
        <f>IF(VLOOKUP($B195,Table2[[prolific]:[feedbackTime]],24,FALSE)=VLOOKUP(AA$1,Table1[],2,FALSE),1,0)</f>
        <v>1</v>
      </c>
      <c r="AB195" s="5">
        <f>IF(VLOOKUP($B195,Table2[[prolific]:[feedbackTime]],25,FALSE)=VLOOKUP(AB$1,Table1[],2,FALSE),1,0)</f>
        <v>1</v>
      </c>
      <c r="AC195" s="5">
        <f>IF(VLOOKUP($B195,Table2[[prolific]:[feedbackTime]],26,FALSE)=VLOOKUP(AC$1,Table1[],2,FALSE),1,0)</f>
        <v>1</v>
      </c>
      <c r="AD195" s="5">
        <f>IF(VLOOKUP($B195,Table2[[prolific]:[feedbackTime]],27,FALSE)=VLOOKUP(AD$1,Table1[],2,FALSE),1,0)</f>
        <v>1</v>
      </c>
      <c r="AE195" s="5">
        <f>IF(VLOOKUP($B195,Table2[[prolific]:[feedbackTime]],28,FALSE)=VLOOKUP(AE$1,Table1[],2,FALSE),1,0)</f>
        <v>0</v>
      </c>
      <c r="AF195" s="5">
        <f>IF(VLOOKUP($B195,Table2[[prolific]:[feedbackTime]],29,FALSE)=VLOOKUP(AF$1,Table1[],2,FALSE),1,0)</f>
        <v>1</v>
      </c>
      <c r="AG195" s="5">
        <f>IF(VLOOKUP($B195,Table2[[prolific]:[feedbackTime]],30,FALSE)=VLOOKUP(AG$1,Table1[],2,FALSE),1,0)</f>
        <v>1</v>
      </c>
      <c r="AH195" s="5">
        <f t="shared" si="93"/>
        <v>7</v>
      </c>
      <c r="AI195" s="7">
        <f t="shared" si="94"/>
        <v>0.875</v>
      </c>
      <c r="AJ195" s="7">
        <f t="shared" si="95"/>
        <v>0.86363636363636365</v>
      </c>
      <c r="AK195" s="5">
        <f t="shared" si="96"/>
        <v>19</v>
      </c>
    </row>
    <row r="196" spans="1:37" x14ac:dyDescent="0.25">
      <c r="A196">
        <f t="shared" si="86"/>
        <v>1</v>
      </c>
      <c r="B196" s="5" t="s">
        <v>1198</v>
      </c>
      <c r="C196" s="5">
        <f>IF(VLOOKUP($B196,Table2[[prolific]:[feedbackTime]],6,FALSE)=VLOOKUP(C$1,Table1[],2,FALSE),1,0)</f>
        <v>1</v>
      </c>
      <c r="D196" s="5">
        <f>IF(VLOOKUP($B196,Table2[[prolific]:[feedbackTime]],7,FALSE)=VLOOKUP(D$1,Table1[],2,FALSE),1,0)</f>
        <v>1</v>
      </c>
      <c r="E196" s="5">
        <f>IF(VLOOKUP($B196,Table2[[prolific]:[feedbackTime]],8,FALSE)=VLOOKUP(E$1,Table1[],2,FALSE),1,0)</f>
        <v>1</v>
      </c>
      <c r="F196" s="5">
        <f t="shared" si="87"/>
        <v>3</v>
      </c>
      <c r="G196" s="7">
        <f t="shared" si="88"/>
        <v>1</v>
      </c>
      <c r="H196" s="5">
        <f>IF(VLOOKUP($B196,Table2[[prolific]:[feedbackTime]],9,FALSE)=VLOOKUP(H$1,Table1[],2,FALSE),1,0)</f>
        <v>1</v>
      </c>
      <c r="I196" s="5">
        <f>IF(VLOOKUP($B196,Table2[[prolific]:[feedbackTime]],10,FALSE)=VLOOKUP(I$1,Table1[],2,FALSE),1,0)</f>
        <v>1</v>
      </c>
      <c r="J196" s="5">
        <f>IF(VLOOKUP($B196,Table2[[prolific]:[feedbackTime]],11,FALSE)=VLOOKUP(J$1,Table1[],2,FALSE),1,0)</f>
        <v>0</v>
      </c>
      <c r="K196" s="5">
        <f>IF(VLOOKUP($B196,Table2[[prolific]:[feedbackTime]],12,FALSE)=VLOOKUP(K$1,Table1[],2,FALSE),1,0)</f>
        <v>1</v>
      </c>
      <c r="L196" s="5">
        <f>IF(VLOOKUP($B196,Table2[[prolific]:[feedbackTime]],13,FALSE)=VLOOKUP(L$1,Table1[],2,FALSE),1,0)</f>
        <v>0</v>
      </c>
      <c r="M196" s="5">
        <f>IF(VLOOKUP($B196,Table2[[prolific]:[feedbackTime]],14,FALSE)=VLOOKUP(M$1,Table1[],2,FALSE),1,0)</f>
        <v>0</v>
      </c>
      <c r="N196" s="5">
        <f t="shared" si="89"/>
        <v>3</v>
      </c>
      <c r="O196" s="7">
        <f t="shared" si="90"/>
        <v>0.5</v>
      </c>
      <c r="P196" s="5">
        <f>IF(VLOOKUP($B196,Table2[[prolific]:[feedbackTime]],15,FALSE)=VLOOKUP(P$1,Table1[],2,FALSE),1,0)</f>
        <v>1</v>
      </c>
      <c r="Q196" s="5">
        <f>IF(VLOOKUP($B196,Table2[[prolific]:[feedbackTime]],16,FALSE)=VLOOKUP(Q$1,Table1[],2,FALSE),1,0)</f>
        <v>1</v>
      </c>
      <c r="R196" s="5">
        <f>IF(VLOOKUP($B196,Table2[[prolific]:[feedbackTime]],17,FALSE)=VLOOKUP(R$1,Table1[],2,FALSE),1,0)</f>
        <v>0</v>
      </c>
      <c r="S196" s="5">
        <f>IF(VLOOKUP($B196,Table2[[prolific]:[feedbackTime]],18,FALSE)=VLOOKUP(S$1,Table1[],2,FALSE),1,0)</f>
        <v>0</v>
      </c>
      <c r="T196" s="5">
        <f>IF(VLOOKUP($B196,Table2[[prolific]:[feedbackTime]],19,FALSE)=VLOOKUP(T$1,Table1[],2,FALSE),1,0)</f>
        <v>1</v>
      </c>
      <c r="U196" s="5">
        <f>IF(VLOOKUP($B196,Table2[[prolific]:[feedbackTime]],20,FALSE)=VLOOKUP(U$1,Table1[],2,FALSE),1,0)</f>
        <v>1</v>
      </c>
      <c r="V196" s="5">
        <f>IF(VLOOKUP($B196,Table2[[prolific]:[feedbackTime]],21,FALSE)=VLOOKUP(V$1,Table1[],2,FALSE),1,0)</f>
        <v>1</v>
      </c>
      <c r="W196" s="5">
        <f>IF(VLOOKUP($B196,Table2[[prolific]:[feedbackTime]],22,FALSE)=VLOOKUP(W$1,Table1[],2,FALSE),1,0)</f>
        <v>1</v>
      </c>
      <c r="X196" s="5">
        <f t="shared" si="91"/>
        <v>6</v>
      </c>
      <c r="Y196" s="7">
        <f t="shared" si="92"/>
        <v>0.75</v>
      </c>
      <c r="Z196" s="5">
        <f>IF(VLOOKUP($B196,Table2[[prolific]:[feedbackTime]],23,FALSE)=VLOOKUP(Z$1,Table1[],2,FALSE),1,0)</f>
        <v>1</v>
      </c>
      <c r="AA196" s="5">
        <f>IF(VLOOKUP($B196,Table2[[prolific]:[feedbackTime]],24,FALSE)=VLOOKUP(AA$1,Table1[],2,FALSE),1,0)</f>
        <v>1</v>
      </c>
      <c r="AB196" s="5">
        <f>IF(VLOOKUP($B196,Table2[[prolific]:[feedbackTime]],25,FALSE)=VLOOKUP(AB$1,Table1[],2,FALSE),1,0)</f>
        <v>1</v>
      </c>
      <c r="AC196" s="5">
        <f>IF(VLOOKUP($B196,Table2[[prolific]:[feedbackTime]],26,FALSE)=VLOOKUP(AC$1,Table1[],2,FALSE),1,0)</f>
        <v>1</v>
      </c>
      <c r="AD196" s="5">
        <f>IF(VLOOKUP($B196,Table2[[prolific]:[feedbackTime]],27,FALSE)=VLOOKUP(AD$1,Table1[],2,FALSE),1,0)</f>
        <v>0</v>
      </c>
      <c r="AE196" s="5">
        <f>IF(VLOOKUP($B196,Table2[[prolific]:[feedbackTime]],28,FALSE)=VLOOKUP(AE$1,Table1[],2,FALSE),1,0)</f>
        <v>1</v>
      </c>
      <c r="AF196" s="5">
        <f>IF(VLOOKUP($B196,Table2[[prolific]:[feedbackTime]],29,FALSE)=VLOOKUP(AF$1,Table1[],2,FALSE),1,0)</f>
        <v>1</v>
      </c>
      <c r="AG196" s="5">
        <f>IF(VLOOKUP($B196,Table2[[prolific]:[feedbackTime]],30,FALSE)=VLOOKUP(AG$1,Table1[],2,FALSE),1,0)</f>
        <v>0</v>
      </c>
      <c r="AH196" s="5">
        <f t="shared" si="93"/>
        <v>6</v>
      </c>
      <c r="AI196" s="7">
        <f t="shared" si="94"/>
        <v>0.75</v>
      </c>
      <c r="AJ196" s="7">
        <f t="shared" si="95"/>
        <v>0.68181818181818177</v>
      </c>
      <c r="AK196" s="5">
        <f t="shared" si="96"/>
        <v>15</v>
      </c>
    </row>
    <row r="197" spans="1:37" x14ac:dyDescent="0.25">
      <c r="A197">
        <f t="shared" si="86"/>
        <v>1</v>
      </c>
      <c r="B197" s="5" t="s">
        <v>1199</v>
      </c>
      <c r="C197" s="5">
        <f>IF(VLOOKUP($B197,Table2[[prolific]:[feedbackTime]],6,FALSE)=VLOOKUP(C$1,Table1[],2,FALSE),1,0)</f>
        <v>1</v>
      </c>
      <c r="D197" s="5">
        <f>IF(VLOOKUP($B197,Table2[[prolific]:[feedbackTime]],7,FALSE)=VLOOKUP(D$1,Table1[],2,FALSE),1,0)</f>
        <v>1</v>
      </c>
      <c r="E197" s="5">
        <f>IF(VLOOKUP($B197,Table2[[prolific]:[feedbackTime]],8,FALSE)=VLOOKUP(E$1,Table1[],2,FALSE),1,0)</f>
        <v>1</v>
      </c>
      <c r="F197" s="5">
        <f t="shared" si="87"/>
        <v>3</v>
      </c>
      <c r="G197" s="7">
        <f t="shared" si="88"/>
        <v>1</v>
      </c>
      <c r="H197" s="5">
        <f>IF(VLOOKUP($B197,Table2[[prolific]:[feedbackTime]],9,FALSE)=VLOOKUP(H$1,Table1[],2,FALSE),1,0)</f>
        <v>1</v>
      </c>
      <c r="I197" s="5">
        <f>IF(VLOOKUP($B197,Table2[[prolific]:[feedbackTime]],10,FALSE)=VLOOKUP(I$1,Table1[],2,FALSE),1,0)</f>
        <v>1</v>
      </c>
      <c r="J197" s="5">
        <f>IF(VLOOKUP($B197,Table2[[prolific]:[feedbackTime]],11,FALSE)=VLOOKUP(J$1,Table1[],2,FALSE),1,0)</f>
        <v>1</v>
      </c>
      <c r="K197" s="5">
        <f>IF(VLOOKUP($B197,Table2[[prolific]:[feedbackTime]],12,FALSE)=VLOOKUP(K$1,Table1[],2,FALSE),1,0)</f>
        <v>1</v>
      </c>
      <c r="L197" s="5">
        <f>IF(VLOOKUP($B197,Table2[[prolific]:[feedbackTime]],13,FALSE)=VLOOKUP(L$1,Table1[],2,FALSE),1,0)</f>
        <v>1</v>
      </c>
      <c r="M197" s="5">
        <f>IF(VLOOKUP($B197,Table2[[prolific]:[feedbackTime]],14,FALSE)=VLOOKUP(M$1,Table1[],2,FALSE),1,0)</f>
        <v>1</v>
      </c>
      <c r="N197" s="5">
        <f t="shared" si="89"/>
        <v>6</v>
      </c>
      <c r="O197" s="7">
        <f t="shared" si="90"/>
        <v>1</v>
      </c>
      <c r="P197" s="5">
        <f>IF(VLOOKUP($B197,Table2[[prolific]:[feedbackTime]],15,FALSE)=VLOOKUP(P$1,Table1[],2,FALSE),1,0)</f>
        <v>1</v>
      </c>
      <c r="Q197" s="5">
        <f>IF(VLOOKUP($B197,Table2[[prolific]:[feedbackTime]],16,FALSE)=VLOOKUP(Q$1,Table1[],2,FALSE),1,0)</f>
        <v>1</v>
      </c>
      <c r="R197" s="5">
        <f>IF(VLOOKUP($B197,Table2[[prolific]:[feedbackTime]],17,FALSE)=VLOOKUP(R$1,Table1[],2,FALSE),1,0)</f>
        <v>1</v>
      </c>
      <c r="S197" s="5">
        <f>IF(VLOOKUP($B197,Table2[[prolific]:[feedbackTime]],18,FALSE)=VLOOKUP(S$1,Table1[],2,FALSE),1,0)</f>
        <v>1</v>
      </c>
      <c r="T197" s="5">
        <f>IF(VLOOKUP($B197,Table2[[prolific]:[feedbackTime]],19,FALSE)=VLOOKUP(T$1,Table1[],2,FALSE),1,0)</f>
        <v>1</v>
      </c>
      <c r="U197" s="5">
        <f>IF(VLOOKUP($B197,Table2[[prolific]:[feedbackTime]],20,FALSE)=VLOOKUP(U$1,Table1[],2,FALSE),1,0)</f>
        <v>1</v>
      </c>
      <c r="V197" s="5">
        <f>IF(VLOOKUP($B197,Table2[[prolific]:[feedbackTime]],21,FALSE)=VLOOKUP(V$1,Table1[],2,FALSE),1,0)</f>
        <v>1</v>
      </c>
      <c r="W197" s="5">
        <f>IF(VLOOKUP($B197,Table2[[prolific]:[feedbackTime]],22,FALSE)=VLOOKUP(W$1,Table1[],2,FALSE),1,0)</f>
        <v>1</v>
      </c>
      <c r="X197" s="5">
        <f t="shared" si="91"/>
        <v>8</v>
      </c>
      <c r="Y197" s="7">
        <f t="shared" si="92"/>
        <v>1</v>
      </c>
      <c r="Z197" s="5">
        <f>IF(VLOOKUP($B197,Table2[[prolific]:[feedbackTime]],23,FALSE)=VLOOKUP(Z$1,Table1[],2,FALSE),1,0)</f>
        <v>1</v>
      </c>
      <c r="AA197" s="5">
        <f>IF(VLOOKUP($B197,Table2[[prolific]:[feedbackTime]],24,FALSE)=VLOOKUP(AA$1,Table1[],2,FALSE),1,0)</f>
        <v>1</v>
      </c>
      <c r="AB197" s="5">
        <f>IF(VLOOKUP($B197,Table2[[prolific]:[feedbackTime]],25,FALSE)=VLOOKUP(AB$1,Table1[],2,FALSE),1,0)</f>
        <v>1</v>
      </c>
      <c r="AC197" s="5">
        <f>IF(VLOOKUP($B197,Table2[[prolific]:[feedbackTime]],26,FALSE)=VLOOKUP(AC$1,Table1[],2,FALSE),1,0)</f>
        <v>1</v>
      </c>
      <c r="AD197" s="5">
        <f>IF(VLOOKUP($B197,Table2[[prolific]:[feedbackTime]],27,FALSE)=VLOOKUP(AD$1,Table1[],2,FALSE),1,0)</f>
        <v>0</v>
      </c>
      <c r="AE197" s="5">
        <f>IF(VLOOKUP($B197,Table2[[prolific]:[feedbackTime]],28,FALSE)=VLOOKUP(AE$1,Table1[],2,FALSE),1,0)</f>
        <v>1</v>
      </c>
      <c r="AF197" s="5">
        <f>IF(VLOOKUP($B197,Table2[[prolific]:[feedbackTime]],29,FALSE)=VLOOKUP(AF$1,Table1[],2,FALSE),1,0)</f>
        <v>1</v>
      </c>
      <c r="AG197" s="5">
        <f>IF(VLOOKUP($B197,Table2[[prolific]:[feedbackTime]],30,FALSE)=VLOOKUP(AG$1,Table1[],2,FALSE),1,0)</f>
        <v>1</v>
      </c>
      <c r="AH197" s="5">
        <f t="shared" si="93"/>
        <v>7</v>
      </c>
      <c r="AI197" s="7">
        <f t="shared" si="94"/>
        <v>0.875</v>
      </c>
      <c r="AJ197" s="7">
        <f t="shared" si="95"/>
        <v>0.95454545454545459</v>
      </c>
      <c r="AK197" s="5">
        <f t="shared" si="96"/>
        <v>21</v>
      </c>
    </row>
    <row r="198" spans="1:37" x14ac:dyDescent="0.25">
      <c r="A198">
        <f t="shared" si="86"/>
        <v>1</v>
      </c>
      <c r="B198" s="5" t="s">
        <v>1200</v>
      </c>
      <c r="C198" s="5">
        <f>IF(VLOOKUP($B198,Table2[[prolific]:[feedbackTime]],6,FALSE)=VLOOKUP(C$1,Table1[],2,FALSE),1,0)</f>
        <v>1</v>
      </c>
      <c r="D198" s="5">
        <f>IF(VLOOKUP($B198,Table2[[prolific]:[feedbackTime]],7,FALSE)=VLOOKUP(D$1,Table1[],2,FALSE),1,0)</f>
        <v>1</v>
      </c>
      <c r="E198" s="5">
        <f>IF(VLOOKUP($B198,Table2[[prolific]:[feedbackTime]],8,FALSE)=VLOOKUP(E$1,Table1[],2,FALSE),1,0)</f>
        <v>1</v>
      </c>
      <c r="F198" s="5">
        <f t="shared" si="87"/>
        <v>3</v>
      </c>
      <c r="G198" s="7">
        <f t="shared" si="88"/>
        <v>1</v>
      </c>
      <c r="H198" s="5">
        <f>IF(VLOOKUP($B198,Table2[[prolific]:[feedbackTime]],9,FALSE)=VLOOKUP(H$1,Table1[],2,FALSE),1,0)</f>
        <v>1</v>
      </c>
      <c r="I198" s="5">
        <f>IF(VLOOKUP($B198,Table2[[prolific]:[feedbackTime]],10,FALSE)=VLOOKUP(I$1,Table1[],2,FALSE),1,0)</f>
        <v>1</v>
      </c>
      <c r="J198" s="5">
        <f>IF(VLOOKUP($B198,Table2[[prolific]:[feedbackTime]],11,FALSE)=VLOOKUP(J$1,Table1[],2,FALSE),1,0)</f>
        <v>1</v>
      </c>
      <c r="K198" s="5">
        <f>IF(VLOOKUP($B198,Table2[[prolific]:[feedbackTime]],12,FALSE)=VLOOKUP(K$1,Table1[],2,FALSE),1,0)</f>
        <v>1</v>
      </c>
      <c r="L198" s="5">
        <f>IF(VLOOKUP($B198,Table2[[prolific]:[feedbackTime]],13,FALSE)=VLOOKUP(L$1,Table1[],2,FALSE),1,0)</f>
        <v>1</v>
      </c>
      <c r="M198" s="5">
        <f>IF(VLOOKUP($B198,Table2[[prolific]:[feedbackTime]],14,FALSE)=VLOOKUP(M$1,Table1[],2,FALSE),1,0)</f>
        <v>1</v>
      </c>
      <c r="N198" s="5">
        <f t="shared" si="89"/>
        <v>6</v>
      </c>
      <c r="O198" s="7">
        <f t="shared" si="90"/>
        <v>1</v>
      </c>
      <c r="P198" s="5">
        <f>IF(VLOOKUP($B198,Table2[[prolific]:[feedbackTime]],15,FALSE)=VLOOKUP(P$1,Table1[],2,FALSE),1,0)</f>
        <v>1</v>
      </c>
      <c r="Q198" s="5">
        <f>IF(VLOOKUP($B198,Table2[[prolific]:[feedbackTime]],16,FALSE)=VLOOKUP(Q$1,Table1[],2,FALSE),1,0)</f>
        <v>1</v>
      </c>
      <c r="R198" s="5">
        <f>IF(VLOOKUP($B198,Table2[[prolific]:[feedbackTime]],17,FALSE)=VLOOKUP(R$1,Table1[],2,FALSE),1,0)</f>
        <v>0</v>
      </c>
      <c r="S198" s="5">
        <f>IF(VLOOKUP($B198,Table2[[prolific]:[feedbackTime]],18,FALSE)=VLOOKUP(S$1,Table1[],2,FALSE),1,0)</f>
        <v>1</v>
      </c>
      <c r="T198" s="5">
        <f>IF(VLOOKUP($B198,Table2[[prolific]:[feedbackTime]],19,FALSE)=VLOOKUP(T$1,Table1[],2,FALSE),1,0)</f>
        <v>1</v>
      </c>
      <c r="U198" s="5">
        <f>IF(VLOOKUP($B198,Table2[[prolific]:[feedbackTime]],20,FALSE)=VLOOKUP(U$1,Table1[],2,FALSE),1,0)</f>
        <v>1</v>
      </c>
      <c r="V198" s="5">
        <f>IF(VLOOKUP($B198,Table2[[prolific]:[feedbackTime]],21,FALSE)=VLOOKUP(V$1,Table1[],2,FALSE),1,0)</f>
        <v>0</v>
      </c>
      <c r="W198" s="5">
        <f>IF(VLOOKUP($B198,Table2[[prolific]:[feedbackTime]],22,FALSE)=VLOOKUP(W$1,Table1[],2,FALSE),1,0)</f>
        <v>0</v>
      </c>
      <c r="X198" s="5">
        <f t="shared" si="91"/>
        <v>5</v>
      </c>
      <c r="Y198" s="7">
        <f t="shared" si="92"/>
        <v>0.625</v>
      </c>
      <c r="Z198" s="5">
        <f>IF(VLOOKUP($B198,Table2[[prolific]:[feedbackTime]],23,FALSE)=VLOOKUP(Z$1,Table1[],2,FALSE),1,0)</f>
        <v>1</v>
      </c>
      <c r="AA198" s="5">
        <f>IF(VLOOKUP($B198,Table2[[prolific]:[feedbackTime]],24,FALSE)=VLOOKUP(AA$1,Table1[],2,FALSE),1,0)</f>
        <v>1</v>
      </c>
      <c r="AB198" s="5">
        <f>IF(VLOOKUP($B198,Table2[[prolific]:[feedbackTime]],25,FALSE)=VLOOKUP(AB$1,Table1[],2,FALSE),1,0)</f>
        <v>1</v>
      </c>
      <c r="AC198" s="5">
        <f>IF(VLOOKUP($B198,Table2[[prolific]:[feedbackTime]],26,FALSE)=VLOOKUP(AC$1,Table1[],2,FALSE),1,0)</f>
        <v>1</v>
      </c>
      <c r="AD198" s="5">
        <f>IF(VLOOKUP($B198,Table2[[prolific]:[feedbackTime]],27,FALSE)=VLOOKUP(AD$1,Table1[],2,FALSE),1,0)</f>
        <v>0</v>
      </c>
      <c r="AE198" s="5">
        <f>IF(VLOOKUP($B198,Table2[[prolific]:[feedbackTime]],28,FALSE)=VLOOKUP(AE$1,Table1[],2,FALSE),1,0)</f>
        <v>1</v>
      </c>
      <c r="AF198" s="5">
        <f>IF(VLOOKUP($B198,Table2[[prolific]:[feedbackTime]],29,FALSE)=VLOOKUP(AF$1,Table1[],2,FALSE),1,0)</f>
        <v>1</v>
      </c>
      <c r="AG198" s="5">
        <f>IF(VLOOKUP($B198,Table2[[prolific]:[feedbackTime]],30,FALSE)=VLOOKUP(AG$1,Table1[],2,FALSE),1,0)</f>
        <v>1</v>
      </c>
      <c r="AH198" s="5">
        <f t="shared" si="93"/>
        <v>7</v>
      </c>
      <c r="AI198" s="7">
        <f t="shared" si="94"/>
        <v>0.875</v>
      </c>
      <c r="AJ198" s="7">
        <f t="shared" si="95"/>
        <v>0.81818181818181823</v>
      </c>
      <c r="AK198" s="5">
        <f t="shared" si="96"/>
        <v>18</v>
      </c>
    </row>
    <row r="199" spans="1:37" x14ac:dyDescent="0.25">
      <c r="A199">
        <f t="shared" si="86"/>
        <v>1</v>
      </c>
      <c r="B199" s="5" t="s">
        <v>1201</v>
      </c>
      <c r="C199" s="5">
        <f>IF(VLOOKUP($B199,Table2[[prolific]:[feedbackTime]],6,FALSE)=VLOOKUP(C$1,Table1[],2,FALSE),1,0)</f>
        <v>1</v>
      </c>
      <c r="D199" s="5">
        <f>IF(VLOOKUP($B199,Table2[[prolific]:[feedbackTime]],7,FALSE)=VLOOKUP(D$1,Table1[],2,FALSE),1,0)</f>
        <v>1</v>
      </c>
      <c r="E199" s="5">
        <f>IF(VLOOKUP($B199,Table2[[prolific]:[feedbackTime]],8,FALSE)=VLOOKUP(E$1,Table1[],2,FALSE),1,0)</f>
        <v>1</v>
      </c>
      <c r="F199" s="5">
        <f t="shared" si="87"/>
        <v>3</v>
      </c>
      <c r="G199" s="7">
        <f t="shared" si="88"/>
        <v>1</v>
      </c>
      <c r="H199" s="5">
        <f>IF(VLOOKUP($B199,Table2[[prolific]:[feedbackTime]],9,FALSE)=VLOOKUP(H$1,Table1[],2,FALSE),1,0)</f>
        <v>1</v>
      </c>
      <c r="I199" s="5">
        <f>IF(VLOOKUP($B199,Table2[[prolific]:[feedbackTime]],10,FALSE)=VLOOKUP(I$1,Table1[],2,FALSE),1,0)</f>
        <v>1</v>
      </c>
      <c r="J199" s="5">
        <f>IF(VLOOKUP($B199,Table2[[prolific]:[feedbackTime]],11,FALSE)=VLOOKUP(J$1,Table1[],2,FALSE),1,0)</f>
        <v>1</v>
      </c>
      <c r="K199" s="5">
        <f>IF(VLOOKUP($B199,Table2[[prolific]:[feedbackTime]],12,FALSE)=VLOOKUP(K$1,Table1[],2,FALSE),1,0)</f>
        <v>1</v>
      </c>
      <c r="L199" s="5">
        <f>IF(VLOOKUP($B199,Table2[[prolific]:[feedbackTime]],13,FALSE)=VLOOKUP(L$1,Table1[],2,FALSE),1,0)</f>
        <v>1</v>
      </c>
      <c r="M199" s="5">
        <f>IF(VLOOKUP($B199,Table2[[prolific]:[feedbackTime]],14,FALSE)=VLOOKUP(M$1,Table1[],2,FALSE),1,0)</f>
        <v>1</v>
      </c>
      <c r="N199" s="5">
        <f t="shared" si="89"/>
        <v>6</v>
      </c>
      <c r="O199" s="7">
        <f t="shared" si="90"/>
        <v>1</v>
      </c>
      <c r="P199" s="5">
        <f>IF(VLOOKUP($B199,Table2[[prolific]:[feedbackTime]],15,FALSE)=VLOOKUP(P$1,Table1[],2,FALSE),1,0)</f>
        <v>1</v>
      </c>
      <c r="Q199" s="5">
        <f>IF(VLOOKUP($B199,Table2[[prolific]:[feedbackTime]],16,FALSE)=VLOOKUP(Q$1,Table1[],2,FALSE),1,0)</f>
        <v>1</v>
      </c>
      <c r="R199" s="5">
        <f>IF(VLOOKUP($B199,Table2[[prolific]:[feedbackTime]],17,FALSE)=VLOOKUP(R$1,Table1[],2,FALSE),1,0)</f>
        <v>1</v>
      </c>
      <c r="S199" s="5">
        <f>IF(VLOOKUP($B199,Table2[[prolific]:[feedbackTime]],18,FALSE)=VLOOKUP(S$1,Table1[],2,FALSE),1,0)</f>
        <v>1</v>
      </c>
      <c r="T199" s="5">
        <f>IF(VLOOKUP($B199,Table2[[prolific]:[feedbackTime]],19,FALSE)=VLOOKUP(T$1,Table1[],2,FALSE),1,0)</f>
        <v>1</v>
      </c>
      <c r="U199" s="5">
        <f>IF(VLOOKUP($B199,Table2[[prolific]:[feedbackTime]],20,FALSE)=VLOOKUP(U$1,Table1[],2,FALSE),1,0)</f>
        <v>1</v>
      </c>
      <c r="V199" s="5">
        <f>IF(VLOOKUP($B199,Table2[[prolific]:[feedbackTime]],21,FALSE)=VLOOKUP(V$1,Table1[],2,FALSE),1,0)</f>
        <v>1</v>
      </c>
      <c r="W199" s="5">
        <f>IF(VLOOKUP($B199,Table2[[prolific]:[feedbackTime]],22,FALSE)=VLOOKUP(W$1,Table1[],2,FALSE),1,0)</f>
        <v>1</v>
      </c>
      <c r="X199" s="5">
        <f t="shared" si="91"/>
        <v>8</v>
      </c>
      <c r="Y199" s="7">
        <f t="shared" si="92"/>
        <v>1</v>
      </c>
      <c r="Z199" s="5">
        <f>IF(VLOOKUP($B199,Table2[[prolific]:[feedbackTime]],23,FALSE)=VLOOKUP(Z$1,Table1[],2,FALSE),1,0)</f>
        <v>1</v>
      </c>
      <c r="AA199" s="5">
        <f>IF(VLOOKUP($B199,Table2[[prolific]:[feedbackTime]],24,FALSE)=VLOOKUP(AA$1,Table1[],2,FALSE),1,0)</f>
        <v>1</v>
      </c>
      <c r="AB199" s="5">
        <f>IF(VLOOKUP($B199,Table2[[prolific]:[feedbackTime]],25,FALSE)=VLOOKUP(AB$1,Table1[],2,FALSE),1,0)</f>
        <v>1</v>
      </c>
      <c r="AC199" s="5">
        <f>IF(VLOOKUP($B199,Table2[[prolific]:[feedbackTime]],26,FALSE)=VLOOKUP(AC$1,Table1[],2,FALSE),1,0)</f>
        <v>1</v>
      </c>
      <c r="AD199" s="5">
        <f>IF(VLOOKUP($B199,Table2[[prolific]:[feedbackTime]],27,FALSE)=VLOOKUP(AD$1,Table1[],2,FALSE),1,0)</f>
        <v>1</v>
      </c>
      <c r="AE199" s="5">
        <f>IF(VLOOKUP($B199,Table2[[prolific]:[feedbackTime]],28,FALSE)=VLOOKUP(AE$1,Table1[],2,FALSE),1,0)</f>
        <v>1</v>
      </c>
      <c r="AF199" s="5">
        <f>IF(VLOOKUP($B199,Table2[[prolific]:[feedbackTime]],29,FALSE)=VLOOKUP(AF$1,Table1[],2,FALSE),1,0)</f>
        <v>1</v>
      </c>
      <c r="AG199" s="5">
        <f>IF(VLOOKUP($B199,Table2[[prolific]:[feedbackTime]],30,FALSE)=VLOOKUP(AG$1,Table1[],2,FALSE),1,0)</f>
        <v>1</v>
      </c>
      <c r="AH199" s="5">
        <f t="shared" si="93"/>
        <v>8</v>
      </c>
      <c r="AI199" s="7">
        <f t="shared" si="94"/>
        <v>1</v>
      </c>
      <c r="AJ199" s="7">
        <f t="shared" si="95"/>
        <v>1</v>
      </c>
      <c r="AK199" s="5">
        <f t="shared" si="96"/>
        <v>22</v>
      </c>
    </row>
    <row r="200" spans="1:37" x14ac:dyDescent="0.25">
      <c r="A200">
        <f t="shared" si="86"/>
        <v>1</v>
      </c>
      <c r="B200" s="5" t="s">
        <v>1202</v>
      </c>
      <c r="C200" s="5">
        <f>IF(VLOOKUP($B200,Table2[[prolific]:[feedbackTime]],6,FALSE)=VLOOKUP(C$1,Table1[],2,FALSE),1,0)</f>
        <v>1</v>
      </c>
      <c r="D200" s="5">
        <f>IF(VLOOKUP($B200,Table2[[prolific]:[feedbackTime]],7,FALSE)=VLOOKUP(D$1,Table1[],2,FALSE),1,0)</f>
        <v>1</v>
      </c>
      <c r="E200" s="5">
        <f>IF(VLOOKUP($B200,Table2[[prolific]:[feedbackTime]],8,FALSE)=VLOOKUP(E$1,Table1[],2,FALSE),1,0)</f>
        <v>1</v>
      </c>
      <c r="F200" s="5">
        <f t="shared" si="87"/>
        <v>3</v>
      </c>
      <c r="G200" s="7">
        <f t="shared" si="88"/>
        <v>1</v>
      </c>
      <c r="H200" s="5">
        <f>IF(VLOOKUP($B200,Table2[[prolific]:[feedbackTime]],9,FALSE)=VLOOKUP(H$1,Table1[],2,FALSE),1,0)</f>
        <v>1</v>
      </c>
      <c r="I200" s="5">
        <f>IF(VLOOKUP($B200,Table2[[prolific]:[feedbackTime]],10,FALSE)=VLOOKUP(I$1,Table1[],2,FALSE),1,0)</f>
        <v>1</v>
      </c>
      <c r="J200" s="5">
        <f>IF(VLOOKUP($B200,Table2[[prolific]:[feedbackTime]],11,FALSE)=VLOOKUP(J$1,Table1[],2,FALSE),1,0)</f>
        <v>1</v>
      </c>
      <c r="K200" s="5">
        <f>IF(VLOOKUP($B200,Table2[[prolific]:[feedbackTime]],12,FALSE)=VLOOKUP(K$1,Table1[],2,FALSE),1,0)</f>
        <v>1</v>
      </c>
      <c r="L200" s="5">
        <f>IF(VLOOKUP($B200,Table2[[prolific]:[feedbackTime]],13,FALSE)=VLOOKUP(L$1,Table1[],2,FALSE),1,0)</f>
        <v>1</v>
      </c>
      <c r="M200" s="5">
        <f>IF(VLOOKUP($B200,Table2[[prolific]:[feedbackTime]],14,FALSE)=VLOOKUP(M$1,Table1[],2,FALSE),1,0)</f>
        <v>1</v>
      </c>
      <c r="N200" s="5">
        <f t="shared" si="89"/>
        <v>6</v>
      </c>
      <c r="O200" s="7">
        <f t="shared" si="90"/>
        <v>1</v>
      </c>
      <c r="P200" s="5">
        <f>IF(VLOOKUP($B200,Table2[[prolific]:[feedbackTime]],15,FALSE)=VLOOKUP(P$1,Table1[],2,FALSE),1,0)</f>
        <v>1</v>
      </c>
      <c r="Q200" s="5">
        <f>IF(VLOOKUP($B200,Table2[[prolific]:[feedbackTime]],16,FALSE)=VLOOKUP(Q$1,Table1[],2,FALSE),1,0)</f>
        <v>1</v>
      </c>
      <c r="R200" s="5">
        <f>IF(VLOOKUP($B200,Table2[[prolific]:[feedbackTime]],17,FALSE)=VLOOKUP(R$1,Table1[],2,FALSE),1,0)</f>
        <v>1</v>
      </c>
      <c r="S200" s="5">
        <f>IF(VLOOKUP($B200,Table2[[prolific]:[feedbackTime]],18,FALSE)=VLOOKUP(S$1,Table1[],2,FALSE),1,0)</f>
        <v>1</v>
      </c>
      <c r="T200" s="5">
        <f>IF(VLOOKUP($B200,Table2[[prolific]:[feedbackTime]],19,FALSE)=VLOOKUP(T$1,Table1[],2,FALSE),1,0)</f>
        <v>1</v>
      </c>
      <c r="U200" s="5">
        <f>IF(VLOOKUP($B200,Table2[[prolific]:[feedbackTime]],20,FALSE)=VLOOKUP(U$1,Table1[],2,FALSE),1,0)</f>
        <v>1</v>
      </c>
      <c r="V200" s="5">
        <f>IF(VLOOKUP($B200,Table2[[prolific]:[feedbackTime]],21,FALSE)=VLOOKUP(V$1,Table1[],2,FALSE),1,0)</f>
        <v>1</v>
      </c>
      <c r="W200" s="5">
        <f>IF(VLOOKUP($B200,Table2[[prolific]:[feedbackTime]],22,FALSE)=VLOOKUP(W$1,Table1[],2,FALSE),1,0)</f>
        <v>1</v>
      </c>
      <c r="X200" s="5">
        <f t="shared" si="91"/>
        <v>8</v>
      </c>
      <c r="Y200" s="7">
        <f t="shared" si="92"/>
        <v>1</v>
      </c>
      <c r="Z200" s="5">
        <f>IF(VLOOKUP($B200,Table2[[prolific]:[feedbackTime]],23,FALSE)=VLOOKUP(Z$1,Table1[],2,FALSE),1,0)</f>
        <v>1</v>
      </c>
      <c r="AA200" s="5">
        <f>IF(VLOOKUP($B200,Table2[[prolific]:[feedbackTime]],24,FALSE)=VLOOKUP(AA$1,Table1[],2,FALSE),1,0)</f>
        <v>1</v>
      </c>
      <c r="AB200" s="5">
        <f>IF(VLOOKUP($B200,Table2[[prolific]:[feedbackTime]],25,FALSE)=VLOOKUP(AB$1,Table1[],2,FALSE),1,0)</f>
        <v>1</v>
      </c>
      <c r="AC200" s="5">
        <f>IF(VLOOKUP($B200,Table2[[prolific]:[feedbackTime]],26,FALSE)=VLOOKUP(AC$1,Table1[],2,FALSE),1,0)</f>
        <v>0</v>
      </c>
      <c r="AD200" s="5">
        <f>IF(VLOOKUP($B200,Table2[[prolific]:[feedbackTime]],27,FALSE)=VLOOKUP(AD$1,Table1[],2,FALSE),1,0)</f>
        <v>0</v>
      </c>
      <c r="AE200" s="5">
        <f>IF(VLOOKUP($B200,Table2[[prolific]:[feedbackTime]],28,FALSE)=VLOOKUP(AE$1,Table1[],2,FALSE),1,0)</f>
        <v>1</v>
      </c>
      <c r="AF200" s="5">
        <f>IF(VLOOKUP($B200,Table2[[prolific]:[feedbackTime]],29,FALSE)=VLOOKUP(AF$1,Table1[],2,FALSE),1,0)</f>
        <v>0</v>
      </c>
      <c r="AG200" s="5">
        <f>IF(VLOOKUP($B200,Table2[[prolific]:[feedbackTime]],30,FALSE)=VLOOKUP(AG$1,Table1[],2,FALSE),1,0)</f>
        <v>1</v>
      </c>
      <c r="AH200" s="5">
        <f t="shared" si="93"/>
        <v>5</v>
      </c>
      <c r="AI200" s="7">
        <f t="shared" si="94"/>
        <v>0.625</v>
      </c>
      <c r="AJ200" s="7">
        <f t="shared" si="95"/>
        <v>0.86363636363636365</v>
      </c>
      <c r="AK200" s="5">
        <f t="shared" si="96"/>
        <v>19</v>
      </c>
    </row>
    <row r="201" spans="1:37" x14ac:dyDescent="0.25">
      <c r="A201">
        <f t="shared" si="86"/>
        <v>1</v>
      </c>
      <c r="B201" s="5" t="s">
        <v>1203</v>
      </c>
      <c r="C201" s="5">
        <f>IF(VLOOKUP($B201,Table2[[prolific]:[feedbackTime]],6,FALSE)=VLOOKUP(C$1,Table1[],2,FALSE),1,0)</f>
        <v>1</v>
      </c>
      <c r="D201" s="5">
        <f>IF(VLOOKUP($B201,Table2[[prolific]:[feedbackTime]],7,FALSE)=VLOOKUP(D$1,Table1[],2,FALSE),1,0)</f>
        <v>1</v>
      </c>
      <c r="E201" s="5">
        <f>IF(VLOOKUP($B201,Table2[[prolific]:[feedbackTime]],8,FALSE)=VLOOKUP(E$1,Table1[],2,FALSE),1,0)</f>
        <v>1</v>
      </c>
      <c r="F201" s="5">
        <f t="shared" si="87"/>
        <v>3</v>
      </c>
      <c r="G201" s="7">
        <f t="shared" si="88"/>
        <v>1</v>
      </c>
      <c r="H201" s="5">
        <f>IF(VLOOKUP($B201,Table2[[prolific]:[feedbackTime]],9,FALSE)=VLOOKUP(H$1,Table1[],2,FALSE),1,0)</f>
        <v>0</v>
      </c>
      <c r="I201" s="5">
        <f>IF(VLOOKUP($B201,Table2[[prolific]:[feedbackTime]],10,FALSE)=VLOOKUP(I$1,Table1[],2,FALSE),1,0)</f>
        <v>0</v>
      </c>
      <c r="J201" s="5">
        <f>IF(VLOOKUP($B201,Table2[[prolific]:[feedbackTime]],11,FALSE)=VLOOKUP(J$1,Table1[],2,FALSE),1,0)</f>
        <v>0</v>
      </c>
      <c r="K201" s="5">
        <f>IF(VLOOKUP($B201,Table2[[prolific]:[feedbackTime]],12,FALSE)=VLOOKUP(K$1,Table1[],2,FALSE),1,0)</f>
        <v>0</v>
      </c>
      <c r="L201" s="5">
        <f>IF(VLOOKUP($B201,Table2[[prolific]:[feedbackTime]],13,FALSE)=VLOOKUP(L$1,Table1[],2,FALSE),1,0)</f>
        <v>0</v>
      </c>
      <c r="M201" s="5">
        <f>IF(VLOOKUP($B201,Table2[[prolific]:[feedbackTime]],14,FALSE)=VLOOKUP(M$1,Table1[],2,FALSE),1,0)</f>
        <v>0</v>
      </c>
      <c r="N201" s="5">
        <f t="shared" si="89"/>
        <v>0</v>
      </c>
      <c r="O201" s="7">
        <f t="shared" si="90"/>
        <v>0</v>
      </c>
      <c r="P201" s="5">
        <f>IF(VLOOKUP($B201,Table2[[prolific]:[feedbackTime]],15,FALSE)=VLOOKUP(P$1,Table1[],2,FALSE),1,0)</f>
        <v>1</v>
      </c>
      <c r="Q201" s="5">
        <f>IF(VLOOKUP($B201,Table2[[prolific]:[feedbackTime]],16,FALSE)=VLOOKUP(Q$1,Table1[],2,FALSE),1,0)</f>
        <v>1</v>
      </c>
      <c r="R201" s="5">
        <f>IF(VLOOKUP($B201,Table2[[prolific]:[feedbackTime]],17,FALSE)=VLOOKUP(R$1,Table1[],2,FALSE),1,0)</f>
        <v>1</v>
      </c>
      <c r="S201" s="5">
        <f>IF(VLOOKUP($B201,Table2[[prolific]:[feedbackTime]],18,FALSE)=VLOOKUP(S$1,Table1[],2,FALSE),1,0)</f>
        <v>1</v>
      </c>
      <c r="T201" s="5">
        <f>IF(VLOOKUP($B201,Table2[[prolific]:[feedbackTime]],19,FALSE)=VLOOKUP(T$1,Table1[],2,FALSE),1,0)</f>
        <v>1</v>
      </c>
      <c r="U201" s="5">
        <f>IF(VLOOKUP($B201,Table2[[prolific]:[feedbackTime]],20,FALSE)=VLOOKUP(U$1,Table1[],2,FALSE),1,0)</f>
        <v>1</v>
      </c>
      <c r="V201" s="5">
        <f>IF(VLOOKUP($B201,Table2[[prolific]:[feedbackTime]],21,FALSE)=VLOOKUP(V$1,Table1[],2,FALSE),1,0)</f>
        <v>1</v>
      </c>
      <c r="W201" s="5">
        <f>IF(VLOOKUP($B201,Table2[[prolific]:[feedbackTime]],22,FALSE)=VLOOKUP(W$1,Table1[],2,FALSE),1,0)</f>
        <v>0</v>
      </c>
      <c r="X201" s="5">
        <f t="shared" si="91"/>
        <v>7</v>
      </c>
      <c r="Y201" s="7">
        <f t="shared" si="92"/>
        <v>0.875</v>
      </c>
      <c r="Z201" s="5">
        <f>IF(VLOOKUP($B201,Table2[[prolific]:[feedbackTime]],23,FALSE)=VLOOKUP(Z$1,Table1[],2,FALSE),1,0)</f>
        <v>1</v>
      </c>
      <c r="AA201" s="5">
        <f>IF(VLOOKUP($B201,Table2[[prolific]:[feedbackTime]],24,FALSE)=VLOOKUP(AA$1,Table1[],2,FALSE),1,0)</f>
        <v>1</v>
      </c>
      <c r="AB201" s="5">
        <f>IF(VLOOKUP($B201,Table2[[prolific]:[feedbackTime]],25,FALSE)=VLOOKUP(AB$1,Table1[],2,FALSE),1,0)</f>
        <v>1</v>
      </c>
      <c r="AC201" s="5">
        <f>IF(VLOOKUP($B201,Table2[[prolific]:[feedbackTime]],26,FALSE)=VLOOKUP(AC$1,Table1[],2,FALSE),1,0)</f>
        <v>1</v>
      </c>
      <c r="AD201" s="5">
        <f>IF(VLOOKUP($B201,Table2[[prolific]:[feedbackTime]],27,FALSE)=VLOOKUP(AD$1,Table1[],2,FALSE),1,0)</f>
        <v>1</v>
      </c>
      <c r="AE201" s="5">
        <f>IF(VLOOKUP($B201,Table2[[prolific]:[feedbackTime]],28,FALSE)=VLOOKUP(AE$1,Table1[],2,FALSE),1,0)</f>
        <v>0</v>
      </c>
      <c r="AF201" s="5">
        <f>IF(VLOOKUP($B201,Table2[[prolific]:[feedbackTime]],29,FALSE)=VLOOKUP(AF$1,Table1[],2,FALSE),1,0)</f>
        <v>1</v>
      </c>
      <c r="AG201" s="5">
        <f>IF(VLOOKUP($B201,Table2[[prolific]:[feedbackTime]],30,FALSE)=VLOOKUP(AG$1,Table1[],2,FALSE),1,0)</f>
        <v>0</v>
      </c>
      <c r="AH201" s="5">
        <f t="shared" si="93"/>
        <v>6</v>
      </c>
      <c r="AI201" s="7">
        <f t="shared" si="94"/>
        <v>0.75</v>
      </c>
      <c r="AJ201" s="7">
        <f t="shared" si="95"/>
        <v>0.59090909090909094</v>
      </c>
      <c r="AK201" s="5">
        <f t="shared" si="96"/>
        <v>13</v>
      </c>
    </row>
    <row r="202" spans="1:37" x14ac:dyDescent="0.25">
      <c r="A202">
        <f t="shared" si="86"/>
        <v>1</v>
      </c>
      <c r="B202" s="5" t="s">
        <v>1204</v>
      </c>
      <c r="C202" s="5">
        <f>IF(VLOOKUP($B202,Table2[[prolific]:[feedbackTime]],6,FALSE)=VLOOKUP(C$1,Table1[],2,FALSE),1,0)</f>
        <v>1</v>
      </c>
      <c r="D202" s="5">
        <f>IF(VLOOKUP($B202,Table2[[prolific]:[feedbackTime]],7,FALSE)=VLOOKUP(D$1,Table1[],2,FALSE),1,0)</f>
        <v>1</v>
      </c>
      <c r="E202" s="5">
        <f>IF(VLOOKUP($B202,Table2[[prolific]:[feedbackTime]],8,FALSE)=VLOOKUP(E$1,Table1[],2,FALSE),1,0)</f>
        <v>1</v>
      </c>
      <c r="F202" s="5">
        <f t="shared" si="87"/>
        <v>3</v>
      </c>
      <c r="G202" s="7">
        <f t="shared" si="88"/>
        <v>1</v>
      </c>
      <c r="H202" s="5">
        <f>IF(VLOOKUP($B202,Table2[[prolific]:[feedbackTime]],9,FALSE)=VLOOKUP(H$1,Table1[],2,FALSE),1,0)</f>
        <v>1</v>
      </c>
      <c r="I202" s="5">
        <f>IF(VLOOKUP($B202,Table2[[prolific]:[feedbackTime]],10,FALSE)=VLOOKUP(I$1,Table1[],2,FALSE),1,0)</f>
        <v>1</v>
      </c>
      <c r="J202" s="5">
        <f>IF(VLOOKUP($B202,Table2[[prolific]:[feedbackTime]],11,FALSE)=VLOOKUP(J$1,Table1[],2,FALSE),1,0)</f>
        <v>1</v>
      </c>
      <c r="K202" s="5">
        <f>IF(VLOOKUP($B202,Table2[[prolific]:[feedbackTime]],12,FALSE)=VLOOKUP(K$1,Table1[],2,FALSE),1,0)</f>
        <v>1</v>
      </c>
      <c r="L202" s="5">
        <f>IF(VLOOKUP($B202,Table2[[prolific]:[feedbackTime]],13,FALSE)=VLOOKUP(L$1,Table1[],2,FALSE),1,0)</f>
        <v>1</v>
      </c>
      <c r="M202" s="5">
        <f>IF(VLOOKUP($B202,Table2[[prolific]:[feedbackTime]],14,FALSE)=VLOOKUP(M$1,Table1[],2,FALSE),1,0)</f>
        <v>1</v>
      </c>
      <c r="N202" s="5">
        <f t="shared" si="89"/>
        <v>6</v>
      </c>
      <c r="O202" s="7">
        <f t="shared" si="90"/>
        <v>1</v>
      </c>
      <c r="P202" s="5">
        <f>IF(VLOOKUP($B202,Table2[[prolific]:[feedbackTime]],15,FALSE)=VLOOKUP(P$1,Table1[],2,FALSE),1,0)</f>
        <v>1</v>
      </c>
      <c r="Q202" s="5">
        <f>IF(VLOOKUP($B202,Table2[[prolific]:[feedbackTime]],16,FALSE)=VLOOKUP(Q$1,Table1[],2,FALSE),1,0)</f>
        <v>1</v>
      </c>
      <c r="R202" s="5">
        <f>IF(VLOOKUP($B202,Table2[[prolific]:[feedbackTime]],17,FALSE)=VLOOKUP(R$1,Table1[],2,FALSE),1,0)</f>
        <v>1</v>
      </c>
      <c r="S202" s="5">
        <f>IF(VLOOKUP($B202,Table2[[prolific]:[feedbackTime]],18,FALSE)=VLOOKUP(S$1,Table1[],2,FALSE),1,0)</f>
        <v>1</v>
      </c>
      <c r="T202" s="5">
        <f>IF(VLOOKUP($B202,Table2[[prolific]:[feedbackTime]],19,FALSE)=VLOOKUP(T$1,Table1[],2,FALSE),1,0)</f>
        <v>1</v>
      </c>
      <c r="U202" s="5">
        <f>IF(VLOOKUP($B202,Table2[[prolific]:[feedbackTime]],20,FALSE)=VLOOKUP(U$1,Table1[],2,FALSE),1,0)</f>
        <v>1</v>
      </c>
      <c r="V202" s="5">
        <f>IF(VLOOKUP($B202,Table2[[prolific]:[feedbackTime]],21,FALSE)=VLOOKUP(V$1,Table1[],2,FALSE),1,0)</f>
        <v>1</v>
      </c>
      <c r="W202" s="5">
        <f>IF(VLOOKUP($B202,Table2[[prolific]:[feedbackTime]],22,FALSE)=VLOOKUP(W$1,Table1[],2,FALSE),1,0)</f>
        <v>0</v>
      </c>
      <c r="X202" s="5">
        <f t="shared" si="91"/>
        <v>7</v>
      </c>
      <c r="Y202" s="7">
        <f t="shared" si="92"/>
        <v>0.875</v>
      </c>
      <c r="Z202" s="5">
        <f>IF(VLOOKUP($B202,Table2[[prolific]:[feedbackTime]],23,FALSE)=VLOOKUP(Z$1,Table1[],2,FALSE),1,0)</f>
        <v>1</v>
      </c>
      <c r="AA202" s="5">
        <f>IF(VLOOKUP($B202,Table2[[prolific]:[feedbackTime]],24,FALSE)=VLOOKUP(AA$1,Table1[],2,FALSE),1,0)</f>
        <v>1</v>
      </c>
      <c r="AB202" s="5">
        <f>IF(VLOOKUP($B202,Table2[[prolific]:[feedbackTime]],25,FALSE)=VLOOKUP(AB$1,Table1[],2,FALSE),1,0)</f>
        <v>1</v>
      </c>
      <c r="AC202" s="5">
        <f>IF(VLOOKUP($B202,Table2[[prolific]:[feedbackTime]],26,FALSE)=VLOOKUP(AC$1,Table1[],2,FALSE),1,0)</f>
        <v>1</v>
      </c>
      <c r="AD202" s="5">
        <f>IF(VLOOKUP($B202,Table2[[prolific]:[feedbackTime]],27,FALSE)=VLOOKUP(AD$1,Table1[],2,FALSE),1,0)</f>
        <v>1</v>
      </c>
      <c r="AE202" s="5">
        <f>IF(VLOOKUP($B202,Table2[[prolific]:[feedbackTime]],28,FALSE)=VLOOKUP(AE$1,Table1[],2,FALSE),1,0)</f>
        <v>1</v>
      </c>
      <c r="AF202" s="5">
        <f>IF(VLOOKUP($B202,Table2[[prolific]:[feedbackTime]],29,FALSE)=VLOOKUP(AF$1,Table1[],2,FALSE),1,0)</f>
        <v>1</v>
      </c>
      <c r="AG202" s="5">
        <f>IF(VLOOKUP($B202,Table2[[prolific]:[feedbackTime]],30,FALSE)=VLOOKUP(AG$1,Table1[],2,FALSE),1,0)</f>
        <v>1</v>
      </c>
      <c r="AH202" s="5">
        <f t="shared" si="93"/>
        <v>8</v>
      </c>
      <c r="AI202" s="7">
        <f t="shared" si="94"/>
        <v>1</v>
      </c>
      <c r="AJ202" s="7">
        <f t="shared" si="95"/>
        <v>0.95454545454545459</v>
      </c>
      <c r="AK202" s="5">
        <f t="shared" si="96"/>
        <v>21</v>
      </c>
    </row>
    <row r="203" spans="1:37" x14ac:dyDescent="0.25">
      <c r="A203">
        <f t="shared" si="86"/>
        <v>1</v>
      </c>
      <c r="B203" s="5" t="s">
        <v>1205</v>
      </c>
      <c r="C203" s="5">
        <f>IF(VLOOKUP($B203,Table2[[prolific]:[feedbackTime]],6,FALSE)=VLOOKUP(C$1,Table1[],2,FALSE),1,0)</f>
        <v>1</v>
      </c>
      <c r="D203" s="5">
        <f>IF(VLOOKUP($B203,Table2[[prolific]:[feedbackTime]],7,FALSE)=VLOOKUP(D$1,Table1[],2,FALSE),1,0)</f>
        <v>1</v>
      </c>
      <c r="E203" s="5">
        <f>IF(VLOOKUP($B203,Table2[[prolific]:[feedbackTime]],8,FALSE)=VLOOKUP(E$1,Table1[],2,FALSE),1,0)</f>
        <v>1</v>
      </c>
      <c r="F203" s="5">
        <f t="shared" si="87"/>
        <v>3</v>
      </c>
      <c r="G203" s="7">
        <f t="shared" si="88"/>
        <v>1</v>
      </c>
      <c r="H203" s="5">
        <f>IF(VLOOKUP($B203,Table2[[prolific]:[feedbackTime]],9,FALSE)=VLOOKUP(H$1,Table1[],2,FALSE),1,0)</f>
        <v>1</v>
      </c>
      <c r="I203" s="5">
        <f>IF(VLOOKUP($B203,Table2[[prolific]:[feedbackTime]],10,FALSE)=VLOOKUP(I$1,Table1[],2,FALSE),1,0)</f>
        <v>1</v>
      </c>
      <c r="J203" s="5">
        <f>IF(VLOOKUP($B203,Table2[[prolific]:[feedbackTime]],11,FALSE)=VLOOKUP(J$1,Table1[],2,FALSE),1,0)</f>
        <v>1</v>
      </c>
      <c r="K203" s="5">
        <f>IF(VLOOKUP($B203,Table2[[prolific]:[feedbackTime]],12,FALSE)=VLOOKUP(K$1,Table1[],2,FALSE),1,0)</f>
        <v>1</v>
      </c>
      <c r="L203" s="5">
        <f>IF(VLOOKUP($B203,Table2[[prolific]:[feedbackTime]],13,FALSE)=VLOOKUP(L$1,Table1[],2,FALSE),1,0)</f>
        <v>1</v>
      </c>
      <c r="M203" s="5">
        <f>IF(VLOOKUP($B203,Table2[[prolific]:[feedbackTime]],14,FALSE)=VLOOKUP(M$1,Table1[],2,FALSE),1,0)</f>
        <v>1</v>
      </c>
      <c r="N203" s="5">
        <f t="shared" si="89"/>
        <v>6</v>
      </c>
      <c r="O203" s="7">
        <f t="shared" si="90"/>
        <v>1</v>
      </c>
      <c r="P203" s="5">
        <f>IF(VLOOKUP($B203,Table2[[prolific]:[feedbackTime]],15,FALSE)=VLOOKUP(P$1,Table1[],2,FALSE),1,0)</f>
        <v>1</v>
      </c>
      <c r="Q203" s="5">
        <f>IF(VLOOKUP($B203,Table2[[prolific]:[feedbackTime]],16,FALSE)=VLOOKUP(Q$1,Table1[],2,FALSE),1,0)</f>
        <v>1</v>
      </c>
      <c r="R203" s="5">
        <f>IF(VLOOKUP($B203,Table2[[prolific]:[feedbackTime]],17,FALSE)=VLOOKUP(R$1,Table1[],2,FALSE),1,0)</f>
        <v>1</v>
      </c>
      <c r="S203" s="5">
        <f>IF(VLOOKUP($B203,Table2[[prolific]:[feedbackTime]],18,FALSE)=VLOOKUP(S$1,Table1[],2,FALSE),1,0)</f>
        <v>1</v>
      </c>
      <c r="T203" s="5">
        <f>IF(VLOOKUP($B203,Table2[[prolific]:[feedbackTime]],19,FALSE)=VLOOKUP(T$1,Table1[],2,FALSE),1,0)</f>
        <v>1</v>
      </c>
      <c r="U203" s="5">
        <f>IF(VLOOKUP($B203,Table2[[prolific]:[feedbackTime]],20,FALSE)=VLOOKUP(U$1,Table1[],2,FALSE),1,0)</f>
        <v>1</v>
      </c>
      <c r="V203" s="5">
        <f>IF(VLOOKUP($B203,Table2[[prolific]:[feedbackTime]],21,FALSE)=VLOOKUP(V$1,Table1[],2,FALSE),1,0)</f>
        <v>1</v>
      </c>
      <c r="W203" s="5">
        <f>IF(VLOOKUP($B203,Table2[[prolific]:[feedbackTime]],22,FALSE)=VLOOKUP(W$1,Table1[],2,FALSE),1,0)</f>
        <v>1</v>
      </c>
      <c r="X203" s="5">
        <f t="shared" si="91"/>
        <v>8</v>
      </c>
      <c r="Y203" s="7">
        <f t="shared" si="92"/>
        <v>1</v>
      </c>
      <c r="Z203" s="5">
        <f>IF(VLOOKUP($B203,Table2[[prolific]:[feedbackTime]],23,FALSE)=VLOOKUP(Z$1,Table1[],2,FALSE),1,0)</f>
        <v>1</v>
      </c>
      <c r="AA203" s="5">
        <f>IF(VLOOKUP($B203,Table2[[prolific]:[feedbackTime]],24,FALSE)=VLOOKUP(AA$1,Table1[],2,FALSE),1,0)</f>
        <v>1</v>
      </c>
      <c r="AB203" s="5">
        <f>IF(VLOOKUP($B203,Table2[[prolific]:[feedbackTime]],25,FALSE)=VLOOKUP(AB$1,Table1[],2,FALSE),1,0)</f>
        <v>1</v>
      </c>
      <c r="AC203" s="5">
        <f>IF(VLOOKUP($B203,Table2[[prolific]:[feedbackTime]],26,FALSE)=VLOOKUP(AC$1,Table1[],2,FALSE),1,0)</f>
        <v>1</v>
      </c>
      <c r="AD203" s="5">
        <f>IF(VLOOKUP($B203,Table2[[prolific]:[feedbackTime]],27,FALSE)=VLOOKUP(AD$1,Table1[],2,FALSE),1,0)</f>
        <v>1</v>
      </c>
      <c r="AE203" s="5">
        <f>IF(VLOOKUP($B203,Table2[[prolific]:[feedbackTime]],28,FALSE)=VLOOKUP(AE$1,Table1[],2,FALSE),1,0)</f>
        <v>0</v>
      </c>
      <c r="AF203" s="5">
        <f>IF(VLOOKUP($B203,Table2[[prolific]:[feedbackTime]],29,FALSE)=VLOOKUP(AF$1,Table1[],2,FALSE),1,0)</f>
        <v>1</v>
      </c>
      <c r="AG203" s="5">
        <f>IF(VLOOKUP($B203,Table2[[prolific]:[feedbackTime]],30,FALSE)=VLOOKUP(AG$1,Table1[],2,FALSE),1,0)</f>
        <v>1</v>
      </c>
      <c r="AH203" s="5">
        <f t="shared" si="93"/>
        <v>7</v>
      </c>
      <c r="AI203" s="7">
        <f t="shared" si="94"/>
        <v>0.875</v>
      </c>
      <c r="AJ203" s="7">
        <f t="shared" si="95"/>
        <v>0.95454545454545459</v>
      </c>
      <c r="AK203" s="5">
        <f t="shared" si="96"/>
        <v>21</v>
      </c>
    </row>
    <row r="204" spans="1:37" x14ac:dyDescent="0.25">
      <c r="A204">
        <f t="shared" si="86"/>
        <v>1</v>
      </c>
      <c r="B204" s="5" t="s">
        <v>1206</v>
      </c>
      <c r="C204" s="5">
        <f>IF(VLOOKUP($B204,Table2[[prolific]:[feedbackTime]],6,FALSE)=VLOOKUP(C$1,Table1[],2,FALSE),1,0)</f>
        <v>1</v>
      </c>
      <c r="D204" s="5">
        <f>IF(VLOOKUP($B204,Table2[[prolific]:[feedbackTime]],7,FALSE)=VLOOKUP(D$1,Table1[],2,FALSE),1,0)</f>
        <v>1</v>
      </c>
      <c r="E204" s="5">
        <f>IF(VLOOKUP($B204,Table2[[prolific]:[feedbackTime]],8,FALSE)=VLOOKUP(E$1,Table1[],2,FALSE),1,0)</f>
        <v>1</v>
      </c>
      <c r="F204" s="5">
        <f t="shared" si="87"/>
        <v>3</v>
      </c>
      <c r="G204" s="7">
        <f t="shared" si="88"/>
        <v>1</v>
      </c>
      <c r="H204" s="5">
        <f>IF(VLOOKUP($B204,Table2[[prolific]:[feedbackTime]],9,FALSE)=VLOOKUP(H$1,Table1[],2,FALSE),1,0)</f>
        <v>1</v>
      </c>
      <c r="I204" s="5">
        <f>IF(VLOOKUP($B204,Table2[[prolific]:[feedbackTime]],10,FALSE)=VLOOKUP(I$1,Table1[],2,FALSE),1,0)</f>
        <v>1</v>
      </c>
      <c r="J204" s="5">
        <f>IF(VLOOKUP($B204,Table2[[prolific]:[feedbackTime]],11,FALSE)=VLOOKUP(J$1,Table1[],2,FALSE),1,0)</f>
        <v>1</v>
      </c>
      <c r="K204" s="5">
        <f>IF(VLOOKUP($B204,Table2[[prolific]:[feedbackTime]],12,FALSE)=VLOOKUP(K$1,Table1[],2,FALSE),1,0)</f>
        <v>1</v>
      </c>
      <c r="L204" s="5">
        <f>IF(VLOOKUP($B204,Table2[[prolific]:[feedbackTime]],13,FALSE)=VLOOKUP(L$1,Table1[],2,FALSE),1,0)</f>
        <v>1</v>
      </c>
      <c r="M204" s="5">
        <f>IF(VLOOKUP($B204,Table2[[prolific]:[feedbackTime]],14,FALSE)=VLOOKUP(M$1,Table1[],2,FALSE),1,0)</f>
        <v>1</v>
      </c>
      <c r="N204" s="5">
        <f t="shared" si="89"/>
        <v>6</v>
      </c>
      <c r="O204" s="7">
        <f t="shared" si="90"/>
        <v>1</v>
      </c>
      <c r="P204" s="5">
        <f>IF(VLOOKUP($B204,Table2[[prolific]:[feedbackTime]],15,FALSE)=VLOOKUP(P$1,Table1[],2,FALSE),1,0)</f>
        <v>1</v>
      </c>
      <c r="Q204" s="5">
        <f>IF(VLOOKUP($B204,Table2[[prolific]:[feedbackTime]],16,FALSE)=VLOOKUP(Q$1,Table1[],2,FALSE),1,0)</f>
        <v>1</v>
      </c>
      <c r="R204" s="5">
        <f>IF(VLOOKUP($B204,Table2[[prolific]:[feedbackTime]],17,FALSE)=VLOOKUP(R$1,Table1[],2,FALSE),1,0)</f>
        <v>1</v>
      </c>
      <c r="S204" s="5">
        <f>IF(VLOOKUP($B204,Table2[[prolific]:[feedbackTime]],18,FALSE)=VLOOKUP(S$1,Table1[],2,FALSE),1,0)</f>
        <v>1</v>
      </c>
      <c r="T204" s="5">
        <f>IF(VLOOKUP($B204,Table2[[prolific]:[feedbackTime]],19,FALSE)=VLOOKUP(T$1,Table1[],2,FALSE),1,0)</f>
        <v>1</v>
      </c>
      <c r="U204" s="5">
        <f>IF(VLOOKUP($B204,Table2[[prolific]:[feedbackTime]],20,FALSE)=VLOOKUP(U$1,Table1[],2,FALSE),1,0)</f>
        <v>0</v>
      </c>
      <c r="V204" s="5">
        <f>IF(VLOOKUP($B204,Table2[[prolific]:[feedbackTime]],21,FALSE)=VLOOKUP(V$1,Table1[],2,FALSE),1,0)</f>
        <v>0</v>
      </c>
      <c r="W204" s="5">
        <f>IF(VLOOKUP($B204,Table2[[prolific]:[feedbackTime]],22,FALSE)=VLOOKUP(W$1,Table1[],2,FALSE),1,0)</f>
        <v>1</v>
      </c>
      <c r="X204" s="5">
        <f t="shared" si="91"/>
        <v>6</v>
      </c>
      <c r="Y204" s="7">
        <f t="shared" si="92"/>
        <v>0.75</v>
      </c>
      <c r="Z204" s="5">
        <f>IF(VLOOKUP($B204,Table2[[prolific]:[feedbackTime]],23,FALSE)=VLOOKUP(Z$1,Table1[],2,FALSE),1,0)</f>
        <v>1</v>
      </c>
      <c r="AA204" s="5">
        <f>IF(VLOOKUP($B204,Table2[[prolific]:[feedbackTime]],24,FALSE)=VLOOKUP(AA$1,Table1[],2,FALSE),1,0)</f>
        <v>1</v>
      </c>
      <c r="AB204" s="5">
        <f>IF(VLOOKUP($B204,Table2[[prolific]:[feedbackTime]],25,FALSE)=VLOOKUP(AB$1,Table1[],2,FALSE),1,0)</f>
        <v>1</v>
      </c>
      <c r="AC204" s="5">
        <f>IF(VLOOKUP($B204,Table2[[prolific]:[feedbackTime]],26,FALSE)=VLOOKUP(AC$1,Table1[],2,FALSE),1,0)</f>
        <v>1</v>
      </c>
      <c r="AD204" s="5">
        <f>IF(VLOOKUP($B204,Table2[[prolific]:[feedbackTime]],27,FALSE)=VLOOKUP(AD$1,Table1[],2,FALSE),1,0)</f>
        <v>1</v>
      </c>
      <c r="AE204" s="5">
        <f>IF(VLOOKUP($B204,Table2[[prolific]:[feedbackTime]],28,FALSE)=VLOOKUP(AE$1,Table1[],2,FALSE),1,0)</f>
        <v>1</v>
      </c>
      <c r="AF204" s="5">
        <f>IF(VLOOKUP($B204,Table2[[prolific]:[feedbackTime]],29,FALSE)=VLOOKUP(AF$1,Table1[],2,FALSE),1,0)</f>
        <v>1</v>
      </c>
      <c r="AG204" s="5">
        <f>IF(VLOOKUP($B204,Table2[[prolific]:[feedbackTime]],30,FALSE)=VLOOKUP(AG$1,Table1[],2,FALSE),1,0)</f>
        <v>1</v>
      </c>
      <c r="AH204" s="5">
        <f t="shared" si="93"/>
        <v>8</v>
      </c>
      <c r="AI204" s="7">
        <f t="shared" si="94"/>
        <v>1</v>
      </c>
      <c r="AJ204" s="7">
        <f t="shared" si="95"/>
        <v>0.90909090909090906</v>
      </c>
      <c r="AK204" s="5">
        <f t="shared" si="96"/>
        <v>20</v>
      </c>
    </row>
    <row r="205" spans="1:37" x14ac:dyDescent="0.25">
      <c r="A205">
        <f t="shared" si="86"/>
        <v>1</v>
      </c>
      <c r="B205" s="5" t="s">
        <v>1207</v>
      </c>
      <c r="C205" s="5">
        <f>IF(VLOOKUP($B205,Table2[[prolific]:[feedbackTime]],6,FALSE)=VLOOKUP(C$1,Table1[],2,FALSE),1,0)</f>
        <v>1</v>
      </c>
      <c r="D205" s="5">
        <f>IF(VLOOKUP($B205,Table2[[prolific]:[feedbackTime]],7,FALSE)=VLOOKUP(D$1,Table1[],2,FALSE),1,0)</f>
        <v>1</v>
      </c>
      <c r="E205" s="5">
        <f>IF(VLOOKUP($B205,Table2[[prolific]:[feedbackTime]],8,FALSE)=VLOOKUP(E$1,Table1[],2,FALSE),1,0)</f>
        <v>1</v>
      </c>
      <c r="F205" s="5">
        <f t="shared" si="87"/>
        <v>3</v>
      </c>
      <c r="G205" s="7">
        <f t="shared" si="88"/>
        <v>1</v>
      </c>
      <c r="H205" s="5">
        <f>IF(VLOOKUP($B205,Table2[[prolific]:[feedbackTime]],9,FALSE)=VLOOKUP(H$1,Table1[],2,FALSE),1,0)</f>
        <v>1</v>
      </c>
      <c r="I205" s="5">
        <f>IF(VLOOKUP($B205,Table2[[prolific]:[feedbackTime]],10,FALSE)=VLOOKUP(I$1,Table1[],2,FALSE),1,0)</f>
        <v>1</v>
      </c>
      <c r="J205" s="5">
        <f>IF(VLOOKUP($B205,Table2[[prolific]:[feedbackTime]],11,FALSE)=VLOOKUP(J$1,Table1[],2,FALSE),1,0)</f>
        <v>1</v>
      </c>
      <c r="K205" s="5">
        <f>IF(VLOOKUP($B205,Table2[[prolific]:[feedbackTime]],12,FALSE)=VLOOKUP(K$1,Table1[],2,FALSE),1,0)</f>
        <v>1</v>
      </c>
      <c r="L205" s="5">
        <f>IF(VLOOKUP($B205,Table2[[prolific]:[feedbackTime]],13,FALSE)=VLOOKUP(L$1,Table1[],2,FALSE),1,0)</f>
        <v>1</v>
      </c>
      <c r="M205" s="5">
        <f>IF(VLOOKUP($B205,Table2[[prolific]:[feedbackTime]],14,FALSE)=VLOOKUP(M$1,Table1[],2,FALSE),1,0)</f>
        <v>1</v>
      </c>
      <c r="N205" s="5">
        <f t="shared" si="89"/>
        <v>6</v>
      </c>
      <c r="O205" s="7">
        <f t="shared" si="90"/>
        <v>1</v>
      </c>
      <c r="P205" s="5">
        <f>IF(VLOOKUP($B205,Table2[[prolific]:[feedbackTime]],15,FALSE)=VLOOKUP(P$1,Table1[],2,FALSE),1,0)</f>
        <v>1</v>
      </c>
      <c r="Q205" s="5">
        <f>IF(VLOOKUP($B205,Table2[[prolific]:[feedbackTime]],16,FALSE)=VLOOKUP(Q$1,Table1[],2,FALSE),1,0)</f>
        <v>1</v>
      </c>
      <c r="R205" s="5">
        <f>IF(VLOOKUP($B205,Table2[[prolific]:[feedbackTime]],17,FALSE)=VLOOKUP(R$1,Table1[],2,FALSE),1,0)</f>
        <v>1</v>
      </c>
      <c r="S205" s="5">
        <f>IF(VLOOKUP($B205,Table2[[prolific]:[feedbackTime]],18,FALSE)=VLOOKUP(S$1,Table1[],2,FALSE),1,0)</f>
        <v>1</v>
      </c>
      <c r="T205" s="5">
        <f>IF(VLOOKUP($B205,Table2[[prolific]:[feedbackTime]],19,FALSE)=VLOOKUP(T$1,Table1[],2,FALSE),1,0)</f>
        <v>1</v>
      </c>
      <c r="U205" s="5">
        <f>IF(VLOOKUP($B205,Table2[[prolific]:[feedbackTime]],20,FALSE)=VLOOKUP(U$1,Table1[],2,FALSE),1,0)</f>
        <v>1</v>
      </c>
      <c r="V205" s="5">
        <f>IF(VLOOKUP($B205,Table2[[prolific]:[feedbackTime]],21,FALSE)=VLOOKUP(V$1,Table1[],2,FALSE),1,0)</f>
        <v>1</v>
      </c>
      <c r="W205" s="5">
        <f>IF(VLOOKUP($B205,Table2[[prolific]:[feedbackTime]],22,FALSE)=VLOOKUP(W$1,Table1[],2,FALSE),1,0)</f>
        <v>1</v>
      </c>
      <c r="X205" s="5">
        <f t="shared" si="91"/>
        <v>8</v>
      </c>
      <c r="Y205" s="7">
        <f t="shared" si="92"/>
        <v>1</v>
      </c>
      <c r="Z205" s="5">
        <f>IF(VLOOKUP($B205,Table2[[prolific]:[feedbackTime]],23,FALSE)=VLOOKUP(Z$1,Table1[],2,FALSE),1,0)</f>
        <v>1</v>
      </c>
      <c r="AA205" s="5">
        <f>IF(VLOOKUP($B205,Table2[[prolific]:[feedbackTime]],24,FALSE)=VLOOKUP(AA$1,Table1[],2,FALSE),1,0)</f>
        <v>1</v>
      </c>
      <c r="AB205" s="5">
        <f>IF(VLOOKUP($B205,Table2[[prolific]:[feedbackTime]],25,FALSE)=VLOOKUP(AB$1,Table1[],2,FALSE),1,0)</f>
        <v>1</v>
      </c>
      <c r="AC205" s="5">
        <f>IF(VLOOKUP($B205,Table2[[prolific]:[feedbackTime]],26,FALSE)=VLOOKUP(AC$1,Table1[],2,FALSE),1,0)</f>
        <v>1</v>
      </c>
      <c r="AD205" s="5">
        <f>IF(VLOOKUP($B205,Table2[[prolific]:[feedbackTime]],27,FALSE)=VLOOKUP(AD$1,Table1[],2,FALSE),1,0)</f>
        <v>0</v>
      </c>
      <c r="AE205" s="5">
        <f>IF(VLOOKUP($B205,Table2[[prolific]:[feedbackTime]],28,FALSE)=VLOOKUP(AE$1,Table1[],2,FALSE),1,0)</f>
        <v>1</v>
      </c>
      <c r="AF205" s="5">
        <f>IF(VLOOKUP($B205,Table2[[prolific]:[feedbackTime]],29,FALSE)=VLOOKUP(AF$1,Table1[],2,FALSE),1,0)</f>
        <v>1</v>
      </c>
      <c r="AG205" s="5">
        <f>IF(VLOOKUP($B205,Table2[[prolific]:[feedbackTime]],30,FALSE)=VLOOKUP(AG$1,Table1[],2,FALSE),1,0)</f>
        <v>1</v>
      </c>
      <c r="AH205" s="5">
        <f t="shared" si="93"/>
        <v>7</v>
      </c>
      <c r="AI205" s="7">
        <f t="shared" si="94"/>
        <v>0.875</v>
      </c>
      <c r="AJ205" s="7">
        <f t="shared" si="95"/>
        <v>0.95454545454545459</v>
      </c>
      <c r="AK205" s="5">
        <f t="shared" si="96"/>
        <v>21</v>
      </c>
    </row>
    <row r="206" spans="1:37" x14ac:dyDescent="0.25">
      <c r="A206">
        <f t="shared" si="86"/>
        <v>1</v>
      </c>
      <c r="B206" s="5" t="s">
        <v>1208</v>
      </c>
      <c r="C206" s="5">
        <f>IF(VLOOKUP($B206,Table2[[prolific]:[feedbackTime]],6,FALSE)=VLOOKUP(C$1,Table1[],2,FALSE),1,0)</f>
        <v>1</v>
      </c>
      <c r="D206" s="5">
        <f>IF(VLOOKUP($B206,Table2[[prolific]:[feedbackTime]],7,FALSE)=VLOOKUP(D$1,Table1[],2,FALSE),1,0)</f>
        <v>1</v>
      </c>
      <c r="E206" s="5">
        <f>IF(VLOOKUP($B206,Table2[[prolific]:[feedbackTime]],8,FALSE)=VLOOKUP(E$1,Table1[],2,FALSE),1,0)</f>
        <v>1</v>
      </c>
      <c r="F206" s="5">
        <f t="shared" si="87"/>
        <v>3</v>
      </c>
      <c r="G206" s="7">
        <f t="shared" si="88"/>
        <v>1</v>
      </c>
      <c r="H206" s="5">
        <f>IF(VLOOKUP($B206,Table2[[prolific]:[feedbackTime]],9,FALSE)=VLOOKUP(H$1,Table1[],2,FALSE),1,0)</f>
        <v>1</v>
      </c>
      <c r="I206" s="5">
        <f>IF(VLOOKUP($B206,Table2[[prolific]:[feedbackTime]],10,FALSE)=VLOOKUP(I$1,Table1[],2,FALSE),1,0)</f>
        <v>0</v>
      </c>
      <c r="J206" s="5">
        <f>IF(VLOOKUP($B206,Table2[[prolific]:[feedbackTime]],11,FALSE)=VLOOKUP(J$1,Table1[],2,FALSE),1,0)</f>
        <v>1</v>
      </c>
      <c r="K206" s="5">
        <f>IF(VLOOKUP($B206,Table2[[prolific]:[feedbackTime]],12,FALSE)=VLOOKUP(K$1,Table1[],2,FALSE),1,0)</f>
        <v>1</v>
      </c>
      <c r="L206" s="5">
        <f>IF(VLOOKUP($B206,Table2[[prolific]:[feedbackTime]],13,FALSE)=VLOOKUP(L$1,Table1[],2,FALSE),1,0)</f>
        <v>0</v>
      </c>
      <c r="M206" s="5">
        <f>IF(VLOOKUP($B206,Table2[[prolific]:[feedbackTime]],14,FALSE)=VLOOKUP(M$1,Table1[],2,FALSE),1,0)</f>
        <v>0</v>
      </c>
      <c r="N206" s="5">
        <f t="shared" si="89"/>
        <v>3</v>
      </c>
      <c r="O206" s="7">
        <f t="shared" si="90"/>
        <v>0.5</v>
      </c>
      <c r="P206" s="5">
        <f>IF(VLOOKUP($B206,Table2[[prolific]:[feedbackTime]],15,FALSE)=VLOOKUP(P$1,Table1[],2,FALSE),1,0)</f>
        <v>1</v>
      </c>
      <c r="Q206" s="5">
        <f>IF(VLOOKUP($B206,Table2[[prolific]:[feedbackTime]],16,FALSE)=VLOOKUP(Q$1,Table1[],2,FALSE),1,0)</f>
        <v>1</v>
      </c>
      <c r="R206" s="5">
        <f>IF(VLOOKUP($B206,Table2[[prolific]:[feedbackTime]],17,FALSE)=VLOOKUP(R$1,Table1[],2,FALSE),1,0)</f>
        <v>1</v>
      </c>
      <c r="S206" s="5">
        <f>IF(VLOOKUP($B206,Table2[[prolific]:[feedbackTime]],18,FALSE)=VLOOKUP(S$1,Table1[],2,FALSE),1,0)</f>
        <v>0</v>
      </c>
      <c r="T206" s="5">
        <f>IF(VLOOKUP($B206,Table2[[prolific]:[feedbackTime]],19,FALSE)=VLOOKUP(T$1,Table1[],2,FALSE),1,0)</f>
        <v>1</v>
      </c>
      <c r="U206" s="5">
        <f>IF(VLOOKUP($B206,Table2[[prolific]:[feedbackTime]],20,FALSE)=VLOOKUP(U$1,Table1[],2,FALSE),1,0)</f>
        <v>1</v>
      </c>
      <c r="V206" s="5">
        <f>IF(VLOOKUP($B206,Table2[[prolific]:[feedbackTime]],21,FALSE)=VLOOKUP(V$1,Table1[],2,FALSE),1,0)</f>
        <v>1</v>
      </c>
      <c r="W206" s="5">
        <f>IF(VLOOKUP($B206,Table2[[prolific]:[feedbackTime]],22,FALSE)=VLOOKUP(W$1,Table1[],2,FALSE),1,0)</f>
        <v>0</v>
      </c>
      <c r="X206" s="5">
        <f t="shared" si="91"/>
        <v>6</v>
      </c>
      <c r="Y206" s="7">
        <f t="shared" si="92"/>
        <v>0.75</v>
      </c>
      <c r="Z206" s="5">
        <f>IF(VLOOKUP($B206,Table2[[prolific]:[feedbackTime]],23,FALSE)=VLOOKUP(Z$1,Table1[],2,FALSE),1,0)</f>
        <v>1</v>
      </c>
      <c r="AA206" s="5">
        <f>IF(VLOOKUP($B206,Table2[[prolific]:[feedbackTime]],24,FALSE)=VLOOKUP(AA$1,Table1[],2,FALSE),1,0)</f>
        <v>1</v>
      </c>
      <c r="AB206" s="5">
        <f>IF(VLOOKUP($B206,Table2[[prolific]:[feedbackTime]],25,FALSE)=VLOOKUP(AB$1,Table1[],2,FALSE),1,0)</f>
        <v>1</v>
      </c>
      <c r="AC206" s="5">
        <f>IF(VLOOKUP($B206,Table2[[prolific]:[feedbackTime]],26,FALSE)=VLOOKUP(AC$1,Table1[],2,FALSE),1,0)</f>
        <v>1</v>
      </c>
      <c r="AD206" s="5">
        <f>IF(VLOOKUP($B206,Table2[[prolific]:[feedbackTime]],27,FALSE)=VLOOKUP(AD$1,Table1[],2,FALSE),1,0)</f>
        <v>0</v>
      </c>
      <c r="AE206" s="5">
        <f>IF(VLOOKUP($B206,Table2[[prolific]:[feedbackTime]],28,FALSE)=VLOOKUP(AE$1,Table1[],2,FALSE),1,0)</f>
        <v>1</v>
      </c>
      <c r="AF206" s="5">
        <f>IF(VLOOKUP($B206,Table2[[prolific]:[feedbackTime]],29,FALSE)=VLOOKUP(AF$1,Table1[],2,FALSE),1,0)</f>
        <v>1</v>
      </c>
      <c r="AG206" s="5">
        <f>IF(VLOOKUP($B206,Table2[[prolific]:[feedbackTime]],30,FALSE)=VLOOKUP(AG$1,Table1[],2,FALSE),1,0)</f>
        <v>1</v>
      </c>
      <c r="AH206" s="5">
        <f t="shared" si="93"/>
        <v>7</v>
      </c>
      <c r="AI206" s="7">
        <f t="shared" si="94"/>
        <v>0.875</v>
      </c>
      <c r="AJ206" s="7">
        <f t="shared" si="95"/>
        <v>0.72727272727272729</v>
      </c>
      <c r="AK206" s="5">
        <f t="shared" si="96"/>
        <v>16</v>
      </c>
    </row>
    <row r="207" spans="1:37" x14ac:dyDescent="0.25">
      <c r="A207">
        <f t="shared" si="86"/>
        <v>1</v>
      </c>
      <c r="B207" s="5" t="s">
        <v>1209</v>
      </c>
      <c r="C207" s="5">
        <f>IF(VLOOKUP($B207,Table2[[prolific]:[feedbackTime]],6,FALSE)=VLOOKUP(C$1,Table1[],2,FALSE),1,0)</f>
        <v>1</v>
      </c>
      <c r="D207" s="5">
        <f>IF(VLOOKUP($B207,Table2[[prolific]:[feedbackTime]],7,FALSE)=VLOOKUP(D$1,Table1[],2,FALSE),1,0)</f>
        <v>1</v>
      </c>
      <c r="E207" s="5">
        <f>IF(VLOOKUP($B207,Table2[[prolific]:[feedbackTime]],8,FALSE)=VLOOKUP(E$1,Table1[],2,FALSE),1,0)</f>
        <v>1</v>
      </c>
      <c r="F207" s="5">
        <f t="shared" si="87"/>
        <v>3</v>
      </c>
      <c r="G207" s="7">
        <f t="shared" si="88"/>
        <v>1</v>
      </c>
      <c r="H207" s="5">
        <f>IF(VLOOKUP($B207,Table2[[prolific]:[feedbackTime]],9,FALSE)=VLOOKUP(H$1,Table1[],2,FALSE),1,0)</f>
        <v>1</v>
      </c>
      <c r="I207" s="5">
        <f>IF(VLOOKUP($B207,Table2[[prolific]:[feedbackTime]],10,FALSE)=VLOOKUP(I$1,Table1[],2,FALSE),1,0)</f>
        <v>1</v>
      </c>
      <c r="J207" s="5">
        <f>IF(VLOOKUP($B207,Table2[[prolific]:[feedbackTime]],11,FALSE)=VLOOKUP(J$1,Table1[],2,FALSE),1,0)</f>
        <v>0</v>
      </c>
      <c r="K207" s="5">
        <f>IF(VLOOKUP($B207,Table2[[prolific]:[feedbackTime]],12,FALSE)=VLOOKUP(K$1,Table1[],2,FALSE),1,0)</f>
        <v>1</v>
      </c>
      <c r="L207" s="5">
        <f>IF(VLOOKUP($B207,Table2[[prolific]:[feedbackTime]],13,FALSE)=VLOOKUP(L$1,Table1[],2,FALSE),1,0)</f>
        <v>0</v>
      </c>
      <c r="M207" s="5">
        <f>IF(VLOOKUP($B207,Table2[[prolific]:[feedbackTime]],14,FALSE)=VLOOKUP(M$1,Table1[],2,FALSE),1,0)</f>
        <v>0</v>
      </c>
      <c r="N207" s="5">
        <f t="shared" si="89"/>
        <v>3</v>
      </c>
      <c r="O207" s="7">
        <f t="shared" si="90"/>
        <v>0.5</v>
      </c>
      <c r="P207" s="5">
        <f>IF(VLOOKUP($B207,Table2[[prolific]:[feedbackTime]],15,FALSE)=VLOOKUP(P$1,Table1[],2,FALSE),1,0)</f>
        <v>1</v>
      </c>
      <c r="Q207" s="5">
        <f>IF(VLOOKUP($B207,Table2[[prolific]:[feedbackTime]],16,FALSE)=VLOOKUP(Q$1,Table1[],2,FALSE),1,0)</f>
        <v>1</v>
      </c>
      <c r="R207" s="5">
        <f>IF(VLOOKUP($B207,Table2[[prolific]:[feedbackTime]],17,FALSE)=VLOOKUP(R$1,Table1[],2,FALSE),1,0)</f>
        <v>1</v>
      </c>
      <c r="S207" s="5">
        <f>IF(VLOOKUP($B207,Table2[[prolific]:[feedbackTime]],18,FALSE)=VLOOKUP(S$1,Table1[],2,FALSE),1,0)</f>
        <v>1</v>
      </c>
      <c r="T207" s="5">
        <f>IF(VLOOKUP($B207,Table2[[prolific]:[feedbackTime]],19,FALSE)=VLOOKUP(T$1,Table1[],2,FALSE),1,0)</f>
        <v>1</v>
      </c>
      <c r="U207" s="5">
        <f>IF(VLOOKUP($B207,Table2[[prolific]:[feedbackTime]],20,FALSE)=VLOOKUP(U$1,Table1[],2,FALSE),1,0)</f>
        <v>1</v>
      </c>
      <c r="V207" s="5">
        <f>IF(VLOOKUP($B207,Table2[[prolific]:[feedbackTime]],21,FALSE)=VLOOKUP(V$1,Table1[],2,FALSE),1,0)</f>
        <v>1</v>
      </c>
      <c r="W207" s="5">
        <f>IF(VLOOKUP($B207,Table2[[prolific]:[feedbackTime]],22,FALSE)=VLOOKUP(W$1,Table1[],2,FALSE),1,0)</f>
        <v>1</v>
      </c>
      <c r="X207" s="5">
        <f t="shared" si="91"/>
        <v>8</v>
      </c>
      <c r="Y207" s="7">
        <f t="shared" si="92"/>
        <v>1</v>
      </c>
      <c r="Z207" s="5">
        <f>IF(VLOOKUP($B207,Table2[[prolific]:[feedbackTime]],23,FALSE)=VLOOKUP(Z$1,Table1[],2,FALSE),1,0)</f>
        <v>1</v>
      </c>
      <c r="AA207" s="5">
        <f>IF(VLOOKUP($B207,Table2[[prolific]:[feedbackTime]],24,FALSE)=VLOOKUP(AA$1,Table1[],2,FALSE),1,0)</f>
        <v>1</v>
      </c>
      <c r="AB207" s="5">
        <f>IF(VLOOKUP($B207,Table2[[prolific]:[feedbackTime]],25,FALSE)=VLOOKUP(AB$1,Table1[],2,FALSE),1,0)</f>
        <v>1</v>
      </c>
      <c r="AC207" s="5">
        <f>IF(VLOOKUP($B207,Table2[[prolific]:[feedbackTime]],26,FALSE)=VLOOKUP(AC$1,Table1[],2,FALSE),1,0)</f>
        <v>1</v>
      </c>
      <c r="AD207" s="5">
        <f>IF(VLOOKUP($B207,Table2[[prolific]:[feedbackTime]],27,FALSE)=VLOOKUP(AD$1,Table1[],2,FALSE),1,0)</f>
        <v>1</v>
      </c>
      <c r="AE207" s="5">
        <f>IF(VLOOKUP($B207,Table2[[prolific]:[feedbackTime]],28,FALSE)=VLOOKUP(AE$1,Table1[],2,FALSE),1,0)</f>
        <v>1</v>
      </c>
      <c r="AF207" s="5">
        <f>IF(VLOOKUP($B207,Table2[[prolific]:[feedbackTime]],29,FALSE)=VLOOKUP(AF$1,Table1[],2,FALSE),1,0)</f>
        <v>1</v>
      </c>
      <c r="AG207" s="5">
        <f>IF(VLOOKUP($B207,Table2[[prolific]:[feedbackTime]],30,FALSE)=VLOOKUP(AG$1,Table1[],2,FALSE),1,0)</f>
        <v>1</v>
      </c>
      <c r="AH207" s="5">
        <f t="shared" si="93"/>
        <v>8</v>
      </c>
      <c r="AI207" s="7">
        <f t="shared" si="94"/>
        <v>1</v>
      </c>
      <c r="AJ207" s="7">
        <f t="shared" si="95"/>
        <v>0.86363636363636365</v>
      </c>
      <c r="AK207" s="5">
        <f t="shared" si="96"/>
        <v>19</v>
      </c>
    </row>
    <row r="208" spans="1:37" x14ac:dyDescent="0.25">
      <c r="A208">
        <f t="shared" si="86"/>
        <v>1</v>
      </c>
      <c r="B208" s="5" t="s">
        <v>1210</v>
      </c>
      <c r="C208" s="5">
        <f>IF(VLOOKUP($B208,Table2[[prolific]:[feedbackTime]],6,FALSE)=VLOOKUP(C$1,Table1[],2,FALSE),1,0)</f>
        <v>1</v>
      </c>
      <c r="D208" s="5">
        <f>IF(VLOOKUP($B208,Table2[[prolific]:[feedbackTime]],7,FALSE)=VLOOKUP(D$1,Table1[],2,FALSE),1,0)</f>
        <v>1</v>
      </c>
      <c r="E208" s="5">
        <f>IF(VLOOKUP($B208,Table2[[prolific]:[feedbackTime]],8,FALSE)=VLOOKUP(E$1,Table1[],2,FALSE),1,0)</f>
        <v>1</v>
      </c>
      <c r="F208" s="5">
        <f t="shared" si="87"/>
        <v>3</v>
      </c>
      <c r="G208" s="7">
        <f t="shared" si="88"/>
        <v>1</v>
      </c>
      <c r="H208" s="5">
        <f>IF(VLOOKUP($B208,Table2[[prolific]:[feedbackTime]],9,FALSE)=VLOOKUP(H$1,Table1[],2,FALSE),1,0)</f>
        <v>1</v>
      </c>
      <c r="I208" s="5">
        <f>IF(VLOOKUP($B208,Table2[[prolific]:[feedbackTime]],10,FALSE)=VLOOKUP(I$1,Table1[],2,FALSE),1,0)</f>
        <v>1</v>
      </c>
      <c r="J208" s="5">
        <f>IF(VLOOKUP($B208,Table2[[prolific]:[feedbackTime]],11,FALSE)=VLOOKUP(J$1,Table1[],2,FALSE),1,0)</f>
        <v>1</v>
      </c>
      <c r="K208" s="5">
        <f>IF(VLOOKUP($B208,Table2[[prolific]:[feedbackTime]],12,FALSE)=VLOOKUP(K$1,Table1[],2,FALSE),1,0)</f>
        <v>1</v>
      </c>
      <c r="L208" s="5">
        <f>IF(VLOOKUP($B208,Table2[[prolific]:[feedbackTime]],13,FALSE)=VLOOKUP(L$1,Table1[],2,FALSE),1,0)</f>
        <v>0</v>
      </c>
      <c r="M208" s="5">
        <f>IF(VLOOKUP($B208,Table2[[prolific]:[feedbackTime]],14,FALSE)=VLOOKUP(M$1,Table1[],2,FALSE),1,0)</f>
        <v>1</v>
      </c>
      <c r="N208" s="5">
        <f t="shared" si="89"/>
        <v>5</v>
      </c>
      <c r="O208" s="7">
        <f t="shared" si="90"/>
        <v>0.83333333333333337</v>
      </c>
      <c r="P208" s="5">
        <f>IF(VLOOKUP($B208,Table2[[prolific]:[feedbackTime]],15,FALSE)=VLOOKUP(P$1,Table1[],2,FALSE),1,0)</f>
        <v>1</v>
      </c>
      <c r="Q208" s="5">
        <f>IF(VLOOKUP($B208,Table2[[prolific]:[feedbackTime]],16,FALSE)=VLOOKUP(Q$1,Table1[],2,FALSE),1,0)</f>
        <v>1</v>
      </c>
      <c r="R208" s="5">
        <f>IF(VLOOKUP($B208,Table2[[prolific]:[feedbackTime]],17,FALSE)=VLOOKUP(R$1,Table1[],2,FALSE),1,0)</f>
        <v>1</v>
      </c>
      <c r="S208" s="5">
        <f>IF(VLOOKUP($B208,Table2[[prolific]:[feedbackTime]],18,FALSE)=VLOOKUP(S$1,Table1[],2,FALSE),1,0)</f>
        <v>1</v>
      </c>
      <c r="T208" s="5">
        <f>IF(VLOOKUP($B208,Table2[[prolific]:[feedbackTime]],19,FALSE)=VLOOKUP(T$1,Table1[],2,FALSE),1,0)</f>
        <v>1</v>
      </c>
      <c r="U208" s="5">
        <f>IF(VLOOKUP($B208,Table2[[prolific]:[feedbackTime]],20,FALSE)=VLOOKUP(U$1,Table1[],2,FALSE),1,0)</f>
        <v>1</v>
      </c>
      <c r="V208" s="5">
        <f>IF(VLOOKUP($B208,Table2[[prolific]:[feedbackTime]],21,FALSE)=VLOOKUP(V$1,Table1[],2,FALSE),1,0)</f>
        <v>1</v>
      </c>
      <c r="W208" s="5">
        <f>IF(VLOOKUP($B208,Table2[[prolific]:[feedbackTime]],22,FALSE)=VLOOKUP(W$1,Table1[],2,FALSE),1,0)</f>
        <v>0</v>
      </c>
      <c r="X208" s="5">
        <f t="shared" si="91"/>
        <v>7</v>
      </c>
      <c r="Y208" s="7">
        <f t="shared" si="92"/>
        <v>0.875</v>
      </c>
      <c r="Z208" s="5">
        <f>IF(VLOOKUP($B208,Table2[[prolific]:[feedbackTime]],23,FALSE)=VLOOKUP(Z$1,Table1[],2,FALSE),1,0)</f>
        <v>1</v>
      </c>
      <c r="AA208" s="5">
        <f>IF(VLOOKUP($B208,Table2[[prolific]:[feedbackTime]],24,FALSE)=VLOOKUP(AA$1,Table1[],2,FALSE),1,0)</f>
        <v>1</v>
      </c>
      <c r="AB208" s="5">
        <f>IF(VLOOKUP($B208,Table2[[prolific]:[feedbackTime]],25,FALSE)=VLOOKUP(AB$1,Table1[],2,FALSE),1,0)</f>
        <v>1</v>
      </c>
      <c r="AC208" s="5">
        <f>IF(VLOOKUP($B208,Table2[[prolific]:[feedbackTime]],26,FALSE)=VLOOKUP(AC$1,Table1[],2,FALSE),1,0)</f>
        <v>1</v>
      </c>
      <c r="AD208" s="5">
        <f>IF(VLOOKUP($B208,Table2[[prolific]:[feedbackTime]],27,FALSE)=VLOOKUP(AD$1,Table1[],2,FALSE),1,0)</f>
        <v>0</v>
      </c>
      <c r="AE208" s="5">
        <f>IF(VLOOKUP($B208,Table2[[prolific]:[feedbackTime]],28,FALSE)=VLOOKUP(AE$1,Table1[],2,FALSE),1,0)</f>
        <v>1</v>
      </c>
      <c r="AF208" s="5">
        <f>IF(VLOOKUP($B208,Table2[[prolific]:[feedbackTime]],29,FALSE)=VLOOKUP(AF$1,Table1[],2,FALSE),1,0)</f>
        <v>0</v>
      </c>
      <c r="AG208" s="5">
        <f>IF(VLOOKUP($B208,Table2[[prolific]:[feedbackTime]],30,FALSE)=VLOOKUP(AG$1,Table1[],2,FALSE),1,0)</f>
        <v>0</v>
      </c>
      <c r="AH208" s="5">
        <f t="shared" si="93"/>
        <v>5</v>
      </c>
      <c r="AI208" s="7">
        <f t="shared" si="94"/>
        <v>0.625</v>
      </c>
      <c r="AJ208" s="7">
        <f t="shared" si="95"/>
        <v>0.77272727272727271</v>
      </c>
      <c r="AK208" s="5">
        <f t="shared" si="96"/>
        <v>17</v>
      </c>
    </row>
    <row r="209" spans="1:37" x14ac:dyDescent="0.25">
      <c r="A209">
        <f t="shared" si="86"/>
        <v>1</v>
      </c>
      <c r="B209" s="5" t="s">
        <v>1211</v>
      </c>
      <c r="C209" s="5">
        <f>IF(VLOOKUP($B209,Table2[[prolific]:[feedbackTime]],6,FALSE)=VLOOKUP(C$1,Table1[],2,FALSE),1,0)</f>
        <v>1</v>
      </c>
      <c r="D209" s="5">
        <f>IF(VLOOKUP($B209,Table2[[prolific]:[feedbackTime]],7,FALSE)=VLOOKUP(D$1,Table1[],2,FALSE),1,0)</f>
        <v>1</v>
      </c>
      <c r="E209" s="5">
        <f>IF(VLOOKUP($B209,Table2[[prolific]:[feedbackTime]],8,FALSE)=VLOOKUP(E$1,Table1[],2,FALSE),1,0)</f>
        <v>1</v>
      </c>
      <c r="F209" s="5">
        <f t="shared" si="87"/>
        <v>3</v>
      </c>
      <c r="G209" s="7">
        <f t="shared" si="88"/>
        <v>1</v>
      </c>
      <c r="H209" s="5">
        <f>IF(VLOOKUP($B209,Table2[[prolific]:[feedbackTime]],9,FALSE)=VLOOKUP(H$1,Table1[],2,FALSE),1,0)</f>
        <v>1</v>
      </c>
      <c r="I209" s="5">
        <f>IF(VLOOKUP($B209,Table2[[prolific]:[feedbackTime]],10,FALSE)=VLOOKUP(I$1,Table1[],2,FALSE),1,0)</f>
        <v>1</v>
      </c>
      <c r="J209" s="5">
        <f>IF(VLOOKUP($B209,Table2[[prolific]:[feedbackTime]],11,FALSE)=VLOOKUP(J$1,Table1[],2,FALSE),1,0)</f>
        <v>1</v>
      </c>
      <c r="K209" s="5">
        <f>IF(VLOOKUP($B209,Table2[[prolific]:[feedbackTime]],12,FALSE)=VLOOKUP(K$1,Table1[],2,FALSE),1,0)</f>
        <v>1</v>
      </c>
      <c r="L209" s="5">
        <f>IF(VLOOKUP($B209,Table2[[prolific]:[feedbackTime]],13,FALSE)=VLOOKUP(L$1,Table1[],2,FALSE),1,0)</f>
        <v>1</v>
      </c>
      <c r="M209" s="5">
        <f>IF(VLOOKUP($B209,Table2[[prolific]:[feedbackTime]],14,FALSE)=VLOOKUP(M$1,Table1[],2,FALSE),1,0)</f>
        <v>1</v>
      </c>
      <c r="N209" s="5">
        <f t="shared" si="89"/>
        <v>6</v>
      </c>
      <c r="O209" s="7">
        <f t="shared" si="90"/>
        <v>1</v>
      </c>
      <c r="P209" s="5">
        <f>IF(VLOOKUP($B209,Table2[[prolific]:[feedbackTime]],15,FALSE)=VLOOKUP(P$1,Table1[],2,FALSE),1,0)</f>
        <v>1</v>
      </c>
      <c r="Q209" s="5">
        <f>IF(VLOOKUP($B209,Table2[[prolific]:[feedbackTime]],16,FALSE)=VLOOKUP(Q$1,Table1[],2,FALSE),1,0)</f>
        <v>1</v>
      </c>
      <c r="R209" s="5">
        <f>IF(VLOOKUP($B209,Table2[[prolific]:[feedbackTime]],17,FALSE)=VLOOKUP(R$1,Table1[],2,FALSE),1,0)</f>
        <v>1</v>
      </c>
      <c r="S209" s="5">
        <f>IF(VLOOKUP($B209,Table2[[prolific]:[feedbackTime]],18,FALSE)=VLOOKUP(S$1,Table1[],2,FALSE),1,0)</f>
        <v>1</v>
      </c>
      <c r="T209" s="5">
        <f>IF(VLOOKUP($B209,Table2[[prolific]:[feedbackTime]],19,FALSE)=VLOOKUP(T$1,Table1[],2,FALSE),1,0)</f>
        <v>1</v>
      </c>
      <c r="U209" s="5">
        <f>IF(VLOOKUP($B209,Table2[[prolific]:[feedbackTime]],20,FALSE)=VLOOKUP(U$1,Table1[],2,FALSE),1,0)</f>
        <v>1</v>
      </c>
      <c r="V209" s="5">
        <f>IF(VLOOKUP($B209,Table2[[prolific]:[feedbackTime]],21,FALSE)=VLOOKUP(V$1,Table1[],2,FALSE),1,0)</f>
        <v>1</v>
      </c>
      <c r="W209" s="5">
        <f>IF(VLOOKUP($B209,Table2[[prolific]:[feedbackTime]],22,FALSE)=VLOOKUP(W$1,Table1[],2,FALSE),1,0)</f>
        <v>1</v>
      </c>
      <c r="X209" s="5">
        <f t="shared" si="91"/>
        <v>8</v>
      </c>
      <c r="Y209" s="7">
        <f t="shared" si="92"/>
        <v>1</v>
      </c>
      <c r="Z209" s="5">
        <f>IF(VLOOKUP($B209,Table2[[prolific]:[feedbackTime]],23,FALSE)=VLOOKUP(Z$1,Table1[],2,FALSE),1,0)</f>
        <v>1</v>
      </c>
      <c r="AA209" s="5">
        <f>IF(VLOOKUP($B209,Table2[[prolific]:[feedbackTime]],24,FALSE)=VLOOKUP(AA$1,Table1[],2,FALSE),1,0)</f>
        <v>1</v>
      </c>
      <c r="AB209" s="5">
        <f>IF(VLOOKUP($B209,Table2[[prolific]:[feedbackTime]],25,FALSE)=VLOOKUP(AB$1,Table1[],2,FALSE),1,0)</f>
        <v>1</v>
      </c>
      <c r="AC209" s="5">
        <f>IF(VLOOKUP($B209,Table2[[prolific]:[feedbackTime]],26,FALSE)=VLOOKUP(AC$1,Table1[],2,FALSE),1,0)</f>
        <v>1</v>
      </c>
      <c r="AD209" s="5">
        <f>IF(VLOOKUP($B209,Table2[[prolific]:[feedbackTime]],27,FALSE)=VLOOKUP(AD$1,Table1[],2,FALSE),1,0)</f>
        <v>1</v>
      </c>
      <c r="AE209" s="5">
        <f>IF(VLOOKUP($B209,Table2[[prolific]:[feedbackTime]],28,FALSE)=VLOOKUP(AE$1,Table1[],2,FALSE),1,0)</f>
        <v>0</v>
      </c>
      <c r="AF209" s="5">
        <f>IF(VLOOKUP($B209,Table2[[prolific]:[feedbackTime]],29,FALSE)=VLOOKUP(AF$1,Table1[],2,FALSE),1,0)</f>
        <v>1</v>
      </c>
      <c r="AG209" s="5">
        <f>IF(VLOOKUP($B209,Table2[[prolific]:[feedbackTime]],30,FALSE)=VLOOKUP(AG$1,Table1[],2,FALSE),1,0)</f>
        <v>0</v>
      </c>
      <c r="AH209" s="5">
        <f t="shared" si="93"/>
        <v>6</v>
      </c>
      <c r="AI209" s="7">
        <f t="shared" si="94"/>
        <v>0.75</v>
      </c>
      <c r="AJ209" s="7">
        <f t="shared" si="95"/>
        <v>0.90909090909090906</v>
      </c>
      <c r="AK209" s="5">
        <f t="shared" si="96"/>
        <v>20</v>
      </c>
    </row>
    <row r="210" spans="1:37" x14ac:dyDescent="0.25">
      <c r="A210">
        <f t="shared" si="86"/>
        <v>1</v>
      </c>
      <c r="B210" s="5" t="s">
        <v>1212</v>
      </c>
      <c r="C210" s="5">
        <f>IF(VLOOKUP($B210,Table2[[prolific]:[feedbackTime]],6,FALSE)=VLOOKUP(C$1,Table1[],2,FALSE),1,0)</f>
        <v>1</v>
      </c>
      <c r="D210" s="5">
        <f>IF(VLOOKUP($B210,Table2[[prolific]:[feedbackTime]],7,FALSE)=VLOOKUP(D$1,Table1[],2,FALSE),1,0)</f>
        <v>1</v>
      </c>
      <c r="E210" s="5">
        <f>IF(VLOOKUP($B210,Table2[[prolific]:[feedbackTime]],8,FALSE)=VLOOKUP(E$1,Table1[],2,FALSE),1,0)</f>
        <v>1</v>
      </c>
      <c r="F210" s="5">
        <f t="shared" si="87"/>
        <v>3</v>
      </c>
      <c r="G210" s="7">
        <f t="shared" si="88"/>
        <v>1</v>
      </c>
      <c r="H210" s="5">
        <f>IF(VLOOKUP($B210,Table2[[prolific]:[feedbackTime]],9,FALSE)=VLOOKUP(H$1,Table1[],2,FALSE),1,0)</f>
        <v>1</v>
      </c>
      <c r="I210" s="5">
        <f>IF(VLOOKUP($B210,Table2[[prolific]:[feedbackTime]],10,FALSE)=VLOOKUP(I$1,Table1[],2,FALSE),1,0)</f>
        <v>1</v>
      </c>
      <c r="J210" s="5">
        <f>IF(VLOOKUP($B210,Table2[[prolific]:[feedbackTime]],11,FALSE)=VLOOKUP(J$1,Table1[],2,FALSE),1,0)</f>
        <v>1</v>
      </c>
      <c r="K210" s="5">
        <f>IF(VLOOKUP($B210,Table2[[prolific]:[feedbackTime]],12,FALSE)=VLOOKUP(K$1,Table1[],2,FALSE),1,0)</f>
        <v>1</v>
      </c>
      <c r="L210" s="5">
        <f>IF(VLOOKUP($B210,Table2[[prolific]:[feedbackTime]],13,FALSE)=VLOOKUP(L$1,Table1[],2,FALSE),1,0)</f>
        <v>1</v>
      </c>
      <c r="M210" s="5">
        <f>IF(VLOOKUP($B210,Table2[[prolific]:[feedbackTime]],14,FALSE)=VLOOKUP(M$1,Table1[],2,FALSE),1,0)</f>
        <v>1</v>
      </c>
      <c r="N210" s="5">
        <f t="shared" si="89"/>
        <v>6</v>
      </c>
      <c r="O210" s="7">
        <f t="shared" si="90"/>
        <v>1</v>
      </c>
      <c r="P210" s="5">
        <f>IF(VLOOKUP($B210,Table2[[prolific]:[feedbackTime]],15,FALSE)=VLOOKUP(P$1,Table1[],2,FALSE),1,0)</f>
        <v>1</v>
      </c>
      <c r="Q210" s="5">
        <f>IF(VLOOKUP($B210,Table2[[prolific]:[feedbackTime]],16,FALSE)=VLOOKUP(Q$1,Table1[],2,FALSE),1,0)</f>
        <v>1</v>
      </c>
      <c r="R210" s="5">
        <f>IF(VLOOKUP($B210,Table2[[prolific]:[feedbackTime]],17,FALSE)=VLOOKUP(R$1,Table1[],2,FALSE),1,0)</f>
        <v>1</v>
      </c>
      <c r="S210" s="5">
        <f>IF(VLOOKUP($B210,Table2[[prolific]:[feedbackTime]],18,FALSE)=VLOOKUP(S$1,Table1[],2,FALSE),1,0)</f>
        <v>1</v>
      </c>
      <c r="T210" s="5">
        <f>IF(VLOOKUP($B210,Table2[[prolific]:[feedbackTime]],19,FALSE)=VLOOKUP(T$1,Table1[],2,FALSE),1,0)</f>
        <v>1</v>
      </c>
      <c r="U210" s="5">
        <f>IF(VLOOKUP($B210,Table2[[prolific]:[feedbackTime]],20,FALSE)=VLOOKUP(U$1,Table1[],2,FALSE),1,0)</f>
        <v>1</v>
      </c>
      <c r="V210" s="5">
        <f>IF(VLOOKUP($B210,Table2[[prolific]:[feedbackTime]],21,FALSE)=VLOOKUP(V$1,Table1[],2,FALSE),1,0)</f>
        <v>1</v>
      </c>
      <c r="W210" s="5">
        <f>IF(VLOOKUP($B210,Table2[[prolific]:[feedbackTime]],22,FALSE)=VLOOKUP(W$1,Table1[],2,FALSE),1,0)</f>
        <v>1</v>
      </c>
      <c r="X210" s="5">
        <f t="shared" si="91"/>
        <v>8</v>
      </c>
      <c r="Y210" s="7">
        <f t="shared" si="92"/>
        <v>1</v>
      </c>
      <c r="Z210" s="5">
        <f>IF(VLOOKUP($B210,Table2[[prolific]:[feedbackTime]],23,FALSE)=VLOOKUP(Z$1,Table1[],2,FALSE),1,0)</f>
        <v>1</v>
      </c>
      <c r="AA210" s="5">
        <f>IF(VLOOKUP($B210,Table2[[prolific]:[feedbackTime]],24,FALSE)=VLOOKUP(AA$1,Table1[],2,FALSE),1,0)</f>
        <v>1</v>
      </c>
      <c r="AB210" s="5">
        <f>IF(VLOOKUP($B210,Table2[[prolific]:[feedbackTime]],25,FALSE)=VLOOKUP(AB$1,Table1[],2,FALSE),1,0)</f>
        <v>1</v>
      </c>
      <c r="AC210" s="5">
        <f>IF(VLOOKUP($B210,Table2[[prolific]:[feedbackTime]],26,FALSE)=VLOOKUP(AC$1,Table1[],2,FALSE),1,0)</f>
        <v>1</v>
      </c>
      <c r="AD210" s="5">
        <f>IF(VLOOKUP($B210,Table2[[prolific]:[feedbackTime]],27,FALSE)=VLOOKUP(AD$1,Table1[],2,FALSE),1,0)</f>
        <v>0</v>
      </c>
      <c r="AE210" s="5">
        <f>IF(VLOOKUP($B210,Table2[[prolific]:[feedbackTime]],28,FALSE)=VLOOKUP(AE$1,Table1[],2,FALSE),1,0)</f>
        <v>1</v>
      </c>
      <c r="AF210" s="5">
        <f>IF(VLOOKUP($B210,Table2[[prolific]:[feedbackTime]],29,FALSE)=VLOOKUP(AF$1,Table1[],2,FALSE),1,0)</f>
        <v>1</v>
      </c>
      <c r="AG210" s="5">
        <f>IF(VLOOKUP($B210,Table2[[prolific]:[feedbackTime]],30,FALSE)=VLOOKUP(AG$1,Table1[],2,FALSE),1,0)</f>
        <v>1</v>
      </c>
      <c r="AH210" s="5">
        <f t="shared" si="93"/>
        <v>7</v>
      </c>
      <c r="AI210" s="7">
        <f t="shared" si="94"/>
        <v>0.875</v>
      </c>
      <c r="AJ210" s="7">
        <f t="shared" si="95"/>
        <v>0.95454545454545459</v>
      </c>
      <c r="AK210" s="5">
        <f t="shared" si="96"/>
        <v>21</v>
      </c>
    </row>
    <row r="211" spans="1:37" x14ac:dyDescent="0.25">
      <c r="A211">
        <f t="shared" si="86"/>
        <v>1</v>
      </c>
      <c r="B211" s="5" t="s">
        <v>1213</v>
      </c>
      <c r="C211" s="5">
        <f>IF(VLOOKUP($B211,Table2[[prolific]:[feedbackTime]],6,FALSE)=VLOOKUP(C$1,Table1[],2,FALSE),1,0)</f>
        <v>1</v>
      </c>
      <c r="D211" s="5">
        <f>IF(VLOOKUP($B211,Table2[[prolific]:[feedbackTime]],7,FALSE)=VLOOKUP(D$1,Table1[],2,FALSE),1,0)</f>
        <v>1</v>
      </c>
      <c r="E211" s="5">
        <f>IF(VLOOKUP($B211,Table2[[prolific]:[feedbackTime]],8,FALSE)=VLOOKUP(E$1,Table1[],2,FALSE),1,0)</f>
        <v>1</v>
      </c>
      <c r="F211" s="5">
        <f t="shared" si="87"/>
        <v>3</v>
      </c>
      <c r="G211" s="7">
        <f t="shared" si="88"/>
        <v>1</v>
      </c>
      <c r="H211" s="5">
        <f>IF(VLOOKUP($B211,Table2[[prolific]:[feedbackTime]],9,FALSE)=VLOOKUP(H$1,Table1[],2,FALSE),1,0)</f>
        <v>1</v>
      </c>
      <c r="I211" s="5">
        <f>IF(VLOOKUP($B211,Table2[[prolific]:[feedbackTime]],10,FALSE)=VLOOKUP(I$1,Table1[],2,FALSE),1,0)</f>
        <v>1</v>
      </c>
      <c r="J211" s="5">
        <f>IF(VLOOKUP($B211,Table2[[prolific]:[feedbackTime]],11,FALSE)=VLOOKUP(J$1,Table1[],2,FALSE),1,0)</f>
        <v>1</v>
      </c>
      <c r="K211" s="5">
        <f>IF(VLOOKUP($B211,Table2[[prolific]:[feedbackTime]],12,FALSE)=VLOOKUP(K$1,Table1[],2,FALSE),1,0)</f>
        <v>1</v>
      </c>
      <c r="L211" s="5">
        <f>IF(VLOOKUP($B211,Table2[[prolific]:[feedbackTime]],13,FALSE)=VLOOKUP(L$1,Table1[],2,FALSE),1,0)</f>
        <v>1</v>
      </c>
      <c r="M211" s="5">
        <f>IF(VLOOKUP($B211,Table2[[prolific]:[feedbackTime]],14,FALSE)=VLOOKUP(M$1,Table1[],2,FALSE),1,0)</f>
        <v>0</v>
      </c>
      <c r="N211" s="5">
        <f t="shared" si="89"/>
        <v>5</v>
      </c>
      <c r="O211" s="7">
        <f t="shared" si="90"/>
        <v>0.83333333333333337</v>
      </c>
      <c r="P211" s="5">
        <f>IF(VLOOKUP($B211,Table2[[prolific]:[feedbackTime]],15,FALSE)=VLOOKUP(P$1,Table1[],2,FALSE),1,0)</f>
        <v>1</v>
      </c>
      <c r="Q211" s="5">
        <f>IF(VLOOKUP($B211,Table2[[prolific]:[feedbackTime]],16,FALSE)=VLOOKUP(Q$1,Table1[],2,FALSE),1,0)</f>
        <v>1</v>
      </c>
      <c r="R211" s="5">
        <f>IF(VLOOKUP($B211,Table2[[prolific]:[feedbackTime]],17,FALSE)=VLOOKUP(R$1,Table1[],2,FALSE),1,0)</f>
        <v>0</v>
      </c>
      <c r="S211" s="5">
        <f>IF(VLOOKUP($B211,Table2[[prolific]:[feedbackTime]],18,FALSE)=VLOOKUP(S$1,Table1[],2,FALSE),1,0)</f>
        <v>0</v>
      </c>
      <c r="T211" s="5">
        <f>IF(VLOOKUP($B211,Table2[[prolific]:[feedbackTime]],19,FALSE)=VLOOKUP(T$1,Table1[],2,FALSE),1,0)</f>
        <v>1</v>
      </c>
      <c r="U211" s="5">
        <f>IF(VLOOKUP($B211,Table2[[prolific]:[feedbackTime]],20,FALSE)=VLOOKUP(U$1,Table1[],2,FALSE),1,0)</f>
        <v>1</v>
      </c>
      <c r="V211" s="5">
        <f>IF(VLOOKUP($B211,Table2[[prolific]:[feedbackTime]],21,FALSE)=VLOOKUP(V$1,Table1[],2,FALSE),1,0)</f>
        <v>0</v>
      </c>
      <c r="W211" s="5">
        <f>IF(VLOOKUP($B211,Table2[[prolific]:[feedbackTime]],22,FALSE)=VLOOKUP(W$1,Table1[],2,FALSE),1,0)</f>
        <v>0</v>
      </c>
      <c r="X211" s="5">
        <f t="shared" si="91"/>
        <v>4</v>
      </c>
      <c r="Y211" s="7">
        <f t="shared" si="92"/>
        <v>0.5</v>
      </c>
      <c r="Z211" s="5">
        <f>IF(VLOOKUP($B211,Table2[[prolific]:[feedbackTime]],23,FALSE)=VLOOKUP(Z$1,Table1[],2,FALSE),1,0)</f>
        <v>1</v>
      </c>
      <c r="AA211" s="5">
        <f>IF(VLOOKUP($B211,Table2[[prolific]:[feedbackTime]],24,FALSE)=VLOOKUP(AA$1,Table1[],2,FALSE),1,0)</f>
        <v>1</v>
      </c>
      <c r="AB211" s="5">
        <f>IF(VLOOKUP($B211,Table2[[prolific]:[feedbackTime]],25,FALSE)=VLOOKUP(AB$1,Table1[],2,FALSE),1,0)</f>
        <v>1</v>
      </c>
      <c r="AC211" s="5">
        <f>IF(VLOOKUP($B211,Table2[[prolific]:[feedbackTime]],26,FALSE)=VLOOKUP(AC$1,Table1[],2,FALSE),1,0)</f>
        <v>1</v>
      </c>
      <c r="AD211" s="5">
        <f>IF(VLOOKUP($B211,Table2[[prolific]:[feedbackTime]],27,FALSE)=VLOOKUP(AD$1,Table1[],2,FALSE),1,0)</f>
        <v>0</v>
      </c>
      <c r="AE211" s="5">
        <f>IF(VLOOKUP($B211,Table2[[prolific]:[feedbackTime]],28,FALSE)=VLOOKUP(AE$1,Table1[],2,FALSE),1,0)</f>
        <v>0</v>
      </c>
      <c r="AF211" s="5">
        <f>IF(VLOOKUP($B211,Table2[[prolific]:[feedbackTime]],29,FALSE)=VLOOKUP(AF$1,Table1[],2,FALSE),1,0)</f>
        <v>1</v>
      </c>
      <c r="AG211" s="5">
        <f>IF(VLOOKUP($B211,Table2[[prolific]:[feedbackTime]],30,FALSE)=VLOOKUP(AG$1,Table1[],2,FALSE),1,0)</f>
        <v>1</v>
      </c>
      <c r="AH211" s="5">
        <f t="shared" si="93"/>
        <v>6</v>
      </c>
      <c r="AI211" s="7">
        <f t="shared" si="94"/>
        <v>0.75</v>
      </c>
      <c r="AJ211" s="7">
        <f t="shared" si="95"/>
        <v>0.68181818181818177</v>
      </c>
      <c r="AK211" s="5">
        <f t="shared" si="96"/>
        <v>15</v>
      </c>
    </row>
    <row r="212" spans="1:37" x14ac:dyDescent="0.25">
      <c r="A212">
        <f t="shared" si="86"/>
        <v>1</v>
      </c>
      <c r="B212" s="5" t="s">
        <v>1214</v>
      </c>
      <c r="C212" s="5">
        <f>IF(VLOOKUP($B212,Table2[[prolific]:[feedbackTime]],6,FALSE)=VLOOKUP(C$1,Table1[],2,FALSE),1,0)</f>
        <v>1</v>
      </c>
      <c r="D212" s="5">
        <f>IF(VLOOKUP($B212,Table2[[prolific]:[feedbackTime]],7,FALSE)=VLOOKUP(D$1,Table1[],2,FALSE),1,0)</f>
        <v>1</v>
      </c>
      <c r="E212" s="5">
        <f>IF(VLOOKUP($B212,Table2[[prolific]:[feedbackTime]],8,FALSE)=VLOOKUP(E$1,Table1[],2,FALSE),1,0)</f>
        <v>1</v>
      </c>
      <c r="F212" s="5">
        <f t="shared" si="87"/>
        <v>3</v>
      </c>
      <c r="G212" s="7">
        <f t="shared" si="88"/>
        <v>1</v>
      </c>
      <c r="H212" s="5">
        <f>IF(VLOOKUP($B212,Table2[[prolific]:[feedbackTime]],9,FALSE)=VLOOKUP(H$1,Table1[],2,FALSE),1,0)</f>
        <v>1</v>
      </c>
      <c r="I212" s="5">
        <f>IF(VLOOKUP($B212,Table2[[prolific]:[feedbackTime]],10,FALSE)=VLOOKUP(I$1,Table1[],2,FALSE),1,0)</f>
        <v>1</v>
      </c>
      <c r="J212" s="5">
        <f>IF(VLOOKUP($B212,Table2[[prolific]:[feedbackTime]],11,FALSE)=VLOOKUP(J$1,Table1[],2,FALSE),1,0)</f>
        <v>0</v>
      </c>
      <c r="K212" s="5">
        <f>IF(VLOOKUP($B212,Table2[[prolific]:[feedbackTime]],12,FALSE)=VLOOKUP(K$1,Table1[],2,FALSE),1,0)</f>
        <v>0</v>
      </c>
      <c r="L212" s="5">
        <f>IF(VLOOKUP($B212,Table2[[prolific]:[feedbackTime]],13,FALSE)=VLOOKUP(L$1,Table1[],2,FALSE),1,0)</f>
        <v>0</v>
      </c>
      <c r="M212" s="5">
        <f>IF(VLOOKUP($B212,Table2[[prolific]:[feedbackTime]],14,FALSE)=VLOOKUP(M$1,Table1[],2,FALSE),1,0)</f>
        <v>1</v>
      </c>
      <c r="N212" s="5">
        <f t="shared" si="89"/>
        <v>3</v>
      </c>
      <c r="O212" s="7">
        <f t="shared" si="90"/>
        <v>0.5</v>
      </c>
      <c r="P212" s="5">
        <f>IF(VLOOKUP($B212,Table2[[prolific]:[feedbackTime]],15,FALSE)=VLOOKUP(P$1,Table1[],2,FALSE),1,0)</f>
        <v>1</v>
      </c>
      <c r="Q212" s="5">
        <f>IF(VLOOKUP($B212,Table2[[prolific]:[feedbackTime]],16,FALSE)=VLOOKUP(Q$1,Table1[],2,FALSE),1,0)</f>
        <v>1</v>
      </c>
      <c r="R212" s="5">
        <f>IF(VLOOKUP($B212,Table2[[prolific]:[feedbackTime]],17,FALSE)=VLOOKUP(R$1,Table1[],2,FALSE),1,0)</f>
        <v>1</v>
      </c>
      <c r="S212" s="5">
        <f>IF(VLOOKUP($B212,Table2[[prolific]:[feedbackTime]],18,FALSE)=VLOOKUP(S$1,Table1[],2,FALSE),1,0)</f>
        <v>1</v>
      </c>
      <c r="T212" s="5">
        <f>IF(VLOOKUP($B212,Table2[[prolific]:[feedbackTime]],19,FALSE)=VLOOKUP(T$1,Table1[],2,FALSE),1,0)</f>
        <v>1</v>
      </c>
      <c r="U212" s="5">
        <f>IF(VLOOKUP($B212,Table2[[prolific]:[feedbackTime]],20,FALSE)=VLOOKUP(U$1,Table1[],2,FALSE),1,0)</f>
        <v>1</v>
      </c>
      <c r="V212" s="5">
        <f>IF(VLOOKUP($B212,Table2[[prolific]:[feedbackTime]],21,FALSE)=VLOOKUP(V$1,Table1[],2,FALSE),1,0)</f>
        <v>1</v>
      </c>
      <c r="W212" s="5">
        <f>IF(VLOOKUP($B212,Table2[[prolific]:[feedbackTime]],22,FALSE)=VLOOKUP(W$1,Table1[],2,FALSE),1,0)</f>
        <v>1</v>
      </c>
      <c r="X212" s="5">
        <f t="shared" si="91"/>
        <v>8</v>
      </c>
      <c r="Y212" s="7">
        <f t="shared" si="92"/>
        <v>1</v>
      </c>
      <c r="Z212" s="5">
        <f>IF(VLOOKUP($B212,Table2[[prolific]:[feedbackTime]],23,FALSE)=VLOOKUP(Z$1,Table1[],2,FALSE),1,0)</f>
        <v>1</v>
      </c>
      <c r="AA212" s="5">
        <f>IF(VLOOKUP($B212,Table2[[prolific]:[feedbackTime]],24,FALSE)=VLOOKUP(AA$1,Table1[],2,FALSE),1,0)</f>
        <v>1</v>
      </c>
      <c r="AB212" s="5">
        <f>IF(VLOOKUP($B212,Table2[[prolific]:[feedbackTime]],25,FALSE)=VLOOKUP(AB$1,Table1[],2,FALSE),1,0)</f>
        <v>1</v>
      </c>
      <c r="AC212" s="5">
        <f>IF(VLOOKUP($B212,Table2[[prolific]:[feedbackTime]],26,FALSE)=VLOOKUP(AC$1,Table1[],2,FALSE),1,0)</f>
        <v>1</v>
      </c>
      <c r="AD212" s="5">
        <f>IF(VLOOKUP($B212,Table2[[prolific]:[feedbackTime]],27,FALSE)=VLOOKUP(AD$1,Table1[],2,FALSE),1,0)</f>
        <v>0</v>
      </c>
      <c r="AE212" s="5">
        <f>IF(VLOOKUP($B212,Table2[[prolific]:[feedbackTime]],28,FALSE)=VLOOKUP(AE$1,Table1[],2,FALSE),1,0)</f>
        <v>1</v>
      </c>
      <c r="AF212" s="5">
        <f>IF(VLOOKUP($B212,Table2[[prolific]:[feedbackTime]],29,FALSE)=VLOOKUP(AF$1,Table1[],2,FALSE),1,0)</f>
        <v>1</v>
      </c>
      <c r="AG212" s="5">
        <f>IF(VLOOKUP($B212,Table2[[prolific]:[feedbackTime]],30,FALSE)=VLOOKUP(AG$1,Table1[],2,FALSE),1,0)</f>
        <v>1</v>
      </c>
      <c r="AH212" s="5">
        <f t="shared" si="93"/>
        <v>7</v>
      </c>
      <c r="AI212" s="7">
        <f t="shared" si="94"/>
        <v>0.875</v>
      </c>
      <c r="AJ212" s="7">
        <f t="shared" si="95"/>
        <v>0.81818181818181823</v>
      </c>
      <c r="AK212" s="5">
        <f t="shared" si="96"/>
        <v>18</v>
      </c>
    </row>
    <row r="213" spans="1:37" x14ac:dyDescent="0.25">
      <c r="A213">
        <f t="shared" si="86"/>
        <v>1</v>
      </c>
      <c r="B213" s="5" t="s">
        <v>1215</v>
      </c>
      <c r="C213" s="5">
        <f>IF(VLOOKUP($B213,Table2[[prolific]:[feedbackTime]],6,FALSE)=VLOOKUP(C$1,Table1[],2,FALSE),1,0)</f>
        <v>1</v>
      </c>
      <c r="D213" s="5">
        <f>IF(VLOOKUP($B213,Table2[[prolific]:[feedbackTime]],7,FALSE)=VLOOKUP(D$1,Table1[],2,FALSE),1,0)</f>
        <v>1</v>
      </c>
      <c r="E213" s="5">
        <f>IF(VLOOKUP($B213,Table2[[prolific]:[feedbackTime]],8,FALSE)=VLOOKUP(E$1,Table1[],2,FALSE),1,0)</f>
        <v>1</v>
      </c>
      <c r="F213" s="5">
        <f t="shared" si="87"/>
        <v>3</v>
      </c>
      <c r="G213" s="7">
        <f t="shared" si="88"/>
        <v>1</v>
      </c>
      <c r="H213" s="5">
        <f>IF(VLOOKUP($B213,Table2[[prolific]:[feedbackTime]],9,FALSE)=VLOOKUP(H$1,Table1[],2,FALSE),1,0)</f>
        <v>1</v>
      </c>
      <c r="I213" s="5">
        <f>IF(VLOOKUP($B213,Table2[[prolific]:[feedbackTime]],10,FALSE)=VLOOKUP(I$1,Table1[],2,FALSE),1,0)</f>
        <v>1</v>
      </c>
      <c r="J213" s="5">
        <f>IF(VLOOKUP($B213,Table2[[prolific]:[feedbackTime]],11,FALSE)=VLOOKUP(J$1,Table1[],2,FALSE),1,0)</f>
        <v>0</v>
      </c>
      <c r="K213" s="5">
        <f>IF(VLOOKUP($B213,Table2[[prolific]:[feedbackTime]],12,FALSE)=VLOOKUP(K$1,Table1[],2,FALSE),1,0)</f>
        <v>1</v>
      </c>
      <c r="L213" s="5">
        <f>IF(VLOOKUP($B213,Table2[[prolific]:[feedbackTime]],13,FALSE)=VLOOKUP(L$1,Table1[],2,FALSE),1,0)</f>
        <v>1</v>
      </c>
      <c r="M213" s="5">
        <f>IF(VLOOKUP($B213,Table2[[prolific]:[feedbackTime]],14,FALSE)=VLOOKUP(M$1,Table1[],2,FALSE),1,0)</f>
        <v>0</v>
      </c>
      <c r="N213" s="5">
        <f t="shared" si="89"/>
        <v>4</v>
      </c>
      <c r="O213" s="7">
        <f t="shared" si="90"/>
        <v>0.66666666666666663</v>
      </c>
      <c r="P213" s="5">
        <f>IF(VLOOKUP($B213,Table2[[prolific]:[feedbackTime]],15,FALSE)=VLOOKUP(P$1,Table1[],2,FALSE),1,0)</f>
        <v>1</v>
      </c>
      <c r="Q213" s="5">
        <f>IF(VLOOKUP($B213,Table2[[prolific]:[feedbackTime]],16,FALSE)=VLOOKUP(Q$1,Table1[],2,FALSE),1,0)</f>
        <v>1</v>
      </c>
      <c r="R213" s="5">
        <f>IF(VLOOKUP($B213,Table2[[prolific]:[feedbackTime]],17,FALSE)=VLOOKUP(R$1,Table1[],2,FALSE),1,0)</f>
        <v>1</v>
      </c>
      <c r="S213" s="5">
        <f>IF(VLOOKUP($B213,Table2[[prolific]:[feedbackTime]],18,FALSE)=VLOOKUP(S$1,Table1[],2,FALSE),1,0)</f>
        <v>1</v>
      </c>
      <c r="T213" s="5">
        <f>IF(VLOOKUP($B213,Table2[[prolific]:[feedbackTime]],19,FALSE)=VLOOKUP(T$1,Table1[],2,FALSE),1,0)</f>
        <v>1</v>
      </c>
      <c r="U213" s="5">
        <f>IF(VLOOKUP($B213,Table2[[prolific]:[feedbackTime]],20,FALSE)=VLOOKUP(U$1,Table1[],2,FALSE),1,0)</f>
        <v>1</v>
      </c>
      <c r="V213" s="5">
        <f>IF(VLOOKUP($B213,Table2[[prolific]:[feedbackTime]],21,FALSE)=VLOOKUP(V$1,Table1[],2,FALSE),1,0)</f>
        <v>1</v>
      </c>
      <c r="W213" s="5">
        <f>IF(VLOOKUP($B213,Table2[[prolific]:[feedbackTime]],22,FALSE)=VLOOKUP(W$1,Table1[],2,FALSE),1,0)</f>
        <v>0</v>
      </c>
      <c r="X213" s="5">
        <f t="shared" si="91"/>
        <v>7</v>
      </c>
      <c r="Y213" s="7">
        <f t="shared" si="92"/>
        <v>0.875</v>
      </c>
      <c r="Z213" s="5">
        <f>IF(VLOOKUP($B213,Table2[[prolific]:[feedbackTime]],23,FALSE)=VLOOKUP(Z$1,Table1[],2,FALSE),1,0)</f>
        <v>1</v>
      </c>
      <c r="AA213" s="5">
        <f>IF(VLOOKUP($B213,Table2[[prolific]:[feedbackTime]],24,FALSE)=VLOOKUP(AA$1,Table1[],2,FALSE),1,0)</f>
        <v>1</v>
      </c>
      <c r="AB213" s="5">
        <f>IF(VLOOKUP($B213,Table2[[prolific]:[feedbackTime]],25,FALSE)=VLOOKUP(AB$1,Table1[],2,FALSE),1,0)</f>
        <v>1</v>
      </c>
      <c r="AC213" s="5">
        <f>IF(VLOOKUP($B213,Table2[[prolific]:[feedbackTime]],26,FALSE)=VLOOKUP(AC$1,Table1[],2,FALSE),1,0)</f>
        <v>1</v>
      </c>
      <c r="AD213" s="5">
        <f>IF(VLOOKUP($B213,Table2[[prolific]:[feedbackTime]],27,FALSE)=VLOOKUP(AD$1,Table1[],2,FALSE),1,0)</f>
        <v>1</v>
      </c>
      <c r="AE213" s="5">
        <f>IF(VLOOKUP($B213,Table2[[prolific]:[feedbackTime]],28,FALSE)=VLOOKUP(AE$1,Table1[],2,FALSE),1,0)</f>
        <v>1</v>
      </c>
      <c r="AF213" s="5">
        <f>IF(VLOOKUP($B213,Table2[[prolific]:[feedbackTime]],29,FALSE)=VLOOKUP(AF$1,Table1[],2,FALSE),1,0)</f>
        <v>1</v>
      </c>
      <c r="AG213" s="5">
        <f>IF(VLOOKUP($B213,Table2[[prolific]:[feedbackTime]],30,FALSE)=VLOOKUP(AG$1,Table1[],2,FALSE),1,0)</f>
        <v>1</v>
      </c>
      <c r="AH213" s="5">
        <f t="shared" si="93"/>
        <v>8</v>
      </c>
      <c r="AI213" s="7">
        <f t="shared" si="94"/>
        <v>1</v>
      </c>
      <c r="AJ213" s="7">
        <f t="shared" si="95"/>
        <v>0.86363636363636365</v>
      </c>
      <c r="AK213" s="5">
        <f t="shared" si="96"/>
        <v>19</v>
      </c>
    </row>
    <row r="214" spans="1:37" x14ac:dyDescent="0.25">
      <c r="A214">
        <f t="shared" si="86"/>
        <v>1</v>
      </c>
      <c r="B214" s="5" t="s">
        <v>1216</v>
      </c>
      <c r="C214" s="5">
        <f>IF(VLOOKUP($B214,Table2[[prolific]:[feedbackTime]],6,FALSE)=VLOOKUP(C$1,Table1[],2,FALSE),1,0)</f>
        <v>1</v>
      </c>
      <c r="D214" s="5">
        <f>IF(VLOOKUP($B214,Table2[[prolific]:[feedbackTime]],7,FALSE)=VLOOKUP(D$1,Table1[],2,FALSE),1,0)</f>
        <v>1</v>
      </c>
      <c r="E214" s="5">
        <f>IF(VLOOKUP($B214,Table2[[prolific]:[feedbackTime]],8,FALSE)=VLOOKUP(E$1,Table1[],2,FALSE),1,0)</f>
        <v>1</v>
      </c>
      <c r="F214" s="5">
        <f t="shared" si="87"/>
        <v>3</v>
      </c>
      <c r="G214" s="7">
        <f t="shared" si="88"/>
        <v>1</v>
      </c>
      <c r="H214" s="5">
        <f>IF(VLOOKUP($B214,Table2[[prolific]:[feedbackTime]],9,FALSE)=VLOOKUP(H$1,Table1[],2,FALSE),1,0)</f>
        <v>1</v>
      </c>
      <c r="I214" s="5">
        <f>IF(VLOOKUP($B214,Table2[[prolific]:[feedbackTime]],10,FALSE)=VLOOKUP(I$1,Table1[],2,FALSE),1,0)</f>
        <v>1</v>
      </c>
      <c r="J214" s="5">
        <f>IF(VLOOKUP($B214,Table2[[prolific]:[feedbackTime]],11,FALSE)=VLOOKUP(J$1,Table1[],2,FALSE),1,0)</f>
        <v>1</v>
      </c>
      <c r="K214" s="5">
        <f>IF(VLOOKUP($B214,Table2[[prolific]:[feedbackTime]],12,FALSE)=VLOOKUP(K$1,Table1[],2,FALSE),1,0)</f>
        <v>1</v>
      </c>
      <c r="L214" s="5">
        <f>IF(VLOOKUP($B214,Table2[[prolific]:[feedbackTime]],13,FALSE)=VLOOKUP(L$1,Table1[],2,FALSE),1,0)</f>
        <v>1</v>
      </c>
      <c r="M214" s="5">
        <f>IF(VLOOKUP($B214,Table2[[prolific]:[feedbackTime]],14,FALSE)=VLOOKUP(M$1,Table1[],2,FALSE),1,0)</f>
        <v>1</v>
      </c>
      <c r="N214" s="5">
        <f t="shared" si="89"/>
        <v>6</v>
      </c>
      <c r="O214" s="7">
        <f t="shared" si="90"/>
        <v>1</v>
      </c>
      <c r="P214" s="5">
        <f>IF(VLOOKUP($B214,Table2[[prolific]:[feedbackTime]],15,FALSE)=VLOOKUP(P$1,Table1[],2,FALSE),1,0)</f>
        <v>1</v>
      </c>
      <c r="Q214" s="5">
        <f>IF(VLOOKUP($B214,Table2[[prolific]:[feedbackTime]],16,FALSE)=VLOOKUP(Q$1,Table1[],2,FALSE),1,0)</f>
        <v>1</v>
      </c>
      <c r="R214" s="5">
        <f>IF(VLOOKUP($B214,Table2[[prolific]:[feedbackTime]],17,FALSE)=VLOOKUP(R$1,Table1[],2,FALSE),1,0)</f>
        <v>1</v>
      </c>
      <c r="S214" s="5">
        <f>IF(VLOOKUP($B214,Table2[[prolific]:[feedbackTime]],18,FALSE)=VLOOKUP(S$1,Table1[],2,FALSE),1,0)</f>
        <v>0</v>
      </c>
      <c r="T214" s="5">
        <f>IF(VLOOKUP($B214,Table2[[prolific]:[feedbackTime]],19,FALSE)=VLOOKUP(T$1,Table1[],2,FALSE),1,0)</f>
        <v>1</v>
      </c>
      <c r="U214" s="5">
        <f>IF(VLOOKUP($B214,Table2[[prolific]:[feedbackTime]],20,FALSE)=VLOOKUP(U$1,Table1[],2,FALSE),1,0)</f>
        <v>1</v>
      </c>
      <c r="V214" s="5">
        <f>IF(VLOOKUP($B214,Table2[[prolific]:[feedbackTime]],21,FALSE)=VLOOKUP(V$1,Table1[],2,FALSE),1,0)</f>
        <v>1</v>
      </c>
      <c r="W214" s="5">
        <f>IF(VLOOKUP($B214,Table2[[prolific]:[feedbackTime]],22,FALSE)=VLOOKUP(W$1,Table1[],2,FALSE),1,0)</f>
        <v>1</v>
      </c>
      <c r="X214" s="5">
        <f t="shared" si="91"/>
        <v>7</v>
      </c>
      <c r="Y214" s="7">
        <f t="shared" si="92"/>
        <v>0.875</v>
      </c>
      <c r="Z214" s="5">
        <f>IF(VLOOKUP($B214,Table2[[prolific]:[feedbackTime]],23,FALSE)=VLOOKUP(Z$1,Table1[],2,FALSE),1,0)</f>
        <v>1</v>
      </c>
      <c r="AA214" s="5">
        <f>IF(VLOOKUP($B214,Table2[[prolific]:[feedbackTime]],24,FALSE)=VLOOKUP(AA$1,Table1[],2,FALSE),1,0)</f>
        <v>1</v>
      </c>
      <c r="AB214" s="5">
        <f>IF(VLOOKUP($B214,Table2[[prolific]:[feedbackTime]],25,FALSE)=VLOOKUP(AB$1,Table1[],2,FALSE),1,0)</f>
        <v>1</v>
      </c>
      <c r="AC214" s="5">
        <f>IF(VLOOKUP($B214,Table2[[prolific]:[feedbackTime]],26,FALSE)=VLOOKUP(AC$1,Table1[],2,FALSE),1,0)</f>
        <v>1</v>
      </c>
      <c r="AD214" s="5">
        <f>IF(VLOOKUP($B214,Table2[[prolific]:[feedbackTime]],27,FALSE)=VLOOKUP(AD$1,Table1[],2,FALSE),1,0)</f>
        <v>0</v>
      </c>
      <c r="AE214" s="5">
        <f>IF(VLOOKUP($B214,Table2[[prolific]:[feedbackTime]],28,FALSE)=VLOOKUP(AE$1,Table1[],2,FALSE),1,0)</f>
        <v>1</v>
      </c>
      <c r="AF214" s="5">
        <f>IF(VLOOKUP($B214,Table2[[prolific]:[feedbackTime]],29,FALSE)=VLOOKUP(AF$1,Table1[],2,FALSE),1,0)</f>
        <v>0</v>
      </c>
      <c r="AG214" s="5">
        <f>IF(VLOOKUP($B214,Table2[[prolific]:[feedbackTime]],30,FALSE)=VLOOKUP(AG$1,Table1[],2,FALSE),1,0)</f>
        <v>1</v>
      </c>
      <c r="AH214" s="5">
        <f t="shared" si="93"/>
        <v>6</v>
      </c>
      <c r="AI214" s="7">
        <f t="shared" si="94"/>
        <v>0.75</v>
      </c>
      <c r="AJ214" s="7">
        <f t="shared" si="95"/>
        <v>0.86363636363636365</v>
      </c>
      <c r="AK214" s="5">
        <f t="shared" si="96"/>
        <v>19</v>
      </c>
    </row>
    <row r="215" spans="1:37" x14ac:dyDescent="0.25">
      <c r="A215">
        <f t="shared" si="86"/>
        <v>2</v>
      </c>
      <c r="B215" s="5" t="s">
        <v>1242</v>
      </c>
      <c r="C215" s="5" t="e">
        <f>IF(VLOOKUP($B215,Table2[[prolific]:[feedbackTime]],6,FALSE)=VLOOKUP(C$1,Table1[],2,FALSE),1,0)</f>
        <v>#N/A</v>
      </c>
      <c r="D215" s="5" t="e">
        <f>IF(VLOOKUP($B215,Table2[[prolific]:[feedbackTime]],7,FALSE)=VLOOKUP(D$1,Table1[],2,FALSE),1,0)</f>
        <v>#N/A</v>
      </c>
      <c r="E215" s="5" t="e">
        <f>IF(VLOOKUP($B215,Table2[[prolific]:[feedbackTime]],8,FALSE)=VLOOKUP(E$1,Table1[],2,FALSE),1,0)</f>
        <v>#N/A</v>
      </c>
      <c r="F215" s="5" t="e">
        <f t="shared" ref="F215:F233" si="97">SUM(C215:E215)</f>
        <v>#N/A</v>
      </c>
      <c r="G215" s="7" t="e">
        <f t="shared" ref="G215:G233" si="98">F215/3</f>
        <v>#N/A</v>
      </c>
      <c r="H215" s="5" t="e">
        <f>IF(VLOOKUP($B215,Table2[[prolific]:[feedbackTime]],9,FALSE)=VLOOKUP(H$1,Table1[],2,FALSE),1,0)</f>
        <v>#N/A</v>
      </c>
      <c r="I215" s="5" t="e">
        <f>IF(VLOOKUP($B215,Table2[[prolific]:[feedbackTime]],10,FALSE)=VLOOKUP(I$1,Table1[],2,FALSE),1,0)</f>
        <v>#N/A</v>
      </c>
      <c r="J215" s="5" t="e">
        <f>IF(VLOOKUP($B215,Table2[[prolific]:[feedbackTime]],11,FALSE)=VLOOKUP(J$1,Table1[],2,FALSE),1,0)</f>
        <v>#N/A</v>
      </c>
      <c r="K215" s="5" t="e">
        <f>IF(VLOOKUP($B215,Table2[[prolific]:[feedbackTime]],12,FALSE)=VLOOKUP(K$1,Table1[],2,FALSE),1,0)</f>
        <v>#N/A</v>
      </c>
      <c r="L215" s="5" t="e">
        <f>IF(VLOOKUP($B215,Table2[[prolific]:[feedbackTime]],13,FALSE)=VLOOKUP(L$1,Table1[],2,FALSE),1,0)</f>
        <v>#N/A</v>
      </c>
      <c r="M215" s="5" t="e">
        <f>IF(VLOOKUP($B215,Table2[[prolific]:[feedbackTime]],14,FALSE)=VLOOKUP(M$1,Table1[],2,FALSE),1,0)</f>
        <v>#N/A</v>
      </c>
      <c r="N215" s="5" t="e">
        <f t="shared" ref="N215:N233" si="99">SUM(H215:M215)</f>
        <v>#N/A</v>
      </c>
      <c r="O215" s="7" t="e">
        <f t="shared" ref="O215:O233" si="100">N215/6</f>
        <v>#N/A</v>
      </c>
      <c r="P215" s="5" t="e">
        <f>IF(VLOOKUP($B215,Table2[[prolific]:[feedbackTime]],15,FALSE)=VLOOKUP(P$1,Table1[],2,FALSE),1,0)</f>
        <v>#N/A</v>
      </c>
      <c r="Q215" s="5" t="e">
        <f>IF(VLOOKUP($B215,Table2[[prolific]:[feedbackTime]],16,FALSE)=VLOOKUP(Q$1,Table1[],2,FALSE),1,0)</f>
        <v>#N/A</v>
      </c>
      <c r="R215" s="5" t="e">
        <f>IF(VLOOKUP($B215,Table2[[prolific]:[feedbackTime]],17,FALSE)=VLOOKUP(R$1,Table1[],2,FALSE),1,0)</f>
        <v>#N/A</v>
      </c>
      <c r="S215" s="5" t="e">
        <f>IF(VLOOKUP($B215,Table2[[prolific]:[feedbackTime]],18,FALSE)=VLOOKUP(S$1,Table1[],2,FALSE),1,0)</f>
        <v>#N/A</v>
      </c>
      <c r="T215" s="5" t="e">
        <f>IF(VLOOKUP($B215,Table2[[prolific]:[feedbackTime]],19,FALSE)=VLOOKUP(T$1,Table1[],2,FALSE),1,0)</f>
        <v>#N/A</v>
      </c>
      <c r="U215" s="5" t="e">
        <f>IF(VLOOKUP($B215,Table2[[prolific]:[feedbackTime]],20,FALSE)=VLOOKUP(U$1,Table1[],2,FALSE),1,0)</f>
        <v>#N/A</v>
      </c>
      <c r="V215" s="5" t="e">
        <f>IF(VLOOKUP($B215,Table2[[prolific]:[feedbackTime]],21,FALSE)=VLOOKUP(V$1,Table1[],2,FALSE),1,0)</f>
        <v>#N/A</v>
      </c>
      <c r="W215" s="5" t="e">
        <f>IF(VLOOKUP($B215,Table2[[prolific]:[feedbackTime]],22,FALSE)=VLOOKUP(W$1,Table1[],2,FALSE),1,0)</f>
        <v>#N/A</v>
      </c>
      <c r="X215" s="5" t="e">
        <f t="shared" ref="X215:X233" si="101">SUM(P215:W215)</f>
        <v>#N/A</v>
      </c>
      <c r="Y215" s="7" t="e">
        <f t="shared" ref="Y215:Y233" si="102">X215/8</f>
        <v>#N/A</v>
      </c>
      <c r="Z215" s="5" t="e">
        <f>IF(VLOOKUP($B215,Table2[[prolific]:[feedbackTime]],23,FALSE)=VLOOKUP(Z$1,Table1[],2,FALSE),1,0)</f>
        <v>#N/A</v>
      </c>
      <c r="AA215" s="5" t="e">
        <f>IF(VLOOKUP($B215,Table2[[prolific]:[feedbackTime]],24,FALSE)=VLOOKUP(AA$1,Table1[],2,FALSE),1,0)</f>
        <v>#N/A</v>
      </c>
      <c r="AB215" s="5" t="e">
        <f>IF(VLOOKUP($B215,Table2[[prolific]:[feedbackTime]],25,FALSE)=VLOOKUP(AB$1,Table1[],2,FALSE),1,0)</f>
        <v>#N/A</v>
      </c>
      <c r="AC215" s="5" t="e">
        <f>IF(VLOOKUP($B215,Table2[[prolific]:[feedbackTime]],26,FALSE)=VLOOKUP(AC$1,Table1[],2,FALSE),1,0)</f>
        <v>#N/A</v>
      </c>
      <c r="AD215" s="5" t="e">
        <f>IF(VLOOKUP($B215,Table2[[prolific]:[feedbackTime]],27,FALSE)=VLOOKUP(AD$1,Table1[],2,FALSE),1,0)</f>
        <v>#N/A</v>
      </c>
      <c r="AE215" s="5" t="e">
        <f>IF(VLOOKUP($B215,Table2[[prolific]:[feedbackTime]],28,FALSE)=VLOOKUP(AE$1,Table1[],2,FALSE),1,0)</f>
        <v>#N/A</v>
      </c>
      <c r="AF215" s="5" t="e">
        <f>IF(VLOOKUP($B215,Table2[[prolific]:[feedbackTime]],29,FALSE)=VLOOKUP(AF$1,Table1[],2,FALSE),1,0)</f>
        <v>#N/A</v>
      </c>
      <c r="AG215" s="5" t="e">
        <f>IF(VLOOKUP($B215,Table2[[prolific]:[feedbackTime]],30,FALSE)=VLOOKUP(AG$1,Table1[],2,FALSE),1,0)</f>
        <v>#N/A</v>
      </c>
      <c r="AH215" s="5" t="e">
        <f t="shared" ref="AH215:AH233" si="103">SUM(Z215:AG215)</f>
        <v>#N/A</v>
      </c>
      <c r="AI215" s="7" t="e">
        <f t="shared" ref="AI215:AI233" si="104">AH215/8</f>
        <v>#N/A</v>
      </c>
      <c r="AJ215" s="7" t="e">
        <f t="shared" ref="AJ215:AJ233" si="105">(N215+X215+AH215)/22</f>
        <v>#N/A</v>
      </c>
      <c r="AK215" s="5" t="e">
        <f t="shared" ref="AK215:AK233" si="106">(N215+X215+AH215)</f>
        <v>#N/A</v>
      </c>
    </row>
    <row r="216" spans="1:37" x14ac:dyDescent="0.25">
      <c r="A216">
        <f t="shared" si="86"/>
        <v>1</v>
      </c>
      <c r="B216" s="5" t="s">
        <v>1132</v>
      </c>
      <c r="C216" s="5">
        <f>IF(VLOOKUP($B216,Table2[[prolific]:[feedbackTime]],6,FALSE)=VLOOKUP(C$1,Table1[],2,FALSE),1,0)</f>
        <v>1</v>
      </c>
      <c r="D216" s="5">
        <f>IF(VLOOKUP($B216,Table2[[prolific]:[feedbackTime]],7,FALSE)=VLOOKUP(D$1,Table1[],2,FALSE),1,0)</f>
        <v>1</v>
      </c>
      <c r="E216" s="5">
        <f>IF(VLOOKUP($B216,Table2[[prolific]:[feedbackTime]],8,FALSE)=VLOOKUP(E$1,Table1[],2,FALSE),1,0)</f>
        <v>1</v>
      </c>
      <c r="F216" s="5">
        <f t="shared" si="97"/>
        <v>3</v>
      </c>
      <c r="G216" s="7">
        <f t="shared" si="98"/>
        <v>1</v>
      </c>
      <c r="H216" s="5">
        <f>IF(VLOOKUP($B216,Table2[[prolific]:[feedbackTime]],9,FALSE)=VLOOKUP(H$1,Table1[],2,FALSE),1,0)</f>
        <v>1</v>
      </c>
      <c r="I216" s="5">
        <f>IF(VLOOKUP($B216,Table2[[prolific]:[feedbackTime]],10,FALSE)=VLOOKUP(I$1,Table1[],2,FALSE),1,0)</f>
        <v>0</v>
      </c>
      <c r="J216" s="5">
        <f>IF(VLOOKUP($B216,Table2[[prolific]:[feedbackTime]],11,FALSE)=VLOOKUP(J$1,Table1[],2,FALSE),1,0)</f>
        <v>0</v>
      </c>
      <c r="K216" s="5">
        <f>IF(VLOOKUP($B216,Table2[[prolific]:[feedbackTime]],12,FALSE)=VLOOKUP(K$1,Table1[],2,FALSE),1,0)</f>
        <v>1</v>
      </c>
      <c r="L216" s="5">
        <f>IF(VLOOKUP($B216,Table2[[prolific]:[feedbackTime]],13,FALSE)=VLOOKUP(L$1,Table1[],2,FALSE),1,0)</f>
        <v>0</v>
      </c>
      <c r="M216" s="5">
        <f>IF(VLOOKUP($B216,Table2[[prolific]:[feedbackTime]],14,FALSE)=VLOOKUP(M$1,Table1[],2,FALSE),1,0)</f>
        <v>1</v>
      </c>
      <c r="N216" s="5">
        <f t="shared" si="99"/>
        <v>3</v>
      </c>
      <c r="O216" s="7">
        <f t="shared" si="100"/>
        <v>0.5</v>
      </c>
      <c r="P216" s="5">
        <f>IF(VLOOKUP($B216,Table2[[prolific]:[feedbackTime]],15,FALSE)=VLOOKUP(P$1,Table1[],2,FALSE),1,0)</f>
        <v>1</v>
      </c>
      <c r="Q216" s="5">
        <f>IF(VLOOKUP($B216,Table2[[prolific]:[feedbackTime]],16,FALSE)=VLOOKUP(Q$1,Table1[],2,FALSE),1,0)</f>
        <v>1</v>
      </c>
      <c r="R216" s="5">
        <f>IF(VLOOKUP($B216,Table2[[prolific]:[feedbackTime]],17,FALSE)=VLOOKUP(R$1,Table1[],2,FALSE),1,0)</f>
        <v>1</v>
      </c>
      <c r="S216" s="5">
        <f>IF(VLOOKUP($B216,Table2[[prolific]:[feedbackTime]],18,FALSE)=VLOOKUP(S$1,Table1[],2,FALSE),1,0)</f>
        <v>1</v>
      </c>
      <c r="T216" s="5">
        <f>IF(VLOOKUP($B216,Table2[[prolific]:[feedbackTime]],19,FALSE)=VLOOKUP(T$1,Table1[],2,FALSE),1,0)</f>
        <v>1</v>
      </c>
      <c r="U216" s="5">
        <f>IF(VLOOKUP($B216,Table2[[prolific]:[feedbackTime]],20,FALSE)=VLOOKUP(U$1,Table1[],2,FALSE),1,0)</f>
        <v>1</v>
      </c>
      <c r="V216" s="5">
        <f>IF(VLOOKUP($B216,Table2[[prolific]:[feedbackTime]],21,FALSE)=VLOOKUP(V$1,Table1[],2,FALSE),1,0)</f>
        <v>0</v>
      </c>
      <c r="W216" s="5">
        <f>IF(VLOOKUP($B216,Table2[[prolific]:[feedbackTime]],22,FALSE)=VLOOKUP(W$1,Table1[],2,FALSE),1,0)</f>
        <v>0</v>
      </c>
      <c r="X216" s="5">
        <f t="shared" si="101"/>
        <v>6</v>
      </c>
      <c r="Y216" s="7">
        <f t="shared" si="102"/>
        <v>0.75</v>
      </c>
      <c r="Z216" s="5">
        <f>IF(VLOOKUP($B216,Table2[[prolific]:[feedbackTime]],23,FALSE)=VLOOKUP(Z$1,Table1[],2,FALSE),1,0)</f>
        <v>1</v>
      </c>
      <c r="AA216" s="5">
        <f>IF(VLOOKUP($B216,Table2[[prolific]:[feedbackTime]],24,FALSE)=VLOOKUP(AA$1,Table1[],2,FALSE),1,0)</f>
        <v>0</v>
      </c>
      <c r="AB216" s="5">
        <f>IF(VLOOKUP($B216,Table2[[prolific]:[feedbackTime]],25,FALSE)=VLOOKUP(AB$1,Table1[],2,FALSE),1,0)</f>
        <v>0</v>
      </c>
      <c r="AC216" s="5">
        <f>IF(VLOOKUP($B216,Table2[[prolific]:[feedbackTime]],26,FALSE)=VLOOKUP(AC$1,Table1[],2,FALSE),1,0)</f>
        <v>1</v>
      </c>
      <c r="AD216" s="5">
        <f>IF(VLOOKUP($B216,Table2[[prolific]:[feedbackTime]],27,FALSE)=VLOOKUP(AD$1,Table1[],2,FALSE),1,0)</f>
        <v>0</v>
      </c>
      <c r="AE216" s="5">
        <f>IF(VLOOKUP($B216,Table2[[prolific]:[feedbackTime]],28,FALSE)=VLOOKUP(AE$1,Table1[],2,FALSE),1,0)</f>
        <v>0</v>
      </c>
      <c r="AF216" s="5">
        <f>IF(VLOOKUP($B216,Table2[[prolific]:[feedbackTime]],29,FALSE)=VLOOKUP(AF$1,Table1[],2,FALSE),1,0)</f>
        <v>1</v>
      </c>
      <c r="AG216" s="5">
        <f>IF(VLOOKUP($B216,Table2[[prolific]:[feedbackTime]],30,FALSE)=VLOOKUP(AG$1,Table1[],2,FALSE),1,0)</f>
        <v>1</v>
      </c>
      <c r="AH216" s="5">
        <f t="shared" si="103"/>
        <v>4</v>
      </c>
      <c r="AI216" s="7">
        <f t="shared" si="104"/>
        <v>0.5</v>
      </c>
      <c r="AJ216" s="7">
        <f t="shared" si="105"/>
        <v>0.59090909090909094</v>
      </c>
      <c r="AK216" s="5">
        <f t="shared" si="106"/>
        <v>13</v>
      </c>
    </row>
    <row r="217" spans="1:37" x14ac:dyDescent="0.25">
      <c r="A217">
        <f t="shared" si="86"/>
        <v>1</v>
      </c>
      <c r="B217" s="5" t="s">
        <v>1133</v>
      </c>
      <c r="C217" s="5">
        <f>IF(VLOOKUP($B217,Table2[[prolific]:[feedbackTime]],6,FALSE)=VLOOKUP(C$1,Table1[],2,FALSE),1,0)</f>
        <v>1</v>
      </c>
      <c r="D217" s="5">
        <f>IF(VLOOKUP($B217,Table2[[prolific]:[feedbackTime]],7,FALSE)=VLOOKUP(D$1,Table1[],2,FALSE),1,0)</f>
        <v>0</v>
      </c>
      <c r="E217" s="5">
        <f>IF(VLOOKUP($B217,Table2[[prolific]:[feedbackTime]],8,FALSE)=VLOOKUP(E$1,Table1[],2,FALSE),1,0)</f>
        <v>1</v>
      </c>
      <c r="F217" s="5">
        <f t="shared" si="97"/>
        <v>2</v>
      </c>
      <c r="G217" s="7">
        <f t="shared" si="98"/>
        <v>0.66666666666666663</v>
      </c>
      <c r="H217" s="5">
        <f>IF(VLOOKUP($B217,Table2[[prolific]:[feedbackTime]],9,FALSE)=VLOOKUP(H$1,Table1[],2,FALSE),1,0)</f>
        <v>1</v>
      </c>
      <c r="I217" s="5">
        <f>IF(VLOOKUP($B217,Table2[[prolific]:[feedbackTime]],10,FALSE)=VLOOKUP(I$1,Table1[],2,FALSE),1,0)</f>
        <v>0</v>
      </c>
      <c r="J217" s="5">
        <f>IF(VLOOKUP($B217,Table2[[prolific]:[feedbackTime]],11,FALSE)=VLOOKUP(J$1,Table1[],2,FALSE),1,0)</f>
        <v>0</v>
      </c>
      <c r="K217" s="5">
        <f>IF(VLOOKUP($B217,Table2[[prolific]:[feedbackTime]],12,FALSE)=VLOOKUP(K$1,Table1[],2,FALSE),1,0)</f>
        <v>1</v>
      </c>
      <c r="L217" s="5">
        <f>IF(VLOOKUP($B217,Table2[[prolific]:[feedbackTime]],13,FALSE)=VLOOKUP(L$1,Table1[],2,FALSE),1,0)</f>
        <v>0</v>
      </c>
      <c r="M217" s="5">
        <f>IF(VLOOKUP($B217,Table2[[prolific]:[feedbackTime]],14,FALSE)=VLOOKUP(M$1,Table1[],2,FALSE),1,0)</f>
        <v>0</v>
      </c>
      <c r="N217" s="5">
        <f t="shared" si="99"/>
        <v>2</v>
      </c>
      <c r="O217" s="7">
        <f t="shared" si="100"/>
        <v>0.33333333333333331</v>
      </c>
      <c r="P217" s="5">
        <f>IF(VLOOKUP($B217,Table2[[prolific]:[feedbackTime]],15,FALSE)=VLOOKUP(P$1,Table1[],2,FALSE),1,0)</f>
        <v>1</v>
      </c>
      <c r="Q217" s="5">
        <f>IF(VLOOKUP($B217,Table2[[prolific]:[feedbackTime]],16,FALSE)=VLOOKUP(Q$1,Table1[],2,FALSE),1,0)</f>
        <v>1</v>
      </c>
      <c r="R217" s="5">
        <f>IF(VLOOKUP($B217,Table2[[prolific]:[feedbackTime]],17,FALSE)=VLOOKUP(R$1,Table1[],2,FALSE),1,0)</f>
        <v>0</v>
      </c>
      <c r="S217" s="5">
        <f>IF(VLOOKUP($B217,Table2[[prolific]:[feedbackTime]],18,FALSE)=VLOOKUP(S$1,Table1[],2,FALSE),1,0)</f>
        <v>1</v>
      </c>
      <c r="T217" s="5">
        <f>IF(VLOOKUP($B217,Table2[[prolific]:[feedbackTime]],19,FALSE)=VLOOKUP(T$1,Table1[],2,FALSE),1,0)</f>
        <v>1</v>
      </c>
      <c r="U217" s="5">
        <f>IF(VLOOKUP($B217,Table2[[prolific]:[feedbackTime]],20,FALSE)=VLOOKUP(U$1,Table1[],2,FALSE),1,0)</f>
        <v>1</v>
      </c>
      <c r="V217" s="5">
        <f>IF(VLOOKUP($B217,Table2[[prolific]:[feedbackTime]],21,FALSE)=VLOOKUP(V$1,Table1[],2,FALSE),1,0)</f>
        <v>1</v>
      </c>
      <c r="W217" s="5">
        <f>IF(VLOOKUP($B217,Table2[[prolific]:[feedbackTime]],22,FALSE)=VLOOKUP(W$1,Table1[],2,FALSE),1,0)</f>
        <v>1</v>
      </c>
      <c r="X217" s="5">
        <f t="shared" si="101"/>
        <v>7</v>
      </c>
      <c r="Y217" s="7">
        <f t="shared" si="102"/>
        <v>0.875</v>
      </c>
      <c r="Z217" s="5">
        <f>IF(VLOOKUP($B217,Table2[[prolific]:[feedbackTime]],23,FALSE)=VLOOKUP(Z$1,Table1[],2,FALSE),1,0)</f>
        <v>0</v>
      </c>
      <c r="AA217" s="5">
        <f>IF(VLOOKUP($B217,Table2[[prolific]:[feedbackTime]],24,FALSE)=VLOOKUP(AA$1,Table1[],2,FALSE),1,0)</f>
        <v>0</v>
      </c>
      <c r="AB217" s="5">
        <f>IF(VLOOKUP($B217,Table2[[prolific]:[feedbackTime]],25,FALSE)=VLOOKUP(AB$1,Table1[],2,FALSE),1,0)</f>
        <v>0</v>
      </c>
      <c r="AC217" s="5">
        <f>IF(VLOOKUP($B217,Table2[[prolific]:[feedbackTime]],26,FALSE)=VLOOKUP(AC$1,Table1[],2,FALSE),1,0)</f>
        <v>0</v>
      </c>
      <c r="AD217" s="5">
        <f>IF(VLOOKUP($B217,Table2[[prolific]:[feedbackTime]],27,FALSE)=VLOOKUP(AD$1,Table1[],2,FALSE),1,0)</f>
        <v>0</v>
      </c>
      <c r="AE217" s="5">
        <f>IF(VLOOKUP($B217,Table2[[prolific]:[feedbackTime]],28,FALSE)=VLOOKUP(AE$1,Table1[],2,FALSE),1,0)</f>
        <v>0</v>
      </c>
      <c r="AF217" s="5">
        <f>IF(VLOOKUP($B217,Table2[[prolific]:[feedbackTime]],29,FALSE)=VLOOKUP(AF$1,Table1[],2,FALSE),1,0)</f>
        <v>0</v>
      </c>
      <c r="AG217" s="5">
        <f>IF(VLOOKUP($B217,Table2[[prolific]:[feedbackTime]],30,FALSE)=VLOOKUP(AG$1,Table1[],2,FALSE),1,0)</f>
        <v>1</v>
      </c>
      <c r="AH217" s="5">
        <f t="shared" si="103"/>
        <v>1</v>
      </c>
      <c r="AI217" s="7">
        <f t="shared" si="104"/>
        <v>0.125</v>
      </c>
      <c r="AJ217" s="7">
        <f t="shared" si="105"/>
        <v>0.45454545454545453</v>
      </c>
      <c r="AK217" s="5">
        <f t="shared" si="106"/>
        <v>10</v>
      </c>
    </row>
    <row r="218" spans="1:37" x14ac:dyDescent="0.25">
      <c r="A218">
        <f t="shared" si="86"/>
        <v>1</v>
      </c>
      <c r="B218" s="5" t="s">
        <v>1134</v>
      </c>
      <c r="C218" s="5">
        <f>IF(VLOOKUP($B218,Table2[[prolific]:[feedbackTime]],6,FALSE)=VLOOKUP(C$1,Table1[],2,FALSE),1,0)</f>
        <v>1</v>
      </c>
      <c r="D218" s="5">
        <f>IF(VLOOKUP($B218,Table2[[prolific]:[feedbackTime]],7,FALSE)=VLOOKUP(D$1,Table1[],2,FALSE),1,0)</f>
        <v>1</v>
      </c>
      <c r="E218" s="5">
        <f>IF(VLOOKUP($B218,Table2[[prolific]:[feedbackTime]],8,FALSE)=VLOOKUP(E$1,Table1[],2,FALSE),1,0)</f>
        <v>1</v>
      </c>
      <c r="F218" s="5">
        <f t="shared" si="97"/>
        <v>3</v>
      </c>
      <c r="G218" s="7">
        <f t="shared" si="98"/>
        <v>1</v>
      </c>
      <c r="H218" s="5">
        <f>IF(VLOOKUP($B218,Table2[[prolific]:[feedbackTime]],9,FALSE)=VLOOKUP(H$1,Table1[],2,FALSE),1,0)</f>
        <v>1</v>
      </c>
      <c r="I218" s="5">
        <f>IF(VLOOKUP($B218,Table2[[prolific]:[feedbackTime]],10,FALSE)=VLOOKUP(I$1,Table1[],2,FALSE),1,0)</f>
        <v>0</v>
      </c>
      <c r="J218" s="5">
        <f>IF(VLOOKUP($B218,Table2[[prolific]:[feedbackTime]],11,FALSE)=VLOOKUP(J$1,Table1[],2,FALSE),1,0)</f>
        <v>0</v>
      </c>
      <c r="K218" s="5">
        <f>IF(VLOOKUP($B218,Table2[[prolific]:[feedbackTime]],12,FALSE)=VLOOKUP(K$1,Table1[],2,FALSE),1,0)</f>
        <v>1</v>
      </c>
      <c r="L218" s="5">
        <f>IF(VLOOKUP($B218,Table2[[prolific]:[feedbackTime]],13,FALSE)=VLOOKUP(L$1,Table1[],2,FALSE),1,0)</f>
        <v>0</v>
      </c>
      <c r="M218" s="5">
        <f>IF(VLOOKUP($B218,Table2[[prolific]:[feedbackTime]],14,FALSE)=VLOOKUP(M$1,Table1[],2,FALSE),1,0)</f>
        <v>1</v>
      </c>
      <c r="N218" s="5">
        <f t="shared" si="99"/>
        <v>3</v>
      </c>
      <c r="O218" s="7">
        <f t="shared" si="100"/>
        <v>0.5</v>
      </c>
      <c r="P218" s="5">
        <f>IF(VLOOKUP($B218,Table2[[prolific]:[feedbackTime]],15,FALSE)=VLOOKUP(P$1,Table1[],2,FALSE),1,0)</f>
        <v>1</v>
      </c>
      <c r="Q218" s="5">
        <f>IF(VLOOKUP($B218,Table2[[prolific]:[feedbackTime]],16,FALSE)=VLOOKUP(Q$1,Table1[],2,FALSE),1,0)</f>
        <v>1</v>
      </c>
      <c r="R218" s="5">
        <f>IF(VLOOKUP($B218,Table2[[prolific]:[feedbackTime]],17,FALSE)=VLOOKUP(R$1,Table1[],2,FALSE),1,0)</f>
        <v>0</v>
      </c>
      <c r="S218" s="5">
        <f>IF(VLOOKUP($B218,Table2[[prolific]:[feedbackTime]],18,FALSE)=VLOOKUP(S$1,Table1[],2,FALSE),1,0)</f>
        <v>0</v>
      </c>
      <c r="T218" s="5">
        <f>IF(VLOOKUP($B218,Table2[[prolific]:[feedbackTime]],19,FALSE)=VLOOKUP(T$1,Table1[],2,FALSE),1,0)</f>
        <v>1</v>
      </c>
      <c r="U218" s="5">
        <f>IF(VLOOKUP($B218,Table2[[prolific]:[feedbackTime]],20,FALSE)=VLOOKUP(U$1,Table1[],2,FALSE),1,0)</f>
        <v>1</v>
      </c>
      <c r="V218" s="5">
        <f>IF(VLOOKUP($B218,Table2[[prolific]:[feedbackTime]],21,FALSE)=VLOOKUP(V$1,Table1[],2,FALSE),1,0)</f>
        <v>0</v>
      </c>
      <c r="W218" s="5">
        <f>IF(VLOOKUP($B218,Table2[[prolific]:[feedbackTime]],22,FALSE)=VLOOKUP(W$1,Table1[],2,FALSE),1,0)</f>
        <v>1</v>
      </c>
      <c r="X218" s="5">
        <f t="shared" si="101"/>
        <v>5</v>
      </c>
      <c r="Y218" s="7">
        <f t="shared" si="102"/>
        <v>0.625</v>
      </c>
      <c r="Z218" s="5">
        <f>IF(VLOOKUP($B218,Table2[[prolific]:[feedbackTime]],23,FALSE)=VLOOKUP(Z$1,Table1[],2,FALSE),1,0)</f>
        <v>1</v>
      </c>
      <c r="AA218" s="5">
        <f>IF(VLOOKUP($B218,Table2[[prolific]:[feedbackTime]],24,FALSE)=VLOOKUP(AA$1,Table1[],2,FALSE),1,0)</f>
        <v>0</v>
      </c>
      <c r="AB218" s="5">
        <f>IF(VLOOKUP($B218,Table2[[prolific]:[feedbackTime]],25,FALSE)=VLOOKUP(AB$1,Table1[],2,FALSE),1,0)</f>
        <v>0</v>
      </c>
      <c r="AC218" s="5">
        <f>IF(VLOOKUP($B218,Table2[[prolific]:[feedbackTime]],26,FALSE)=VLOOKUP(AC$1,Table1[],2,FALSE),1,0)</f>
        <v>1</v>
      </c>
      <c r="AD218" s="5">
        <f>IF(VLOOKUP($B218,Table2[[prolific]:[feedbackTime]],27,FALSE)=VLOOKUP(AD$1,Table1[],2,FALSE),1,0)</f>
        <v>1</v>
      </c>
      <c r="AE218" s="5">
        <f>IF(VLOOKUP($B218,Table2[[prolific]:[feedbackTime]],28,FALSE)=VLOOKUP(AE$1,Table1[],2,FALSE),1,0)</f>
        <v>1</v>
      </c>
      <c r="AF218" s="5">
        <f>IF(VLOOKUP($B218,Table2[[prolific]:[feedbackTime]],29,FALSE)=VLOOKUP(AF$1,Table1[],2,FALSE),1,0)</f>
        <v>1</v>
      </c>
      <c r="AG218" s="5">
        <f>IF(VLOOKUP($B218,Table2[[prolific]:[feedbackTime]],30,FALSE)=VLOOKUP(AG$1,Table1[],2,FALSE),1,0)</f>
        <v>1</v>
      </c>
      <c r="AH218" s="5">
        <f t="shared" si="103"/>
        <v>6</v>
      </c>
      <c r="AI218" s="7">
        <f t="shared" si="104"/>
        <v>0.75</v>
      </c>
      <c r="AJ218" s="7">
        <f t="shared" si="105"/>
        <v>0.63636363636363635</v>
      </c>
      <c r="AK218" s="5">
        <f t="shared" si="106"/>
        <v>14</v>
      </c>
    </row>
    <row r="219" spans="1:37" x14ac:dyDescent="0.25">
      <c r="A219">
        <f t="shared" si="86"/>
        <v>1</v>
      </c>
      <c r="B219" s="5" t="s">
        <v>1135</v>
      </c>
      <c r="C219" s="5">
        <f>IF(VLOOKUP($B219,Table2[[prolific]:[feedbackTime]],6,FALSE)=VLOOKUP(C$1,Table1[],2,FALSE),1,0)</f>
        <v>1</v>
      </c>
      <c r="D219" s="5">
        <f>IF(VLOOKUP($B219,Table2[[prolific]:[feedbackTime]],7,FALSE)=VLOOKUP(D$1,Table1[],2,FALSE),1,0)</f>
        <v>1</v>
      </c>
      <c r="E219" s="5">
        <f>IF(VLOOKUP($B219,Table2[[prolific]:[feedbackTime]],8,FALSE)=VLOOKUP(E$1,Table1[],2,FALSE),1,0)</f>
        <v>1</v>
      </c>
      <c r="F219" s="5">
        <f t="shared" si="97"/>
        <v>3</v>
      </c>
      <c r="G219" s="7">
        <f t="shared" si="98"/>
        <v>1</v>
      </c>
      <c r="H219" s="5">
        <f>IF(VLOOKUP($B219,Table2[[prolific]:[feedbackTime]],9,FALSE)=VLOOKUP(H$1,Table1[],2,FALSE),1,0)</f>
        <v>1</v>
      </c>
      <c r="I219" s="5">
        <f>IF(VLOOKUP($B219,Table2[[prolific]:[feedbackTime]],10,FALSE)=VLOOKUP(I$1,Table1[],2,FALSE),1,0)</f>
        <v>1</v>
      </c>
      <c r="J219" s="5">
        <f>IF(VLOOKUP($B219,Table2[[prolific]:[feedbackTime]],11,FALSE)=VLOOKUP(J$1,Table1[],2,FALSE),1,0)</f>
        <v>0</v>
      </c>
      <c r="K219" s="5">
        <f>IF(VLOOKUP($B219,Table2[[prolific]:[feedbackTime]],12,FALSE)=VLOOKUP(K$1,Table1[],2,FALSE),1,0)</f>
        <v>1</v>
      </c>
      <c r="L219" s="5">
        <f>IF(VLOOKUP($B219,Table2[[prolific]:[feedbackTime]],13,FALSE)=VLOOKUP(L$1,Table1[],2,FALSE),1,0)</f>
        <v>0</v>
      </c>
      <c r="M219" s="5">
        <f>IF(VLOOKUP($B219,Table2[[prolific]:[feedbackTime]],14,FALSE)=VLOOKUP(M$1,Table1[],2,FALSE),1,0)</f>
        <v>0</v>
      </c>
      <c r="N219" s="5">
        <f t="shared" si="99"/>
        <v>3</v>
      </c>
      <c r="O219" s="7">
        <f t="shared" si="100"/>
        <v>0.5</v>
      </c>
      <c r="P219" s="5">
        <f>IF(VLOOKUP($B219,Table2[[prolific]:[feedbackTime]],15,FALSE)=VLOOKUP(P$1,Table1[],2,FALSE),1,0)</f>
        <v>1</v>
      </c>
      <c r="Q219" s="5">
        <f>IF(VLOOKUP($B219,Table2[[prolific]:[feedbackTime]],16,FALSE)=VLOOKUP(Q$1,Table1[],2,FALSE),1,0)</f>
        <v>1</v>
      </c>
      <c r="R219" s="5">
        <f>IF(VLOOKUP($B219,Table2[[prolific]:[feedbackTime]],17,FALSE)=VLOOKUP(R$1,Table1[],2,FALSE),1,0)</f>
        <v>0</v>
      </c>
      <c r="S219" s="5">
        <f>IF(VLOOKUP($B219,Table2[[prolific]:[feedbackTime]],18,FALSE)=VLOOKUP(S$1,Table1[],2,FALSE),1,0)</f>
        <v>0</v>
      </c>
      <c r="T219" s="5">
        <f>IF(VLOOKUP($B219,Table2[[prolific]:[feedbackTime]],19,FALSE)=VLOOKUP(T$1,Table1[],2,FALSE),1,0)</f>
        <v>1</v>
      </c>
      <c r="U219" s="5">
        <f>IF(VLOOKUP($B219,Table2[[prolific]:[feedbackTime]],20,FALSE)=VLOOKUP(U$1,Table1[],2,FALSE),1,0)</f>
        <v>1</v>
      </c>
      <c r="V219" s="5">
        <f>IF(VLOOKUP($B219,Table2[[prolific]:[feedbackTime]],21,FALSE)=VLOOKUP(V$1,Table1[],2,FALSE),1,0)</f>
        <v>1</v>
      </c>
      <c r="W219" s="5">
        <f>IF(VLOOKUP($B219,Table2[[prolific]:[feedbackTime]],22,FALSE)=VLOOKUP(W$1,Table1[],2,FALSE),1,0)</f>
        <v>1</v>
      </c>
      <c r="X219" s="5">
        <f t="shared" si="101"/>
        <v>6</v>
      </c>
      <c r="Y219" s="7">
        <f t="shared" si="102"/>
        <v>0.75</v>
      </c>
      <c r="Z219" s="5">
        <f>IF(VLOOKUP($B219,Table2[[prolific]:[feedbackTime]],23,FALSE)=VLOOKUP(Z$1,Table1[],2,FALSE),1,0)</f>
        <v>1</v>
      </c>
      <c r="AA219" s="5">
        <f>IF(VLOOKUP($B219,Table2[[prolific]:[feedbackTime]],24,FALSE)=VLOOKUP(AA$1,Table1[],2,FALSE),1,0)</f>
        <v>0</v>
      </c>
      <c r="AB219" s="5">
        <f>IF(VLOOKUP($B219,Table2[[prolific]:[feedbackTime]],25,FALSE)=VLOOKUP(AB$1,Table1[],2,FALSE),1,0)</f>
        <v>1</v>
      </c>
      <c r="AC219" s="5">
        <f>IF(VLOOKUP($B219,Table2[[prolific]:[feedbackTime]],26,FALSE)=VLOOKUP(AC$1,Table1[],2,FALSE),1,0)</f>
        <v>1</v>
      </c>
      <c r="AD219" s="5">
        <f>IF(VLOOKUP($B219,Table2[[prolific]:[feedbackTime]],27,FALSE)=VLOOKUP(AD$1,Table1[],2,FALSE),1,0)</f>
        <v>0</v>
      </c>
      <c r="AE219" s="5">
        <f>IF(VLOOKUP($B219,Table2[[prolific]:[feedbackTime]],28,FALSE)=VLOOKUP(AE$1,Table1[],2,FALSE),1,0)</f>
        <v>1</v>
      </c>
      <c r="AF219" s="5">
        <f>IF(VLOOKUP($B219,Table2[[prolific]:[feedbackTime]],29,FALSE)=VLOOKUP(AF$1,Table1[],2,FALSE),1,0)</f>
        <v>1</v>
      </c>
      <c r="AG219" s="5">
        <f>IF(VLOOKUP($B219,Table2[[prolific]:[feedbackTime]],30,FALSE)=VLOOKUP(AG$1,Table1[],2,FALSE),1,0)</f>
        <v>1</v>
      </c>
      <c r="AH219" s="5">
        <f t="shared" si="103"/>
        <v>6</v>
      </c>
      <c r="AI219" s="7">
        <f t="shared" si="104"/>
        <v>0.75</v>
      </c>
      <c r="AJ219" s="7">
        <f t="shared" si="105"/>
        <v>0.68181818181818177</v>
      </c>
      <c r="AK219" s="5">
        <f t="shared" si="106"/>
        <v>15</v>
      </c>
    </row>
    <row r="220" spans="1:37" x14ac:dyDescent="0.25">
      <c r="A220">
        <f t="shared" si="86"/>
        <v>1</v>
      </c>
      <c r="B220" s="5" t="s">
        <v>1136</v>
      </c>
      <c r="C220" s="5">
        <f>IF(VLOOKUP($B220,Table2[[prolific]:[feedbackTime]],6,FALSE)=VLOOKUP(C$1,Table1[],2,FALSE),1,0)</f>
        <v>1</v>
      </c>
      <c r="D220" s="5">
        <f>IF(VLOOKUP($B220,Table2[[prolific]:[feedbackTime]],7,FALSE)=VLOOKUP(D$1,Table1[],2,FALSE),1,0)</f>
        <v>1</v>
      </c>
      <c r="E220" s="5">
        <f>IF(VLOOKUP($B220,Table2[[prolific]:[feedbackTime]],8,FALSE)=VLOOKUP(E$1,Table1[],2,FALSE),1,0)</f>
        <v>1</v>
      </c>
      <c r="F220" s="5">
        <f t="shared" si="97"/>
        <v>3</v>
      </c>
      <c r="G220" s="7">
        <f t="shared" si="98"/>
        <v>1</v>
      </c>
      <c r="H220" s="5">
        <f>IF(VLOOKUP($B220,Table2[[prolific]:[feedbackTime]],9,FALSE)=VLOOKUP(H$1,Table1[],2,FALSE),1,0)</f>
        <v>1</v>
      </c>
      <c r="I220" s="5">
        <f>IF(VLOOKUP($B220,Table2[[prolific]:[feedbackTime]],10,FALSE)=VLOOKUP(I$1,Table1[],2,FALSE),1,0)</f>
        <v>1</v>
      </c>
      <c r="J220" s="5">
        <f>IF(VLOOKUP($B220,Table2[[prolific]:[feedbackTime]],11,FALSE)=VLOOKUP(J$1,Table1[],2,FALSE),1,0)</f>
        <v>1</v>
      </c>
      <c r="K220" s="5">
        <f>IF(VLOOKUP($B220,Table2[[prolific]:[feedbackTime]],12,FALSE)=VLOOKUP(K$1,Table1[],2,FALSE),1,0)</f>
        <v>0</v>
      </c>
      <c r="L220" s="5">
        <f>IF(VLOOKUP($B220,Table2[[prolific]:[feedbackTime]],13,FALSE)=VLOOKUP(L$1,Table1[],2,FALSE),1,0)</f>
        <v>0</v>
      </c>
      <c r="M220" s="5">
        <f>IF(VLOOKUP($B220,Table2[[prolific]:[feedbackTime]],14,FALSE)=VLOOKUP(M$1,Table1[],2,FALSE),1,0)</f>
        <v>0</v>
      </c>
      <c r="N220" s="5">
        <f t="shared" si="99"/>
        <v>3</v>
      </c>
      <c r="O220" s="7">
        <f t="shared" si="100"/>
        <v>0.5</v>
      </c>
      <c r="P220" s="5">
        <f>IF(VLOOKUP($B220,Table2[[prolific]:[feedbackTime]],15,FALSE)=VLOOKUP(P$1,Table1[],2,FALSE),1,0)</f>
        <v>1</v>
      </c>
      <c r="Q220" s="5">
        <f>IF(VLOOKUP($B220,Table2[[prolific]:[feedbackTime]],16,FALSE)=VLOOKUP(Q$1,Table1[],2,FALSE),1,0)</f>
        <v>1</v>
      </c>
      <c r="R220" s="5">
        <f>IF(VLOOKUP($B220,Table2[[prolific]:[feedbackTime]],17,FALSE)=VLOOKUP(R$1,Table1[],2,FALSE),1,0)</f>
        <v>1</v>
      </c>
      <c r="S220" s="5">
        <f>IF(VLOOKUP($B220,Table2[[prolific]:[feedbackTime]],18,FALSE)=VLOOKUP(S$1,Table1[],2,FALSE),1,0)</f>
        <v>1</v>
      </c>
      <c r="T220" s="5">
        <f>IF(VLOOKUP($B220,Table2[[prolific]:[feedbackTime]],19,FALSE)=VLOOKUP(T$1,Table1[],2,FALSE),1,0)</f>
        <v>1</v>
      </c>
      <c r="U220" s="5">
        <f>IF(VLOOKUP($B220,Table2[[prolific]:[feedbackTime]],20,FALSE)=VLOOKUP(U$1,Table1[],2,FALSE),1,0)</f>
        <v>1</v>
      </c>
      <c r="V220" s="5">
        <f>IF(VLOOKUP($B220,Table2[[prolific]:[feedbackTime]],21,FALSE)=VLOOKUP(V$1,Table1[],2,FALSE),1,0)</f>
        <v>0</v>
      </c>
      <c r="W220" s="5">
        <f>IF(VLOOKUP($B220,Table2[[prolific]:[feedbackTime]],22,FALSE)=VLOOKUP(W$1,Table1[],2,FALSE),1,0)</f>
        <v>0</v>
      </c>
      <c r="X220" s="5">
        <f t="shared" si="101"/>
        <v>6</v>
      </c>
      <c r="Y220" s="7">
        <f t="shared" si="102"/>
        <v>0.75</v>
      </c>
      <c r="Z220" s="5">
        <f>IF(VLOOKUP($B220,Table2[[prolific]:[feedbackTime]],23,FALSE)=VLOOKUP(Z$1,Table1[],2,FALSE),1,0)</f>
        <v>1</v>
      </c>
      <c r="AA220" s="5">
        <f>IF(VLOOKUP($B220,Table2[[prolific]:[feedbackTime]],24,FALSE)=VLOOKUP(AA$1,Table1[],2,FALSE),1,0)</f>
        <v>0</v>
      </c>
      <c r="AB220" s="5">
        <f>IF(VLOOKUP($B220,Table2[[prolific]:[feedbackTime]],25,FALSE)=VLOOKUP(AB$1,Table1[],2,FALSE),1,0)</f>
        <v>1</v>
      </c>
      <c r="AC220" s="5">
        <f>IF(VLOOKUP($B220,Table2[[prolific]:[feedbackTime]],26,FALSE)=VLOOKUP(AC$1,Table1[],2,FALSE),1,0)</f>
        <v>1</v>
      </c>
      <c r="AD220" s="5">
        <f>IF(VLOOKUP($B220,Table2[[prolific]:[feedbackTime]],27,FALSE)=VLOOKUP(AD$1,Table1[],2,FALSE),1,0)</f>
        <v>0</v>
      </c>
      <c r="AE220" s="5">
        <f>IF(VLOOKUP($B220,Table2[[prolific]:[feedbackTime]],28,FALSE)=VLOOKUP(AE$1,Table1[],2,FALSE),1,0)</f>
        <v>1</v>
      </c>
      <c r="AF220" s="5">
        <f>IF(VLOOKUP($B220,Table2[[prolific]:[feedbackTime]],29,FALSE)=VLOOKUP(AF$1,Table1[],2,FALSE),1,0)</f>
        <v>1</v>
      </c>
      <c r="AG220" s="5">
        <f>IF(VLOOKUP($B220,Table2[[prolific]:[feedbackTime]],30,FALSE)=VLOOKUP(AG$1,Table1[],2,FALSE),1,0)</f>
        <v>1</v>
      </c>
      <c r="AH220" s="5">
        <f t="shared" si="103"/>
        <v>6</v>
      </c>
      <c r="AI220" s="7">
        <f t="shared" si="104"/>
        <v>0.75</v>
      </c>
      <c r="AJ220" s="7">
        <f t="shared" si="105"/>
        <v>0.68181818181818177</v>
      </c>
      <c r="AK220" s="5">
        <f t="shared" si="106"/>
        <v>15</v>
      </c>
    </row>
    <row r="221" spans="1:37" x14ac:dyDescent="0.25">
      <c r="A221">
        <f t="shared" si="86"/>
        <v>1</v>
      </c>
      <c r="B221" s="5" t="s">
        <v>1137</v>
      </c>
      <c r="C221" s="5">
        <f>IF(VLOOKUP($B221,Table2[[prolific]:[feedbackTime]],6,FALSE)=VLOOKUP(C$1,Table1[],2,FALSE),1,0)</f>
        <v>1</v>
      </c>
      <c r="D221" s="5">
        <f>IF(VLOOKUP($B221,Table2[[prolific]:[feedbackTime]],7,FALSE)=VLOOKUP(D$1,Table1[],2,FALSE),1,0)</f>
        <v>1</v>
      </c>
      <c r="E221" s="5">
        <f>IF(VLOOKUP($B221,Table2[[prolific]:[feedbackTime]],8,FALSE)=VLOOKUP(E$1,Table1[],2,FALSE),1,0)</f>
        <v>1</v>
      </c>
      <c r="F221" s="5">
        <f t="shared" si="97"/>
        <v>3</v>
      </c>
      <c r="G221" s="7">
        <f t="shared" si="98"/>
        <v>1</v>
      </c>
      <c r="H221" s="5">
        <f>IF(VLOOKUP($B221,Table2[[prolific]:[feedbackTime]],9,FALSE)=VLOOKUP(H$1,Table1[],2,FALSE),1,0)</f>
        <v>1</v>
      </c>
      <c r="I221" s="5">
        <f>IF(VLOOKUP($B221,Table2[[prolific]:[feedbackTime]],10,FALSE)=VLOOKUP(I$1,Table1[],2,FALSE),1,0)</f>
        <v>1</v>
      </c>
      <c r="J221" s="5">
        <f>IF(VLOOKUP($B221,Table2[[prolific]:[feedbackTime]],11,FALSE)=VLOOKUP(J$1,Table1[],2,FALSE),1,0)</f>
        <v>0</v>
      </c>
      <c r="K221" s="5">
        <f>IF(VLOOKUP($B221,Table2[[prolific]:[feedbackTime]],12,FALSE)=VLOOKUP(K$1,Table1[],2,FALSE),1,0)</f>
        <v>1</v>
      </c>
      <c r="L221" s="5">
        <f>IF(VLOOKUP($B221,Table2[[prolific]:[feedbackTime]],13,FALSE)=VLOOKUP(L$1,Table1[],2,FALSE),1,0)</f>
        <v>0</v>
      </c>
      <c r="M221" s="5">
        <f>IF(VLOOKUP($B221,Table2[[prolific]:[feedbackTime]],14,FALSE)=VLOOKUP(M$1,Table1[],2,FALSE),1,0)</f>
        <v>0</v>
      </c>
      <c r="N221" s="5">
        <f t="shared" si="99"/>
        <v>3</v>
      </c>
      <c r="O221" s="7">
        <f t="shared" si="100"/>
        <v>0.5</v>
      </c>
      <c r="P221" s="5">
        <f>IF(VLOOKUP($B221,Table2[[prolific]:[feedbackTime]],15,FALSE)=VLOOKUP(P$1,Table1[],2,FALSE),1,0)</f>
        <v>1</v>
      </c>
      <c r="Q221" s="5">
        <f>IF(VLOOKUP($B221,Table2[[prolific]:[feedbackTime]],16,FALSE)=VLOOKUP(Q$1,Table1[],2,FALSE),1,0)</f>
        <v>1</v>
      </c>
      <c r="R221" s="5">
        <f>IF(VLOOKUP($B221,Table2[[prolific]:[feedbackTime]],17,FALSE)=VLOOKUP(R$1,Table1[],2,FALSE),1,0)</f>
        <v>1</v>
      </c>
      <c r="S221" s="5">
        <f>IF(VLOOKUP($B221,Table2[[prolific]:[feedbackTime]],18,FALSE)=VLOOKUP(S$1,Table1[],2,FALSE),1,0)</f>
        <v>1</v>
      </c>
      <c r="T221" s="5">
        <f>IF(VLOOKUP($B221,Table2[[prolific]:[feedbackTime]],19,FALSE)=VLOOKUP(T$1,Table1[],2,FALSE),1,0)</f>
        <v>1</v>
      </c>
      <c r="U221" s="5">
        <f>IF(VLOOKUP($B221,Table2[[prolific]:[feedbackTime]],20,FALSE)=VLOOKUP(U$1,Table1[],2,FALSE),1,0)</f>
        <v>1</v>
      </c>
      <c r="V221" s="5">
        <f>IF(VLOOKUP($B221,Table2[[prolific]:[feedbackTime]],21,FALSE)=VLOOKUP(V$1,Table1[],2,FALSE),1,0)</f>
        <v>0</v>
      </c>
      <c r="W221" s="5">
        <f>IF(VLOOKUP($B221,Table2[[prolific]:[feedbackTime]],22,FALSE)=VLOOKUP(W$1,Table1[],2,FALSE),1,0)</f>
        <v>0</v>
      </c>
      <c r="X221" s="5">
        <f t="shared" si="101"/>
        <v>6</v>
      </c>
      <c r="Y221" s="7">
        <f t="shared" si="102"/>
        <v>0.75</v>
      </c>
      <c r="Z221" s="5">
        <f>IF(VLOOKUP($B221,Table2[[prolific]:[feedbackTime]],23,FALSE)=VLOOKUP(Z$1,Table1[],2,FALSE),1,0)</f>
        <v>1</v>
      </c>
      <c r="AA221" s="5">
        <f>IF(VLOOKUP($B221,Table2[[prolific]:[feedbackTime]],24,FALSE)=VLOOKUP(AA$1,Table1[],2,FALSE),1,0)</f>
        <v>0</v>
      </c>
      <c r="AB221" s="5">
        <f>IF(VLOOKUP($B221,Table2[[prolific]:[feedbackTime]],25,FALSE)=VLOOKUP(AB$1,Table1[],2,FALSE),1,0)</f>
        <v>1</v>
      </c>
      <c r="AC221" s="5">
        <f>IF(VLOOKUP($B221,Table2[[prolific]:[feedbackTime]],26,FALSE)=VLOOKUP(AC$1,Table1[],2,FALSE),1,0)</f>
        <v>1</v>
      </c>
      <c r="AD221" s="5">
        <f>IF(VLOOKUP($B221,Table2[[prolific]:[feedbackTime]],27,FALSE)=VLOOKUP(AD$1,Table1[],2,FALSE),1,0)</f>
        <v>1</v>
      </c>
      <c r="AE221" s="5">
        <f>IF(VLOOKUP($B221,Table2[[prolific]:[feedbackTime]],28,FALSE)=VLOOKUP(AE$1,Table1[],2,FALSE),1,0)</f>
        <v>1</v>
      </c>
      <c r="AF221" s="5">
        <f>IF(VLOOKUP($B221,Table2[[prolific]:[feedbackTime]],29,FALSE)=VLOOKUP(AF$1,Table1[],2,FALSE),1,0)</f>
        <v>1</v>
      </c>
      <c r="AG221" s="5">
        <f>IF(VLOOKUP($B221,Table2[[prolific]:[feedbackTime]],30,FALSE)=VLOOKUP(AG$1,Table1[],2,FALSE),1,0)</f>
        <v>1</v>
      </c>
      <c r="AH221" s="5">
        <f t="shared" si="103"/>
        <v>7</v>
      </c>
      <c r="AI221" s="7">
        <f t="shared" si="104"/>
        <v>0.875</v>
      </c>
      <c r="AJ221" s="7">
        <f t="shared" si="105"/>
        <v>0.72727272727272729</v>
      </c>
      <c r="AK221" s="5">
        <f t="shared" si="106"/>
        <v>16</v>
      </c>
    </row>
    <row r="222" spans="1:37" x14ac:dyDescent="0.25">
      <c r="A222">
        <f t="shared" si="86"/>
        <v>1</v>
      </c>
      <c r="B222" s="5" t="s">
        <v>1138</v>
      </c>
      <c r="C222" s="5">
        <f>IF(VLOOKUP($B222,Table2[[prolific]:[feedbackTime]],6,FALSE)=VLOOKUP(C$1,Table1[],2,FALSE),1,0)</f>
        <v>1</v>
      </c>
      <c r="D222" s="5">
        <f>IF(VLOOKUP($B222,Table2[[prolific]:[feedbackTime]],7,FALSE)=VLOOKUP(D$1,Table1[],2,FALSE),1,0)</f>
        <v>1</v>
      </c>
      <c r="E222" s="5">
        <f>IF(VLOOKUP($B222,Table2[[prolific]:[feedbackTime]],8,FALSE)=VLOOKUP(E$1,Table1[],2,FALSE),1,0)</f>
        <v>1</v>
      </c>
      <c r="F222" s="5">
        <f t="shared" si="97"/>
        <v>3</v>
      </c>
      <c r="G222" s="7">
        <f t="shared" si="98"/>
        <v>1</v>
      </c>
      <c r="H222" s="5">
        <f>IF(VLOOKUP($B222,Table2[[prolific]:[feedbackTime]],9,FALSE)=VLOOKUP(H$1,Table1[],2,FALSE),1,0)</f>
        <v>1</v>
      </c>
      <c r="I222" s="5">
        <f>IF(VLOOKUP($B222,Table2[[prolific]:[feedbackTime]],10,FALSE)=VLOOKUP(I$1,Table1[],2,FALSE),1,0)</f>
        <v>1</v>
      </c>
      <c r="J222" s="5">
        <f>IF(VLOOKUP($B222,Table2[[prolific]:[feedbackTime]],11,FALSE)=VLOOKUP(J$1,Table1[],2,FALSE),1,0)</f>
        <v>1</v>
      </c>
      <c r="K222" s="5">
        <f>IF(VLOOKUP($B222,Table2[[prolific]:[feedbackTime]],12,FALSE)=VLOOKUP(K$1,Table1[],2,FALSE),1,0)</f>
        <v>1</v>
      </c>
      <c r="L222" s="5">
        <f>IF(VLOOKUP($B222,Table2[[prolific]:[feedbackTime]],13,FALSE)=VLOOKUP(L$1,Table1[],2,FALSE),1,0)</f>
        <v>1</v>
      </c>
      <c r="M222" s="5">
        <f>IF(VLOOKUP($B222,Table2[[prolific]:[feedbackTime]],14,FALSE)=VLOOKUP(M$1,Table1[],2,FALSE),1,0)</f>
        <v>1</v>
      </c>
      <c r="N222" s="5">
        <f t="shared" si="99"/>
        <v>6</v>
      </c>
      <c r="O222" s="7">
        <f t="shared" si="100"/>
        <v>1</v>
      </c>
      <c r="P222" s="5">
        <f>IF(VLOOKUP($B222,Table2[[prolific]:[feedbackTime]],15,FALSE)=VLOOKUP(P$1,Table1[],2,FALSE),1,0)</f>
        <v>1</v>
      </c>
      <c r="Q222" s="5">
        <f>IF(VLOOKUP($B222,Table2[[prolific]:[feedbackTime]],16,FALSE)=VLOOKUP(Q$1,Table1[],2,FALSE),1,0)</f>
        <v>1</v>
      </c>
      <c r="R222" s="5">
        <f>IF(VLOOKUP($B222,Table2[[prolific]:[feedbackTime]],17,FALSE)=VLOOKUP(R$1,Table1[],2,FALSE),1,0)</f>
        <v>1</v>
      </c>
      <c r="S222" s="5">
        <f>IF(VLOOKUP($B222,Table2[[prolific]:[feedbackTime]],18,FALSE)=VLOOKUP(S$1,Table1[],2,FALSE),1,0)</f>
        <v>1</v>
      </c>
      <c r="T222" s="5">
        <f>IF(VLOOKUP($B222,Table2[[prolific]:[feedbackTime]],19,FALSE)=VLOOKUP(T$1,Table1[],2,FALSE),1,0)</f>
        <v>1</v>
      </c>
      <c r="U222" s="5">
        <f>IF(VLOOKUP($B222,Table2[[prolific]:[feedbackTime]],20,FALSE)=VLOOKUP(U$1,Table1[],2,FALSE),1,0)</f>
        <v>1</v>
      </c>
      <c r="V222" s="5">
        <f>IF(VLOOKUP($B222,Table2[[prolific]:[feedbackTime]],21,FALSE)=VLOOKUP(V$1,Table1[],2,FALSE),1,0)</f>
        <v>1</v>
      </c>
      <c r="W222" s="5">
        <f>IF(VLOOKUP($B222,Table2[[prolific]:[feedbackTime]],22,FALSE)=VLOOKUP(W$1,Table1[],2,FALSE),1,0)</f>
        <v>1</v>
      </c>
      <c r="X222" s="5">
        <f t="shared" si="101"/>
        <v>8</v>
      </c>
      <c r="Y222" s="7">
        <f t="shared" si="102"/>
        <v>1</v>
      </c>
      <c r="Z222" s="5">
        <f>IF(VLOOKUP($B222,Table2[[prolific]:[feedbackTime]],23,FALSE)=VLOOKUP(Z$1,Table1[],2,FALSE),1,0)</f>
        <v>1</v>
      </c>
      <c r="AA222" s="5">
        <f>IF(VLOOKUP($B222,Table2[[prolific]:[feedbackTime]],24,FALSE)=VLOOKUP(AA$1,Table1[],2,FALSE),1,0)</f>
        <v>1</v>
      </c>
      <c r="AB222" s="5">
        <f>IF(VLOOKUP($B222,Table2[[prolific]:[feedbackTime]],25,FALSE)=VLOOKUP(AB$1,Table1[],2,FALSE),1,0)</f>
        <v>1</v>
      </c>
      <c r="AC222" s="5">
        <f>IF(VLOOKUP($B222,Table2[[prolific]:[feedbackTime]],26,FALSE)=VLOOKUP(AC$1,Table1[],2,FALSE),1,0)</f>
        <v>1</v>
      </c>
      <c r="AD222" s="5">
        <f>IF(VLOOKUP($B222,Table2[[prolific]:[feedbackTime]],27,FALSE)=VLOOKUP(AD$1,Table1[],2,FALSE),1,0)</f>
        <v>0</v>
      </c>
      <c r="AE222" s="5">
        <f>IF(VLOOKUP($B222,Table2[[prolific]:[feedbackTime]],28,FALSE)=VLOOKUP(AE$1,Table1[],2,FALSE),1,0)</f>
        <v>1</v>
      </c>
      <c r="AF222" s="5">
        <f>IF(VLOOKUP($B222,Table2[[prolific]:[feedbackTime]],29,FALSE)=VLOOKUP(AF$1,Table1[],2,FALSE),1,0)</f>
        <v>1</v>
      </c>
      <c r="AG222" s="5">
        <f>IF(VLOOKUP($B222,Table2[[prolific]:[feedbackTime]],30,FALSE)=VLOOKUP(AG$1,Table1[],2,FALSE),1,0)</f>
        <v>1</v>
      </c>
      <c r="AH222" s="5">
        <f t="shared" si="103"/>
        <v>7</v>
      </c>
      <c r="AI222" s="7">
        <f t="shared" si="104"/>
        <v>0.875</v>
      </c>
      <c r="AJ222" s="7">
        <f t="shared" si="105"/>
        <v>0.95454545454545459</v>
      </c>
      <c r="AK222" s="5">
        <f t="shared" si="106"/>
        <v>21</v>
      </c>
    </row>
    <row r="223" spans="1:37" x14ac:dyDescent="0.25">
      <c r="A223">
        <f t="shared" si="86"/>
        <v>1</v>
      </c>
      <c r="B223" s="5" t="s">
        <v>1139</v>
      </c>
      <c r="C223" s="5">
        <f>IF(VLOOKUP($B223,Table2[[prolific]:[feedbackTime]],6,FALSE)=VLOOKUP(C$1,Table1[],2,FALSE),1,0)</f>
        <v>1</v>
      </c>
      <c r="D223" s="5">
        <f>IF(VLOOKUP($B223,Table2[[prolific]:[feedbackTime]],7,FALSE)=VLOOKUP(D$1,Table1[],2,FALSE),1,0)</f>
        <v>1</v>
      </c>
      <c r="E223" s="5">
        <f>IF(VLOOKUP($B223,Table2[[prolific]:[feedbackTime]],8,FALSE)=VLOOKUP(E$1,Table1[],2,FALSE),1,0)</f>
        <v>1</v>
      </c>
      <c r="F223" s="5">
        <f t="shared" si="97"/>
        <v>3</v>
      </c>
      <c r="G223" s="7">
        <f t="shared" si="98"/>
        <v>1</v>
      </c>
      <c r="H223" s="5">
        <f>IF(VLOOKUP($B223,Table2[[prolific]:[feedbackTime]],9,FALSE)=VLOOKUP(H$1,Table1[],2,FALSE),1,0)</f>
        <v>1</v>
      </c>
      <c r="I223" s="5">
        <f>IF(VLOOKUP($B223,Table2[[prolific]:[feedbackTime]],10,FALSE)=VLOOKUP(I$1,Table1[],2,FALSE),1,0)</f>
        <v>1</v>
      </c>
      <c r="J223" s="5">
        <f>IF(VLOOKUP($B223,Table2[[prolific]:[feedbackTime]],11,FALSE)=VLOOKUP(J$1,Table1[],2,FALSE),1,0)</f>
        <v>1</v>
      </c>
      <c r="K223" s="5">
        <f>IF(VLOOKUP($B223,Table2[[prolific]:[feedbackTime]],12,FALSE)=VLOOKUP(K$1,Table1[],2,FALSE),1,0)</f>
        <v>1</v>
      </c>
      <c r="L223" s="5">
        <f>IF(VLOOKUP($B223,Table2[[prolific]:[feedbackTime]],13,FALSE)=VLOOKUP(L$1,Table1[],2,FALSE),1,0)</f>
        <v>1</v>
      </c>
      <c r="M223" s="5">
        <f>IF(VLOOKUP($B223,Table2[[prolific]:[feedbackTime]],14,FALSE)=VLOOKUP(M$1,Table1[],2,FALSE),1,0)</f>
        <v>1</v>
      </c>
      <c r="N223" s="5">
        <f t="shared" si="99"/>
        <v>6</v>
      </c>
      <c r="O223" s="7">
        <f t="shared" si="100"/>
        <v>1</v>
      </c>
      <c r="P223" s="5">
        <f>IF(VLOOKUP($B223,Table2[[prolific]:[feedbackTime]],15,FALSE)=VLOOKUP(P$1,Table1[],2,FALSE),1,0)</f>
        <v>1</v>
      </c>
      <c r="Q223" s="5">
        <f>IF(VLOOKUP($B223,Table2[[prolific]:[feedbackTime]],16,FALSE)=VLOOKUP(Q$1,Table1[],2,FALSE),1,0)</f>
        <v>1</v>
      </c>
      <c r="R223" s="5">
        <f>IF(VLOOKUP($B223,Table2[[prolific]:[feedbackTime]],17,FALSE)=VLOOKUP(R$1,Table1[],2,FALSE),1,0)</f>
        <v>0</v>
      </c>
      <c r="S223" s="5">
        <f>IF(VLOOKUP($B223,Table2[[prolific]:[feedbackTime]],18,FALSE)=VLOOKUP(S$1,Table1[],2,FALSE),1,0)</f>
        <v>1</v>
      </c>
      <c r="T223" s="5">
        <f>IF(VLOOKUP($B223,Table2[[prolific]:[feedbackTime]],19,FALSE)=VLOOKUP(T$1,Table1[],2,FALSE),1,0)</f>
        <v>1</v>
      </c>
      <c r="U223" s="5">
        <f>IF(VLOOKUP($B223,Table2[[prolific]:[feedbackTime]],20,FALSE)=VLOOKUP(U$1,Table1[],2,FALSE),1,0)</f>
        <v>0</v>
      </c>
      <c r="V223" s="5">
        <f>IF(VLOOKUP($B223,Table2[[prolific]:[feedbackTime]],21,FALSE)=VLOOKUP(V$1,Table1[],2,FALSE),1,0)</f>
        <v>0</v>
      </c>
      <c r="W223" s="5">
        <f>IF(VLOOKUP($B223,Table2[[prolific]:[feedbackTime]],22,FALSE)=VLOOKUP(W$1,Table1[],2,FALSE),1,0)</f>
        <v>1</v>
      </c>
      <c r="X223" s="5">
        <f t="shared" si="101"/>
        <v>5</v>
      </c>
      <c r="Y223" s="7">
        <f t="shared" si="102"/>
        <v>0.625</v>
      </c>
      <c r="Z223" s="5">
        <f>IF(VLOOKUP($B223,Table2[[prolific]:[feedbackTime]],23,FALSE)=VLOOKUP(Z$1,Table1[],2,FALSE),1,0)</f>
        <v>1</v>
      </c>
      <c r="AA223" s="5">
        <f>IF(VLOOKUP($B223,Table2[[prolific]:[feedbackTime]],24,FALSE)=VLOOKUP(AA$1,Table1[],2,FALSE),1,0)</f>
        <v>0</v>
      </c>
      <c r="AB223" s="5">
        <f>IF(VLOOKUP($B223,Table2[[prolific]:[feedbackTime]],25,FALSE)=VLOOKUP(AB$1,Table1[],2,FALSE),1,0)</f>
        <v>0</v>
      </c>
      <c r="AC223" s="5">
        <f>IF(VLOOKUP($B223,Table2[[prolific]:[feedbackTime]],26,FALSE)=VLOOKUP(AC$1,Table1[],2,FALSE),1,0)</f>
        <v>1</v>
      </c>
      <c r="AD223" s="5">
        <f>IF(VLOOKUP($B223,Table2[[prolific]:[feedbackTime]],27,FALSE)=VLOOKUP(AD$1,Table1[],2,FALSE),1,0)</f>
        <v>0</v>
      </c>
      <c r="AE223" s="5">
        <f>IF(VLOOKUP($B223,Table2[[prolific]:[feedbackTime]],28,FALSE)=VLOOKUP(AE$1,Table1[],2,FALSE),1,0)</f>
        <v>1</v>
      </c>
      <c r="AF223" s="5">
        <f>IF(VLOOKUP($B223,Table2[[prolific]:[feedbackTime]],29,FALSE)=VLOOKUP(AF$1,Table1[],2,FALSE),1,0)</f>
        <v>1</v>
      </c>
      <c r="AG223" s="5">
        <f>IF(VLOOKUP($B223,Table2[[prolific]:[feedbackTime]],30,FALSE)=VLOOKUP(AG$1,Table1[],2,FALSE),1,0)</f>
        <v>1</v>
      </c>
      <c r="AH223" s="5">
        <f t="shared" si="103"/>
        <v>5</v>
      </c>
      <c r="AI223" s="7">
        <f t="shared" si="104"/>
        <v>0.625</v>
      </c>
      <c r="AJ223" s="7">
        <f t="shared" si="105"/>
        <v>0.72727272727272729</v>
      </c>
      <c r="AK223" s="5">
        <f t="shared" si="106"/>
        <v>16</v>
      </c>
    </row>
    <row r="224" spans="1:37" x14ac:dyDescent="0.25">
      <c r="A224">
        <f t="shared" si="86"/>
        <v>1</v>
      </c>
      <c r="B224" s="5" t="s">
        <v>1140</v>
      </c>
      <c r="C224" s="5">
        <f>IF(VLOOKUP($B224,Table2[[prolific]:[feedbackTime]],6,FALSE)=VLOOKUP(C$1,Table1[],2,FALSE),1,0)</f>
        <v>1</v>
      </c>
      <c r="D224" s="5">
        <f>IF(VLOOKUP($B224,Table2[[prolific]:[feedbackTime]],7,FALSE)=VLOOKUP(D$1,Table1[],2,FALSE),1,0)</f>
        <v>1</v>
      </c>
      <c r="E224" s="5">
        <f>IF(VLOOKUP($B224,Table2[[prolific]:[feedbackTime]],8,FALSE)=VLOOKUP(E$1,Table1[],2,FALSE),1,0)</f>
        <v>1</v>
      </c>
      <c r="F224" s="5">
        <f t="shared" si="97"/>
        <v>3</v>
      </c>
      <c r="G224" s="7">
        <f t="shared" si="98"/>
        <v>1</v>
      </c>
      <c r="H224" s="5">
        <f>IF(VLOOKUP($B224,Table2[[prolific]:[feedbackTime]],9,FALSE)=VLOOKUP(H$1,Table1[],2,FALSE),1,0)</f>
        <v>1</v>
      </c>
      <c r="I224" s="5">
        <f>IF(VLOOKUP($B224,Table2[[prolific]:[feedbackTime]],10,FALSE)=VLOOKUP(I$1,Table1[],2,FALSE),1,0)</f>
        <v>0</v>
      </c>
      <c r="J224" s="5">
        <f>IF(VLOOKUP($B224,Table2[[prolific]:[feedbackTime]],11,FALSE)=VLOOKUP(J$1,Table1[],2,FALSE),1,0)</f>
        <v>0</v>
      </c>
      <c r="K224" s="5">
        <f>IF(VLOOKUP($B224,Table2[[prolific]:[feedbackTime]],12,FALSE)=VLOOKUP(K$1,Table1[],2,FALSE),1,0)</f>
        <v>0</v>
      </c>
      <c r="L224" s="5">
        <f>IF(VLOOKUP($B224,Table2[[prolific]:[feedbackTime]],13,FALSE)=VLOOKUP(L$1,Table1[],2,FALSE),1,0)</f>
        <v>1</v>
      </c>
      <c r="M224" s="5">
        <f>IF(VLOOKUP($B224,Table2[[prolific]:[feedbackTime]],14,FALSE)=VLOOKUP(M$1,Table1[],2,FALSE),1,0)</f>
        <v>1</v>
      </c>
      <c r="N224" s="5">
        <f t="shared" si="99"/>
        <v>3</v>
      </c>
      <c r="O224" s="7">
        <f t="shared" si="100"/>
        <v>0.5</v>
      </c>
      <c r="P224" s="5">
        <f>IF(VLOOKUP($B224,Table2[[prolific]:[feedbackTime]],15,FALSE)=VLOOKUP(P$1,Table1[],2,FALSE),1,0)</f>
        <v>0</v>
      </c>
      <c r="Q224" s="5">
        <f>IF(VLOOKUP($B224,Table2[[prolific]:[feedbackTime]],16,FALSE)=VLOOKUP(Q$1,Table1[],2,FALSE),1,0)</f>
        <v>0</v>
      </c>
      <c r="R224" s="5">
        <f>IF(VLOOKUP($B224,Table2[[prolific]:[feedbackTime]],17,FALSE)=VLOOKUP(R$1,Table1[],2,FALSE),1,0)</f>
        <v>1</v>
      </c>
      <c r="S224" s="5">
        <f>IF(VLOOKUP($B224,Table2[[prolific]:[feedbackTime]],18,FALSE)=VLOOKUP(S$1,Table1[],2,FALSE),1,0)</f>
        <v>0</v>
      </c>
      <c r="T224" s="5">
        <f>IF(VLOOKUP($B224,Table2[[prolific]:[feedbackTime]],19,FALSE)=VLOOKUP(T$1,Table1[],2,FALSE),1,0)</f>
        <v>0</v>
      </c>
      <c r="U224" s="5">
        <f>IF(VLOOKUP($B224,Table2[[prolific]:[feedbackTime]],20,FALSE)=VLOOKUP(U$1,Table1[],2,FALSE),1,0)</f>
        <v>0</v>
      </c>
      <c r="V224" s="5">
        <f>IF(VLOOKUP($B224,Table2[[prolific]:[feedbackTime]],21,FALSE)=VLOOKUP(V$1,Table1[],2,FALSE),1,0)</f>
        <v>0</v>
      </c>
      <c r="W224" s="5">
        <f>IF(VLOOKUP($B224,Table2[[prolific]:[feedbackTime]],22,FALSE)=VLOOKUP(W$1,Table1[],2,FALSE),1,0)</f>
        <v>0</v>
      </c>
      <c r="X224" s="5">
        <f t="shared" si="101"/>
        <v>1</v>
      </c>
      <c r="Y224" s="7">
        <f t="shared" si="102"/>
        <v>0.125</v>
      </c>
      <c r="Z224" s="5">
        <f>IF(VLOOKUP($B224,Table2[[prolific]:[feedbackTime]],23,FALSE)=VLOOKUP(Z$1,Table1[],2,FALSE),1,0)</f>
        <v>1</v>
      </c>
      <c r="AA224" s="5">
        <f>IF(VLOOKUP($B224,Table2[[prolific]:[feedbackTime]],24,FALSE)=VLOOKUP(AA$1,Table1[],2,FALSE),1,0)</f>
        <v>0</v>
      </c>
      <c r="AB224" s="5">
        <f>IF(VLOOKUP($B224,Table2[[prolific]:[feedbackTime]],25,FALSE)=VLOOKUP(AB$1,Table1[],2,FALSE),1,0)</f>
        <v>0</v>
      </c>
      <c r="AC224" s="5">
        <f>IF(VLOOKUP($B224,Table2[[prolific]:[feedbackTime]],26,FALSE)=VLOOKUP(AC$1,Table1[],2,FALSE),1,0)</f>
        <v>0</v>
      </c>
      <c r="AD224" s="5">
        <f>IF(VLOOKUP($B224,Table2[[prolific]:[feedbackTime]],27,FALSE)=VLOOKUP(AD$1,Table1[],2,FALSE),1,0)</f>
        <v>1</v>
      </c>
      <c r="AE224" s="5">
        <f>IF(VLOOKUP($B224,Table2[[prolific]:[feedbackTime]],28,FALSE)=VLOOKUP(AE$1,Table1[],2,FALSE),1,0)</f>
        <v>1</v>
      </c>
      <c r="AF224" s="5">
        <f>IF(VLOOKUP($B224,Table2[[prolific]:[feedbackTime]],29,FALSE)=VLOOKUP(AF$1,Table1[],2,FALSE),1,0)</f>
        <v>1</v>
      </c>
      <c r="AG224" s="5">
        <f>IF(VLOOKUP($B224,Table2[[prolific]:[feedbackTime]],30,FALSE)=VLOOKUP(AG$1,Table1[],2,FALSE),1,0)</f>
        <v>1</v>
      </c>
      <c r="AH224" s="5">
        <f t="shared" si="103"/>
        <v>5</v>
      </c>
      <c r="AI224" s="7">
        <f t="shared" si="104"/>
        <v>0.625</v>
      </c>
      <c r="AJ224" s="7">
        <f t="shared" si="105"/>
        <v>0.40909090909090912</v>
      </c>
      <c r="AK224" s="5">
        <f t="shared" si="106"/>
        <v>9</v>
      </c>
    </row>
    <row r="225" spans="1:37" x14ac:dyDescent="0.25">
      <c r="A225">
        <f t="shared" si="86"/>
        <v>1</v>
      </c>
      <c r="B225" s="5" t="s">
        <v>1141</v>
      </c>
      <c r="C225" s="5">
        <f>IF(VLOOKUP($B225,Table2[[prolific]:[feedbackTime]],6,FALSE)=VLOOKUP(C$1,Table1[],2,FALSE),1,0)</f>
        <v>1</v>
      </c>
      <c r="D225" s="5">
        <f>IF(VLOOKUP($B225,Table2[[prolific]:[feedbackTime]],7,FALSE)=VLOOKUP(D$1,Table1[],2,FALSE),1,0)</f>
        <v>1</v>
      </c>
      <c r="E225" s="5">
        <f>IF(VLOOKUP($B225,Table2[[prolific]:[feedbackTime]],8,FALSE)=VLOOKUP(E$1,Table1[],2,FALSE),1,0)</f>
        <v>1</v>
      </c>
      <c r="F225" s="5">
        <f t="shared" si="97"/>
        <v>3</v>
      </c>
      <c r="G225" s="7">
        <f t="shared" si="98"/>
        <v>1</v>
      </c>
      <c r="H225" s="5">
        <f>IF(VLOOKUP($B225,Table2[[prolific]:[feedbackTime]],9,FALSE)=VLOOKUP(H$1,Table1[],2,FALSE),1,0)</f>
        <v>1</v>
      </c>
      <c r="I225" s="5">
        <f>IF(VLOOKUP($B225,Table2[[prolific]:[feedbackTime]],10,FALSE)=VLOOKUP(I$1,Table1[],2,FALSE),1,0)</f>
        <v>0</v>
      </c>
      <c r="J225" s="5">
        <f>IF(VLOOKUP($B225,Table2[[prolific]:[feedbackTime]],11,FALSE)=VLOOKUP(J$1,Table1[],2,FALSE),1,0)</f>
        <v>1</v>
      </c>
      <c r="K225" s="5">
        <f>IF(VLOOKUP($B225,Table2[[prolific]:[feedbackTime]],12,FALSE)=VLOOKUP(K$1,Table1[],2,FALSE),1,0)</f>
        <v>1</v>
      </c>
      <c r="L225" s="5">
        <f>IF(VLOOKUP($B225,Table2[[prolific]:[feedbackTime]],13,FALSE)=VLOOKUP(L$1,Table1[],2,FALSE),1,0)</f>
        <v>0</v>
      </c>
      <c r="M225" s="5">
        <f>IF(VLOOKUP($B225,Table2[[prolific]:[feedbackTime]],14,FALSE)=VLOOKUP(M$1,Table1[],2,FALSE),1,0)</f>
        <v>1</v>
      </c>
      <c r="N225" s="5">
        <f t="shared" si="99"/>
        <v>4</v>
      </c>
      <c r="O225" s="7">
        <f t="shared" si="100"/>
        <v>0.66666666666666663</v>
      </c>
      <c r="P225" s="5">
        <f>IF(VLOOKUP($B225,Table2[[prolific]:[feedbackTime]],15,FALSE)=VLOOKUP(P$1,Table1[],2,FALSE),1,0)</f>
        <v>1</v>
      </c>
      <c r="Q225" s="5">
        <f>IF(VLOOKUP($B225,Table2[[prolific]:[feedbackTime]],16,FALSE)=VLOOKUP(Q$1,Table1[],2,FALSE),1,0)</f>
        <v>1</v>
      </c>
      <c r="R225" s="5">
        <f>IF(VLOOKUP($B225,Table2[[prolific]:[feedbackTime]],17,FALSE)=VLOOKUP(R$1,Table1[],2,FALSE),1,0)</f>
        <v>0</v>
      </c>
      <c r="S225" s="5">
        <f>IF(VLOOKUP($B225,Table2[[prolific]:[feedbackTime]],18,FALSE)=VLOOKUP(S$1,Table1[],2,FALSE),1,0)</f>
        <v>1</v>
      </c>
      <c r="T225" s="5">
        <f>IF(VLOOKUP($B225,Table2[[prolific]:[feedbackTime]],19,FALSE)=VLOOKUP(T$1,Table1[],2,FALSE),1,0)</f>
        <v>1</v>
      </c>
      <c r="U225" s="5">
        <f>IF(VLOOKUP($B225,Table2[[prolific]:[feedbackTime]],20,FALSE)=VLOOKUP(U$1,Table1[],2,FALSE),1,0)</f>
        <v>1</v>
      </c>
      <c r="V225" s="5">
        <f>IF(VLOOKUP($B225,Table2[[prolific]:[feedbackTime]],21,FALSE)=VLOOKUP(V$1,Table1[],2,FALSE),1,0)</f>
        <v>0</v>
      </c>
      <c r="W225" s="5">
        <f>IF(VLOOKUP($B225,Table2[[prolific]:[feedbackTime]],22,FALSE)=VLOOKUP(W$1,Table1[],2,FALSE),1,0)</f>
        <v>1</v>
      </c>
      <c r="X225" s="5">
        <f t="shared" si="101"/>
        <v>6</v>
      </c>
      <c r="Y225" s="7">
        <f t="shared" si="102"/>
        <v>0.75</v>
      </c>
      <c r="Z225" s="5">
        <f>IF(VLOOKUP($B225,Table2[[prolific]:[feedbackTime]],23,FALSE)=VLOOKUP(Z$1,Table1[],2,FALSE),1,0)</f>
        <v>1</v>
      </c>
      <c r="AA225" s="5">
        <f>IF(VLOOKUP($B225,Table2[[prolific]:[feedbackTime]],24,FALSE)=VLOOKUP(AA$1,Table1[],2,FALSE),1,0)</f>
        <v>0</v>
      </c>
      <c r="AB225" s="5">
        <f>IF(VLOOKUP($B225,Table2[[prolific]:[feedbackTime]],25,FALSE)=VLOOKUP(AB$1,Table1[],2,FALSE),1,0)</f>
        <v>1</v>
      </c>
      <c r="AC225" s="5">
        <f>IF(VLOOKUP($B225,Table2[[prolific]:[feedbackTime]],26,FALSE)=VLOOKUP(AC$1,Table1[],2,FALSE),1,0)</f>
        <v>1</v>
      </c>
      <c r="AD225" s="5">
        <f>IF(VLOOKUP($B225,Table2[[prolific]:[feedbackTime]],27,FALSE)=VLOOKUP(AD$1,Table1[],2,FALSE),1,0)</f>
        <v>0</v>
      </c>
      <c r="AE225" s="5">
        <f>IF(VLOOKUP($B225,Table2[[prolific]:[feedbackTime]],28,FALSE)=VLOOKUP(AE$1,Table1[],2,FALSE),1,0)</f>
        <v>0</v>
      </c>
      <c r="AF225" s="5">
        <f>IF(VLOOKUP($B225,Table2[[prolific]:[feedbackTime]],29,FALSE)=VLOOKUP(AF$1,Table1[],2,FALSE),1,0)</f>
        <v>1</v>
      </c>
      <c r="AG225" s="5">
        <f>IF(VLOOKUP($B225,Table2[[prolific]:[feedbackTime]],30,FALSE)=VLOOKUP(AG$1,Table1[],2,FALSE),1,0)</f>
        <v>1</v>
      </c>
      <c r="AH225" s="5">
        <f t="shared" si="103"/>
        <v>5</v>
      </c>
      <c r="AI225" s="7">
        <f t="shared" si="104"/>
        <v>0.625</v>
      </c>
      <c r="AJ225" s="7">
        <f t="shared" si="105"/>
        <v>0.68181818181818177</v>
      </c>
      <c r="AK225" s="5">
        <f t="shared" si="106"/>
        <v>15</v>
      </c>
    </row>
    <row r="226" spans="1:37" x14ac:dyDescent="0.25">
      <c r="A226">
        <f t="shared" si="86"/>
        <v>1</v>
      </c>
      <c r="B226" s="5" t="s">
        <v>1142</v>
      </c>
      <c r="C226" s="5">
        <f>IF(VLOOKUP($B226,Table2[[prolific]:[feedbackTime]],6,FALSE)=VLOOKUP(C$1,Table1[],2,FALSE),1,0)</f>
        <v>1</v>
      </c>
      <c r="D226" s="5">
        <f>IF(VLOOKUP($B226,Table2[[prolific]:[feedbackTime]],7,FALSE)=VLOOKUP(D$1,Table1[],2,FALSE),1,0)</f>
        <v>1</v>
      </c>
      <c r="E226" s="5">
        <f>IF(VLOOKUP($B226,Table2[[prolific]:[feedbackTime]],8,FALSE)=VLOOKUP(E$1,Table1[],2,FALSE),1,0)</f>
        <v>1</v>
      </c>
      <c r="F226" s="5">
        <f t="shared" si="97"/>
        <v>3</v>
      </c>
      <c r="G226" s="7">
        <f t="shared" si="98"/>
        <v>1</v>
      </c>
      <c r="H226" s="5">
        <f>IF(VLOOKUP($B226,Table2[[prolific]:[feedbackTime]],9,FALSE)=VLOOKUP(H$1,Table1[],2,FALSE),1,0)</f>
        <v>1</v>
      </c>
      <c r="I226" s="5">
        <f>IF(VLOOKUP($B226,Table2[[prolific]:[feedbackTime]],10,FALSE)=VLOOKUP(I$1,Table1[],2,FALSE),1,0)</f>
        <v>1</v>
      </c>
      <c r="J226" s="5">
        <f>IF(VLOOKUP($B226,Table2[[prolific]:[feedbackTime]],11,FALSE)=VLOOKUP(J$1,Table1[],2,FALSE),1,0)</f>
        <v>1</v>
      </c>
      <c r="K226" s="5">
        <f>IF(VLOOKUP($B226,Table2[[prolific]:[feedbackTime]],12,FALSE)=VLOOKUP(K$1,Table1[],2,FALSE),1,0)</f>
        <v>1</v>
      </c>
      <c r="L226" s="5">
        <f>IF(VLOOKUP($B226,Table2[[prolific]:[feedbackTime]],13,FALSE)=VLOOKUP(L$1,Table1[],2,FALSE),1,0)</f>
        <v>0</v>
      </c>
      <c r="M226" s="5">
        <f>IF(VLOOKUP($B226,Table2[[prolific]:[feedbackTime]],14,FALSE)=VLOOKUP(M$1,Table1[],2,FALSE),1,0)</f>
        <v>1</v>
      </c>
      <c r="N226" s="5">
        <f t="shared" si="99"/>
        <v>5</v>
      </c>
      <c r="O226" s="7">
        <f t="shared" si="100"/>
        <v>0.83333333333333337</v>
      </c>
      <c r="P226" s="5">
        <f>IF(VLOOKUP($B226,Table2[[prolific]:[feedbackTime]],15,FALSE)=VLOOKUP(P$1,Table1[],2,FALSE),1,0)</f>
        <v>1</v>
      </c>
      <c r="Q226" s="5">
        <f>IF(VLOOKUP($B226,Table2[[prolific]:[feedbackTime]],16,FALSE)=VLOOKUP(Q$1,Table1[],2,FALSE),1,0)</f>
        <v>1</v>
      </c>
      <c r="R226" s="5">
        <f>IF(VLOOKUP($B226,Table2[[prolific]:[feedbackTime]],17,FALSE)=VLOOKUP(R$1,Table1[],2,FALSE),1,0)</f>
        <v>1</v>
      </c>
      <c r="S226" s="5">
        <f>IF(VLOOKUP($B226,Table2[[prolific]:[feedbackTime]],18,FALSE)=VLOOKUP(S$1,Table1[],2,FALSE),1,0)</f>
        <v>1</v>
      </c>
      <c r="T226" s="5">
        <f>IF(VLOOKUP($B226,Table2[[prolific]:[feedbackTime]],19,FALSE)=VLOOKUP(T$1,Table1[],2,FALSE),1,0)</f>
        <v>1</v>
      </c>
      <c r="U226" s="5">
        <f>IF(VLOOKUP($B226,Table2[[prolific]:[feedbackTime]],20,FALSE)=VLOOKUP(U$1,Table1[],2,FALSE),1,0)</f>
        <v>1</v>
      </c>
      <c r="V226" s="5">
        <f>IF(VLOOKUP($B226,Table2[[prolific]:[feedbackTime]],21,FALSE)=VLOOKUP(V$1,Table1[],2,FALSE),1,0)</f>
        <v>0</v>
      </c>
      <c r="W226" s="5">
        <f>IF(VLOOKUP($B226,Table2[[prolific]:[feedbackTime]],22,FALSE)=VLOOKUP(W$1,Table1[],2,FALSE),1,0)</f>
        <v>1</v>
      </c>
      <c r="X226" s="5">
        <f t="shared" si="101"/>
        <v>7</v>
      </c>
      <c r="Y226" s="7">
        <f t="shared" si="102"/>
        <v>0.875</v>
      </c>
      <c r="Z226" s="5">
        <f>IF(VLOOKUP($B226,Table2[[prolific]:[feedbackTime]],23,FALSE)=VLOOKUP(Z$1,Table1[],2,FALSE),1,0)</f>
        <v>1</v>
      </c>
      <c r="AA226" s="5">
        <f>IF(VLOOKUP($B226,Table2[[prolific]:[feedbackTime]],24,FALSE)=VLOOKUP(AA$1,Table1[],2,FALSE),1,0)</f>
        <v>0</v>
      </c>
      <c r="AB226" s="5">
        <f>IF(VLOOKUP($B226,Table2[[prolific]:[feedbackTime]],25,FALSE)=VLOOKUP(AB$1,Table1[],2,FALSE),1,0)</f>
        <v>1</v>
      </c>
      <c r="AC226" s="5">
        <f>IF(VLOOKUP($B226,Table2[[prolific]:[feedbackTime]],26,FALSE)=VLOOKUP(AC$1,Table1[],2,FALSE),1,0)</f>
        <v>1</v>
      </c>
      <c r="AD226" s="5">
        <f>IF(VLOOKUP($B226,Table2[[prolific]:[feedbackTime]],27,FALSE)=VLOOKUP(AD$1,Table1[],2,FALSE),1,0)</f>
        <v>0</v>
      </c>
      <c r="AE226" s="5">
        <f>IF(VLOOKUP($B226,Table2[[prolific]:[feedbackTime]],28,FALSE)=VLOOKUP(AE$1,Table1[],2,FALSE),1,0)</f>
        <v>0</v>
      </c>
      <c r="AF226" s="5">
        <f>IF(VLOOKUP($B226,Table2[[prolific]:[feedbackTime]],29,FALSE)=VLOOKUP(AF$1,Table1[],2,FALSE),1,0)</f>
        <v>1</v>
      </c>
      <c r="AG226" s="5">
        <f>IF(VLOOKUP($B226,Table2[[prolific]:[feedbackTime]],30,FALSE)=VLOOKUP(AG$1,Table1[],2,FALSE),1,0)</f>
        <v>1</v>
      </c>
      <c r="AH226" s="5">
        <f t="shared" si="103"/>
        <v>5</v>
      </c>
      <c r="AI226" s="7">
        <f t="shared" si="104"/>
        <v>0.625</v>
      </c>
      <c r="AJ226" s="7">
        <f t="shared" si="105"/>
        <v>0.77272727272727271</v>
      </c>
      <c r="AK226" s="5">
        <f t="shared" si="106"/>
        <v>17</v>
      </c>
    </row>
    <row r="227" spans="1:37" x14ac:dyDescent="0.25">
      <c r="A227">
        <f t="shared" si="86"/>
        <v>1</v>
      </c>
      <c r="B227" s="5" t="s">
        <v>1143</v>
      </c>
      <c r="C227" s="5">
        <f>IF(VLOOKUP($B227,Table2[[prolific]:[feedbackTime]],6,FALSE)=VLOOKUP(C$1,Table1[],2,FALSE),1,0)</f>
        <v>1</v>
      </c>
      <c r="D227" s="5">
        <f>IF(VLOOKUP($B227,Table2[[prolific]:[feedbackTime]],7,FALSE)=VLOOKUP(D$1,Table1[],2,FALSE),1,0)</f>
        <v>1</v>
      </c>
      <c r="E227" s="5">
        <f>IF(VLOOKUP($B227,Table2[[prolific]:[feedbackTime]],8,FALSE)=VLOOKUP(E$1,Table1[],2,FALSE),1,0)</f>
        <v>1</v>
      </c>
      <c r="F227" s="5">
        <f t="shared" si="97"/>
        <v>3</v>
      </c>
      <c r="G227" s="7">
        <f t="shared" si="98"/>
        <v>1</v>
      </c>
      <c r="H227" s="5">
        <f>IF(VLOOKUP($B227,Table2[[prolific]:[feedbackTime]],9,FALSE)=VLOOKUP(H$1,Table1[],2,FALSE),1,0)</f>
        <v>1</v>
      </c>
      <c r="I227" s="5">
        <f>IF(VLOOKUP($B227,Table2[[prolific]:[feedbackTime]],10,FALSE)=VLOOKUP(I$1,Table1[],2,FALSE),1,0)</f>
        <v>0</v>
      </c>
      <c r="J227" s="5">
        <f>IF(VLOOKUP($B227,Table2[[prolific]:[feedbackTime]],11,FALSE)=VLOOKUP(J$1,Table1[],2,FALSE),1,0)</f>
        <v>1</v>
      </c>
      <c r="K227" s="5">
        <f>IF(VLOOKUP($B227,Table2[[prolific]:[feedbackTime]],12,FALSE)=VLOOKUP(K$1,Table1[],2,FALSE),1,0)</f>
        <v>1</v>
      </c>
      <c r="L227" s="5">
        <f>IF(VLOOKUP($B227,Table2[[prolific]:[feedbackTime]],13,FALSE)=VLOOKUP(L$1,Table1[],2,FALSE),1,0)</f>
        <v>0</v>
      </c>
      <c r="M227" s="5">
        <f>IF(VLOOKUP($B227,Table2[[prolific]:[feedbackTime]],14,FALSE)=VLOOKUP(M$1,Table1[],2,FALSE),1,0)</f>
        <v>0</v>
      </c>
      <c r="N227" s="5">
        <f t="shared" si="99"/>
        <v>3</v>
      </c>
      <c r="O227" s="7">
        <f t="shared" si="100"/>
        <v>0.5</v>
      </c>
      <c r="P227" s="5">
        <f>IF(VLOOKUP($B227,Table2[[prolific]:[feedbackTime]],15,FALSE)=VLOOKUP(P$1,Table1[],2,FALSE),1,0)</f>
        <v>1</v>
      </c>
      <c r="Q227" s="5">
        <f>IF(VLOOKUP($B227,Table2[[prolific]:[feedbackTime]],16,FALSE)=VLOOKUP(Q$1,Table1[],2,FALSE),1,0)</f>
        <v>1</v>
      </c>
      <c r="R227" s="5">
        <f>IF(VLOOKUP($B227,Table2[[prolific]:[feedbackTime]],17,FALSE)=VLOOKUP(R$1,Table1[],2,FALSE),1,0)</f>
        <v>0</v>
      </c>
      <c r="S227" s="5">
        <f>IF(VLOOKUP($B227,Table2[[prolific]:[feedbackTime]],18,FALSE)=VLOOKUP(S$1,Table1[],2,FALSE),1,0)</f>
        <v>1</v>
      </c>
      <c r="T227" s="5">
        <f>IF(VLOOKUP($B227,Table2[[prolific]:[feedbackTime]],19,FALSE)=VLOOKUP(T$1,Table1[],2,FALSE),1,0)</f>
        <v>1</v>
      </c>
      <c r="U227" s="5">
        <f>IF(VLOOKUP($B227,Table2[[prolific]:[feedbackTime]],20,FALSE)=VLOOKUP(U$1,Table1[],2,FALSE),1,0)</f>
        <v>1</v>
      </c>
      <c r="V227" s="5">
        <f>IF(VLOOKUP($B227,Table2[[prolific]:[feedbackTime]],21,FALSE)=VLOOKUP(V$1,Table1[],2,FALSE),1,0)</f>
        <v>0</v>
      </c>
      <c r="W227" s="5">
        <f>IF(VLOOKUP($B227,Table2[[prolific]:[feedbackTime]],22,FALSE)=VLOOKUP(W$1,Table1[],2,FALSE),1,0)</f>
        <v>0</v>
      </c>
      <c r="X227" s="5">
        <f t="shared" si="101"/>
        <v>5</v>
      </c>
      <c r="Y227" s="7">
        <f t="shared" si="102"/>
        <v>0.625</v>
      </c>
      <c r="Z227" s="5">
        <f>IF(VLOOKUP($B227,Table2[[prolific]:[feedbackTime]],23,FALSE)=VLOOKUP(Z$1,Table1[],2,FALSE),1,0)</f>
        <v>1</v>
      </c>
      <c r="AA227" s="5">
        <f>IF(VLOOKUP($B227,Table2[[prolific]:[feedbackTime]],24,FALSE)=VLOOKUP(AA$1,Table1[],2,FALSE),1,0)</f>
        <v>0</v>
      </c>
      <c r="AB227" s="5">
        <f>IF(VLOOKUP($B227,Table2[[prolific]:[feedbackTime]],25,FALSE)=VLOOKUP(AB$1,Table1[],2,FALSE),1,0)</f>
        <v>0</v>
      </c>
      <c r="AC227" s="5">
        <f>IF(VLOOKUP($B227,Table2[[prolific]:[feedbackTime]],26,FALSE)=VLOOKUP(AC$1,Table1[],2,FALSE),1,0)</f>
        <v>1</v>
      </c>
      <c r="AD227" s="5">
        <f>IF(VLOOKUP($B227,Table2[[prolific]:[feedbackTime]],27,FALSE)=VLOOKUP(AD$1,Table1[],2,FALSE),1,0)</f>
        <v>1</v>
      </c>
      <c r="AE227" s="5">
        <f>IF(VLOOKUP($B227,Table2[[prolific]:[feedbackTime]],28,FALSE)=VLOOKUP(AE$1,Table1[],2,FALSE),1,0)</f>
        <v>1</v>
      </c>
      <c r="AF227" s="5">
        <f>IF(VLOOKUP($B227,Table2[[prolific]:[feedbackTime]],29,FALSE)=VLOOKUP(AF$1,Table1[],2,FALSE),1,0)</f>
        <v>1</v>
      </c>
      <c r="AG227" s="5">
        <f>IF(VLOOKUP($B227,Table2[[prolific]:[feedbackTime]],30,FALSE)=VLOOKUP(AG$1,Table1[],2,FALSE),1,0)</f>
        <v>1</v>
      </c>
      <c r="AH227" s="5">
        <f t="shared" si="103"/>
        <v>6</v>
      </c>
      <c r="AI227" s="7">
        <f t="shared" si="104"/>
        <v>0.75</v>
      </c>
      <c r="AJ227" s="7">
        <f t="shared" si="105"/>
        <v>0.63636363636363635</v>
      </c>
      <c r="AK227" s="5">
        <f t="shared" si="106"/>
        <v>14</v>
      </c>
    </row>
    <row r="228" spans="1:37" x14ac:dyDescent="0.25">
      <c r="A228">
        <f t="shared" si="86"/>
        <v>1</v>
      </c>
      <c r="B228" s="5" t="s">
        <v>1144</v>
      </c>
      <c r="C228" s="5">
        <f>IF(VLOOKUP($B228,Table2[[prolific]:[feedbackTime]],6,FALSE)=VLOOKUP(C$1,Table1[],2,FALSE),1,0)</f>
        <v>1</v>
      </c>
      <c r="D228" s="5">
        <f>IF(VLOOKUP($B228,Table2[[prolific]:[feedbackTime]],7,FALSE)=VLOOKUP(D$1,Table1[],2,FALSE),1,0)</f>
        <v>1</v>
      </c>
      <c r="E228" s="5">
        <f>IF(VLOOKUP($B228,Table2[[prolific]:[feedbackTime]],8,FALSE)=VLOOKUP(E$1,Table1[],2,FALSE),1,0)</f>
        <v>1</v>
      </c>
      <c r="F228" s="5">
        <f t="shared" si="97"/>
        <v>3</v>
      </c>
      <c r="G228" s="7">
        <f t="shared" si="98"/>
        <v>1</v>
      </c>
      <c r="H228" s="5">
        <f>IF(VLOOKUP($B228,Table2[[prolific]:[feedbackTime]],9,FALSE)=VLOOKUP(H$1,Table1[],2,FALSE),1,0)</f>
        <v>1</v>
      </c>
      <c r="I228" s="5">
        <f>IF(VLOOKUP($B228,Table2[[prolific]:[feedbackTime]],10,FALSE)=VLOOKUP(I$1,Table1[],2,FALSE),1,0)</f>
        <v>1</v>
      </c>
      <c r="J228" s="5">
        <f>IF(VLOOKUP($B228,Table2[[prolific]:[feedbackTime]],11,FALSE)=VLOOKUP(J$1,Table1[],2,FALSE),1,0)</f>
        <v>1</v>
      </c>
      <c r="K228" s="5">
        <f>IF(VLOOKUP($B228,Table2[[prolific]:[feedbackTime]],12,FALSE)=VLOOKUP(K$1,Table1[],2,FALSE),1,0)</f>
        <v>1</v>
      </c>
      <c r="L228" s="5">
        <f>IF(VLOOKUP($B228,Table2[[prolific]:[feedbackTime]],13,FALSE)=VLOOKUP(L$1,Table1[],2,FALSE),1,0)</f>
        <v>0</v>
      </c>
      <c r="M228" s="5">
        <f>IF(VLOOKUP($B228,Table2[[prolific]:[feedbackTime]],14,FALSE)=VLOOKUP(M$1,Table1[],2,FALSE),1,0)</f>
        <v>0</v>
      </c>
      <c r="N228" s="5">
        <f t="shared" si="99"/>
        <v>4</v>
      </c>
      <c r="O228" s="7">
        <f t="shared" si="100"/>
        <v>0.66666666666666663</v>
      </c>
      <c r="P228" s="5">
        <f>IF(VLOOKUP($B228,Table2[[prolific]:[feedbackTime]],15,FALSE)=VLOOKUP(P$1,Table1[],2,FALSE),1,0)</f>
        <v>1</v>
      </c>
      <c r="Q228" s="5">
        <f>IF(VLOOKUP($B228,Table2[[prolific]:[feedbackTime]],16,FALSE)=VLOOKUP(Q$1,Table1[],2,FALSE),1,0)</f>
        <v>1</v>
      </c>
      <c r="R228" s="5">
        <f>IF(VLOOKUP($B228,Table2[[prolific]:[feedbackTime]],17,FALSE)=VLOOKUP(R$1,Table1[],2,FALSE),1,0)</f>
        <v>1</v>
      </c>
      <c r="S228" s="5">
        <f>IF(VLOOKUP($B228,Table2[[prolific]:[feedbackTime]],18,FALSE)=VLOOKUP(S$1,Table1[],2,FALSE),1,0)</f>
        <v>1</v>
      </c>
      <c r="T228" s="5">
        <f>IF(VLOOKUP($B228,Table2[[prolific]:[feedbackTime]],19,FALSE)=VLOOKUP(T$1,Table1[],2,FALSE),1,0)</f>
        <v>1</v>
      </c>
      <c r="U228" s="5">
        <f>IF(VLOOKUP($B228,Table2[[prolific]:[feedbackTime]],20,FALSE)=VLOOKUP(U$1,Table1[],2,FALSE),1,0)</f>
        <v>1</v>
      </c>
      <c r="V228" s="5">
        <f>IF(VLOOKUP($B228,Table2[[prolific]:[feedbackTime]],21,FALSE)=VLOOKUP(V$1,Table1[],2,FALSE),1,0)</f>
        <v>0</v>
      </c>
      <c r="W228" s="5">
        <f>IF(VLOOKUP($B228,Table2[[prolific]:[feedbackTime]],22,FALSE)=VLOOKUP(W$1,Table1[],2,FALSE),1,0)</f>
        <v>1</v>
      </c>
      <c r="X228" s="5">
        <f t="shared" si="101"/>
        <v>7</v>
      </c>
      <c r="Y228" s="7">
        <f t="shared" si="102"/>
        <v>0.875</v>
      </c>
      <c r="Z228" s="5">
        <f>IF(VLOOKUP($B228,Table2[[prolific]:[feedbackTime]],23,FALSE)=VLOOKUP(Z$1,Table1[],2,FALSE),1,0)</f>
        <v>1</v>
      </c>
      <c r="AA228" s="5">
        <f>IF(VLOOKUP($B228,Table2[[prolific]:[feedbackTime]],24,FALSE)=VLOOKUP(AA$1,Table1[],2,FALSE),1,0)</f>
        <v>0</v>
      </c>
      <c r="AB228" s="5">
        <f>IF(VLOOKUP($B228,Table2[[prolific]:[feedbackTime]],25,FALSE)=VLOOKUP(AB$1,Table1[],2,FALSE),1,0)</f>
        <v>1</v>
      </c>
      <c r="AC228" s="5">
        <f>IF(VLOOKUP($B228,Table2[[prolific]:[feedbackTime]],26,FALSE)=VLOOKUP(AC$1,Table1[],2,FALSE),1,0)</f>
        <v>1</v>
      </c>
      <c r="AD228" s="5">
        <f>IF(VLOOKUP($B228,Table2[[prolific]:[feedbackTime]],27,FALSE)=VLOOKUP(AD$1,Table1[],2,FALSE),1,0)</f>
        <v>0</v>
      </c>
      <c r="AE228" s="5">
        <f>IF(VLOOKUP($B228,Table2[[prolific]:[feedbackTime]],28,FALSE)=VLOOKUP(AE$1,Table1[],2,FALSE),1,0)</f>
        <v>1</v>
      </c>
      <c r="AF228" s="5">
        <f>IF(VLOOKUP($B228,Table2[[prolific]:[feedbackTime]],29,FALSE)=VLOOKUP(AF$1,Table1[],2,FALSE),1,0)</f>
        <v>1</v>
      </c>
      <c r="AG228" s="5">
        <f>IF(VLOOKUP($B228,Table2[[prolific]:[feedbackTime]],30,FALSE)=VLOOKUP(AG$1,Table1[],2,FALSE),1,0)</f>
        <v>1</v>
      </c>
      <c r="AH228" s="5">
        <f t="shared" si="103"/>
        <v>6</v>
      </c>
      <c r="AI228" s="7">
        <f t="shared" si="104"/>
        <v>0.75</v>
      </c>
      <c r="AJ228" s="7">
        <f t="shared" si="105"/>
        <v>0.77272727272727271</v>
      </c>
      <c r="AK228" s="5">
        <f t="shared" si="106"/>
        <v>17</v>
      </c>
    </row>
    <row r="229" spans="1:37" x14ac:dyDescent="0.25">
      <c r="A229">
        <f t="shared" si="86"/>
        <v>1</v>
      </c>
      <c r="B229" s="5" t="s">
        <v>1145</v>
      </c>
      <c r="C229" s="5">
        <f>IF(VLOOKUP($B229,Table2[[prolific]:[feedbackTime]],6,FALSE)=VLOOKUP(C$1,Table1[],2,FALSE),1,0)</f>
        <v>1</v>
      </c>
      <c r="D229" s="5">
        <f>IF(VLOOKUP($B229,Table2[[prolific]:[feedbackTime]],7,FALSE)=VLOOKUP(D$1,Table1[],2,FALSE),1,0)</f>
        <v>1</v>
      </c>
      <c r="E229" s="5">
        <f>IF(VLOOKUP($B229,Table2[[prolific]:[feedbackTime]],8,FALSE)=VLOOKUP(E$1,Table1[],2,FALSE),1,0)</f>
        <v>1</v>
      </c>
      <c r="F229" s="5">
        <f t="shared" si="97"/>
        <v>3</v>
      </c>
      <c r="G229" s="7">
        <f t="shared" si="98"/>
        <v>1</v>
      </c>
      <c r="H229" s="5">
        <f>IF(VLOOKUP($B229,Table2[[prolific]:[feedbackTime]],9,FALSE)=VLOOKUP(H$1,Table1[],2,FALSE),1,0)</f>
        <v>1</v>
      </c>
      <c r="I229" s="5">
        <f>IF(VLOOKUP($B229,Table2[[prolific]:[feedbackTime]],10,FALSE)=VLOOKUP(I$1,Table1[],2,FALSE),1,0)</f>
        <v>1</v>
      </c>
      <c r="J229" s="5">
        <f>IF(VLOOKUP($B229,Table2[[prolific]:[feedbackTime]],11,FALSE)=VLOOKUP(J$1,Table1[],2,FALSE),1,0)</f>
        <v>1</v>
      </c>
      <c r="K229" s="5">
        <f>IF(VLOOKUP($B229,Table2[[prolific]:[feedbackTime]],12,FALSE)=VLOOKUP(K$1,Table1[],2,FALSE),1,0)</f>
        <v>1</v>
      </c>
      <c r="L229" s="5">
        <f>IF(VLOOKUP($B229,Table2[[prolific]:[feedbackTime]],13,FALSE)=VLOOKUP(L$1,Table1[],2,FALSE),1,0)</f>
        <v>1</v>
      </c>
      <c r="M229" s="5">
        <f>IF(VLOOKUP($B229,Table2[[prolific]:[feedbackTime]],14,FALSE)=VLOOKUP(M$1,Table1[],2,FALSE),1,0)</f>
        <v>1</v>
      </c>
      <c r="N229" s="5">
        <f t="shared" si="99"/>
        <v>6</v>
      </c>
      <c r="O229" s="7">
        <f t="shared" si="100"/>
        <v>1</v>
      </c>
      <c r="P229" s="5">
        <f>IF(VLOOKUP($B229,Table2[[prolific]:[feedbackTime]],15,FALSE)=VLOOKUP(P$1,Table1[],2,FALSE),1,0)</f>
        <v>1</v>
      </c>
      <c r="Q229" s="5">
        <f>IF(VLOOKUP($B229,Table2[[prolific]:[feedbackTime]],16,FALSE)=VLOOKUP(Q$1,Table1[],2,FALSE),1,0)</f>
        <v>1</v>
      </c>
      <c r="R229" s="5">
        <f>IF(VLOOKUP($B229,Table2[[prolific]:[feedbackTime]],17,FALSE)=VLOOKUP(R$1,Table1[],2,FALSE),1,0)</f>
        <v>1</v>
      </c>
      <c r="S229" s="5">
        <f>IF(VLOOKUP($B229,Table2[[prolific]:[feedbackTime]],18,FALSE)=VLOOKUP(S$1,Table1[],2,FALSE),1,0)</f>
        <v>1</v>
      </c>
      <c r="T229" s="5">
        <f>IF(VLOOKUP($B229,Table2[[prolific]:[feedbackTime]],19,FALSE)=VLOOKUP(T$1,Table1[],2,FALSE),1,0)</f>
        <v>1</v>
      </c>
      <c r="U229" s="5">
        <f>IF(VLOOKUP($B229,Table2[[prolific]:[feedbackTime]],20,FALSE)=VLOOKUP(U$1,Table1[],2,FALSE),1,0)</f>
        <v>1</v>
      </c>
      <c r="V229" s="5">
        <f>IF(VLOOKUP($B229,Table2[[prolific]:[feedbackTime]],21,FALSE)=VLOOKUP(V$1,Table1[],2,FALSE),1,0)</f>
        <v>1</v>
      </c>
      <c r="W229" s="5">
        <f>IF(VLOOKUP($B229,Table2[[prolific]:[feedbackTime]],22,FALSE)=VLOOKUP(W$1,Table1[],2,FALSE),1,0)</f>
        <v>1</v>
      </c>
      <c r="X229" s="5">
        <f t="shared" si="101"/>
        <v>8</v>
      </c>
      <c r="Y229" s="7">
        <f t="shared" si="102"/>
        <v>1</v>
      </c>
      <c r="Z229" s="5">
        <f>IF(VLOOKUP($B229,Table2[[prolific]:[feedbackTime]],23,FALSE)=VLOOKUP(Z$1,Table1[],2,FALSE),1,0)</f>
        <v>1</v>
      </c>
      <c r="AA229" s="5">
        <f>IF(VLOOKUP($B229,Table2[[prolific]:[feedbackTime]],24,FALSE)=VLOOKUP(AA$1,Table1[],2,FALSE),1,0)</f>
        <v>0</v>
      </c>
      <c r="AB229" s="5">
        <f>IF(VLOOKUP($B229,Table2[[prolific]:[feedbackTime]],25,FALSE)=VLOOKUP(AB$1,Table1[],2,FALSE),1,0)</f>
        <v>0</v>
      </c>
      <c r="AC229" s="5">
        <f>IF(VLOOKUP($B229,Table2[[prolific]:[feedbackTime]],26,FALSE)=VLOOKUP(AC$1,Table1[],2,FALSE),1,0)</f>
        <v>1</v>
      </c>
      <c r="AD229" s="5">
        <f>IF(VLOOKUP($B229,Table2[[prolific]:[feedbackTime]],27,FALSE)=VLOOKUP(AD$1,Table1[],2,FALSE),1,0)</f>
        <v>0</v>
      </c>
      <c r="AE229" s="5">
        <f>IF(VLOOKUP($B229,Table2[[prolific]:[feedbackTime]],28,FALSE)=VLOOKUP(AE$1,Table1[],2,FALSE),1,0)</f>
        <v>1</v>
      </c>
      <c r="AF229" s="5">
        <f>IF(VLOOKUP($B229,Table2[[prolific]:[feedbackTime]],29,FALSE)=VLOOKUP(AF$1,Table1[],2,FALSE),1,0)</f>
        <v>1</v>
      </c>
      <c r="AG229" s="5">
        <f>IF(VLOOKUP($B229,Table2[[prolific]:[feedbackTime]],30,FALSE)=VLOOKUP(AG$1,Table1[],2,FALSE),1,0)</f>
        <v>1</v>
      </c>
      <c r="AH229" s="5">
        <f t="shared" si="103"/>
        <v>5</v>
      </c>
      <c r="AI229" s="7">
        <f t="shared" si="104"/>
        <v>0.625</v>
      </c>
      <c r="AJ229" s="7">
        <f t="shared" si="105"/>
        <v>0.86363636363636365</v>
      </c>
      <c r="AK229" s="5">
        <f t="shared" si="106"/>
        <v>19</v>
      </c>
    </row>
    <row r="230" spans="1:37" x14ac:dyDescent="0.25">
      <c r="A230">
        <f t="shared" si="86"/>
        <v>1</v>
      </c>
      <c r="B230" s="5" t="s">
        <v>1146</v>
      </c>
      <c r="C230" s="5">
        <f>IF(VLOOKUP($B230,Table2[[prolific]:[feedbackTime]],6,FALSE)=VLOOKUP(C$1,Table1[],2,FALSE),1,0)</f>
        <v>1</v>
      </c>
      <c r="D230" s="5">
        <f>IF(VLOOKUP($B230,Table2[[prolific]:[feedbackTime]],7,FALSE)=VLOOKUP(D$1,Table1[],2,FALSE),1,0)</f>
        <v>1</v>
      </c>
      <c r="E230" s="5">
        <f>IF(VLOOKUP($B230,Table2[[prolific]:[feedbackTime]],8,FALSE)=VLOOKUP(E$1,Table1[],2,FALSE),1,0)</f>
        <v>1</v>
      </c>
      <c r="F230" s="5">
        <f t="shared" si="97"/>
        <v>3</v>
      </c>
      <c r="G230" s="7">
        <f t="shared" si="98"/>
        <v>1</v>
      </c>
      <c r="H230" s="5">
        <f>IF(VLOOKUP($B230,Table2[[prolific]:[feedbackTime]],9,FALSE)=VLOOKUP(H$1,Table1[],2,FALSE),1,0)</f>
        <v>1</v>
      </c>
      <c r="I230" s="5">
        <f>IF(VLOOKUP($B230,Table2[[prolific]:[feedbackTime]],10,FALSE)=VLOOKUP(I$1,Table1[],2,FALSE),1,0)</f>
        <v>1</v>
      </c>
      <c r="J230" s="5">
        <f>IF(VLOOKUP($B230,Table2[[prolific]:[feedbackTime]],11,FALSE)=VLOOKUP(J$1,Table1[],2,FALSE),1,0)</f>
        <v>0</v>
      </c>
      <c r="K230" s="5">
        <f>IF(VLOOKUP($B230,Table2[[prolific]:[feedbackTime]],12,FALSE)=VLOOKUP(K$1,Table1[],2,FALSE),1,0)</f>
        <v>1</v>
      </c>
      <c r="L230" s="5">
        <f>IF(VLOOKUP($B230,Table2[[prolific]:[feedbackTime]],13,FALSE)=VLOOKUP(L$1,Table1[],2,FALSE),1,0)</f>
        <v>0</v>
      </c>
      <c r="M230" s="5">
        <f>IF(VLOOKUP($B230,Table2[[prolific]:[feedbackTime]],14,FALSE)=VLOOKUP(M$1,Table1[],2,FALSE),1,0)</f>
        <v>1</v>
      </c>
      <c r="N230" s="5">
        <f t="shared" si="99"/>
        <v>4</v>
      </c>
      <c r="O230" s="7">
        <f t="shared" si="100"/>
        <v>0.66666666666666663</v>
      </c>
      <c r="P230" s="5">
        <f>IF(VLOOKUP($B230,Table2[[prolific]:[feedbackTime]],15,FALSE)=VLOOKUP(P$1,Table1[],2,FALSE),1,0)</f>
        <v>1</v>
      </c>
      <c r="Q230" s="5">
        <f>IF(VLOOKUP($B230,Table2[[prolific]:[feedbackTime]],16,FALSE)=VLOOKUP(Q$1,Table1[],2,FALSE),1,0)</f>
        <v>1</v>
      </c>
      <c r="R230" s="5">
        <f>IF(VLOOKUP($B230,Table2[[prolific]:[feedbackTime]],17,FALSE)=VLOOKUP(R$1,Table1[],2,FALSE),1,0)</f>
        <v>1</v>
      </c>
      <c r="S230" s="5">
        <f>IF(VLOOKUP($B230,Table2[[prolific]:[feedbackTime]],18,FALSE)=VLOOKUP(S$1,Table1[],2,FALSE),1,0)</f>
        <v>1</v>
      </c>
      <c r="T230" s="5">
        <f>IF(VLOOKUP($B230,Table2[[prolific]:[feedbackTime]],19,FALSE)=VLOOKUP(T$1,Table1[],2,FALSE),1,0)</f>
        <v>1</v>
      </c>
      <c r="U230" s="5">
        <f>IF(VLOOKUP($B230,Table2[[prolific]:[feedbackTime]],20,FALSE)=VLOOKUP(U$1,Table1[],2,FALSE),1,0)</f>
        <v>1</v>
      </c>
      <c r="V230" s="5">
        <f>IF(VLOOKUP($B230,Table2[[prolific]:[feedbackTime]],21,FALSE)=VLOOKUP(V$1,Table1[],2,FALSE),1,0)</f>
        <v>1</v>
      </c>
      <c r="W230" s="5">
        <f>IF(VLOOKUP($B230,Table2[[prolific]:[feedbackTime]],22,FALSE)=VLOOKUP(W$1,Table1[],2,FALSE),1,0)</f>
        <v>1</v>
      </c>
      <c r="X230" s="5">
        <f t="shared" si="101"/>
        <v>8</v>
      </c>
      <c r="Y230" s="7">
        <f t="shared" si="102"/>
        <v>1</v>
      </c>
      <c r="Z230" s="5">
        <f>IF(VLOOKUP($B230,Table2[[prolific]:[feedbackTime]],23,FALSE)=VLOOKUP(Z$1,Table1[],2,FALSE),1,0)</f>
        <v>1</v>
      </c>
      <c r="AA230" s="5">
        <f>IF(VLOOKUP($B230,Table2[[prolific]:[feedbackTime]],24,FALSE)=VLOOKUP(AA$1,Table1[],2,FALSE),1,0)</f>
        <v>0</v>
      </c>
      <c r="AB230" s="5">
        <f>IF(VLOOKUP($B230,Table2[[prolific]:[feedbackTime]],25,FALSE)=VLOOKUP(AB$1,Table1[],2,FALSE),1,0)</f>
        <v>1</v>
      </c>
      <c r="AC230" s="5">
        <f>IF(VLOOKUP($B230,Table2[[prolific]:[feedbackTime]],26,FALSE)=VLOOKUP(AC$1,Table1[],2,FALSE),1,0)</f>
        <v>1</v>
      </c>
      <c r="AD230" s="5">
        <f>IF(VLOOKUP($B230,Table2[[prolific]:[feedbackTime]],27,FALSE)=VLOOKUP(AD$1,Table1[],2,FALSE),1,0)</f>
        <v>0</v>
      </c>
      <c r="AE230" s="5">
        <f>IF(VLOOKUP($B230,Table2[[prolific]:[feedbackTime]],28,FALSE)=VLOOKUP(AE$1,Table1[],2,FALSE),1,0)</f>
        <v>1</v>
      </c>
      <c r="AF230" s="5">
        <f>IF(VLOOKUP($B230,Table2[[prolific]:[feedbackTime]],29,FALSE)=VLOOKUP(AF$1,Table1[],2,FALSE),1,0)</f>
        <v>1</v>
      </c>
      <c r="AG230" s="5">
        <f>IF(VLOOKUP($B230,Table2[[prolific]:[feedbackTime]],30,FALSE)=VLOOKUP(AG$1,Table1[],2,FALSE),1,0)</f>
        <v>1</v>
      </c>
      <c r="AH230" s="5">
        <f t="shared" si="103"/>
        <v>6</v>
      </c>
      <c r="AI230" s="7">
        <f t="shared" si="104"/>
        <v>0.75</v>
      </c>
      <c r="AJ230" s="7">
        <f t="shared" si="105"/>
        <v>0.81818181818181823</v>
      </c>
      <c r="AK230" s="5">
        <f t="shared" si="106"/>
        <v>18</v>
      </c>
    </row>
    <row r="231" spans="1:37" x14ac:dyDescent="0.25">
      <c r="A231">
        <f t="shared" si="86"/>
        <v>1</v>
      </c>
      <c r="B231" s="5" t="s">
        <v>1147</v>
      </c>
      <c r="C231" s="5">
        <f>IF(VLOOKUP($B231,Table2[[prolific]:[feedbackTime]],6,FALSE)=VLOOKUP(C$1,Table1[],2,FALSE),1,0)</f>
        <v>1</v>
      </c>
      <c r="D231" s="5">
        <f>IF(VLOOKUP($B231,Table2[[prolific]:[feedbackTime]],7,FALSE)=VLOOKUP(D$1,Table1[],2,FALSE),1,0)</f>
        <v>1</v>
      </c>
      <c r="E231" s="5">
        <f>IF(VLOOKUP($B231,Table2[[prolific]:[feedbackTime]],8,FALSE)=VLOOKUP(E$1,Table1[],2,FALSE),1,0)</f>
        <v>1</v>
      </c>
      <c r="F231" s="5">
        <f t="shared" si="97"/>
        <v>3</v>
      </c>
      <c r="G231" s="7">
        <f t="shared" si="98"/>
        <v>1</v>
      </c>
      <c r="H231" s="5">
        <f>IF(VLOOKUP($B231,Table2[[prolific]:[feedbackTime]],9,FALSE)=VLOOKUP(H$1,Table1[],2,FALSE),1,0)</f>
        <v>1</v>
      </c>
      <c r="I231" s="5">
        <f>IF(VLOOKUP($B231,Table2[[prolific]:[feedbackTime]],10,FALSE)=VLOOKUP(I$1,Table1[],2,FALSE),1,0)</f>
        <v>1</v>
      </c>
      <c r="J231" s="5">
        <f>IF(VLOOKUP($B231,Table2[[prolific]:[feedbackTime]],11,FALSE)=VLOOKUP(J$1,Table1[],2,FALSE),1,0)</f>
        <v>1</v>
      </c>
      <c r="K231" s="5">
        <f>IF(VLOOKUP($B231,Table2[[prolific]:[feedbackTime]],12,FALSE)=VLOOKUP(K$1,Table1[],2,FALSE),1,0)</f>
        <v>1</v>
      </c>
      <c r="L231" s="5">
        <f>IF(VLOOKUP($B231,Table2[[prolific]:[feedbackTime]],13,FALSE)=VLOOKUP(L$1,Table1[],2,FALSE),1,0)</f>
        <v>1</v>
      </c>
      <c r="M231" s="5">
        <f>IF(VLOOKUP($B231,Table2[[prolific]:[feedbackTime]],14,FALSE)=VLOOKUP(M$1,Table1[],2,FALSE),1,0)</f>
        <v>1</v>
      </c>
      <c r="N231" s="5">
        <f t="shared" si="99"/>
        <v>6</v>
      </c>
      <c r="O231" s="7">
        <f t="shared" si="100"/>
        <v>1</v>
      </c>
      <c r="P231" s="5">
        <f>IF(VLOOKUP($B231,Table2[[prolific]:[feedbackTime]],15,FALSE)=VLOOKUP(P$1,Table1[],2,FALSE),1,0)</f>
        <v>1</v>
      </c>
      <c r="Q231" s="5">
        <f>IF(VLOOKUP($B231,Table2[[prolific]:[feedbackTime]],16,FALSE)=VLOOKUP(Q$1,Table1[],2,FALSE),1,0)</f>
        <v>1</v>
      </c>
      <c r="R231" s="5">
        <f>IF(VLOOKUP($B231,Table2[[prolific]:[feedbackTime]],17,FALSE)=VLOOKUP(R$1,Table1[],2,FALSE),1,0)</f>
        <v>1</v>
      </c>
      <c r="S231" s="5">
        <f>IF(VLOOKUP($B231,Table2[[prolific]:[feedbackTime]],18,FALSE)=VLOOKUP(S$1,Table1[],2,FALSE),1,0)</f>
        <v>1</v>
      </c>
      <c r="T231" s="5">
        <f>IF(VLOOKUP($B231,Table2[[prolific]:[feedbackTime]],19,FALSE)=VLOOKUP(T$1,Table1[],2,FALSE),1,0)</f>
        <v>1</v>
      </c>
      <c r="U231" s="5">
        <f>IF(VLOOKUP($B231,Table2[[prolific]:[feedbackTime]],20,FALSE)=VLOOKUP(U$1,Table1[],2,FALSE),1,0)</f>
        <v>1</v>
      </c>
      <c r="V231" s="5">
        <f>IF(VLOOKUP($B231,Table2[[prolific]:[feedbackTime]],21,FALSE)=VLOOKUP(V$1,Table1[],2,FALSE),1,0)</f>
        <v>0</v>
      </c>
      <c r="W231" s="5">
        <f>IF(VLOOKUP($B231,Table2[[prolific]:[feedbackTime]],22,FALSE)=VLOOKUP(W$1,Table1[],2,FALSE),1,0)</f>
        <v>1</v>
      </c>
      <c r="X231" s="5">
        <f t="shared" si="101"/>
        <v>7</v>
      </c>
      <c r="Y231" s="7">
        <f t="shared" si="102"/>
        <v>0.875</v>
      </c>
      <c r="Z231" s="5">
        <f>IF(VLOOKUP($B231,Table2[[prolific]:[feedbackTime]],23,FALSE)=VLOOKUP(Z$1,Table1[],2,FALSE),1,0)</f>
        <v>1</v>
      </c>
      <c r="AA231" s="5">
        <f>IF(VLOOKUP($B231,Table2[[prolific]:[feedbackTime]],24,FALSE)=VLOOKUP(AA$1,Table1[],2,FALSE),1,0)</f>
        <v>1</v>
      </c>
      <c r="AB231" s="5">
        <f>IF(VLOOKUP($B231,Table2[[prolific]:[feedbackTime]],25,FALSE)=VLOOKUP(AB$1,Table1[],2,FALSE),1,0)</f>
        <v>0</v>
      </c>
      <c r="AC231" s="5">
        <f>IF(VLOOKUP($B231,Table2[[prolific]:[feedbackTime]],26,FALSE)=VLOOKUP(AC$1,Table1[],2,FALSE),1,0)</f>
        <v>1</v>
      </c>
      <c r="AD231" s="5">
        <f>IF(VLOOKUP($B231,Table2[[prolific]:[feedbackTime]],27,FALSE)=VLOOKUP(AD$1,Table1[],2,FALSE),1,0)</f>
        <v>0</v>
      </c>
      <c r="AE231" s="5">
        <f>IF(VLOOKUP($B231,Table2[[prolific]:[feedbackTime]],28,FALSE)=VLOOKUP(AE$1,Table1[],2,FALSE),1,0)</f>
        <v>1</v>
      </c>
      <c r="AF231" s="5">
        <f>IF(VLOOKUP($B231,Table2[[prolific]:[feedbackTime]],29,FALSE)=VLOOKUP(AF$1,Table1[],2,FALSE),1,0)</f>
        <v>1</v>
      </c>
      <c r="AG231" s="5">
        <f>IF(VLOOKUP($B231,Table2[[prolific]:[feedbackTime]],30,FALSE)=VLOOKUP(AG$1,Table1[],2,FALSE),1,0)</f>
        <v>1</v>
      </c>
      <c r="AH231" s="5">
        <f t="shared" si="103"/>
        <v>6</v>
      </c>
      <c r="AI231" s="7">
        <f t="shared" si="104"/>
        <v>0.75</v>
      </c>
      <c r="AJ231" s="7">
        <f t="shared" si="105"/>
        <v>0.86363636363636365</v>
      </c>
      <c r="AK231" s="5">
        <f t="shared" si="106"/>
        <v>19</v>
      </c>
    </row>
    <row r="232" spans="1:37" x14ac:dyDescent="0.25">
      <c r="A232">
        <f t="shared" si="86"/>
        <v>1</v>
      </c>
      <c r="B232" s="5" t="s">
        <v>1148</v>
      </c>
      <c r="C232" s="5">
        <f>IF(VLOOKUP($B232,Table2[[prolific]:[feedbackTime]],6,FALSE)=VLOOKUP(C$1,Table1[],2,FALSE),1,0)</f>
        <v>1</v>
      </c>
      <c r="D232" s="5">
        <f>IF(VLOOKUP($B232,Table2[[prolific]:[feedbackTime]],7,FALSE)=VLOOKUP(D$1,Table1[],2,FALSE),1,0)</f>
        <v>1</v>
      </c>
      <c r="E232" s="5">
        <f>IF(VLOOKUP($B232,Table2[[prolific]:[feedbackTime]],8,FALSE)=VLOOKUP(E$1,Table1[],2,FALSE),1,0)</f>
        <v>1</v>
      </c>
      <c r="F232" s="5">
        <f t="shared" si="97"/>
        <v>3</v>
      </c>
      <c r="G232" s="7">
        <f t="shared" si="98"/>
        <v>1</v>
      </c>
      <c r="H232" s="5">
        <f>IF(VLOOKUP($B232,Table2[[prolific]:[feedbackTime]],9,FALSE)=VLOOKUP(H$1,Table1[],2,FALSE),1,0)</f>
        <v>1</v>
      </c>
      <c r="I232" s="5">
        <f>IF(VLOOKUP($B232,Table2[[prolific]:[feedbackTime]],10,FALSE)=VLOOKUP(I$1,Table1[],2,FALSE),1,0)</f>
        <v>0</v>
      </c>
      <c r="J232" s="5">
        <f>IF(VLOOKUP($B232,Table2[[prolific]:[feedbackTime]],11,FALSE)=VLOOKUP(J$1,Table1[],2,FALSE),1,0)</f>
        <v>1</v>
      </c>
      <c r="K232" s="5">
        <f>IF(VLOOKUP($B232,Table2[[prolific]:[feedbackTime]],12,FALSE)=VLOOKUP(K$1,Table1[],2,FALSE),1,0)</f>
        <v>1</v>
      </c>
      <c r="L232" s="5">
        <f>IF(VLOOKUP($B232,Table2[[prolific]:[feedbackTime]],13,FALSE)=VLOOKUP(L$1,Table1[],2,FALSE),1,0)</f>
        <v>0</v>
      </c>
      <c r="M232" s="5">
        <f>IF(VLOOKUP($B232,Table2[[prolific]:[feedbackTime]],14,FALSE)=VLOOKUP(M$1,Table1[],2,FALSE),1,0)</f>
        <v>0</v>
      </c>
      <c r="N232" s="5">
        <f t="shared" si="99"/>
        <v>3</v>
      </c>
      <c r="O232" s="7">
        <f t="shared" si="100"/>
        <v>0.5</v>
      </c>
      <c r="P232" s="5">
        <f>IF(VLOOKUP($B232,Table2[[prolific]:[feedbackTime]],15,FALSE)=VLOOKUP(P$1,Table1[],2,FALSE),1,0)</f>
        <v>1</v>
      </c>
      <c r="Q232" s="5">
        <f>IF(VLOOKUP($B232,Table2[[prolific]:[feedbackTime]],16,FALSE)=VLOOKUP(Q$1,Table1[],2,FALSE),1,0)</f>
        <v>1</v>
      </c>
      <c r="R232" s="5">
        <f>IF(VLOOKUP($B232,Table2[[prolific]:[feedbackTime]],17,FALSE)=VLOOKUP(R$1,Table1[],2,FALSE),1,0)</f>
        <v>1</v>
      </c>
      <c r="S232" s="5">
        <f>IF(VLOOKUP($B232,Table2[[prolific]:[feedbackTime]],18,FALSE)=VLOOKUP(S$1,Table1[],2,FALSE),1,0)</f>
        <v>1</v>
      </c>
      <c r="T232" s="5">
        <f>IF(VLOOKUP($B232,Table2[[prolific]:[feedbackTime]],19,FALSE)=VLOOKUP(T$1,Table1[],2,FALSE),1,0)</f>
        <v>1</v>
      </c>
      <c r="U232" s="5">
        <f>IF(VLOOKUP($B232,Table2[[prolific]:[feedbackTime]],20,FALSE)=VLOOKUP(U$1,Table1[],2,FALSE),1,0)</f>
        <v>1</v>
      </c>
      <c r="V232" s="5">
        <f>IF(VLOOKUP($B232,Table2[[prolific]:[feedbackTime]],21,FALSE)=VLOOKUP(V$1,Table1[],2,FALSE),1,0)</f>
        <v>1</v>
      </c>
      <c r="W232" s="5">
        <f>IF(VLOOKUP($B232,Table2[[prolific]:[feedbackTime]],22,FALSE)=VLOOKUP(W$1,Table1[],2,FALSE),1,0)</f>
        <v>1</v>
      </c>
      <c r="X232" s="5">
        <f t="shared" si="101"/>
        <v>8</v>
      </c>
      <c r="Y232" s="7">
        <f t="shared" si="102"/>
        <v>1</v>
      </c>
      <c r="Z232" s="5">
        <f>IF(VLOOKUP($B232,Table2[[prolific]:[feedbackTime]],23,FALSE)=VLOOKUP(Z$1,Table1[],2,FALSE),1,0)</f>
        <v>1</v>
      </c>
      <c r="AA232" s="5">
        <f>IF(VLOOKUP($B232,Table2[[prolific]:[feedbackTime]],24,FALSE)=VLOOKUP(AA$1,Table1[],2,FALSE),1,0)</f>
        <v>0</v>
      </c>
      <c r="AB232" s="5">
        <f>IF(VLOOKUP($B232,Table2[[prolific]:[feedbackTime]],25,FALSE)=VLOOKUP(AB$1,Table1[],2,FALSE),1,0)</f>
        <v>0</v>
      </c>
      <c r="AC232" s="5">
        <f>IF(VLOOKUP($B232,Table2[[prolific]:[feedbackTime]],26,FALSE)=VLOOKUP(AC$1,Table1[],2,FALSE),1,0)</f>
        <v>0</v>
      </c>
      <c r="AD232" s="5">
        <f>IF(VLOOKUP($B232,Table2[[prolific]:[feedbackTime]],27,FALSE)=VLOOKUP(AD$1,Table1[],2,FALSE),1,0)</f>
        <v>0</v>
      </c>
      <c r="AE232" s="5">
        <f>IF(VLOOKUP($B232,Table2[[prolific]:[feedbackTime]],28,FALSE)=VLOOKUP(AE$1,Table1[],2,FALSE),1,0)</f>
        <v>1</v>
      </c>
      <c r="AF232" s="5">
        <f>IF(VLOOKUP($B232,Table2[[prolific]:[feedbackTime]],29,FALSE)=VLOOKUP(AF$1,Table1[],2,FALSE),1,0)</f>
        <v>1</v>
      </c>
      <c r="AG232" s="5">
        <f>IF(VLOOKUP($B232,Table2[[prolific]:[feedbackTime]],30,FALSE)=VLOOKUP(AG$1,Table1[],2,FALSE),1,0)</f>
        <v>0</v>
      </c>
      <c r="AH232" s="5">
        <f t="shared" si="103"/>
        <v>3</v>
      </c>
      <c r="AI232" s="7">
        <f t="shared" si="104"/>
        <v>0.375</v>
      </c>
      <c r="AJ232" s="7">
        <f t="shared" si="105"/>
        <v>0.63636363636363635</v>
      </c>
      <c r="AK232" s="5">
        <f t="shared" si="106"/>
        <v>14</v>
      </c>
    </row>
    <row r="233" spans="1:37" x14ac:dyDescent="0.25">
      <c r="A233">
        <f t="shared" si="86"/>
        <v>1</v>
      </c>
      <c r="B233" s="5" t="s">
        <v>1243</v>
      </c>
      <c r="C233" s="5" t="e">
        <f>IF(VLOOKUP($B233,Table2[[prolific]:[feedbackTime]],6,FALSE)=VLOOKUP(C$1,Table1[],2,FALSE),1,0)</f>
        <v>#N/A</v>
      </c>
      <c r="D233" s="5" t="e">
        <f>IF(VLOOKUP($B233,Table2[[prolific]:[feedbackTime]],7,FALSE)=VLOOKUP(D$1,Table1[],2,FALSE),1,0)</f>
        <v>#N/A</v>
      </c>
      <c r="E233" s="5" t="e">
        <f>IF(VLOOKUP($B233,Table2[[prolific]:[feedbackTime]],8,FALSE)=VLOOKUP(E$1,Table1[],2,FALSE),1,0)</f>
        <v>#N/A</v>
      </c>
      <c r="F233" s="5" t="e">
        <f t="shared" si="97"/>
        <v>#N/A</v>
      </c>
      <c r="G233" s="7" t="e">
        <f t="shared" si="98"/>
        <v>#N/A</v>
      </c>
      <c r="H233" s="5" t="e">
        <f>IF(VLOOKUP($B233,Table2[[prolific]:[feedbackTime]],9,FALSE)=VLOOKUP(H$1,Table1[],2,FALSE),1,0)</f>
        <v>#N/A</v>
      </c>
      <c r="I233" s="5" t="e">
        <f>IF(VLOOKUP($B233,Table2[[prolific]:[feedbackTime]],10,FALSE)=VLOOKUP(I$1,Table1[],2,FALSE),1,0)</f>
        <v>#N/A</v>
      </c>
      <c r="J233" s="5" t="e">
        <f>IF(VLOOKUP($B233,Table2[[prolific]:[feedbackTime]],11,FALSE)=VLOOKUP(J$1,Table1[],2,FALSE),1,0)</f>
        <v>#N/A</v>
      </c>
      <c r="K233" s="5" t="e">
        <f>IF(VLOOKUP($B233,Table2[[prolific]:[feedbackTime]],12,FALSE)=VLOOKUP(K$1,Table1[],2,FALSE),1,0)</f>
        <v>#N/A</v>
      </c>
      <c r="L233" s="5" t="e">
        <f>IF(VLOOKUP($B233,Table2[[prolific]:[feedbackTime]],13,FALSE)=VLOOKUP(L$1,Table1[],2,FALSE),1,0)</f>
        <v>#N/A</v>
      </c>
      <c r="M233" s="5" t="e">
        <f>IF(VLOOKUP($B233,Table2[[prolific]:[feedbackTime]],14,FALSE)=VLOOKUP(M$1,Table1[],2,FALSE),1,0)</f>
        <v>#N/A</v>
      </c>
      <c r="N233" s="5" t="e">
        <f t="shared" si="99"/>
        <v>#N/A</v>
      </c>
      <c r="O233" s="7" t="e">
        <f t="shared" si="100"/>
        <v>#N/A</v>
      </c>
      <c r="P233" s="5" t="e">
        <f>IF(VLOOKUP($B233,Table2[[prolific]:[feedbackTime]],15,FALSE)=VLOOKUP(P$1,Table1[],2,FALSE),1,0)</f>
        <v>#N/A</v>
      </c>
      <c r="Q233" s="5" t="e">
        <f>IF(VLOOKUP($B233,Table2[[prolific]:[feedbackTime]],16,FALSE)=VLOOKUP(Q$1,Table1[],2,FALSE),1,0)</f>
        <v>#N/A</v>
      </c>
      <c r="R233" s="5" t="e">
        <f>IF(VLOOKUP($B233,Table2[[prolific]:[feedbackTime]],17,FALSE)=VLOOKUP(R$1,Table1[],2,FALSE),1,0)</f>
        <v>#N/A</v>
      </c>
      <c r="S233" s="5" t="e">
        <f>IF(VLOOKUP($B233,Table2[[prolific]:[feedbackTime]],18,FALSE)=VLOOKUP(S$1,Table1[],2,FALSE),1,0)</f>
        <v>#N/A</v>
      </c>
      <c r="T233" s="5" t="e">
        <f>IF(VLOOKUP($B233,Table2[[prolific]:[feedbackTime]],19,FALSE)=VLOOKUP(T$1,Table1[],2,FALSE),1,0)</f>
        <v>#N/A</v>
      </c>
      <c r="U233" s="5" t="e">
        <f>IF(VLOOKUP($B233,Table2[[prolific]:[feedbackTime]],20,FALSE)=VLOOKUP(U$1,Table1[],2,FALSE),1,0)</f>
        <v>#N/A</v>
      </c>
      <c r="V233" s="5" t="e">
        <f>IF(VLOOKUP($B233,Table2[[prolific]:[feedbackTime]],21,FALSE)=VLOOKUP(V$1,Table1[],2,FALSE),1,0)</f>
        <v>#N/A</v>
      </c>
      <c r="W233" s="5" t="e">
        <f>IF(VLOOKUP($B233,Table2[[prolific]:[feedbackTime]],22,FALSE)=VLOOKUP(W$1,Table1[],2,FALSE),1,0)</f>
        <v>#N/A</v>
      </c>
      <c r="X233" s="5" t="e">
        <f t="shared" si="101"/>
        <v>#N/A</v>
      </c>
      <c r="Y233" s="7" t="e">
        <f t="shared" si="102"/>
        <v>#N/A</v>
      </c>
      <c r="Z233" s="5" t="e">
        <f>IF(VLOOKUP($B233,Table2[[prolific]:[feedbackTime]],23,FALSE)=VLOOKUP(Z$1,Table1[],2,FALSE),1,0)</f>
        <v>#N/A</v>
      </c>
      <c r="AA233" s="5" t="e">
        <f>IF(VLOOKUP($B233,Table2[[prolific]:[feedbackTime]],24,FALSE)=VLOOKUP(AA$1,Table1[],2,FALSE),1,0)</f>
        <v>#N/A</v>
      </c>
      <c r="AB233" s="5" t="e">
        <f>IF(VLOOKUP($B233,Table2[[prolific]:[feedbackTime]],25,FALSE)=VLOOKUP(AB$1,Table1[],2,FALSE),1,0)</f>
        <v>#N/A</v>
      </c>
      <c r="AC233" s="5" t="e">
        <f>IF(VLOOKUP($B233,Table2[[prolific]:[feedbackTime]],26,FALSE)=VLOOKUP(AC$1,Table1[],2,FALSE),1,0)</f>
        <v>#N/A</v>
      </c>
      <c r="AD233" s="5" t="e">
        <f>IF(VLOOKUP($B233,Table2[[prolific]:[feedbackTime]],27,FALSE)=VLOOKUP(AD$1,Table1[],2,FALSE),1,0)</f>
        <v>#N/A</v>
      </c>
      <c r="AE233" s="5" t="e">
        <f>IF(VLOOKUP($B233,Table2[[prolific]:[feedbackTime]],28,FALSE)=VLOOKUP(AE$1,Table1[],2,FALSE),1,0)</f>
        <v>#N/A</v>
      </c>
      <c r="AF233" s="5" t="e">
        <f>IF(VLOOKUP($B233,Table2[[prolific]:[feedbackTime]],29,FALSE)=VLOOKUP(AF$1,Table1[],2,FALSE),1,0)</f>
        <v>#N/A</v>
      </c>
      <c r="AG233" s="5" t="e">
        <f>IF(VLOOKUP($B233,Table2[[prolific]:[feedbackTime]],30,FALSE)=VLOOKUP(AG$1,Table1[],2,FALSE),1,0)</f>
        <v>#N/A</v>
      </c>
      <c r="AH233" s="5" t="e">
        <f t="shared" si="103"/>
        <v>#N/A</v>
      </c>
      <c r="AI233" s="7" t="e">
        <f t="shared" si="104"/>
        <v>#N/A</v>
      </c>
      <c r="AJ233" s="7" t="e">
        <f t="shared" si="105"/>
        <v>#N/A</v>
      </c>
      <c r="AK233" s="5" t="e">
        <f t="shared" si="106"/>
        <v>#N/A</v>
      </c>
    </row>
  </sheetData>
  <conditionalFormatting sqref="A2:A233">
    <cfRule type="cellIs" dxfId="98" priority="1" operator="greaterThan">
      <formula>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26" sqref="A5:A26"/>
    </sheetView>
  </sheetViews>
  <sheetFormatPr defaultRowHeight="15" x14ac:dyDescent="0.25"/>
  <cols>
    <col min="1" max="1" width="25" customWidth="1"/>
    <col min="2" max="2" width="49.28515625" customWidth="1"/>
  </cols>
  <sheetData>
    <row r="1" spans="1:2" x14ac:dyDescent="0.25">
      <c r="A1" t="s">
        <v>116</v>
      </c>
      <c r="B1" t="s">
        <v>117</v>
      </c>
    </row>
    <row r="2" spans="1:2" x14ac:dyDescent="0.25">
      <c r="A2" s="3" t="s">
        <v>13</v>
      </c>
      <c r="B2" s="3" t="s">
        <v>97</v>
      </c>
    </row>
    <row r="3" spans="1:2" x14ac:dyDescent="0.25">
      <c r="A3" s="3" t="s">
        <v>14</v>
      </c>
      <c r="B3" t="s">
        <v>81</v>
      </c>
    </row>
    <row r="4" spans="1:2" x14ac:dyDescent="0.25">
      <c r="A4" s="3" t="s">
        <v>15</v>
      </c>
      <c r="B4" s="3" t="s">
        <v>82</v>
      </c>
    </row>
    <row r="5" spans="1:2" x14ac:dyDescent="0.25">
      <c r="A5" s="3" t="s">
        <v>16</v>
      </c>
      <c r="B5" t="s">
        <v>83</v>
      </c>
    </row>
    <row r="6" spans="1:2" x14ac:dyDescent="0.25">
      <c r="A6" s="3" t="s">
        <v>17</v>
      </c>
      <c r="B6" t="s">
        <v>85</v>
      </c>
    </row>
    <row r="7" spans="1:2" x14ac:dyDescent="0.25">
      <c r="A7" s="3" t="s">
        <v>18</v>
      </c>
      <c r="B7" t="s">
        <v>86</v>
      </c>
    </row>
    <row r="8" spans="1:2" x14ac:dyDescent="0.25">
      <c r="A8" s="3" t="s">
        <v>19</v>
      </c>
      <c r="B8" t="s">
        <v>84</v>
      </c>
    </row>
    <row r="9" spans="1:2" x14ac:dyDescent="0.25">
      <c r="A9" s="3" t="s">
        <v>20</v>
      </c>
      <c r="B9" t="s">
        <v>104</v>
      </c>
    </row>
    <row r="10" spans="1:2" x14ac:dyDescent="0.25">
      <c r="A10" s="3" t="s">
        <v>21</v>
      </c>
      <c r="B10" t="s">
        <v>98</v>
      </c>
    </row>
    <row r="11" spans="1:2" x14ac:dyDescent="0.25">
      <c r="A11" s="3" t="s">
        <v>22</v>
      </c>
      <c r="B11" t="s">
        <v>88</v>
      </c>
    </row>
    <row r="12" spans="1:2" x14ac:dyDescent="0.25">
      <c r="A12" s="3" t="s">
        <v>23</v>
      </c>
      <c r="B12" t="s">
        <v>87</v>
      </c>
    </row>
    <row r="13" spans="1:2" x14ac:dyDescent="0.25">
      <c r="A13" s="3" t="s">
        <v>24</v>
      </c>
      <c r="B13" t="s">
        <v>105</v>
      </c>
    </row>
    <row r="14" spans="1:2" x14ac:dyDescent="0.25">
      <c r="A14" s="3" t="s">
        <v>25</v>
      </c>
      <c r="B14" t="s">
        <v>90</v>
      </c>
    </row>
    <row r="15" spans="1:2" x14ac:dyDescent="0.25">
      <c r="A15" s="3" t="s">
        <v>26</v>
      </c>
      <c r="B15" t="s">
        <v>83</v>
      </c>
    </row>
    <row r="16" spans="1:2" x14ac:dyDescent="0.25">
      <c r="A16" s="3" t="s">
        <v>27</v>
      </c>
      <c r="B16" t="s">
        <v>85</v>
      </c>
    </row>
    <row r="17" spans="1:2" x14ac:dyDescent="0.25">
      <c r="A17" s="3" t="s">
        <v>28</v>
      </c>
      <c r="B17" t="s">
        <v>91</v>
      </c>
    </row>
    <row r="18" spans="1:2" x14ac:dyDescent="0.25">
      <c r="A18" s="3" t="s">
        <v>29</v>
      </c>
      <c r="B18" t="s">
        <v>102</v>
      </c>
    </row>
    <row r="19" spans="1:2" x14ac:dyDescent="0.25">
      <c r="A19" s="3" t="s">
        <v>30</v>
      </c>
      <c r="B19" s="2" t="s">
        <v>94</v>
      </c>
    </row>
    <row r="20" spans="1:2" x14ac:dyDescent="0.25">
      <c r="A20" s="3" t="s">
        <v>31</v>
      </c>
      <c r="B20" s="2" t="s">
        <v>93</v>
      </c>
    </row>
    <row r="21" spans="1:2" x14ac:dyDescent="0.25">
      <c r="A21" s="3" t="s">
        <v>32</v>
      </c>
      <c r="B21" s="2" t="s">
        <v>94</v>
      </c>
    </row>
    <row r="22" spans="1:2" x14ac:dyDescent="0.25">
      <c r="A22" s="3" t="s">
        <v>33</v>
      </c>
      <c r="B22" s="2" t="s">
        <v>93</v>
      </c>
    </row>
    <row r="23" spans="1:2" x14ac:dyDescent="0.25">
      <c r="A23" s="3" t="s">
        <v>34</v>
      </c>
      <c r="B23" s="2" t="s">
        <v>94</v>
      </c>
    </row>
    <row r="24" spans="1:2" x14ac:dyDescent="0.25">
      <c r="A24" s="3" t="s">
        <v>35</v>
      </c>
      <c r="B24" s="2" t="s">
        <v>93</v>
      </c>
    </row>
    <row r="25" spans="1:2" x14ac:dyDescent="0.25">
      <c r="A25" s="3" t="s">
        <v>36</v>
      </c>
      <c r="B25" s="2" t="s">
        <v>94</v>
      </c>
    </row>
    <row r="26" spans="1:2" x14ac:dyDescent="0.25">
      <c r="A26" s="3" t="s">
        <v>37</v>
      </c>
      <c r="B26" s="2" t="s">
        <v>93</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7" sqref="B7"/>
    </sheetView>
  </sheetViews>
  <sheetFormatPr defaultRowHeight="15" x14ac:dyDescent="0.25"/>
  <cols>
    <col min="1" max="1" width="26.85546875" bestFit="1" customWidth="1"/>
    <col min="2" max="2" width="29.28515625" bestFit="1" customWidth="1"/>
    <col min="3" max="3" width="29.42578125" bestFit="1" customWidth="1"/>
    <col min="4" max="4" width="30.140625" bestFit="1" customWidth="1"/>
    <col min="5" max="5" width="27" bestFit="1" customWidth="1"/>
  </cols>
  <sheetData>
    <row r="1" spans="1:5" x14ac:dyDescent="0.25">
      <c r="A1" s="13" t="s">
        <v>112</v>
      </c>
      <c r="B1" t="s">
        <v>576</v>
      </c>
    </row>
    <row r="2" spans="1:5" x14ac:dyDescent="0.25">
      <c r="A2" s="13" t="s">
        <v>181</v>
      </c>
      <c r="B2" t="s">
        <v>352</v>
      </c>
    </row>
    <row r="4" spans="1:5" x14ac:dyDescent="0.25">
      <c r="A4" s="13" t="s">
        <v>130</v>
      </c>
      <c r="B4" s="10" t="s">
        <v>132</v>
      </c>
      <c r="C4" s="10" t="s">
        <v>133</v>
      </c>
      <c r="D4" s="10" t="s">
        <v>134</v>
      </c>
      <c r="E4" s="10" t="s">
        <v>135</v>
      </c>
    </row>
    <row r="5" spans="1:5" x14ac:dyDescent="0.25">
      <c r="A5" s="14" t="s">
        <v>110</v>
      </c>
      <c r="B5" s="10">
        <v>0.33333333333333331</v>
      </c>
      <c r="C5" s="10">
        <v>0.58333333333333337</v>
      </c>
      <c r="D5" s="10">
        <v>0.625</v>
      </c>
      <c r="E5" s="10">
        <v>0.53030303030303028</v>
      </c>
    </row>
    <row r="6" spans="1:5" x14ac:dyDescent="0.25">
      <c r="A6" s="14" t="s">
        <v>103</v>
      </c>
      <c r="B6" s="10">
        <v>0.5</v>
      </c>
      <c r="C6" s="10">
        <v>0.63461538461538458</v>
      </c>
      <c r="D6" s="10">
        <v>0.5</v>
      </c>
      <c r="E6" s="10">
        <v>0.54895104895104896</v>
      </c>
    </row>
    <row r="7" spans="1:5" x14ac:dyDescent="0.25">
      <c r="A7" s="14" t="s">
        <v>107</v>
      </c>
      <c r="B7" s="10">
        <v>0.72222222222222232</v>
      </c>
      <c r="C7" s="10">
        <v>0.80555555555555558</v>
      </c>
      <c r="D7" s="10">
        <v>0.68055555555555558</v>
      </c>
      <c r="E7" s="10">
        <v>0.73737373737373735</v>
      </c>
    </row>
    <row r="8" spans="1:5" x14ac:dyDescent="0.25">
      <c r="A8" s="14" t="s">
        <v>106</v>
      </c>
      <c r="B8" s="10">
        <v>0.74999999999999989</v>
      </c>
      <c r="C8" s="10">
        <v>0.80952380952380953</v>
      </c>
      <c r="D8" s="10">
        <v>0.66369047619047616</v>
      </c>
      <c r="E8" s="10">
        <v>0.74025974025974028</v>
      </c>
    </row>
    <row r="9" spans="1:5" x14ac:dyDescent="0.25">
      <c r="A9" s="14" t="s">
        <v>95</v>
      </c>
      <c r="B9" s="10">
        <v>0.66666666666666663</v>
      </c>
      <c r="C9" s="10">
        <v>0.7678571428571429</v>
      </c>
      <c r="D9" s="10">
        <v>0.6607142857142857</v>
      </c>
      <c r="E9" s="10">
        <v>0.70129870129870131</v>
      </c>
    </row>
    <row r="10" spans="1:5" x14ac:dyDescent="0.25">
      <c r="A10" s="14" t="s">
        <v>131</v>
      </c>
      <c r="B10" s="10">
        <v>0.68976897689769001</v>
      </c>
      <c r="C10" s="10">
        <v>0.77599009900990101</v>
      </c>
      <c r="D10" s="10">
        <v>0.6472772277227723</v>
      </c>
      <c r="E10" s="10">
        <v>0.7056705670567055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cols>
    <col min="1" max="1" width="31.140625" customWidth="1"/>
  </cols>
  <sheetData>
    <row r="1" spans="1:2" x14ac:dyDescent="0.25">
      <c r="A1" t="s">
        <v>138</v>
      </c>
      <c r="B1" t="s">
        <v>139</v>
      </c>
    </row>
    <row r="2" spans="1:2" x14ac:dyDescent="0.25">
      <c r="A2" t="s">
        <v>95</v>
      </c>
      <c r="B2">
        <v>1</v>
      </c>
    </row>
    <row r="3" spans="1:2" x14ac:dyDescent="0.25">
      <c r="A3" t="s">
        <v>106</v>
      </c>
      <c r="B3">
        <v>2</v>
      </c>
    </row>
    <row r="4" spans="1:2" x14ac:dyDescent="0.25">
      <c r="A4" t="s">
        <v>107</v>
      </c>
      <c r="B4">
        <v>3</v>
      </c>
    </row>
    <row r="5" spans="1:2" x14ac:dyDescent="0.25">
      <c r="A5" t="s">
        <v>103</v>
      </c>
      <c r="B5">
        <v>4</v>
      </c>
    </row>
    <row r="6" spans="1:2" x14ac:dyDescent="0.25">
      <c r="A6" t="s">
        <v>110</v>
      </c>
      <c r="B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Q11" sqref="Q11"/>
    </sheetView>
  </sheetViews>
  <sheetFormatPr defaultRowHeight="15" x14ac:dyDescent="0.25"/>
  <cols>
    <col min="1" max="1" width="17.5703125" bestFit="1" customWidth="1"/>
    <col min="2" max="2" width="37.42578125" bestFit="1" customWidth="1"/>
    <col min="3" max="6" width="2" customWidth="1"/>
    <col min="7" max="7" width="11.28515625" bestFit="1" customWidth="1"/>
  </cols>
  <sheetData>
    <row r="3" spans="1:2" x14ac:dyDescent="0.25">
      <c r="A3" s="13" t="s">
        <v>130</v>
      </c>
      <c r="B3" t="s">
        <v>987</v>
      </c>
    </row>
    <row r="4" spans="1:2" x14ac:dyDescent="0.25">
      <c r="A4" s="14" t="s">
        <v>115</v>
      </c>
      <c r="B4" s="46">
        <v>2.828125</v>
      </c>
    </row>
    <row r="5" spans="1:2" x14ac:dyDescent="0.25">
      <c r="A5" s="14" t="s">
        <v>113</v>
      </c>
      <c r="B5" s="46">
        <v>2.7246376811594204</v>
      </c>
    </row>
    <row r="6" spans="1:2" x14ac:dyDescent="0.25">
      <c r="A6" s="14" t="s">
        <v>114</v>
      </c>
      <c r="B6" s="46">
        <v>2.4264705882352939</v>
      </c>
    </row>
    <row r="7" spans="1:2" x14ac:dyDescent="0.25">
      <c r="A7" s="14" t="s">
        <v>131</v>
      </c>
      <c r="B7" s="46">
        <v>2.6567164179104479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03"/>
  <sheetViews>
    <sheetView tabSelected="1" zoomScale="70" zoomScaleNormal="70" workbookViewId="0">
      <pane xSplit="10" ySplit="1" topLeftCell="K2" activePane="bottomRight" state="frozen"/>
      <selection pane="topRight" activeCell="K1" sqref="K1"/>
      <selection pane="bottomLeft" activeCell="A2" sqref="A2"/>
      <selection pane="bottomRight"/>
    </sheetView>
  </sheetViews>
  <sheetFormatPr defaultRowHeight="15" x14ac:dyDescent="0.25"/>
  <cols>
    <col min="2" max="2" width="17.140625" customWidth="1"/>
    <col min="3" max="3" width="9.140625" hidden="1" customWidth="1"/>
    <col min="4" max="4" width="13.140625" hidden="1" customWidth="1"/>
    <col min="5" max="5" width="10.85546875" hidden="1" customWidth="1"/>
    <col min="6" max="6" width="15.5703125" hidden="1" customWidth="1"/>
    <col min="7" max="7" width="9.140625" hidden="1" customWidth="1"/>
    <col min="8" max="8" width="11" hidden="1" customWidth="1"/>
    <col min="9" max="9" width="12.5703125" hidden="1" customWidth="1"/>
    <col min="10" max="10" width="9.140625" hidden="1" customWidth="1"/>
    <col min="11" max="11" width="9.140625" customWidth="1"/>
    <col min="12" max="22" width="23.42578125" customWidth="1"/>
    <col min="23" max="23" width="30" customWidth="1"/>
    <col min="24" max="24" width="30.7109375" customWidth="1"/>
    <col min="25" max="25" width="22.5703125" customWidth="1"/>
    <col min="26" max="26" width="27.5703125" customWidth="1"/>
    <col min="27" max="27" width="25.85546875" customWidth="1"/>
    <col min="28" max="28" width="13.85546875" customWidth="1"/>
    <col min="29" max="29" width="13.28515625" customWidth="1"/>
    <col min="30" max="30" width="14" customWidth="1"/>
    <col min="31" max="34" width="10.140625" customWidth="1"/>
    <col min="35" max="35" width="10.7109375" customWidth="1"/>
    <col min="36" max="36" width="10.140625" customWidth="1"/>
    <col min="37" max="44" width="11" customWidth="1"/>
    <col min="45" max="52" width="11.42578125" customWidth="1"/>
    <col min="53" max="53" width="24.28515625" customWidth="1"/>
    <col min="54" max="54" width="69.28515625" customWidth="1"/>
    <col min="55" max="55" width="75.5703125" customWidth="1"/>
    <col min="56" max="56" width="20.42578125" customWidth="1"/>
    <col min="57" max="57" width="15.5703125" customWidth="1"/>
    <col min="58" max="58" width="15" customWidth="1"/>
    <col min="59" max="59" width="14" customWidth="1"/>
    <col min="60" max="60" width="15" customWidth="1"/>
    <col min="61" max="61" width="22.28515625" customWidth="1"/>
    <col min="62" max="62" width="18.42578125" customWidth="1"/>
    <col min="63" max="63" width="17.85546875" customWidth="1"/>
    <col min="64" max="64" width="18.5703125" customWidth="1"/>
    <col min="65" max="65" width="15" customWidth="1"/>
    <col min="66" max="69" width="14.7109375" customWidth="1"/>
    <col min="70" max="70" width="15.28515625" customWidth="1"/>
    <col min="71" max="71" width="14.7109375" customWidth="1"/>
    <col min="72" max="72" width="15" customWidth="1"/>
    <col min="73" max="80" width="15.5703125" customWidth="1"/>
    <col min="81" max="81" width="15" customWidth="1"/>
    <col min="82" max="89" width="16" customWidth="1"/>
    <col min="90" max="90" width="15" customWidth="1"/>
    <col min="91" max="91" width="19.42578125" customWidth="1"/>
    <col min="92" max="92" width="23" customWidth="1"/>
    <col min="93" max="93" width="15" customWidth="1"/>
    <col min="94" max="94" width="16" customWidth="1"/>
    <col min="95" max="95" width="12.5703125" customWidth="1"/>
    <col min="96" max="96" width="13.5703125" customWidth="1"/>
    <col min="97" max="97" width="15" customWidth="1"/>
  </cols>
  <sheetData>
    <row r="1" spans="1:97" x14ac:dyDescent="0.25">
      <c r="A1" s="24" t="s">
        <v>181</v>
      </c>
      <c r="B1" t="s">
        <v>112</v>
      </c>
      <c r="C1" s="1" t="s">
        <v>0</v>
      </c>
      <c r="D1" s="1" t="s">
        <v>1</v>
      </c>
      <c r="E1" s="1" t="s">
        <v>2</v>
      </c>
      <c r="F1" s="1" t="s">
        <v>3</v>
      </c>
      <c r="G1" s="1" t="s">
        <v>4</v>
      </c>
      <c r="H1" s="1" t="s">
        <v>5</v>
      </c>
      <c r="I1" s="1" t="s">
        <v>6</v>
      </c>
      <c r="J1" s="1" t="s">
        <v>7</v>
      </c>
      <c r="K1" s="3" t="s">
        <v>579</v>
      </c>
      <c r="L1" s="4" t="s">
        <v>119</v>
      </c>
      <c r="M1" s="8" t="s">
        <v>121</v>
      </c>
      <c r="N1" s="8" t="s">
        <v>123</v>
      </c>
      <c r="O1" s="8" t="s">
        <v>126</v>
      </c>
      <c r="P1" s="8" t="s">
        <v>140</v>
      </c>
      <c r="Q1" s="8" t="s">
        <v>137</v>
      </c>
      <c r="R1" s="8" t="s">
        <v>169</v>
      </c>
      <c r="S1" s="8" t="s">
        <v>998</v>
      </c>
      <c r="T1" s="8" t="s">
        <v>124</v>
      </c>
      <c r="U1" s="8" t="s">
        <v>141</v>
      </c>
      <c r="V1" s="8" t="s">
        <v>136</v>
      </c>
      <c r="W1" s="1" t="s">
        <v>8</v>
      </c>
      <c r="X1" s="1" t="s">
        <v>9</v>
      </c>
      <c r="Y1" s="1" t="s">
        <v>10</v>
      </c>
      <c r="Z1" s="1" t="s">
        <v>11</v>
      </c>
      <c r="AA1" s="1" t="s">
        <v>12</v>
      </c>
      <c r="AB1" s="1" t="s">
        <v>13</v>
      </c>
      <c r="AC1" s="1" t="s">
        <v>14</v>
      </c>
      <c r="AD1" s="1" t="s">
        <v>15</v>
      </c>
      <c r="AE1" s="1" t="s">
        <v>16</v>
      </c>
      <c r="AF1" s="1" t="s">
        <v>17</v>
      </c>
      <c r="AG1" s="1" t="s">
        <v>18</v>
      </c>
      <c r="AH1" s="1" t="s">
        <v>19</v>
      </c>
      <c r="AI1" s="1" t="s">
        <v>20</v>
      </c>
      <c r="AJ1" s="1" t="s">
        <v>21</v>
      </c>
      <c r="AK1" s="1" t="s">
        <v>22</v>
      </c>
      <c r="AL1" s="1" t="s">
        <v>23</v>
      </c>
      <c r="AM1" s="1" t="s">
        <v>24</v>
      </c>
      <c r="AN1" s="1" t="s">
        <v>25</v>
      </c>
      <c r="AO1" s="1" t="s">
        <v>26</v>
      </c>
      <c r="AP1" s="1" t="s">
        <v>27</v>
      </c>
      <c r="AQ1" s="1" t="s">
        <v>28</v>
      </c>
      <c r="AR1" s="1" t="s">
        <v>29</v>
      </c>
      <c r="AS1" s="1" t="s">
        <v>30</v>
      </c>
      <c r="AT1" s="1" t="s">
        <v>31</v>
      </c>
      <c r="AU1" s="1" t="s">
        <v>32</v>
      </c>
      <c r="AV1" s="1" t="s">
        <v>33</v>
      </c>
      <c r="AW1" s="1" t="s">
        <v>34</v>
      </c>
      <c r="AX1" s="1" t="s">
        <v>35</v>
      </c>
      <c r="AY1" s="1" t="s">
        <v>36</v>
      </c>
      <c r="AZ1" s="1" t="s">
        <v>37</v>
      </c>
      <c r="BA1" s="1" t="s">
        <v>38</v>
      </c>
      <c r="BB1" s="1" t="s">
        <v>39</v>
      </c>
      <c r="BC1" s="1" t="s">
        <v>40</v>
      </c>
      <c r="BD1" s="3" t="s">
        <v>127</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55</v>
      </c>
      <c r="BT1" s="1" t="s">
        <v>56</v>
      </c>
      <c r="BU1" s="1" t="s">
        <v>57</v>
      </c>
      <c r="BV1" s="1" t="s">
        <v>58</v>
      </c>
      <c r="BW1" s="1" t="s">
        <v>59</v>
      </c>
      <c r="BX1" s="1" t="s">
        <v>60</v>
      </c>
      <c r="BY1" s="1" t="s">
        <v>61</v>
      </c>
      <c r="BZ1" s="1" t="s">
        <v>62</v>
      </c>
      <c r="CA1" s="1" t="s">
        <v>63</v>
      </c>
      <c r="CB1" s="1" t="s">
        <v>64</v>
      </c>
      <c r="CC1" s="1" t="s">
        <v>65</v>
      </c>
      <c r="CD1" s="1" t="s">
        <v>66</v>
      </c>
      <c r="CE1" s="1" t="s">
        <v>67</v>
      </c>
      <c r="CF1" s="1" t="s">
        <v>68</v>
      </c>
      <c r="CG1" s="1" t="s">
        <v>69</v>
      </c>
      <c r="CH1" s="1" t="s">
        <v>70</v>
      </c>
      <c r="CI1" s="1" t="s">
        <v>71</v>
      </c>
      <c r="CJ1" s="1" t="s">
        <v>72</v>
      </c>
      <c r="CK1" s="1" t="s">
        <v>73</v>
      </c>
      <c r="CL1" s="1" t="s">
        <v>74</v>
      </c>
      <c r="CM1" s="1" t="s">
        <v>75</v>
      </c>
      <c r="CN1" s="1" t="s">
        <v>76</v>
      </c>
      <c r="CO1" s="1" t="s">
        <v>77</v>
      </c>
      <c r="CP1" s="1" t="s">
        <v>78</v>
      </c>
      <c r="CQ1" s="43" t="s">
        <v>994</v>
      </c>
      <c r="CR1" s="43" t="s">
        <v>995</v>
      </c>
      <c r="CS1" s="43" t="s">
        <v>996</v>
      </c>
    </row>
    <row r="2" spans="1:97" x14ac:dyDescent="0.25">
      <c r="A2" s="11" t="s">
        <v>352</v>
      </c>
      <c r="B2" s="11" t="s">
        <v>115</v>
      </c>
      <c r="C2" s="12">
        <v>10</v>
      </c>
      <c r="D2" s="12" t="s">
        <v>182</v>
      </c>
      <c r="E2" s="12">
        <v>6</v>
      </c>
      <c r="F2" s="12" t="s">
        <v>79</v>
      </c>
      <c r="G2" s="12">
        <v>1092705096</v>
      </c>
      <c r="H2" s="12" t="s">
        <v>183</v>
      </c>
      <c r="I2" s="12" t="s">
        <v>182</v>
      </c>
      <c r="J2" s="12" t="s">
        <v>80</v>
      </c>
      <c r="K2" s="12" t="str">
        <f>IF(Table2[[#This Row],[priorSuccessRatio]]&lt;1,"yes","no")</f>
        <v>no</v>
      </c>
      <c r="L2" s="27">
        <f>VLOOKUP(Table2[[#This Row],[prolific]],'Correct calc'!B$16:$AJ$998,6,FALSE)</f>
        <v>1</v>
      </c>
      <c r="M2" s="27">
        <f>VLOOKUP(Table2[[#This Row],[prolific]],'Correct calc'!B$16:$AJ$998,14,FALSE)</f>
        <v>0.66666666666666663</v>
      </c>
      <c r="N2" s="27">
        <f>VLOOKUP(Table2[[#This Row],[prolific]],'Correct calc'!B$16:$AJ998,24,FALSE)</f>
        <v>0.75</v>
      </c>
      <c r="O2" s="27">
        <f>VLOOKUP(Table2[[#This Row],[prolific]],'Correct calc'!B$16:$AJ998,34,FALSE)</f>
        <v>0.375</v>
      </c>
      <c r="P2" s="28">
        <f>VLOOKUP(Table2[[#This Row],[comprescore]],Table3[],2,FALSE)</f>
        <v>3</v>
      </c>
      <c r="Q2" s="16">
        <f>VLOOKUP(Table2[[#This Row],[prolific]],'Correct calc'!B$16:$AK$998,36,FALSE)</f>
        <v>13</v>
      </c>
      <c r="R2" s="16">
        <f>Table2[[#This Row],[interviewminutes]]</f>
        <v>6.3936666666666664</v>
      </c>
      <c r="S2" s="16">
        <f>Table2[[#This Row],[classifyTime]]+Table2[[#This Row],[explainTime]]+Table2[[#This Row],[validateTime]]</f>
        <v>4.9903333333333331</v>
      </c>
      <c r="T2" s="29">
        <f>VLOOKUP(Table2[[#This Row],[prolific]],'Correct calc'!B$16:$AJ$998,35,FALSE)</f>
        <v>0.59090909090909094</v>
      </c>
      <c r="U2" s="15">
        <f>SUM(Table2[[#This Row],[priorKnowledge'[CLUSTERING']]:[priorKnowledge'[ZSCORES']]])/Table2[[#This Row],[priorKnowledgeTechQuestionCount]]</f>
        <v>4</v>
      </c>
      <c r="V2" s="16">
        <f>IF(Table2[[#This Row],[visualization]]="Wordcloud",2,3)</f>
        <v>2</v>
      </c>
      <c r="W2" s="31" t="s">
        <v>1016</v>
      </c>
      <c r="X2" s="31">
        <v>4</v>
      </c>
      <c r="Y2" s="31">
        <v>4</v>
      </c>
      <c r="Z2" s="31">
        <v>0</v>
      </c>
      <c r="AA2" s="31">
        <v>4</v>
      </c>
      <c r="AB2" s="31" t="s">
        <v>97</v>
      </c>
      <c r="AC2" s="31" t="s">
        <v>81</v>
      </c>
      <c r="AD2" s="31" t="s">
        <v>82</v>
      </c>
      <c r="AE2" s="31" t="s">
        <v>83</v>
      </c>
      <c r="AF2" s="31" t="s">
        <v>104</v>
      </c>
      <c r="AG2" s="31" t="s">
        <v>86</v>
      </c>
      <c r="AH2" s="31" t="s">
        <v>84</v>
      </c>
      <c r="AI2" s="31" t="s">
        <v>83</v>
      </c>
      <c r="AJ2" s="31" t="s">
        <v>98</v>
      </c>
      <c r="AK2" s="31" t="s">
        <v>88</v>
      </c>
      <c r="AL2" s="31" t="s">
        <v>87</v>
      </c>
      <c r="AM2" s="31" t="s">
        <v>99</v>
      </c>
      <c r="AN2" s="31" t="s">
        <v>90</v>
      </c>
      <c r="AO2" s="31" t="s">
        <v>83</v>
      </c>
      <c r="AP2" s="31" t="s">
        <v>85</v>
      </c>
      <c r="AQ2" s="31" t="s">
        <v>111</v>
      </c>
      <c r="AR2" s="31" t="s">
        <v>102</v>
      </c>
      <c r="AS2" s="31" t="s">
        <v>93</v>
      </c>
      <c r="AT2" s="31" t="s">
        <v>93</v>
      </c>
      <c r="AU2" s="31" t="s">
        <v>94</v>
      </c>
      <c r="AV2" s="31" t="s">
        <v>93</v>
      </c>
      <c r="AW2" s="31" t="s">
        <v>93</v>
      </c>
      <c r="AX2" s="31" t="s">
        <v>94</v>
      </c>
      <c r="AY2" s="31" t="s">
        <v>93</v>
      </c>
      <c r="AZ2" s="31" t="s">
        <v>94</v>
      </c>
      <c r="BA2" s="31" t="s">
        <v>107</v>
      </c>
      <c r="BB2" s="31" t="s">
        <v>271</v>
      </c>
      <c r="BC2" s="24"/>
      <c r="BD2" s="30">
        <f>Table2[[#This Row],[interviewtime]]/60</f>
        <v>6.3936666666666664</v>
      </c>
      <c r="BE2" s="31">
        <v>383.62</v>
      </c>
      <c r="BF2" s="31">
        <v>5.32</v>
      </c>
      <c r="BG2" s="31"/>
      <c r="BH2" s="31">
        <v>30.93</v>
      </c>
      <c r="BI2" s="31"/>
      <c r="BJ2" s="31"/>
      <c r="BK2" s="31"/>
      <c r="BL2" s="31"/>
      <c r="BM2" s="31">
        <v>115.12</v>
      </c>
      <c r="BN2" s="31"/>
      <c r="BO2" s="31"/>
      <c r="BP2" s="31"/>
      <c r="BQ2" s="31"/>
      <c r="BR2" s="31"/>
      <c r="BS2" s="31"/>
      <c r="BT2" s="31">
        <v>100.05</v>
      </c>
      <c r="BU2" s="31"/>
      <c r="BV2" s="31"/>
      <c r="BW2" s="31"/>
      <c r="BX2" s="31"/>
      <c r="BY2" s="31"/>
      <c r="BZ2" s="31"/>
      <c r="CA2" s="31"/>
      <c r="CB2" s="31"/>
      <c r="CC2" s="31">
        <v>84.25</v>
      </c>
      <c r="CD2" s="31"/>
      <c r="CE2" s="31"/>
      <c r="CF2" s="31"/>
      <c r="CG2" s="31"/>
      <c r="CH2" s="31"/>
      <c r="CI2" s="31"/>
      <c r="CJ2" s="31"/>
      <c r="CK2" s="31"/>
      <c r="CL2" s="31">
        <v>47.95</v>
      </c>
      <c r="CM2" s="31"/>
      <c r="CN2" s="31"/>
      <c r="CO2" s="24"/>
      <c r="CP2" s="24"/>
      <c r="CQ2" s="43">
        <f>Table2[[#This Row],[groupTime22]]/60</f>
        <v>1.9186666666666667</v>
      </c>
      <c r="CR2" s="43">
        <f>Table2[[#This Row],[groupTime23]]/60</f>
        <v>1.6675</v>
      </c>
      <c r="CS2" s="43">
        <f>Table2[[#This Row],[groupTime24]]/60</f>
        <v>1.4041666666666666</v>
      </c>
    </row>
    <row r="3" spans="1:97" x14ac:dyDescent="0.25">
      <c r="A3" s="11" t="s">
        <v>352</v>
      </c>
      <c r="B3" s="11" t="s">
        <v>115</v>
      </c>
      <c r="C3" s="12">
        <v>11</v>
      </c>
      <c r="D3" s="12" t="s">
        <v>184</v>
      </c>
      <c r="E3" s="12">
        <v>6</v>
      </c>
      <c r="F3" s="12" t="s">
        <v>79</v>
      </c>
      <c r="G3" s="12">
        <v>1699053247</v>
      </c>
      <c r="H3" s="12" t="s">
        <v>185</v>
      </c>
      <c r="I3" s="12" t="s">
        <v>184</v>
      </c>
      <c r="J3" s="12" t="s">
        <v>80</v>
      </c>
      <c r="K3" s="12" t="str">
        <f>IF(Table2[[#This Row],[priorSuccessRatio]]&lt;1,"yes","no")</f>
        <v>no</v>
      </c>
      <c r="L3" s="27">
        <f>VLOOKUP(Table2[[#This Row],[prolific]],'Correct calc'!B$16:$AJ$998,6,FALSE)</f>
        <v>1</v>
      </c>
      <c r="M3" s="27">
        <f>VLOOKUP(Table2[[#This Row],[prolific]],'Correct calc'!B$16:$AJ$998,14,FALSE)</f>
        <v>0.66666666666666663</v>
      </c>
      <c r="N3" s="27">
        <f>VLOOKUP(Table2[[#This Row],[prolific]],'Correct calc'!B$16:$AJ999,24,FALSE)</f>
        <v>1</v>
      </c>
      <c r="O3" s="27">
        <f>VLOOKUP(Table2[[#This Row],[prolific]],'Correct calc'!B$16:$AJ999,34,FALSE)</f>
        <v>0.5</v>
      </c>
      <c r="P3" s="28">
        <f>VLOOKUP(Table2[[#This Row],[comprescore]],Table3[],2,FALSE)</f>
        <v>3</v>
      </c>
      <c r="Q3" s="16">
        <f>VLOOKUP(Table2[[#This Row],[prolific]],'Correct calc'!B$16:$AK$998,36,FALSE)</f>
        <v>16</v>
      </c>
      <c r="R3" s="16">
        <f>Table2[[#This Row],[interviewminutes]]</f>
        <v>15.286833333333334</v>
      </c>
      <c r="S3" s="16">
        <f>Table2[[#This Row],[classifyTime]]+Table2[[#This Row],[explainTime]]+Table2[[#This Row],[validateTime]]</f>
        <v>13.227499999999999</v>
      </c>
      <c r="T3" s="29">
        <f>VLOOKUP(Table2[[#This Row],[prolific]],'Correct calc'!B$16:$AJ$998,35,FALSE)</f>
        <v>0.72727272727272729</v>
      </c>
      <c r="U3" s="15">
        <f>SUM(Table2[[#This Row],[priorKnowledge'[CLUSTERING']]:[priorKnowledge'[ZSCORES']]])/Table2[[#This Row],[priorKnowledgeTechQuestionCount]]</f>
        <v>1.5</v>
      </c>
      <c r="V3" s="16">
        <f>IF(Table2[[#This Row],[visualization]]="Wordcloud",2,3)</f>
        <v>2</v>
      </c>
      <c r="W3" s="31" t="s">
        <v>1017</v>
      </c>
      <c r="X3" s="31">
        <v>2</v>
      </c>
      <c r="Y3" s="31">
        <v>1</v>
      </c>
      <c r="Z3" s="31">
        <v>0</v>
      </c>
      <c r="AA3" s="31">
        <v>4</v>
      </c>
      <c r="AB3" s="31" t="s">
        <v>97</v>
      </c>
      <c r="AC3" s="31" t="s">
        <v>81</v>
      </c>
      <c r="AD3" s="31" t="s">
        <v>82</v>
      </c>
      <c r="AE3" s="31" t="s">
        <v>83</v>
      </c>
      <c r="AF3" s="31" t="s">
        <v>104</v>
      </c>
      <c r="AG3" s="31" t="s">
        <v>86</v>
      </c>
      <c r="AH3" s="31" t="s">
        <v>84</v>
      </c>
      <c r="AI3" s="31" t="s">
        <v>85</v>
      </c>
      <c r="AJ3" s="31" t="s">
        <v>98</v>
      </c>
      <c r="AK3" s="31" t="s">
        <v>88</v>
      </c>
      <c r="AL3" s="31" t="s">
        <v>87</v>
      </c>
      <c r="AM3" s="31" t="s">
        <v>105</v>
      </c>
      <c r="AN3" s="31" t="s">
        <v>90</v>
      </c>
      <c r="AO3" s="31" t="s">
        <v>83</v>
      </c>
      <c r="AP3" s="31" t="s">
        <v>85</v>
      </c>
      <c r="AQ3" s="31" t="s">
        <v>91</v>
      </c>
      <c r="AR3" s="31" t="s">
        <v>102</v>
      </c>
      <c r="AS3" s="31" t="s">
        <v>94</v>
      </c>
      <c r="AT3" s="31" t="s">
        <v>93</v>
      </c>
      <c r="AU3" s="31" t="s">
        <v>93</v>
      </c>
      <c r="AV3" s="31" t="s">
        <v>93</v>
      </c>
      <c r="AW3" s="31" t="s">
        <v>93</v>
      </c>
      <c r="AX3" s="31" t="s">
        <v>93</v>
      </c>
      <c r="AY3" s="31" t="s">
        <v>93</v>
      </c>
      <c r="AZ3" s="31" t="s">
        <v>94</v>
      </c>
      <c r="BA3" s="31" t="s">
        <v>107</v>
      </c>
      <c r="BB3" s="31" t="s">
        <v>273</v>
      </c>
      <c r="BC3" s="24"/>
      <c r="BD3" s="30">
        <f>Table2[[#This Row],[interviewtime]]/60</f>
        <v>15.286833333333334</v>
      </c>
      <c r="BE3" s="31">
        <v>917.21</v>
      </c>
      <c r="BF3" s="31">
        <v>6.09</v>
      </c>
      <c r="BG3" s="31"/>
      <c r="BH3" s="31">
        <v>48.91</v>
      </c>
      <c r="BI3" s="31"/>
      <c r="BJ3" s="31"/>
      <c r="BK3" s="31"/>
      <c r="BL3" s="31"/>
      <c r="BM3" s="31">
        <v>288.77</v>
      </c>
      <c r="BN3" s="31"/>
      <c r="BO3" s="31"/>
      <c r="BP3" s="31"/>
      <c r="BQ3" s="31"/>
      <c r="BR3" s="31"/>
      <c r="BS3" s="31"/>
      <c r="BT3" s="31">
        <v>252.66</v>
      </c>
      <c r="BU3" s="31"/>
      <c r="BV3" s="31"/>
      <c r="BW3" s="31"/>
      <c r="BX3" s="31"/>
      <c r="BY3" s="31"/>
      <c r="BZ3" s="31"/>
      <c r="CA3" s="31"/>
      <c r="CB3" s="31"/>
      <c r="CC3" s="31">
        <v>252.22</v>
      </c>
      <c r="CD3" s="31"/>
      <c r="CE3" s="31"/>
      <c r="CF3" s="31"/>
      <c r="CG3" s="31"/>
      <c r="CH3" s="31"/>
      <c r="CI3" s="31"/>
      <c r="CJ3" s="31"/>
      <c r="CK3" s="31"/>
      <c r="CL3" s="31">
        <v>68.56</v>
      </c>
      <c r="CM3" s="31"/>
      <c r="CN3" s="31"/>
      <c r="CO3" s="24"/>
      <c r="CP3" s="24"/>
      <c r="CQ3" s="43">
        <f>Table2[[#This Row],[groupTime22]]/60</f>
        <v>4.8128333333333329</v>
      </c>
      <c r="CR3" s="43">
        <f>Table2[[#This Row],[groupTime23]]/60</f>
        <v>4.2110000000000003</v>
      </c>
      <c r="CS3" s="43">
        <f>Table2[[#This Row],[groupTime24]]/60</f>
        <v>4.2036666666666669</v>
      </c>
    </row>
    <row r="4" spans="1:97" x14ac:dyDescent="0.25">
      <c r="A4" s="11" t="s">
        <v>352</v>
      </c>
      <c r="B4" s="11" t="s">
        <v>115</v>
      </c>
      <c r="C4" s="12">
        <v>12</v>
      </c>
      <c r="D4" s="12" t="s">
        <v>186</v>
      </c>
      <c r="E4" s="12">
        <v>6</v>
      </c>
      <c r="F4" s="12" t="s">
        <v>79</v>
      </c>
      <c r="G4" s="12">
        <v>1667809361</v>
      </c>
      <c r="H4" s="12" t="s">
        <v>187</v>
      </c>
      <c r="I4" s="12" t="s">
        <v>186</v>
      </c>
      <c r="J4" s="12" t="s">
        <v>80</v>
      </c>
      <c r="K4" s="12" t="str">
        <f>IF(Table2[[#This Row],[priorSuccessRatio]]&lt;1,"yes","no")</f>
        <v>no</v>
      </c>
      <c r="L4" s="27">
        <f>VLOOKUP(Table2[[#This Row],[prolific]],'Correct calc'!B$16:$AJ$998,6,FALSE)</f>
        <v>1</v>
      </c>
      <c r="M4" s="27">
        <f>VLOOKUP(Table2[[#This Row],[prolific]],'Correct calc'!B$16:$AJ$998,14,FALSE)</f>
        <v>0.5</v>
      </c>
      <c r="N4" s="27">
        <f>VLOOKUP(Table2[[#This Row],[prolific]],'Correct calc'!B$16:$AJ1000,24,FALSE)</f>
        <v>0.75</v>
      </c>
      <c r="O4" s="27">
        <f>VLOOKUP(Table2[[#This Row],[prolific]],'Correct calc'!B$16:$AJ1000,34,FALSE)</f>
        <v>0.75</v>
      </c>
      <c r="P4" s="28">
        <f>VLOOKUP(Table2[[#This Row],[comprescore]],Table3[],2,FALSE)</f>
        <v>3</v>
      </c>
      <c r="Q4" s="16">
        <f>VLOOKUP(Table2[[#This Row],[prolific]],'Correct calc'!B$16:$AK$998,36,FALSE)</f>
        <v>15</v>
      </c>
      <c r="R4" s="16">
        <f>Table2[[#This Row],[interviewminutes]]</f>
        <v>8.3681666666666654</v>
      </c>
      <c r="S4" s="16">
        <f>Table2[[#This Row],[classifyTime]]+Table2[[#This Row],[explainTime]]+Table2[[#This Row],[validateTime]]</f>
        <v>5.7291666666666661</v>
      </c>
      <c r="T4" s="29">
        <f>VLOOKUP(Table2[[#This Row],[prolific]],'Correct calc'!B$16:$AJ$998,35,FALSE)</f>
        <v>0.68181818181818177</v>
      </c>
      <c r="U4" s="15">
        <f>SUM(Table2[[#This Row],[priorKnowledge'[CLUSTERING']]:[priorKnowledge'[ZSCORES']]])/Table2[[#This Row],[priorKnowledgeTechQuestionCount]]</f>
        <v>4.5</v>
      </c>
      <c r="V4" s="16">
        <f>IF(Table2[[#This Row],[visualization]]="Wordcloud",2,3)</f>
        <v>2</v>
      </c>
      <c r="W4" s="31" t="s">
        <v>1018</v>
      </c>
      <c r="X4" s="31">
        <v>2</v>
      </c>
      <c r="Y4" s="31">
        <v>7</v>
      </c>
      <c r="Z4" s="31">
        <v>0</v>
      </c>
      <c r="AA4" s="31">
        <v>5</v>
      </c>
      <c r="AB4" s="31" t="s">
        <v>97</v>
      </c>
      <c r="AC4" s="31" t="s">
        <v>81</v>
      </c>
      <c r="AD4" s="31" t="s">
        <v>82</v>
      </c>
      <c r="AE4" s="31" t="s">
        <v>83</v>
      </c>
      <c r="AF4" s="31" t="s">
        <v>104</v>
      </c>
      <c r="AG4" s="31" t="s">
        <v>98</v>
      </c>
      <c r="AH4" s="31" t="s">
        <v>84</v>
      </c>
      <c r="AI4" s="31" t="s">
        <v>104</v>
      </c>
      <c r="AJ4" s="31" t="s">
        <v>86</v>
      </c>
      <c r="AK4" s="31" t="s">
        <v>88</v>
      </c>
      <c r="AL4" s="31" t="s">
        <v>87</v>
      </c>
      <c r="AM4" s="31" t="s">
        <v>105</v>
      </c>
      <c r="AN4" s="31" t="s">
        <v>90</v>
      </c>
      <c r="AO4" s="31" t="s">
        <v>83</v>
      </c>
      <c r="AP4" s="31" t="s">
        <v>104</v>
      </c>
      <c r="AQ4" s="31" t="s">
        <v>101</v>
      </c>
      <c r="AR4" s="31" t="s">
        <v>102</v>
      </c>
      <c r="AS4" s="31" t="s">
        <v>94</v>
      </c>
      <c r="AT4" s="31" t="s">
        <v>93</v>
      </c>
      <c r="AU4" s="31" t="s">
        <v>94</v>
      </c>
      <c r="AV4" s="31" t="s">
        <v>93</v>
      </c>
      <c r="AW4" s="31" t="s">
        <v>94</v>
      </c>
      <c r="AX4" s="31" t="s">
        <v>94</v>
      </c>
      <c r="AY4" s="31" t="s">
        <v>93</v>
      </c>
      <c r="AZ4" s="31" t="s">
        <v>93</v>
      </c>
      <c r="BA4" s="31" t="s">
        <v>107</v>
      </c>
      <c r="BB4" s="31" t="s">
        <v>275</v>
      </c>
      <c r="BC4" s="24"/>
      <c r="BD4" s="30">
        <f>Table2[[#This Row],[interviewtime]]/60</f>
        <v>8.3681666666666654</v>
      </c>
      <c r="BE4" s="31">
        <v>502.09</v>
      </c>
      <c r="BF4" s="31">
        <v>6.05</v>
      </c>
      <c r="BG4" s="31"/>
      <c r="BH4" s="31">
        <v>92.94</v>
      </c>
      <c r="BI4" s="31"/>
      <c r="BJ4" s="31"/>
      <c r="BK4" s="31"/>
      <c r="BL4" s="31"/>
      <c r="BM4" s="31">
        <v>158.38</v>
      </c>
      <c r="BN4" s="31"/>
      <c r="BO4" s="31"/>
      <c r="BP4" s="31"/>
      <c r="BQ4" s="31"/>
      <c r="BR4" s="31"/>
      <c r="BS4" s="31"/>
      <c r="BT4" s="31">
        <v>90.36</v>
      </c>
      <c r="BU4" s="31"/>
      <c r="BV4" s="31"/>
      <c r="BW4" s="31"/>
      <c r="BX4" s="31"/>
      <c r="BY4" s="31"/>
      <c r="BZ4" s="31"/>
      <c r="CA4" s="31"/>
      <c r="CB4" s="31"/>
      <c r="CC4" s="31">
        <v>95.01</v>
      </c>
      <c r="CD4" s="31"/>
      <c r="CE4" s="31"/>
      <c r="CF4" s="31"/>
      <c r="CG4" s="31"/>
      <c r="CH4" s="31"/>
      <c r="CI4" s="31"/>
      <c r="CJ4" s="31"/>
      <c r="CK4" s="31"/>
      <c r="CL4" s="31">
        <v>59.35</v>
      </c>
      <c r="CM4" s="31"/>
      <c r="CN4" s="31"/>
      <c r="CO4" s="24"/>
      <c r="CP4" s="24"/>
      <c r="CQ4" s="43">
        <f>Table2[[#This Row],[groupTime22]]/60</f>
        <v>2.6396666666666664</v>
      </c>
      <c r="CR4" s="43">
        <f>Table2[[#This Row],[groupTime23]]/60</f>
        <v>1.506</v>
      </c>
      <c r="CS4" s="43">
        <f>Table2[[#This Row],[groupTime24]]/60</f>
        <v>1.5835000000000001</v>
      </c>
    </row>
    <row r="5" spans="1:97" x14ac:dyDescent="0.25">
      <c r="A5" s="11" t="s">
        <v>352</v>
      </c>
      <c r="B5" s="11" t="s">
        <v>115</v>
      </c>
      <c r="C5" s="12">
        <v>13</v>
      </c>
      <c r="D5" s="12" t="s">
        <v>188</v>
      </c>
      <c r="E5" s="12">
        <v>6</v>
      </c>
      <c r="F5" s="12" t="s">
        <v>79</v>
      </c>
      <c r="G5" s="12">
        <v>2015102773</v>
      </c>
      <c r="H5" s="12" t="s">
        <v>189</v>
      </c>
      <c r="I5" s="12" t="s">
        <v>190</v>
      </c>
      <c r="J5" s="12" t="s">
        <v>80</v>
      </c>
      <c r="K5" s="12" t="str">
        <f>IF(Table2[[#This Row],[priorSuccessRatio]]&lt;1,"yes","no")</f>
        <v>no</v>
      </c>
      <c r="L5" s="27">
        <f>VLOOKUP(Table2[[#This Row],[prolific]],'Correct calc'!B$16:$AJ$998,6,FALSE)</f>
        <v>1</v>
      </c>
      <c r="M5" s="27">
        <f>VLOOKUP(Table2[[#This Row],[prolific]],'Correct calc'!B$16:$AJ$998,14,FALSE)</f>
        <v>0.5</v>
      </c>
      <c r="N5" s="27">
        <f>VLOOKUP(Table2[[#This Row],[prolific]],'Correct calc'!B$16:$AJ1001,24,FALSE)</f>
        <v>0.875</v>
      </c>
      <c r="O5" s="27">
        <f>VLOOKUP(Table2[[#This Row],[prolific]],'Correct calc'!B$16:$AJ1001,34,FALSE)</f>
        <v>0.375</v>
      </c>
      <c r="P5" s="28">
        <f>VLOOKUP(Table2[[#This Row],[comprescore]],Table3[],2,FALSE)</f>
        <v>3</v>
      </c>
      <c r="Q5" s="16">
        <f>VLOOKUP(Table2[[#This Row],[prolific]],'Correct calc'!B$16:$AK$998,36,FALSE)</f>
        <v>13</v>
      </c>
      <c r="R5" s="16">
        <f>Table2[[#This Row],[interviewminutes]]</f>
        <v>9.1513333333333335</v>
      </c>
      <c r="S5" s="16">
        <f>Table2[[#This Row],[classifyTime]]+Table2[[#This Row],[explainTime]]+Table2[[#This Row],[validateTime]]</f>
        <v>6.5876666666666672</v>
      </c>
      <c r="T5" s="29">
        <f>VLOOKUP(Table2[[#This Row],[prolific]],'Correct calc'!B$16:$AJ$998,35,FALSE)</f>
        <v>0.59090909090909094</v>
      </c>
      <c r="U5" s="15">
        <f>SUM(Table2[[#This Row],[priorKnowledge'[CLUSTERING']]:[priorKnowledge'[ZSCORES']]])/Table2[[#This Row],[priorKnowledgeTechQuestionCount]]</f>
        <v>1</v>
      </c>
      <c r="V5" s="16">
        <f>IF(Table2[[#This Row],[visualization]]="Wordcloud",2,3)</f>
        <v>2</v>
      </c>
      <c r="W5" s="31" t="s">
        <v>1019</v>
      </c>
      <c r="X5" s="31">
        <v>1</v>
      </c>
      <c r="Y5" s="31">
        <v>1</v>
      </c>
      <c r="Z5" s="31">
        <v>0</v>
      </c>
      <c r="AA5" s="31">
        <v>1</v>
      </c>
      <c r="AB5" s="31" t="s">
        <v>97</v>
      </c>
      <c r="AC5" s="31" t="s">
        <v>81</v>
      </c>
      <c r="AD5" s="31" t="s">
        <v>82</v>
      </c>
      <c r="AE5" s="31" t="s">
        <v>83</v>
      </c>
      <c r="AF5" s="31" t="s">
        <v>86</v>
      </c>
      <c r="AG5" s="31" t="s">
        <v>85</v>
      </c>
      <c r="AH5" s="31" t="s">
        <v>84</v>
      </c>
      <c r="AI5" s="31" t="s">
        <v>104</v>
      </c>
      <c r="AJ5" s="31" t="s">
        <v>85</v>
      </c>
      <c r="AK5" s="31" t="s">
        <v>88</v>
      </c>
      <c r="AL5" s="31" t="s">
        <v>87</v>
      </c>
      <c r="AM5" s="31" t="s">
        <v>99</v>
      </c>
      <c r="AN5" s="31" t="s">
        <v>90</v>
      </c>
      <c r="AO5" s="31" t="s">
        <v>83</v>
      </c>
      <c r="AP5" s="31" t="s">
        <v>85</v>
      </c>
      <c r="AQ5" s="31" t="s">
        <v>91</v>
      </c>
      <c r="AR5" s="31" t="s">
        <v>102</v>
      </c>
      <c r="AS5" s="31" t="s">
        <v>94</v>
      </c>
      <c r="AT5" s="31" t="s">
        <v>93</v>
      </c>
      <c r="AU5" s="31" t="s">
        <v>93</v>
      </c>
      <c r="AV5" s="31" t="s">
        <v>93</v>
      </c>
      <c r="AW5" s="31" t="s">
        <v>93</v>
      </c>
      <c r="AX5" s="31" t="s">
        <v>94</v>
      </c>
      <c r="AY5" s="31" t="s">
        <v>93</v>
      </c>
      <c r="AZ5" s="31" t="s">
        <v>94</v>
      </c>
      <c r="BA5" s="31" t="s">
        <v>107</v>
      </c>
      <c r="BB5" s="31" t="s">
        <v>107</v>
      </c>
      <c r="BC5" s="24"/>
      <c r="BD5" s="30">
        <f>Table2[[#This Row],[interviewtime]]/60</f>
        <v>9.1513333333333335</v>
      </c>
      <c r="BE5" s="31">
        <v>549.08000000000004</v>
      </c>
      <c r="BF5" s="31">
        <v>9.6300000000000008</v>
      </c>
      <c r="BG5" s="31"/>
      <c r="BH5" s="31">
        <v>101.16</v>
      </c>
      <c r="BI5" s="31"/>
      <c r="BJ5" s="31"/>
      <c r="BK5" s="31"/>
      <c r="BL5" s="31"/>
      <c r="BM5" s="31">
        <v>141.32</v>
      </c>
      <c r="BN5" s="31"/>
      <c r="BO5" s="31"/>
      <c r="BP5" s="31"/>
      <c r="BQ5" s="31"/>
      <c r="BR5" s="31"/>
      <c r="BS5" s="31"/>
      <c r="BT5" s="31">
        <v>100.6</v>
      </c>
      <c r="BU5" s="31"/>
      <c r="BV5" s="31"/>
      <c r="BW5" s="31"/>
      <c r="BX5" s="31"/>
      <c r="BY5" s="31"/>
      <c r="BZ5" s="31"/>
      <c r="CA5" s="31"/>
      <c r="CB5" s="31"/>
      <c r="CC5" s="31">
        <v>153.34</v>
      </c>
      <c r="CD5" s="31"/>
      <c r="CE5" s="31"/>
      <c r="CF5" s="31"/>
      <c r="CG5" s="31"/>
      <c r="CH5" s="31"/>
      <c r="CI5" s="31"/>
      <c r="CJ5" s="31"/>
      <c r="CK5" s="31"/>
      <c r="CL5" s="31">
        <v>43.03</v>
      </c>
      <c r="CM5" s="31"/>
      <c r="CN5" s="31"/>
      <c r="CO5" s="24"/>
      <c r="CP5" s="24"/>
      <c r="CQ5" s="43">
        <f>Table2[[#This Row],[groupTime22]]/60</f>
        <v>2.3553333333333333</v>
      </c>
      <c r="CR5" s="43">
        <f>Table2[[#This Row],[groupTime23]]/60</f>
        <v>1.6766666666666665</v>
      </c>
      <c r="CS5" s="43">
        <f>Table2[[#This Row],[groupTime24]]/60</f>
        <v>2.5556666666666668</v>
      </c>
    </row>
    <row r="6" spans="1:97" x14ac:dyDescent="0.25">
      <c r="A6" s="11" t="s">
        <v>352</v>
      </c>
      <c r="B6" s="11" t="s">
        <v>115</v>
      </c>
      <c r="C6" s="12">
        <v>14</v>
      </c>
      <c r="D6" s="12" t="s">
        <v>191</v>
      </c>
      <c r="E6" s="12">
        <v>6</v>
      </c>
      <c r="F6" s="12" t="s">
        <v>79</v>
      </c>
      <c r="G6" s="12">
        <v>1178430986</v>
      </c>
      <c r="H6" s="12" t="s">
        <v>192</v>
      </c>
      <c r="I6" s="12" t="s">
        <v>191</v>
      </c>
      <c r="J6" s="12" t="s">
        <v>80</v>
      </c>
      <c r="K6" s="12" t="str">
        <f>IF(Table2[[#This Row],[priorSuccessRatio]]&lt;1,"yes","no")</f>
        <v>no</v>
      </c>
      <c r="L6" s="27">
        <f>VLOOKUP(Table2[[#This Row],[prolific]],'Correct calc'!B$16:$AJ$998,6,FALSE)</f>
        <v>1</v>
      </c>
      <c r="M6" s="27">
        <f>VLOOKUP(Table2[[#This Row],[prolific]],'Correct calc'!B$16:$AJ$998,14,FALSE)</f>
        <v>0.5</v>
      </c>
      <c r="N6" s="27">
        <f>VLOOKUP(Table2[[#This Row],[prolific]],'Correct calc'!B$16:$AJ1002,24,FALSE)</f>
        <v>0.5</v>
      </c>
      <c r="O6" s="27">
        <f>VLOOKUP(Table2[[#This Row],[prolific]],'Correct calc'!B$16:$AJ1002,34,FALSE)</f>
        <v>0.5</v>
      </c>
      <c r="P6" s="28">
        <f>VLOOKUP(Table2[[#This Row],[comprescore]],Table3[],2,FALSE)</f>
        <v>4</v>
      </c>
      <c r="Q6" s="16">
        <f>VLOOKUP(Table2[[#This Row],[prolific]],'Correct calc'!B$16:$AK$998,36,FALSE)</f>
        <v>11</v>
      </c>
      <c r="R6" s="16">
        <f>Table2[[#This Row],[interviewminutes]]</f>
        <v>7.1543333333333328</v>
      </c>
      <c r="S6" s="16">
        <f>Table2[[#This Row],[classifyTime]]+Table2[[#This Row],[explainTime]]+Table2[[#This Row],[validateTime]]</f>
        <v>4.9673333333333334</v>
      </c>
      <c r="T6" s="29">
        <f>VLOOKUP(Table2[[#This Row],[prolific]],'Correct calc'!B$16:$AJ$998,35,FALSE)</f>
        <v>0.5</v>
      </c>
      <c r="U6" s="15">
        <f>SUM(Table2[[#This Row],[priorKnowledge'[CLUSTERING']]:[priorKnowledge'[ZSCORES']]])/Table2[[#This Row],[priorKnowledgeTechQuestionCount]]</f>
        <v>4.5</v>
      </c>
      <c r="V6" s="16">
        <f>IF(Table2[[#This Row],[visualization]]="Wordcloud",2,3)</f>
        <v>2</v>
      </c>
      <c r="W6" s="31" t="s">
        <v>1020</v>
      </c>
      <c r="X6" s="31">
        <v>4</v>
      </c>
      <c r="Y6" s="31">
        <v>5</v>
      </c>
      <c r="Z6" s="31">
        <v>0</v>
      </c>
      <c r="AA6" s="31">
        <v>5</v>
      </c>
      <c r="AB6" s="31" t="s">
        <v>97</v>
      </c>
      <c r="AC6" s="31" t="s">
        <v>81</v>
      </c>
      <c r="AD6" s="31" t="s">
        <v>82</v>
      </c>
      <c r="AE6" s="31" t="s">
        <v>83</v>
      </c>
      <c r="AF6" s="31" t="s">
        <v>104</v>
      </c>
      <c r="AG6" s="31" t="s">
        <v>98</v>
      </c>
      <c r="AH6" s="31" t="s">
        <v>85</v>
      </c>
      <c r="AI6" s="31" t="s">
        <v>104</v>
      </c>
      <c r="AJ6" s="31" t="s">
        <v>98</v>
      </c>
      <c r="AK6" s="31" t="s">
        <v>88</v>
      </c>
      <c r="AL6" s="31" t="s">
        <v>87</v>
      </c>
      <c r="AM6" s="31" t="s">
        <v>89</v>
      </c>
      <c r="AN6" s="31" t="s">
        <v>278</v>
      </c>
      <c r="AO6" s="31" t="s">
        <v>83</v>
      </c>
      <c r="AP6" s="31" t="s">
        <v>85</v>
      </c>
      <c r="AQ6" s="31" t="s">
        <v>111</v>
      </c>
      <c r="AR6" s="31" t="s">
        <v>101</v>
      </c>
      <c r="AS6" s="31" t="s">
        <v>94</v>
      </c>
      <c r="AT6" s="31" t="s">
        <v>93</v>
      </c>
      <c r="AU6" s="31" t="s">
        <v>94</v>
      </c>
      <c r="AV6" s="31" t="s">
        <v>93</v>
      </c>
      <c r="AW6" s="31" t="s">
        <v>93</v>
      </c>
      <c r="AX6" s="31" t="s">
        <v>94</v>
      </c>
      <c r="AY6" s="31" t="s">
        <v>93</v>
      </c>
      <c r="AZ6" s="31" t="s">
        <v>94</v>
      </c>
      <c r="BA6" s="31" t="s">
        <v>103</v>
      </c>
      <c r="BB6" s="31" t="s">
        <v>279</v>
      </c>
      <c r="BC6" s="24"/>
      <c r="BD6" s="30">
        <f>Table2[[#This Row],[interviewtime]]/60</f>
        <v>7.1543333333333328</v>
      </c>
      <c r="BE6" s="31">
        <v>429.26</v>
      </c>
      <c r="BF6" s="31">
        <v>6.97</v>
      </c>
      <c r="BG6" s="31"/>
      <c r="BH6" s="31">
        <v>54.83</v>
      </c>
      <c r="BI6" s="31"/>
      <c r="BJ6" s="31"/>
      <c r="BK6" s="31"/>
      <c r="BL6" s="31"/>
      <c r="BM6" s="31">
        <v>144.5</v>
      </c>
      <c r="BN6" s="31"/>
      <c r="BO6" s="31"/>
      <c r="BP6" s="31"/>
      <c r="BQ6" s="31"/>
      <c r="BR6" s="31"/>
      <c r="BS6" s="31"/>
      <c r="BT6" s="31">
        <v>99.51</v>
      </c>
      <c r="BU6" s="31"/>
      <c r="BV6" s="31"/>
      <c r="BW6" s="31"/>
      <c r="BX6" s="31"/>
      <c r="BY6" s="31"/>
      <c r="BZ6" s="31"/>
      <c r="CA6" s="31"/>
      <c r="CB6" s="31"/>
      <c r="CC6" s="31">
        <v>54.03</v>
      </c>
      <c r="CD6" s="31"/>
      <c r="CE6" s="31"/>
      <c r="CF6" s="31"/>
      <c r="CG6" s="31"/>
      <c r="CH6" s="31"/>
      <c r="CI6" s="31"/>
      <c r="CJ6" s="31"/>
      <c r="CK6" s="31"/>
      <c r="CL6" s="31">
        <v>69.42</v>
      </c>
      <c r="CM6" s="31"/>
      <c r="CN6" s="31"/>
      <c r="CO6" s="24"/>
      <c r="CP6" s="24"/>
      <c r="CQ6" s="43">
        <f>Table2[[#This Row],[groupTime22]]/60</f>
        <v>2.4083333333333332</v>
      </c>
      <c r="CR6" s="43">
        <f>Table2[[#This Row],[groupTime23]]/60</f>
        <v>1.6585000000000001</v>
      </c>
      <c r="CS6" s="43">
        <f>Table2[[#This Row],[groupTime24]]/60</f>
        <v>0.90049999999999997</v>
      </c>
    </row>
    <row r="7" spans="1:97" x14ac:dyDescent="0.25">
      <c r="A7" s="11" t="s">
        <v>352</v>
      </c>
      <c r="B7" s="11" t="s">
        <v>115</v>
      </c>
      <c r="C7" s="12">
        <v>15</v>
      </c>
      <c r="D7" s="12" t="s">
        <v>193</v>
      </c>
      <c r="E7" s="12">
        <v>6</v>
      </c>
      <c r="F7" s="12" t="s">
        <v>79</v>
      </c>
      <c r="G7" s="12">
        <v>1226816159</v>
      </c>
      <c r="H7" s="12" t="s">
        <v>194</v>
      </c>
      <c r="I7" s="12" t="s">
        <v>193</v>
      </c>
      <c r="J7" s="12" t="s">
        <v>80</v>
      </c>
      <c r="K7" s="12" t="str">
        <f>IF(Table2[[#This Row],[priorSuccessRatio]]&lt;1,"yes","no")</f>
        <v>no</v>
      </c>
      <c r="L7" s="27">
        <f>VLOOKUP(Table2[[#This Row],[prolific]],'Correct calc'!B$16:$AJ$998,6,FALSE)</f>
        <v>1</v>
      </c>
      <c r="M7" s="27">
        <f>VLOOKUP(Table2[[#This Row],[prolific]],'Correct calc'!B$16:$AJ$998,14,FALSE)</f>
        <v>1</v>
      </c>
      <c r="N7" s="27">
        <f>VLOOKUP(Table2[[#This Row],[prolific]],'Correct calc'!B$16:$AJ1003,24,FALSE)</f>
        <v>0.875</v>
      </c>
      <c r="O7" s="27">
        <f>VLOOKUP(Table2[[#This Row],[prolific]],'Correct calc'!B$16:$AJ1003,34,FALSE)</f>
        <v>0.5</v>
      </c>
      <c r="P7" s="28">
        <f>VLOOKUP(Table2[[#This Row],[comprescore]],Table3[],2,FALSE)</f>
        <v>2</v>
      </c>
      <c r="Q7" s="16">
        <f>VLOOKUP(Table2[[#This Row],[prolific]],'Correct calc'!B$16:$AK$998,36,FALSE)</f>
        <v>17</v>
      </c>
      <c r="R7" s="16">
        <f>Table2[[#This Row],[interviewminutes]]</f>
        <v>18.078500000000002</v>
      </c>
      <c r="S7" s="16">
        <f>Table2[[#This Row],[classifyTime]]+Table2[[#This Row],[explainTime]]+Table2[[#This Row],[validateTime]]</f>
        <v>15.1585</v>
      </c>
      <c r="T7" s="29">
        <f>VLOOKUP(Table2[[#This Row],[prolific]],'Correct calc'!B$16:$AJ$998,35,FALSE)</f>
        <v>0.77272727272727271</v>
      </c>
      <c r="U7" s="15">
        <f>SUM(Table2[[#This Row],[priorKnowledge'[CLUSTERING']]:[priorKnowledge'[ZSCORES']]])/Table2[[#This Row],[priorKnowledgeTechQuestionCount]]</f>
        <v>1.5</v>
      </c>
      <c r="V7" s="16">
        <f>IF(Table2[[#This Row],[visualization]]="Wordcloud",2,3)</f>
        <v>2</v>
      </c>
      <c r="W7" s="31" t="s">
        <v>1021</v>
      </c>
      <c r="X7" s="31">
        <v>1</v>
      </c>
      <c r="Y7" s="31">
        <v>2</v>
      </c>
      <c r="Z7" s="31">
        <v>0</v>
      </c>
      <c r="AA7" s="31">
        <v>4</v>
      </c>
      <c r="AB7" s="31" t="s">
        <v>97</v>
      </c>
      <c r="AC7" s="31" t="s">
        <v>81</v>
      </c>
      <c r="AD7" s="31" t="s">
        <v>82</v>
      </c>
      <c r="AE7" s="31" t="s">
        <v>83</v>
      </c>
      <c r="AF7" s="31" t="s">
        <v>85</v>
      </c>
      <c r="AG7" s="31" t="s">
        <v>86</v>
      </c>
      <c r="AH7" s="31" t="s">
        <v>84</v>
      </c>
      <c r="AI7" s="31" t="s">
        <v>104</v>
      </c>
      <c r="AJ7" s="31" t="s">
        <v>98</v>
      </c>
      <c r="AK7" s="31" t="s">
        <v>88</v>
      </c>
      <c r="AL7" s="31" t="s">
        <v>87</v>
      </c>
      <c r="AM7" s="31" t="s">
        <v>105</v>
      </c>
      <c r="AN7" s="31" t="s">
        <v>100</v>
      </c>
      <c r="AO7" s="31" t="s">
        <v>83</v>
      </c>
      <c r="AP7" s="31" t="s">
        <v>85</v>
      </c>
      <c r="AQ7" s="31" t="s">
        <v>91</v>
      </c>
      <c r="AR7" s="31" t="s">
        <v>102</v>
      </c>
      <c r="AS7" s="31" t="s">
        <v>94</v>
      </c>
      <c r="AT7" s="31" t="s">
        <v>93</v>
      </c>
      <c r="AU7" s="31" t="s">
        <v>94</v>
      </c>
      <c r="AV7" s="31" t="s">
        <v>93</v>
      </c>
      <c r="AW7" s="31" t="s">
        <v>93</v>
      </c>
      <c r="AX7" s="31" t="s">
        <v>94</v>
      </c>
      <c r="AY7" s="31" t="s">
        <v>93</v>
      </c>
      <c r="AZ7" s="31" t="s">
        <v>94</v>
      </c>
      <c r="BA7" s="31" t="s">
        <v>106</v>
      </c>
      <c r="BB7" s="31" t="s">
        <v>281</v>
      </c>
      <c r="BC7" s="24"/>
      <c r="BD7" s="30">
        <f>Table2[[#This Row],[interviewtime]]/60</f>
        <v>18.078500000000002</v>
      </c>
      <c r="BE7" s="31">
        <v>1084.71</v>
      </c>
      <c r="BF7" s="31">
        <v>15.64</v>
      </c>
      <c r="BG7" s="31"/>
      <c r="BH7" s="31">
        <v>58.65</v>
      </c>
      <c r="BI7" s="31"/>
      <c r="BJ7" s="31"/>
      <c r="BK7" s="31"/>
      <c r="BL7" s="31"/>
      <c r="BM7" s="31">
        <v>464.82</v>
      </c>
      <c r="BN7" s="31"/>
      <c r="BO7" s="31"/>
      <c r="BP7" s="31"/>
      <c r="BQ7" s="31"/>
      <c r="BR7" s="31"/>
      <c r="BS7" s="31"/>
      <c r="BT7" s="31">
        <v>232.11</v>
      </c>
      <c r="BU7" s="31"/>
      <c r="BV7" s="31"/>
      <c r="BW7" s="31"/>
      <c r="BX7" s="31"/>
      <c r="BY7" s="31"/>
      <c r="BZ7" s="31"/>
      <c r="CA7" s="31"/>
      <c r="CB7" s="31"/>
      <c r="CC7" s="31">
        <v>212.58</v>
      </c>
      <c r="CD7" s="31"/>
      <c r="CE7" s="31"/>
      <c r="CF7" s="31"/>
      <c r="CG7" s="31"/>
      <c r="CH7" s="31"/>
      <c r="CI7" s="31"/>
      <c r="CJ7" s="31"/>
      <c r="CK7" s="31"/>
      <c r="CL7" s="31">
        <v>100.91</v>
      </c>
      <c r="CM7" s="31"/>
      <c r="CN7" s="31"/>
      <c r="CO7" s="24"/>
      <c r="CP7" s="24"/>
      <c r="CQ7" s="43">
        <f>Table2[[#This Row],[groupTime22]]/60</f>
        <v>7.7469999999999999</v>
      </c>
      <c r="CR7" s="43">
        <f>Table2[[#This Row],[groupTime23]]/60</f>
        <v>3.8685</v>
      </c>
      <c r="CS7" s="43">
        <f>Table2[[#This Row],[groupTime24]]/60</f>
        <v>3.5430000000000001</v>
      </c>
    </row>
    <row r="8" spans="1:97" x14ac:dyDescent="0.25">
      <c r="A8" s="11" t="s">
        <v>352</v>
      </c>
      <c r="B8" s="11" t="s">
        <v>115</v>
      </c>
      <c r="C8" s="12">
        <v>16</v>
      </c>
      <c r="D8" s="12" t="s">
        <v>195</v>
      </c>
      <c r="E8" s="12">
        <v>6</v>
      </c>
      <c r="F8" s="12" t="s">
        <v>79</v>
      </c>
      <c r="G8" s="12">
        <v>1764711888</v>
      </c>
      <c r="H8" s="12" t="s">
        <v>196</v>
      </c>
      <c r="I8" s="12" t="s">
        <v>195</v>
      </c>
      <c r="J8" s="12" t="s">
        <v>80</v>
      </c>
      <c r="K8" s="12" t="str">
        <f>IF(Table2[[#This Row],[priorSuccessRatio]]&lt;1,"yes","no")</f>
        <v>no</v>
      </c>
      <c r="L8" s="27">
        <f>VLOOKUP(Table2[[#This Row],[prolific]],'Correct calc'!B$16:$AJ$998,6,FALSE)</f>
        <v>1</v>
      </c>
      <c r="M8" s="27">
        <f>VLOOKUP(Table2[[#This Row],[prolific]],'Correct calc'!B$16:$AJ$998,14,FALSE)</f>
        <v>1</v>
      </c>
      <c r="N8" s="27">
        <f>VLOOKUP(Table2[[#This Row],[prolific]],'Correct calc'!B$16:$AJ1004,24,FALSE)</f>
        <v>0.625</v>
      </c>
      <c r="O8" s="27">
        <f>VLOOKUP(Table2[[#This Row],[prolific]],'Correct calc'!B$16:$AJ1004,34,FALSE)</f>
        <v>0.625</v>
      </c>
      <c r="P8" s="28">
        <f>VLOOKUP(Table2[[#This Row],[comprescore]],Table3[],2,FALSE)</f>
        <v>2</v>
      </c>
      <c r="Q8" s="16">
        <f>VLOOKUP(Table2[[#This Row],[prolific]],'Correct calc'!B$16:$AK$998,36,FALSE)</f>
        <v>16</v>
      </c>
      <c r="R8" s="16">
        <f>Table2[[#This Row],[interviewminutes]]</f>
        <v>20.867999999999999</v>
      </c>
      <c r="S8" s="16">
        <f>Table2[[#This Row],[classifyTime]]+Table2[[#This Row],[explainTime]]+Table2[[#This Row],[validateTime]]</f>
        <v>18.985333333333333</v>
      </c>
      <c r="T8" s="29">
        <f>VLOOKUP(Table2[[#This Row],[prolific]],'Correct calc'!B$16:$AJ$998,35,FALSE)</f>
        <v>0.72727272727272729</v>
      </c>
      <c r="U8" s="15">
        <f>SUM(Table2[[#This Row],[priorKnowledge'[CLUSTERING']]:[priorKnowledge'[ZSCORES']]])/Table2[[#This Row],[priorKnowledgeTechQuestionCount]]</f>
        <v>1</v>
      </c>
      <c r="V8" s="16">
        <f>IF(Table2[[#This Row],[visualization]]="Wordcloud",2,3)</f>
        <v>2</v>
      </c>
      <c r="W8" s="31" t="s">
        <v>1022</v>
      </c>
      <c r="X8" s="31">
        <v>1</v>
      </c>
      <c r="Y8" s="31">
        <v>1</v>
      </c>
      <c r="Z8" s="31">
        <v>0</v>
      </c>
      <c r="AA8" s="31">
        <v>9</v>
      </c>
      <c r="AB8" s="31" t="s">
        <v>97</v>
      </c>
      <c r="AC8" s="31" t="s">
        <v>81</v>
      </c>
      <c r="AD8" s="31" t="s">
        <v>82</v>
      </c>
      <c r="AE8" s="31" t="s">
        <v>83</v>
      </c>
      <c r="AF8" s="31" t="s">
        <v>85</v>
      </c>
      <c r="AG8" s="31" t="s">
        <v>86</v>
      </c>
      <c r="AH8" s="31" t="s">
        <v>84</v>
      </c>
      <c r="AI8" s="31" t="s">
        <v>104</v>
      </c>
      <c r="AJ8" s="31" t="s">
        <v>98</v>
      </c>
      <c r="AK8" s="31" t="s">
        <v>88</v>
      </c>
      <c r="AL8" s="31" t="s">
        <v>87</v>
      </c>
      <c r="AM8" s="31" t="s">
        <v>99</v>
      </c>
      <c r="AN8" s="31" t="s">
        <v>109</v>
      </c>
      <c r="AO8" s="31" t="s">
        <v>83</v>
      </c>
      <c r="AP8" s="31" t="s">
        <v>85</v>
      </c>
      <c r="AQ8" s="31" t="s">
        <v>101</v>
      </c>
      <c r="AR8" s="31" t="s">
        <v>102</v>
      </c>
      <c r="AS8" s="31" t="s">
        <v>94</v>
      </c>
      <c r="AT8" s="31" t="s">
        <v>93</v>
      </c>
      <c r="AU8" s="31" t="s">
        <v>93</v>
      </c>
      <c r="AV8" s="31" t="s">
        <v>93</v>
      </c>
      <c r="AW8" s="31" t="s">
        <v>94</v>
      </c>
      <c r="AX8" s="31" t="s">
        <v>94</v>
      </c>
      <c r="AY8" s="31" t="s">
        <v>94</v>
      </c>
      <c r="AZ8" s="31" t="s">
        <v>94</v>
      </c>
      <c r="BA8" s="31" t="s">
        <v>106</v>
      </c>
      <c r="BB8" s="31" t="s">
        <v>283</v>
      </c>
      <c r="BC8" s="24"/>
      <c r="BD8" s="30">
        <f>Table2[[#This Row],[interviewtime]]/60</f>
        <v>20.867999999999999</v>
      </c>
      <c r="BE8" s="31">
        <v>1252.08</v>
      </c>
      <c r="BF8" s="31">
        <v>25.89</v>
      </c>
      <c r="BG8" s="31"/>
      <c r="BH8" s="31">
        <v>46.48</v>
      </c>
      <c r="BI8" s="31"/>
      <c r="BJ8" s="31"/>
      <c r="BK8" s="31"/>
      <c r="BL8" s="31"/>
      <c r="BM8" s="31">
        <v>532.29999999999995</v>
      </c>
      <c r="BN8" s="31"/>
      <c r="BO8" s="31"/>
      <c r="BP8" s="31"/>
      <c r="BQ8" s="31"/>
      <c r="BR8" s="31"/>
      <c r="BS8" s="31"/>
      <c r="BT8" s="31">
        <v>296.02</v>
      </c>
      <c r="BU8" s="31"/>
      <c r="BV8" s="31"/>
      <c r="BW8" s="31"/>
      <c r="BX8" s="31"/>
      <c r="BY8" s="31"/>
      <c r="BZ8" s="31"/>
      <c r="CA8" s="31"/>
      <c r="CB8" s="31"/>
      <c r="CC8" s="31">
        <v>310.8</v>
      </c>
      <c r="CD8" s="31"/>
      <c r="CE8" s="31"/>
      <c r="CF8" s="31"/>
      <c r="CG8" s="31"/>
      <c r="CH8" s="31"/>
      <c r="CI8" s="31"/>
      <c r="CJ8" s="31"/>
      <c r="CK8" s="31"/>
      <c r="CL8" s="31">
        <v>40.590000000000003</v>
      </c>
      <c r="CM8" s="31"/>
      <c r="CN8" s="31"/>
      <c r="CO8" s="24"/>
      <c r="CP8" s="24"/>
      <c r="CQ8" s="43">
        <f>Table2[[#This Row],[groupTime22]]/60</f>
        <v>8.8716666666666661</v>
      </c>
      <c r="CR8" s="43">
        <f>Table2[[#This Row],[groupTime23]]/60</f>
        <v>4.9336666666666664</v>
      </c>
      <c r="CS8" s="43">
        <f>Table2[[#This Row],[groupTime24]]/60</f>
        <v>5.1800000000000006</v>
      </c>
    </row>
    <row r="9" spans="1:97" x14ac:dyDescent="0.25">
      <c r="A9" s="11" t="s">
        <v>352</v>
      </c>
      <c r="B9" s="11" t="s">
        <v>115</v>
      </c>
      <c r="C9" s="12">
        <v>17</v>
      </c>
      <c r="D9" s="12" t="s">
        <v>197</v>
      </c>
      <c r="E9" s="12">
        <v>6</v>
      </c>
      <c r="F9" s="12" t="s">
        <v>79</v>
      </c>
      <c r="G9" s="12">
        <v>2143369027</v>
      </c>
      <c r="H9" s="12" t="s">
        <v>198</v>
      </c>
      <c r="I9" s="12" t="s">
        <v>197</v>
      </c>
      <c r="J9" s="12" t="s">
        <v>80</v>
      </c>
      <c r="K9" s="12" t="str">
        <f>IF(Table2[[#This Row],[priorSuccessRatio]]&lt;1,"yes","no")</f>
        <v>no</v>
      </c>
      <c r="L9" s="27">
        <f>VLOOKUP(Table2[[#This Row],[prolific]],'Correct calc'!B$16:$AJ$998,6,FALSE)</f>
        <v>1</v>
      </c>
      <c r="M9" s="27">
        <f>VLOOKUP(Table2[[#This Row],[prolific]],'Correct calc'!B$16:$AJ$998,14,FALSE)</f>
        <v>0.5</v>
      </c>
      <c r="N9" s="27">
        <f>VLOOKUP(Table2[[#This Row],[prolific]],'Correct calc'!B$16:$AJ1005,24,FALSE)</f>
        <v>0.375</v>
      </c>
      <c r="O9" s="27">
        <f>VLOOKUP(Table2[[#This Row],[prolific]],'Correct calc'!B$16:$AJ1005,34,FALSE)</f>
        <v>0.75</v>
      </c>
      <c r="P9" s="28">
        <f>VLOOKUP(Table2[[#This Row],[comprescore]],Table3[],2,FALSE)</f>
        <v>4</v>
      </c>
      <c r="Q9" s="16">
        <f>VLOOKUP(Table2[[#This Row],[prolific]],'Correct calc'!B$16:$AK$998,36,FALSE)</f>
        <v>12</v>
      </c>
      <c r="R9" s="16">
        <f>Table2[[#This Row],[interviewminutes]]</f>
        <v>14.911333333333333</v>
      </c>
      <c r="S9" s="16">
        <f>Table2[[#This Row],[classifyTime]]+Table2[[#This Row],[explainTime]]+Table2[[#This Row],[validateTime]]</f>
        <v>12.786666666666669</v>
      </c>
      <c r="T9" s="29">
        <f>VLOOKUP(Table2[[#This Row],[prolific]],'Correct calc'!B$16:$AJ$998,35,FALSE)</f>
        <v>0.54545454545454541</v>
      </c>
      <c r="U9" s="15">
        <f>SUM(Table2[[#This Row],[priorKnowledge'[CLUSTERING']]:[priorKnowledge'[ZSCORES']]])/Table2[[#This Row],[priorKnowledgeTechQuestionCount]]</f>
        <v>3</v>
      </c>
      <c r="V9" s="16">
        <f>IF(Table2[[#This Row],[visualization]]="Wordcloud",2,3)</f>
        <v>2</v>
      </c>
      <c r="W9" s="31" t="s">
        <v>1023</v>
      </c>
      <c r="X9" s="31">
        <v>3</v>
      </c>
      <c r="Y9" s="31">
        <v>3</v>
      </c>
      <c r="Z9" s="31">
        <v>0</v>
      </c>
      <c r="AA9" s="31">
        <v>5</v>
      </c>
      <c r="AB9" s="31" t="s">
        <v>97</v>
      </c>
      <c r="AC9" s="31" t="s">
        <v>81</v>
      </c>
      <c r="AD9" s="31" t="s">
        <v>82</v>
      </c>
      <c r="AE9" s="31" t="s">
        <v>83</v>
      </c>
      <c r="AF9" s="31" t="s">
        <v>104</v>
      </c>
      <c r="AG9" s="31" t="s">
        <v>86</v>
      </c>
      <c r="AH9" s="31" t="s">
        <v>84</v>
      </c>
      <c r="AI9" s="31" t="s">
        <v>85</v>
      </c>
      <c r="AJ9" s="31" t="s">
        <v>86</v>
      </c>
      <c r="AK9" s="31" t="s">
        <v>88</v>
      </c>
      <c r="AL9" s="31" t="s">
        <v>87</v>
      </c>
      <c r="AM9" s="31" t="s">
        <v>285</v>
      </c>
      <c r="AN9" s="31" t="s">
        <v>100</v>
      </c>
      <c r="AO9" s="31" t="s">
        <v>84</v>
      </c>
      <c r="AP9" s="31" t="s">
        <v>85</v>
      </c>
      <c r="AQ9" s="31" t="s">
        <v>111</v>
      </c>
      <c r="AR9" s="31" t="s">
        <v>101</v>
      </c>
      <c r="AS9" s="31" t="s">
        <v>94</v>
      </c>
      <c r="AT9" s="31" t="s">
        <v>93</v>
      </c>
      <c r="AU9" s="31" t="s">
        <v>94</v>
      </c>
      <c r="AV9" s="31" t="s">
        <v>93</v>
      </c>
      <c r="AW9" s="31" t="s">
        <v>94</v>
      </c>
      <c r="AX9" s="31" t="s">
        <v>94</v>
      </c>
      <c r="AY9" s="31" t="s">
        <v>94</v>
      </c>
      <c r="AZ9" s="31" t="s">
        <v>94</v>
      </c>
      <c r="BA9" s="31" t="s">
        <v>103</v>
      </c>
      <c r="BB9" s="31" t="s">
        <v>286</v>
      </c>
      <c r="BC9" s="24"/>
      <c r="BD9" s="30">
        <f>Table2[[#This Row],[interviewtime]]/60</f>
        <v>14.911333333333333</v>
      </c>
      <c r="BE9" s="31">
        <v>894.68</v>
      </c>
      <c r="BF9" s="31">
        <v>3.83</v>
      </c>
      <c r="BG9" s="31"/>
      <c r="BH9" s="31">
        <v>19.21</v>
      </c>
      <c r="BI9" s="31"/>
      <c r="BJ9" s="31"/>
      <c r="BK9" s="31"/>
      <c r="BL9" s="31"/>
      <c r="BM9" s="31">
        <v>341.26</v>
      </c>
      <c r="BN9" s="31"/>
      <c r="BO9" s="31"/>
      <c r="BP9" s="31"/>
      <c r="BQ9" s="31"/>
      <c r="BR9" s="31"/>
      <c r="BS9" s="31"/>
      <c r="BT9" s="31">
        <v>287.42</v>
      </c>
      <c r="BU9" s="31"/>
      <c r="BV9" s="31"/>
      <c r="BW9" s="31"/>
      <c r="BX9" s="31"/>
      <c r="BY9" s="31"/>
      <c r="BZ9" s="31"/>
      <c r="CA9" s="31"/>
      <c r="CB9" s="31"/>
      <c r="CC9" s="31">
        <v>138.52000000000001</v>
      </c>
      <c r="CD9" s="31"/>
      <c r="CE9" s="31"/>
      <c r="CF9" s="31"/>
      <c r="CG9" s="31"/>
      <c r="CH9" s="31"/>
      <c r="CI9" s="31"/>
      <c r="CJ9" s="31"/>
      <c r="CK9" s="31"/>
      <c r="CL9" s="31">
        <v>104.44</v>
      </c>
      <c r="CM9" s="31"/>
      <c r="CN9" s="31"/>
      <c r="CO9" s="24"/>
      <c r="CP9" s="24"/>
      <c r="CQ9" s="43">
        <f>Table2[[#This Row],[groupTime22]]/60</f>
        <v>5.6876666666666669</v>
      </c>
      <c r="CR9" s="43">
        <f>Table2[[#This Row],[groupTime23]]/60</f>
        <v>4.7903333333333338</v>
      </c>
      <c r="CS9" s="43">
        <f>Table2[[#This Row],[groupTime24]]/60</f>
        <v>2.3086666666666669</v>
      </c>
    </row>
    <row r="10" spans="1:97" x14ac:dyDescent="0.25">
      <c r="A10" s="11" t="s">
        <v>352</v>
      </c>
      <c r="B10" s="11" t="s">
        <v>115</v>
      </c>
      <c r="C10" s="12">
        <v>18</v>
      </c>
      <c r="D10" s="12" t="s">
        <v>199</v>
      </c>
      <c r="E10" s="12">
        <v>6</v>
      </c>
      <c r="F10" s="12" t="s">
        <v>79</v>
      </c>
      <c r="G10" s="12">
        <v>838791738</v>
      </c>
      <c r="H10" s="12" t="s">
        <v>200</v>
      </c>
      <c r="I10" s="12" t="s">
        <v>199</v>
      </c>
      <c r="J10" s="12" t="s">
        <v>201</v>
      </c>
      <c r="K10" s="12" t="str">
        <f>IF(Table2[[#This Row],[priorSuccessRatio]]&lt;1,"yes","no")</f>
        <v>no</v>
      </c>
      <c r="L10" s="27">
        <f>VLOOKUP(Table2[[#This Row],[prolific]],'Correct calc'!B$16:$AJ$998,6,FALSE)</f>
        <v>1</v>
      </c>
      <c r="M10" s="27">
        <f>VLOOKUP(Table2[[#This Row],[prolific]],'Correct calc'!B$16:$AJ$998,14,FALSE)</f>
        <v>0.83333333333333337</v>
      </c>
      <c r="N10" s="27">
        <f>VLOOKUP(Table2[[#This Row],[prolific]],'Correct calc'!B$16:$AJ1006,24,FALSE)</f>
        <v>0.75</v>
      </c>
      <c r="O10" s="27">
        <f>VLOOKUP(Table2[[#This Row],[prolific]],'Correct calc'!B$16:$AJ1006,34,FALSE)</f>
        <v>0.5</v>
      </c>
      <c r="P10" s="28">
        <f>VLOOKUP(Table2[[#This Row],[comprescore]],Table3[],2,FALSE)</f>
        <v>2</v>
      </c>
      <c r="Q10" s="16">
        <f>VLOOKUP(Table2[[#This Row],[prolific]],'Correct calc'!B$16:$AK$998,36,FALSE)</f>
        <v>15</v>
      </c>
      <c r="R10" s="16">
        <f>Table2[[#This Row],[interviewminutes]]</f>
        <v>7.9389999999999992</v>
      </c>
      <c r="S10" s="16">
        <f>Table2[[#This Row],[classifyTime]]+Table2[[#This Row],[explainTime]]+Table2[[#This Row],[validateTime]]</f>
        <v>7.0658333333333339</v>
      </c>
      <c r="T10" s="29">
        <f>VLOOKUP(Table2[[#This Row],[prolific]],'Correct calc'!B$16:$AJ$998,35,FALSE)</f>
        <v>0.68181818181818177</v>
      </c>
      <c r="U10" s="15">
        <f>SUM(Table2[[#This Row],[priorKnowledge'[CLUSTERING']]:[priorKnowledge'[ZSCORES']]])/Table2[[#This Row],[priorKnowledgeTechQuestionCount]]</f>
        <v>2</v>
      </c>
      <c r="V10" s="16">
        <f>IF(Table2[[#This Row],[visualization]]="Wordcloud",2,3)</f>
        <v>2</v>
      </c>
      <c r="W10" s="31" t="s">
        <v>1024</v>
      </c>
      <c r="X10" s="31">
        <v>2</v>
      </c>
      <c r="Y10" s="31">
        <v>2</v>
      </c>
      <c r="Z10" s="31">
        <v>0</v>
      </c>
      <c r="AA10" s="31">
        <v>2</v>
      </c>
      <c r="AB10" s="31" t="s">
        <v>97</v>
      </c>
      <c r="AC10" s="31" t="s">
        <v>81</v>
      </c>
      <c r="AD10" s="31" t="s">
        <v>82</v>
      </c>
      <c r="AE10" s="31" t="s">
        <v>83</v>
      </c>
      <c r="AF10" s="31" t="s">
        <v>85</v>
      </c>
      <c r="AG10" s="31" t="s">
        <v>86</v>
      </c>
      <c r="AH10" s="31" t="s">
        <v>84</v>
      </c>
      <c r="AI10" s="31" t="s">
        <v>83</v>
      </c>
      <c r="AJ10" s="31" t="s">
        <v>98</v>
      </c>
      <c r="AK10" s="31" t="s">
        <v>88</v>
      </c>
      <c r="AL10" s="31" t="s">
        <v>108</v>
      </c>
      <c r="AM10" s="31" t="s">
        <v>105</v>
      </c>
      <c r="AN10" s="31" t="s">
        <v>90</v>
      </c>
      <c r="AO10" s="31" t="s">
        <v>83</v>
      </c>
      <c r="AP10" s="31" t="s">
        <v>85</v>
      </c>
      <c r="AQ10" s="31" t="s">
        <v>111</v>
      </c>
      <c r="AR10" s="31" t="s">
        <v>102</v>
      </c>
      <c r="AS10" s="31" t="s">
        <v>94</v>
      </c>
      <c r="AT10" s="31" t="s">
        <v>94</v>
      </c>
      <c r="AU10" s="31" t="s">
        <v>94</v>
      </c>
      <c r="AV10" s="31" t="s">
        <v>93</v>
      </c>
      <c r="AW10" s="31" t="s">
        <v>93</v>
      </c>
      <c r="AX10" s="31" t="s">
        <v>94</v>
      </c>
      <c r="AY10" s="31" t="s">
        <v>93</v>
      </c>
      <c r="AZ10" s="31" t="s">
        <v>93</v>
      </c>
      <c r="BA10" s="31" t="s">
        <v>106</v>
      </c>
      <c r="BB10" s="31" t="s">
        <v>288</v>
      </c>
      <c r="BC10" s="24"/>
      <c r="BD10" s="30">
        <f>Table2[[#This Row],[interviewtime]]/60</f>
        <v>7.9389999999999992</v>
      </c>
      <c r="BE10" s="31">
        <v>476.34</v>
      </c>
      <c r="BF10" s="31">
        <v>5.67</v>
      </c>
      <c r="BG10" s="31"/>
      <c r="BH10" s="31">
        <v>25.3</v>
      </c>
      <c r="BI10" s="31"/>
      <c r="BJ10" s="31"/>
      <c r="BK10" s="31"/>
      <c r="BL10" s="31"/>
      <c r="BM10" s="31">
        <v>112.23</v>
      </c>
      <c r="BN10" s="31"/>
      <c r="BO10" s="31"/>
      <c r="BP10" s="31"/>
      <c r="BQ10" s="31"/>
      <c r="BR10" s="31"/>
      <c r="BS10" s="31"/>
      <c r="BT10" s="31">
        <v>122.77</v>
      </c>
      <c r="BU10" s="31"/>
      <c r="BV10" s="31"/>
      <c r="BW10" s="31"/>
      <c r="BX10" s="31"/>
      <c r="BY10" s="31"/>
      <c r="BZ10" s="31"/>
      <c r="CA10" s="31"/>
      <c r="CB10" s="31"/>
      <c r="CC10" s="31">
        <v>188.95</v>
      </c>
      <c r="CD10" s="31"/>
      <c r="CE10" s="31"/>
      <c r="CF10" s="31"/>
      <c r="CG10" s="31"/>
      <c r="CH10" s="31"/>
      <c r="CI10" s="31"/>
      <c r="CJ10" s="31"/>
      <c r="CK10" s="31"/>
      <c r="CL10" s="31">
        <v>21.42</v>
      </c>
      <c r="CM10" s="31"/>
      <c r="CN10" s="31"/>
      <c r="CO10" s="24"/>
      <c r="CP10" s="24"/>
      <c r="CQ10" s="43">
        <f>Table2[[#This Row],[groupTime22]]/60</f>
        <v>1.8705000000000001</v>
      </c>
      <c r="CR10" s="43">
        <f>Table2[[#This Row],[groupTime23]]/60</f>
        <v>2.0461666666666667</v>
      </c>
      <c r="CS10" s="43">
        <f>Table2[[#This Row],[groupTime24]]/60</f>
        <v>3.1491666666666664</v>
      </c>
    </row>
    <row r="11" spans="1:97" x14ac:dyDescent="0.25">
      <c r="A11" s="11" t="s">
        <v>352</v>
      </c>
      <c r="B11" s="11" t="s">
        <v>115</v>
      </c>
      <c r="C11" s="12">
        <v>19</v>
      </c>
      <c r="D11" s="12" t="s">
        <v>202</v>
      </c>
      <c r="E11" s="12">
        <v>6</v>
      </c>
      <c r="F11" s="12" t="s">
        <v>79</v>
      </c>
      <c r="G11" s="12">
        <v>990103375</v>
      </c>
      <c r="H11" s="12" t="s">
        <v>203</v>
      </c>
      <c r="I11" s="12" t="s">
        <v>202</v>
      </c>
      <c r="J11" s="12" t="s">
        <v>80</v>
      </c>
      <c r="K11" s="12" t="str">
        <f>IF(Table2[[#This Row],[priorSuccessRatio]]&lt;1,"yes","no")</f>
        <v>no</v>
      </c>
      <c r="L11" s="27">
        <f>VLOOKUP(Table2[[#This Row],[prolific]],'Correct calc'!B$16:$AJ$998,6,FALSE)</f>
        <v>1</v>
      </c>
      <c r="M11" s="27">
        <f>VLOOKUP(Table2[[#This Row],[prolific]],'Correct calc'!B$16:$AJ$998,14,FALSE)</f>
        <v>0.33333333333333331</v>
      </c>
      <c r="N11" s="27">
        <f>VLOOKUP(Table2[[#This Row],[prolific]],'Correct calc'!B$16:$AJ1007,24,FALSE)</f>
        <v>0.875</v>
      </c>
      <c r="O11" s="27">
        <f>VLOOKUP(Table2[[#This Row],[prolific]],'Correct calc'!B$16:$AJ1007,34,FALSE)</f>
        <v>0.75</v>
      </c>
      <c r="P11" s="28">
        <f>VLOOKUP(Table2[[#This Row],[comprescore]],Table3[],2,FALSE)</f>
        <v>2</v>
      </c>
      <c r="Q11" s="16">
        <f>VLOOKUP(Table2[[#This Row],[prolific]],'Correct calc'!B$16:$AK$998,36,FALSE)</f>
        <v>15</v>
      </c>
      <c r="R11" s="16">
        <f>Table2[[#This Row],[interviewminutes]]</f>
        <v>12.5885</v>
      </c>
      <c r="S11" s="16">
        <f>Table2[[#This Row],[classifyTime]]+Table2[[#This Row],[explainTime]]+Table2[[#This Row],[validateTime]]</f>
        <v>10.739166666666668</v>
      </c>
      <c r="T11" s="29">
        <f>VLOOKUP(Table2[[#This Row],[prolific]],'Correct calc'!B$16:$AJ$998,35,FALSE)</f>
        <v>0.68181818181818177</v>
      </c>
      <c r="U11" s="15">
        <f>SUM(Table2[[#This Row],[priorKnowledge'[CLUSTERING']]:[priorKnowledge'[ZSCORES']]])/Table2[[#This Row],[priorKnowledgeTechQuestionCount]]</f>
        <v>1</v>
      </c>
      <c r="V11" s="16">
        <f>IF(Table2[[#This Row],[visualization]]="Wordcloud",2,3)</f>
        <v>2</v>
      </c>
      <c r="W11" s="31" t="s">
        <v>1025</v>
      </c>
      <c r="X11" s="31">
        <v>1</v>
      </c>
      <c r="Y11" s="31">
        <v>1</v>
      </c>
      <c r="Z11" s="31">
        <v>0</v>
      </c>
      <c r="AA11" s="31">
        <v>7</v>
      </c>
      <c r="AB11" s="31" t="s">
        <v>97</v>
      </c>
      <c r="AC11" s="31" t="s">
        <v>81</v>
      </c>
      <c r="AD11" s="31" t="s">
        <v>82</v>
      </c>
      <c r="AE11" s="31" t="s">
        <v>83</v>
      </c>
      <c r="AF11" s="31" t="s">
        <v>83</v>
      </c>
      <c r="AG11" s="31" t="s">
        <v>98</v>
      </c>
      <c r="AH11" s="31" t="s">
        <v>84</v>
      </c>
      <c r="AI11" s="31" t="s">
        <v>84</v>
      </c>
      <c r="AJ11" s="31" t="s">
        <v>86</v>
      </c>
      <c r="AK11" s="31" t="s">
        <v>88</v>
      </c>
      <c r="AL11" s="31" t="s">
        <v>87</v>
      </c>
      <c r="AM11" s="31" t="s">
        <v>105</v>
      </c>
      <c r="AN11" s="31" t="s">
        <v>90</v>
      </c>
      <c r="AO11" s="31" t="s">
        <v>83</v>
      </c>
      <c r="AP11" s="31" t="s">
        <v>85</v>
      </c>
      <c r="AQ11" s="31" t="s">
        <v>101</v>
      </c>
      <c r="AR11" s="31" t="s">
        <v>102</v>
      </c>
      <c r="AS11" s="31" t="s">
        <v>94</v>
      </c>
      <c r="AT11" s="31" t="s">
        <v>93</v>
      </c>
      <c r="AU11" s="31" t="s">
        <v>94</v>
      </c>
      <c r="AV11" s="31" t="s">
        <v>93</v>
      </c>
      <c r="AW11" s="31" t="s">
        <v>93</v>
      </c>
      <c r="AX11" s="31" t="s">
        <v>94</v>
      </c>
      <c r="AY11" s="31" t="s">
        <v>94</v>
      </c>
      <c r="AZ11" s="31" t="s">
        <v>93</v>
      </c>
      <c r="BA11" s="31" t="s">
        <v>106</v>
      </c>
      <c r="BB11" s="31" t="s">
        <v>290</v>
      </c>
      <c r="BC11" s="24"/>
      <c r="BD11" s="30">
        <f>Table2[[#This Row],[interviewtime]]/60</f>
        <v>12.5885</v>
      </c>
      <c r="BE11" s="31">
        <v>755.31</v>
      </c>
      <c r="BF11" s="31">
        <v>6.62</v>
      </c>
      <c r="BG11" s="31"/>
      <c r="BH11" s="31">
        <v>51.52</v>
      </c>
      <c r="BI11" s="31"/>
      <c r="BJ11" s="31"/>
      <c r="BK11" s="31"/>
      <c r="BL11" s="31"/>
      <c r="BM11" s="31">
        <v>224.41</v>
      </c>
      <c r="BN11" s="31"/>
      <c r="BO11" s="31"/>
      <c r="BP11" s="31"/>
      <c r="BQ11" s="31"/>
      <c r="BR11" s="31"/>
      <c r="BS11" s="31"/>
      <c r="BT11" s="31">
        <v>249.94</v>
      </c>
      <c r="BU11" s="31"/>
      <c r="BV11" s="31"/>
      <c r="BW11" s="31"/>
      <c r="BX11" s="31"/>
      <c r="BY11" s="31"/>
      <c r="BZ11" s="31"/>
      <c r="CA11" s="31"/>
      <c r="CB11" s="31"/>
      <c r="CC11" s="31">
        <v>170</v>
      </c>
      <c r="CD11" s="31"/>
      <c r="CE11" s="31"/>
      <c r="CF11" s="31"/>
      <c r="CG11" s="31"/>
      <c r="CH11" s="31"/>
      <c r="CI11" s="31"/>
      <c r="CJ11" s="31"/>
      <c r="CK11" s="31"/>
      <c r="CL11" s="31">
        <v>52.82</v>
      </c>
      <c r="CM11" s="31"/>
      <c r="CN11" s="31"/>
      <c r="CO11" s="24"/>
      <c r="CP11" s="24"/>
      <c r="CQ11" s="43">
        <f>Table2[[#This Row],[groupTime22]]/60</f>
        <v>3.7401666666666666</v>
      </c>
      <c r="CR11" s="43">
        <f>Table2[[#This Row],[groupTime23]]/60</f>
        <v>4.1656666666666666</v>
      </c>
      <c r="CS11" s="43">
        <f>Table2[[#This Row],[groupTime24]]/60</f>
        <v>2.8333333333333335</v>
      </c>
    </row>
    <row r="12" spans="1:97" x14ac:dyDescent="0.25">
      <c r="A12" s="11" t="s">
        <v>352</v>
      </c>
      <c r="B12" s="11" t="s">
        <v>115</v>
      </c>
      <c r="C12" s="12">
        <v>20</v>
      </c>
      <c r="D12" s="12" t="s">
        <v>204</v>
      </c>
      <c r="E12" s="12">
        <v>6</v>
      </c>
      <c r="F12" s="12" t="s">
        <v>79</v>
      </c>
      <c r="G12" s="12">
        <v>1539168797</v>
      </c>
      <c r="H12" s="12" t="s">
        <v>205</v>
      </c>
      <c r="I12" s="12" t="s">
        <v>204</v>
      </c>
      <c r="J12" s="12" t="s">
        <v>80</v>
      </c>
      <c r="K12" s="12" t="str">
        <f>IF(Table2[[#This Row],[priorSuccessRatio]]&lt;1,"yes","no")</f>
        <v>no</v>
      </c>
      <c r="L12" s="27">
        <f>VLOOKUP(Table2[[#This Row],[prolific]],'Correct calc'!B$16:$AJ$998,6,FALSE)</f>
        <v>1</v>
      </c>
      <c r="M12" s="27">
        <f>VLOOKUP(Table2[[#This Row],[prolific]],'Correct calc'!B$16:$AJ$998,14,FALSE)</f>
        <v>0.66666666666666663</v>
      </c>
      <c r="N12" s="27">
        <f>VLOOKUP(Table2[[#This Row],[prolific]],'Correct calc'!B$16:$AJ1008,24,FALSE)</f>
        <v>0.625</v>
      </c>
      <c r="O12" s="27">
        <f>VLOOKUP(Table2[[#This Row],[prolific]],'Correct calc'!B$16:$AJ1008,34,FALSE)</f>
        <v>0.75</v>
      </c>
      <c r="P12" s="28">
        <f>VLOOKUP(Table2[[#This Row],[comprescore]],Table3[],2,FALSE)</f>
        <v>3</v>
      </c>
      <c r="Q12" s="16">
        <f>VLOOKUP(Table2[[#This Row],[prolific]],'Correct calc'!B$16:$AK$998,36,FALSE)</f>
        <v>15</v>
      </c>
      <c r="R12" s="16">
        <f>Table2[[#This Row],[interviewminutes]]</f>
        <v>14.942666666666666</v>
      </c>
      <c r="S12" s="16">
        <f>Table2[[#This Row],[classifyTime]]+Table2[[#This Row],[explainTime]]+Table2[[#This Row],[validateTime]]</f>
        <v>14.014333333333333</v>
      </c>
      <c r="T12" s="29">
        <f>VLOOKUP(Table2[[#This Row],[prolific]],'Correct calc'!B$16:$AJ$998,35,FALSE)</f>
        <v>0.68181818181818177</v>
      </c>
      <c r="U12" s="15">
        <f>SUM(Table2[[#This Row],[priorKnowledge'[CLUSTERING']]:[priorKnowledge'[ZSCORES']]])/Table2[[#This Row],[priorKnowledgeTechQuestionCount]]</f>
        <v>2</v>
      </c>
      <c r="V12" s="16">
        <f>IF(Table2[[#This Row],[visualization]]="Wordcloud",2,3)</f>
        <v>2</v>
      </c>
      <c r="W12" s="31" t="s">
        <v>1026</v>
      </c>
      <c r="X12" s="31">
        <v>2</v>
      </c>
      <c r="Y12" s="31">
        <v>2</v>
      </c>
      <c r="Z12" s="31">
        <v>0</v>
      </c>
      <c r="AA12" s="31">
        <v>7</v>
      </c>
      <c r="AB12" s="31" t="s">
        <v>97</v>
      </c>
      <c r="AC12" s="31" t="s">
        <v>81</v>
      </c>
      <c r="AD12" s="31" t="s">
        <v>82</v>
      </c>
      <c r="AE12" s="31" t="s">
        <v>83</v>
      </c>
      <c r="AF12" s="31" t="s">
        <v>85</v>
      </c>
      <c r="AG12" s="31" t="s">
        <v>98</v>
      </c>
      <c r="AH12" s="31" t="s">
        <v>84</v>
      </c>
      <c r="AI12" s="31" t="s">
        <v>104</v>
      </c>
      <c r="AJ12" s="31" t="s">
        <v>86</v>
      </c>
      <c r="AK12" s="31" t="s">
        <v>88</v>
      </c>
      <c r="AL12" s="31" t="s">
        <v>87</v>
      </c>
      <c r="AM12" s="31" t="s">
        <v>99</v>
      </c>
      <c r="AN12" s="31" t="s">
        <v>90</v>
      </c>
      <c r="AO12" s="31" t="s">
        <v>83</v>
      </c>
      <c r="AP12" s="31" t="s">
        <v>85</v>
      </c>
      <c r="AQ12" s="31" t="s">
        <v>111</v>
      </c>
      <c r="AR12" s="31" t="s">
        <v>101</v>
      </c>
      <c r="AS12" s="31" t="s">
        <v>94</v>
      </c>
      <c r="AT12" s="31" t="s">
        <v>93</v>
      </c>
      <c r="AU12" s="31" t="s">
        <v>93</v>
      </c>
      <c r="AV12" s="31" t="s">
        <v>93</v>
      </c>
      <c r="AW12" s="31" t="s">
        <v>94</v>
      </c>
      <c r="AX12" s="31" t="s">
        <v>94</v>
      </c>
      <c r="AY12" s="31" t="s">
        <v>94</v>
      </c>
      <c r="AZ12" s="31" t="s">
        <v>93</v>
      </c>
      <c r="BA12" s="31" t="s">
        <v>107</v>
      </c>
      <c r="BB12" s="31"/>
      <c r="BC12" s="24"/>
      <c r="BD12" s="30">
        <f>Table2[[#This Row],[interviewtime]]/60</f>
        <v>14.942666666666666</v>
      </c>
      <c r="BE12" s="31">
        <v>896.56</v>
      </c>
      <c r="BF12" s="31">
        <v>5.34</v>
      </c>
      <c r="BG12" s="31"/>
      <c r="BH12" s="31">
        <v>34.450000000000003</v>
      </c>
      <c r="BI12" s="31"/>
      <c r="BJ12" s="31"/>
      <c r="BK12" s="31"/>
      <c r="BL12" s="31"/>
      <c r="BM12" s="31">
        <v>320.36</v>
      </c>
      <c r="BN12" s="31"/>
      <c r="BO12" s="31"/>
      <c r="BP12" s="31"/>
      <c r="BQ12" s="31"/>
      <c r="BR12" s="31"/>
      <c r="BS12" s="31"/>
      <c r="BT12" s="31">
        <v>371.04</v>
      </c>
      <c r="BU12" s="31"/>
      <c r="BV12" s="31"/>
      <c r="BW12" s="31"/>
      <c r="BX12" s="31"/>
      <c r="BY12" s="31"/>
      <c r="BZ12" s="31"/>
      <c r="CA12" s="31"/>
      <c r="CB12" s="31"/>
      <c r="CC12" s="31">
        <v>149.46</v>
      </c>
      <c r="CD12" s="31"/>
      <c r="CE12" s="31"/>
      <c r="CF12" s="31"/>
      <c r="CG12" s="31"/>
      <c r="CH12" s="31"/>
      <c r="CI12" s="31"/>
      <c r="CJ12" s="31"/>
      <c r="CK12" s="31"/>
      <c r="CL12" s="31">
        <v>15.91</v>
      </c>
      <c r="CM12" s="31"/>
      <c r="CN12" s="31"/>
      <c r="CO12" s="24"/>
      <c r="CP12" s="24"/>
      <c r="CQ12" s="43">
        <f>Table2[[#This Row],[groupTime22]]/60</f>
        <v>5.3393333333333333</v>
      </c>
      <c r="CR12" s="43">
        <f>Table2[[#This Row],[groupTime23]]/60</f>
        <v>6.1840000000000002</v>
      </c>
      <c r="CS12" s="43">
        <f>Table2[[#This Row],[groupTime24]]/60</f>
        <v>2.4910000000000001</v>
      </c>
    </row>
    <row r="13" spans="1:97" x14ac:dyDescent="0.25">
      <c r="A13" s="11" t="s">
        <v>352</v>
      </c>
      <c r="B13" s="11" t="s">
        <v>115</v>
      </c>
      <c r="C13" s="12">
        <v>21</v>
      </c>
      <c r="D13" s="12" t="s">
        <v>206</v>
      </c>
      <c r="E13" s="12">
        <v>6</v>
      </c>
      <c r="F13" s="12" t="s">
        <v>79</v>
      </c>
      <c r="G13" s="12">
        <v>2077133577</v>
      </c>
      <c r="H13" s="12" t="s">
        <v>207</v>
      </c>
      <c r="I13" s="12" t="s">
        <v>206</v>
      </c>
      <c r="J13" s="12" t="s">
        <v>96</v>
      </c>
      <c r="K13" s="12" t="str">
        <f>IF(Table2[[#This Row],[priorSuccessRatio]]&lt;1,"yes","no")</f>
        <v>no</v>
      </c>
      <c r="L13" s="27">
        <f>VLOOKUP(Table2[[#This Row],[prolific]],'Correct calc'!B$16:$AJ$998,6,FALSE)</f>
        <v>1</v>
      </c>
      <c r="M13" s="27">
        <f>VLOOKUP(Table2[[#This Row],[prolific]],'Correct calc'!B$16:$AJ$998,14,FALSE)</f>
        <v>0.66666666666666663</v>
      </c>
      <c r="N13" s="27">
        <f>VLOOKUP(Table2[[#This Row],[prolific]],'Correct calc'!B$16:$AJ1009,24,FALSE)</f>
        <v>0.875</v>
      </c>
      <c r="O13" s="27">
        <f>VLOOKUP(Table2[[#This Row],[prolific]],'Correct calc'!B$16:$AJ1009,34,FALSE)</f>
        <v>0.625</v>
      </c>
      <c r="P13" s="28">
        <f>VLOOKUP(Table2[[#This Row],[comprescore]],Table3[],2,FALSE)</f>
        <v>1</v>
      </c>
      <c r="Q13" s="16">
        <f>VLOOKUP(Table2[[#This Row],[prolific]],'Correct calc'!B$16:$AK$998,36,FALSE)</f>
        <v>16</v>
      </c>
      <c r="R13" s="16">
        <f>Table2[[#This Row],[interviewminutes]]</f>
        <v>26.366499999999998</v>
      </c>
      <c r="S13" s="16">
        <f>Table2[[#This Row],[classifyTime]]+Table2[[#This Row],[explainTime]]+Table2[[#This Row],[validateTime]]</f>
        <v>24.321999999999999</v>
      </c>
      <c r="T13" s="29">
        <f>VLOOKUP(Table2[[#This Row],[prolific]],'Correct calc'!B$16:$AJ$998,35,FALSE)</f>
        <v>0.72727272727272729</v>
      </c>
      <c r="U13" s="15">
        <f>SUM(Table2[[#This Row],[priorKnowledge'[CLUSTERING']]:[priorKnowledge'[ZSCORES']]])/Table2[[#This Row],[priorKnowledgeTechQuestionCount]]</f>
        <v>3</v>
      </c>
      <c r="V13" s="16">
        <f>IF(Table2[[#This Row],[visualization]]="Wordcloud",2,3)</f>
        <v>2</v>
      </c>
      <c r="W13" s="31" t="s">
        <v>1027</v>
      </c>
      <c r="X13" s="31">
        <v>3</v>
      </c>
      <c r="Y13" s="31">
        <v>3</v>
      </c>
      <c r="Z13" s="31">
        <v>0</v>
      </c>
      <c r="AA13" s="31">
        <v>6</v>
      </c>
      <c r="AB13" s="31" t="s">
        <v>97</v>
      </c>
      <c r="AC13" s="31" t="s">
        <v>81</v>
      </c>
      <c r="AD13" s="31" t="s">
        <v>82</v>
      </c>
      <c r="AE13" s="31" t="s">
        <v>83</v>
      </c>
      <c r="AF13" s="31" t="s">
        <v>85</v>
      </c>
      <c r="AG13" s="31" t="s">
        <v>86</v>
      </c>
      <c r="AH13" s="31" t="s">
        <v>84</v>
      </c>
      <c r="AI13" s="31" t="s">
        <v>83</v>
      </c>
      <c r="AJ13" s="31" t="s">
        <v>104</v>
      </c>
      <c r="AK13" s="31" t="s">
        <v>88</v>
      </c>
      <c r="AL13" s="31" t="s">
        <v>87</v>
      </c>
      <c r="AM13" s="31" t="s">
        <v>105</v>
      </c>
      <c r="AN13" s="31" t="s">
        <v>90</v>
      </c>
      <c r="AO13" s="31" t="s">
        <v>83</v>
      </c>
      <c r="AP13" s="31" t="s">
        <v>83</v>
      </c>
      <c r="AQ13" s="31" t="s">
        <v>91</v>
      </c>
      <c r="AR13" s="31" t="s">
        <v>102</v>
      </c>
      <c r="AS13" s="31" t="s">
        <v>94</v>
      </c>
      <c r="AT13" s="31" t="s">
        <v>93</v>
      </c>
      <c r="AU13" s="31" t="s">
        <v>94</v>
      </c>
      <c r="AV13" s="31" t="s">
        <v>93</v>
      </c>
      <c r="AW13" s="31" t="s">
        <v>93</v>
      </c>
      <c r="AX13" s="31" t="s">
        <v>94</v>
      </c>
      <c r="AY13" s="31" t="s">
        <v>93</v>
      </c>
      <c r="AZ13" s="31" t="s">
        <v>93</v>
      </c>
      <c r="BA13" s="31" t="s">
        <v>95</v>
      </c>
      <c r="BB13" s="31"/>
      <c r="BC13" s="24"/>
      <c r="BD13" s="30">
        <f>Table2[[#This Row],[interviewtime]]/60</f>
        <v>26.366499999999998</v>
      </c>
      <c r="BE13" s="31">
        <v>1581.99</v>
      </c>
      <c r="BF13" s="31">
        <v>9.42</v>
      </c>
      <c r="BG13" s="31"/>
      <c r="BH13" s="31">
        <v>99.01</v>
      </c>
      <c r="BI13" s="31"/>
      <c r="BJ13" s="31"/>
      <c r="BK13" s="31"/>
      <c r="BL13" s="31"/>
      <c r="BM13" s="31">
        <v>1091.1600000000001</v>
      </c>
      <c r="BN13" s="31"/>
      <c r="BO13" s="31"/>
      <c r="BP13" s="31"/>
      <c r="BQ13" s="31"/>
      <c r="BR13" s="31"/>
      <c r="BS13" s="31"/>
      <c r="BT13" s="31">
        <v>206.64</v>
      </c>
      <c r="BU13" s="31"/>
      <c r="BV13" s="31"/>
      <c r="BW13" s="31"/>
      <c r="BX13" s="31"/>
      <c r="BY13" s="31"/>
      <c r="BZ13" s="31"/>
      <c r="CA13" s="31"/>
      <c r="CB13" s="31"/>
      <c r="CC13" s="31">
        <v>161.52000000000001</v>
      </c>
      <c r="CD13" s="31"/>
      <c r="CE13" s="31"/>
      <c r="CF13" s="31"/>
      <c r="CG13" s="31"/>
      <c r="CH13" s="31"/>
      <c r="CI13" s="31"/>
      <c r="CJ13" s="31"/>
      <c r="CK13" s="31"/>
      <c r="CL13" s="31">
        <v>14.24</v>
      </c>
      <c r="CM13" s="31"/>
      <c r="CN13" s="31"/>
      <c r="CO13" s="24"/>
      <c r="CP13" s="24"/>
      <c r="CQ13" s="43">
        <f>Table2[[#This Row],[groupTime22]]/60</f>
        <v>18.186</v>
      </c>
      <c r="CR13" s="43">
        <f>Table2[[#This Row],[groupTime23]]/60</f>
        <v>3.444</v>
      </c>
      <c r="CS13" s="43">
        <f>Table2[[#This Row],[groupTime24]]/60</f>
        <v>2.6920000000000002</v>
      </c>
    </row>
    <row r="14" spans="1:97" x14ac:dyDescent="0.25">
      <c r="A14" s="11" t="s">
        <v>352</v>
      </c>
      <c r="B14" s="11" t="s">
        <v>115</v>
      </c>
      <c r="C14" s="12">
        <v>22</v>
      </c>
      <c r="D14" s="12" t="s">
        <v>208</v>
      </c>
      <c r="E14" s="12">
        <v>6</v>
      </c>
      <c r="F14" s="12" t="s">
        <v>79</v>
      </c>
      <c r="G14" s="12">
        <v>1886327910</v>
      </c>
      <c r="H14" s="12" t="s">
        <v>209</v>
      </c>
      <c r="I14" s="12" t="s">
        <v>208</v>
      </c>
      <c r="J14" s="12" t="s">
        <v>80</v>
      </c>
      <c r="K14" s="12" t="str">
        <f>IF(Table2[[#This Row],[priorSuccessRatio]]&lt;1,"yes","no")</f>
        <v>no</v>
      </c>
      <c r="L14" s="27">
        <f>VLOOKUP(Table2[[#This Row],[prolific]],'Correct calc'!B$16:$AJ$998,6,FALSE)</f>
        <v>1</v>
      </c>
      <c r="M14" s="27">
        <f>VLOOKUP(Table2[[#This Row],[prolific]],'Correct calc'!B$16:$AJ$998,14,FALSE)</f>
        <v>1</v>
      </c>
      <c r="N14" s="27">
        <f>VLOOKUP(Table2[[#This Row],[prolific]],'Correct calc'!B$16:$AJ1010,24,FALSE)</f>
        <v>1</v>
      </c>
      <c r="O14" s="27">
        <f>VLOOKUP(Table2[[#This Row],[prolific]],'Correct calc'!B$16:$AJ1010,34,FALSE)</f>
        <v>0.625</v>
      </c>
      <c r="P14" s="28">
        <f>VLOOKUP(Table2[[#This Row],[comprescore]],Table3[],2,FALSE)</f>
        <v>3</v>
      </c>
      <c r="Q14" s="16">
        <f>VLOOKUP(Table2[[#This Row],[prolific]],'Correct calc'!B$16:$AK$998,36,FALSE)</f>
        <v>19</v>
      </c>
      <c r="R14" s="16">
        <f>Table2[[#This Row],[interviewminutes]]</f>
        <v>11.502666666666666</v>
      </c>
      <c r="S14" s="16">
        <f>Table2[[#This Row],[classifyTime]]+Table2[[#This Row],[explainTime]]+Table2[[#This Row],[validateTime]]</f>
        <v>10.013999999999999</v>
      </c>
      <c r="T14" s="29">
        <f>VLOOKUP(Table2[[#This Row],[prolific]],'Correct calc'!B$16:$AJ$998,35,FALSE)</f>
        <v>0.86363636363636365</v>
      </c>
      <c r="U14" s="15">
        <f>SUM(Table2[[#This Row],[priorKnowledge'[CLUSTERING']]:[priorKnowledge'[ZSCORES']]])/Table2[[#This Row],[priorKnowledgeTechQuestionCount]]</f>
        <v>5</v>
      </c>
      <c r="V14" s="16">
        <f>IF(Table2[[#This Row],[visualization]]="Wordcloud",2,3)</f>
        <v>2</v>
      </c>
      <c r="W14" s="31" t="s">
        <v>1028</v>
      </c>
      <c r="X14" s="31">
        <v>5</v>
      </c>
      <c r="Y14" s="31">
        <v>5</v>
      </c>
      <c r="Z14" s="31">
        <v>0</v>
      </c>
      <c r="AA14" s="31">
        <v>8</v>
      </c>
      <c r="AB14" s="31" t="s">
        <v>97</v>
      </c>
      <c r="AC14" s="31" t="s">
        <v>81</v>
      </c>
      <c r="AD14" s="31" t="s">
        <v>82</v>
      </c>
      <c r="AE14" s="31" t="s">
        <v>83</v>
      </c>
      <c r="AF14" s="31" t="s">
        <v>85</v>
      </c>
      <c r="AG14" s="31" t="s">
        <v>86</v>
      </c>
      <c r="AH14" s="31" t="s">
        <v>84</v>
      </c>
      <c r="AI14" s="31" t="s">
        <v>104</v>
      </c>
      <c r="AJ14" s="31" t="s">
        <v>98</v>
      </c>
      <c r="AK14" s="31" t="s">
        <v>88</v>
      </c>
      <c r="AL14" s="31" t="s">
        <v>87</v>
      </c>
      <c r="AM14" s="31" t="s">
        <v>105</v>
      </c>
      <c r="AN14" s="31" t="s">
        <v>90</v>
      </c>
      <c r="AO14" s="31" t="s">
        <v>83</v>
      </c>
      <c r="AP14" s="31" t="s">
        <v>85</v>
      </c>
      <c r="AQ14" s="31" t="s">
        <v>91</v>
      </c>
      <c r="AR14" s="31" t="s">
        <v>102</v>
      </c>
      <c r="AS14" s="31" t="s">
        <v>94</v>
      </c>
      <c r="AT14" s="31" t="s">
        <v>93</v>
      </c>
      <c r="AU14" s="31" t="s">
        <v>94</v>
      </c>
      <c r="AV14" s="31" t="s">
        <v>93</v>
      </c>
      <c r="AW14" s="31" t="s">
        <v>93</v>
      </c>
      <c r="AX14" s="31" t="s">
        <v>93</v>
      </c>
      <c r="AY14" s="31" t="s">
        <v>93</v>
      </c>
      <c r="AZ14" s="31" t="s">
        <v>94</v>
      </c>
      <c r="BA14" s="31" t="s">
        <v>107</v>
      </c>
      <c r="BB14" s="31" t="s">
        <v>294</v>
      </c>
      <c r="BC14" s="24"/>
      <c r="BD14" s="30">
        <f>Table2[[#This Row],[interviewtime]]/60</f>
        <v>11.502666666666666</v>
      </c>
      <c r="BE14" s="31">
        <v>690.16</v>
      </c>
      <c r="BF14" s="31">
        <v>14.83</v>
      </c>
      <c r="BG14" s="31"/>
      <c r="BH14" s="31">
        <v>31.1</v>
      </c>
      <c r="BI14" s="31"/>
      <c r="BJ14" s="31"/>
      <c r="BK14" s="31"/>
      <c r="BL14" s="31"/>
      <c r="BM14" s="31">
        <v>280.58</v>
      </c>
      <c r="BN14" s="31"/>
      <c r="BO14" s="31"/>
      <c r="BP14" s="31"/>
      <c r="BQ14" s="31"/>
      <c r="BR14" s="31"/>
      <c r="BS14" s="31"/>
      <c r="BT14" s="31">
        <v>218.54</v>
      </c>
      <c r="BU14" s="31"/>
      <c r="BV14" s="31"/>
      <c r="BW14" s="31"/>
      <c r="BX14" s="31"/>
      <c r="BY14" s="31"/>
      <c r="BZ14" s="31"/>
      <c r="CA14" s="31"/>
      <c r="CB14" s="31"/>
      <c r="CC14" s="31">
        <v>101.72</v>
      </c>
      <c r="CD14" s="31"/>
      <c r="CE14" s="31"/>
      <c r="CF14" s="31"/>
      <c r="CG14" s="31"/>
      <c r="CH14" s="31"/>
      <c r="CI14" s="31"/>
      <c r="CJ14" s="31"/>
      <c r="CK14" s="31"/>
      <c r="CL14" s="31">
        <v>43.39</v>
      </c>
      <c r="CM14" s="31"/>
      <c r="CN14" s="31"/>
      <c r="CO14" s="24"/>
      <c r="CP14" s="24"/>
      <c r="CQ14" s="43">
        <f>Table2[[#This Row],[groupTime22]]/60</f>
        <v>4.676333333333333</v>
      </c>
      <c r="CR14" s="43">
        <f>Table2[[#This Row],[groupTime23]]/60</f>
        <v>3.6423333333333332</v>
      </c>
      <c r="CS14" s="43">
        <f>Table2[[#This Row],[groupTime24]]/60</f>
        <v>1.6953333333333334</v>
      </c>
    </row>
    <row r="15" spans="1:97" x14ac:dyDescent="0.25">
      <c r="A15" s="11" t="s">
        <v>352</v>
      </c>
      <c r="B15" s="11" t="s">
        <v>115</v>
      </c>
      <c r="C15" s="12">
        <v>23</v>
      </c>
      <c r="D15" s="12" t="s">
        <v>210</v>
      </c>
      <c r="E15" s="12">
        <v>6</v>
      </c>
      <c r="F15" s="12" t="s">
        <v>79</v>
      </c>
      <c r="G15" s="12">
        <v>281208419</v>
      </c>
      <c r="H15" s="12" t="s">
        <v>211</v>
      </c>
      <c r="I15" s="12" t="s">
        <v>210</v>
      </c>
      <c r="J15" s="12" t="s">
        <v>96</v>
      </c>
      <c r="K15" s="12" t="str">
        <f>IF(Table2[[#This Row],[priorSuccessRatio]]&lt;1,"yes","no")</f>
        <v>no</v>
      </c>
      <c r="L15" s="27">
        <f>VLOOKUP(Table2[[#This Row],[prolific]],'Correct calc'!B$16:$AJ$998,6,FALSE)</f>
        <v>1</v>
      </c>
      <c r="M15" s="27">
        <f>VLOOKUP(Table2[[#This Row],[prolific]],'Correct calc'!B$16:$AJ$998,14,FALSE)</f>
        <v>1</v>
      </c>
      <c r="N15" s="27">
        <f>VLOOKUP(Table2[[#This Row],[prolific]],'Correct calc'!B$16:$AJ1011,24,FALSE)</f>
        <v>0.75</v>
      </c>
      <c r="O15" s="27">
        <f>VLOOKUP(Table2[[#This Row],[prolific]],'Correct calc'!B$16:$AJ1011,34,FALSE)</f>
        <v>0.5</v>
      </c>
      <c r="P15" s="28">
        <f>VLOOKUP(Table2[[#This Row],[comprescore]],Table3[],2,FALSE)</f>
        <v>3</v>
      </c>
      <c r="Q15" s="16">
        <f>VLOOKUP(Table2[[#This Row],[prolific]],'Correct calc'!B$16:$AK$998,36,FALSE)</f>
        <v>16</v>
      </c>
      <c r="R15" s="16">
        <f>Table2[[#This Row],[interviewminutes]]</f>
        <v>12.343500000000001</v>
      </c>
      <c r="S15" s="16">
        <f>Table2[[#This Row],[classifyTime]]+Table2[[#This Row],[explainTime]]+Table2[[#This Row],[validateTime]]</f>
        <v>10.568999999999999</v>
      </c>
      <c r="T15" s="29">
        <f>VLOOKUP(Table2[[#This Row],[prolific]],'Correct calc'!B$16:$AJ$998,35,FALSE)</f>
        <v>0.72727272727272729</v>
      </c>
      <c r="U15" s="15">
        <f>SUM(Table2[[#This Row],[priorKnowledge'[CLUSTERING']]:[priorKnowledge'[ZSCORES']]])/Table2[[#This Row],[priorKnowledgeTechQuestionCount]]</f>
        <v>1</v>
      </c>
      <c r="V15" s="16">
        <f>IF(Table2[[#This Row],[visualization]]="Wordcloud",2,3)</f>
        <v>2</v>
      </c>
      <c r="W15" s="31" t="s">
        <v>1029</v>
      </c>
      <c r="X15" s="31">
        <v>1</v>
      </c>
      <c r="Y15" s="31">
        <v>1</v>
      </c>
      <c r="Z15" s="31">
        <v>0</v>
      </c>
      <c r="AA15" s="31">
        <v>2</v>
      </c>
      <c r="AB15" s="31" t="s">
        <v>97</v>
      </c>
      <c r="AC15" s="31" t="s">
        <v>81</v>
      </c>
      <c r="AD15" s="31" t="s">
        <v>82</v>
      </c>
      <c r="AE15" s="31" t="s">
        <v>83</v>
      </c>
      <c r="AF15" s="31" t="s">
        <v>85</v>
      </c>
      <c r="AG15" s="31" t="s">
        <v>86</v>
      </c>
      <c r="AH15" s="31" t="s">
        <v>84</v>
      </c>
      <c r="AI15" s="31" t="s">
        <v>104</v>
      </c>
      <c r="AJ15" s="31" t="s">
        <v>98</v>
      </c>
      <c r="AK15" s="31" t="s">
        <v>88</v>
      </c>
      <c r="AL15" s="31" t="s">
        <v>87</v>
      </c>
      <c r="AM15" s="31" t="s">
        <v>105</v>
      </c>
      <c r="AN15" s="31" t="s">
        <v>100</v>
      </c>
      <c r="AO15" s="31" t="s">
        <v>83</v>
      </c>
      <c r="AP15" s="31" t="s">
        <v>85</v>
      </c>
      <c r="AQ15" s="31" t="s">
        <v>101</v>
      </c>
      <c r="AR15" s="31" t="s">
        <v>102</v>
      </c>
      <c r="AS15" s="31" t="s">
        <v>94</v>
      </c>
      <c r="AT15" s="31" t="s">
        <v>93</v>
      </c>
      <c r="AU15" s="31" t="s">
        <v>93</v>
      </c>
      <c r="AV15" s="31" t="s">
        <v>93</v>
      </c>
      <c r="AW15" s="31" t="s">
        <v>93</v>
      </c>
      <c r="AX15" s="31" t="s">
        <v>94</v>
      </c>
      <c r="AY15" s="31" t="s">
        <v>93</v>
      </c>
      <c r="AZ15" s="31" t="s">
        <v>93</v>
      </c>
      <c r="BA15" s="31" t="s">
        <v>107</v>
      </c>
      <c r="BB15" s="31" t="s">
        <v>296</v>
      </c>
      <c r="BC15" s="24"/>
      <c r="BD15" s="30">
        <f>Table2[[#This Row],[interviewtime]]/60</f>
        <v>12.343500000000001</v>
      </c>
      <c r="BE15" s="31">
        <v>740.61</v>
      </c>
      <c r="BF15" s="31">
        <v>11.88</v>
      </c>
      <c r="BG15" s="31"/>
      <c r="BH15" s="31">
        <v>24.19</v>
      </c>
      <c r="BI15" s="31"/>
      <c r="BJ15" s="31"/>
      <c r="BK15" s="31"/>
      <c r="BL15" s="31"/>
      <c r="BM15" s="31">
        <v>337.06</v>
      </c>
      <c r="BN15" s="31"/>
      <c r="BO15" s="31"/>
      <c r="BP15" s="31"/>
      <c r="BQ15" s="31"/>
      <c r="BR15" s="31"/>
      <c r="BS15" s="31"/>
      <c r="BT15" s="31">
        <v>198.29</v>
      </c>
      <c r="BU15" s="31"/>
      <c r="BV15" s="31"/>
      <c r="BW15" s="31"/>
      <c r="BX15" s="31"/>
      <c r="BY15" s="31"/>
      <c r="BZ15" s="31"/>
      <c r="CA15" s="31"/>
      <c r="CB15" s="31"/>
      <c r="CC15" s="31">
        <v>98.79</v>
      </c>
      <c r="CD15" s="31"/>
      <c r="CE15" s="31"/>
      <c r="CF15" s="31"/>
      <c r="CG15" s="31"/>
      <c r="CH15" s="31"/>
      <c r="CI15" s="31"/>
      <c r="CJ15" s="31"/>
      <c r="CK15" s="31"/>
      <c r="CL15" s="31">
        <v>70.400000000000006</v>
      </c>
      <c r="CM15" s="31"/>
      <c r="CN15" s="31"/>
      <c r="CO15" s="24"/>
      <c r="CP15" s="24"/>
      <c r="CQ15" s="43">
        <f>Table2[[#This Row],[groupTime22]]/60</f>
        <v>5.6176666666666666</v>
      </c>
      <c r="CR15" s="43">
        <f>Table2[[#This Row],[groupTime23]]/60</f>
        <v>3.3048333333333333</v>
      </c>
      <c r="CS15" s="43">
        <f>Table2[[#This Row],[groupTime24]]/60</f>
        <v>1.6465000000000001</v>
      </c>
    </row>
    <row r="16" spans="1:97" x14ac:dyDescent="0.25">
      <c r="A16" s="11" t="s">
        <v>352</v>
      </c>
      <c r="B16" s="11" t="s">
        <v>115</v>
      </c>
      <c r="C16" s="12">
        <v>24</v>
      </c>
      <c r="D16" s="12" t="s">
        <v>212</v>
      </c>
      <c r="E16" s="12">
        <v>6</v>
      </c>
      <c r="F16" s="12" t="s">
        <v>79</v>
      </c>
      <c r="G16" s="12">
        <v>1595823853</v>
      </c>
      <c r="H16" s="12" t="s">
        <v>213</v>
      </c>
      <c r="I16" s="12" t="s">
        <v>212</v>
      </c>
      <c r="J16" s="12" t="s">
        <v>80</v>
      </c>
      <c r="K16" s="12" t="str">
        <f>IF(Table2[[#This Row],[priorSuccessRatio]]&lt;1,"yes","no")</f>
        <v>no</v>
      </c>
      <c r="L16" s="27">
        <f>VLOOKUP(Table2[[#This Row],[prolific]],'Correct calc'!B$16:$AJ$998,6,FALSE)</f>
        <v>1</v>
      </c>
      <c r="M16" s="27">
        <f>VLOOKUP(Table2[[#This Row],[prolific]],'Correct calc'!B$16:$AJ$998,14,FALSE)</f>
        <v>0.66666666666666663</v>
      </c>
      <c r="N16" s="27">
        <f>VLOOKUP(Table2[[#This Row],[prolific]],'Correct calc'!B$16:$AJ1012,24,FALSE)</f>
        <v>0.875</v>
      </c>
      <c r="O16" s="27">
        <f>VLOOKUP(Table2[[#This Row],[prolific]],'Correct calc'!B$16:$AJ1012,34,FALSE)</f>
        <v>0.5</v>
      </c>
      <c r="P16" s="28">
        <f>VLOOKUP(Table2[[#This Row],[comprescore]],Table3[],2,FALSE)</f>
        <v>2</v>
      </c>
      <c r="Q16" s="16">
        <f>VLOOKUP(Table2[[#This Row],[prolific]],'Correct calc'!B$16:$AK$998,36,FALSE)</f>
        <v>15</v>
      </c>
      <c r="R16" s="16">
        <f>Table2[[#This Row],[interviewminutes]]</f>
        <v>12.457500000000001</v>
      </c>
      <c r="S16" s="16">
        <f>Table2[[#This Row],[classifyTime]]+Table2[[#This Row],[explainTime]]+Table2[[#This Row],[validateTime]]</f>
        <v>10.939666666666668</v>
      </c>
      <c r="T16" s="29">
        <f>VLOOKUP(Table2[[#This Row],[prolific]],'Correct calc'!B$16:$AJ$998,35,FALSE)</f>
        <v>0.68181818181818177</v>
      </c>
      <c r="U16" s="15">
        <f>SUM(Table2[[#This Row],[priorKnowledge'[CLUSTERING']]:[priorKnowledge'[ZSCORES']]])/Table2[[#This Row],[priorKnowledgeTechQuestionCount]]</f>
        <v>1</v>
      </c>
      <c r="V16" s="16">
        <f>IF(Table2[[#This Row],[visualization]]="Wordcloud",2,3)</f>
        <v>2</v>
      </c>
      <c r="W16" s="31" t="s">
        <v>1030</v>
      </c>
      <c r="X16" s="31">
        <v>1</v>
      </c>
      <c r="Y16" s="31">
        <v>1</v>
      </c>
      <c r="Z16" s="31">
        <v>0</v>
      </c>
      <c r="AA16" s="31">
        <v>2</v>
      </c>
      <c r="AB16" s="31" t="s">
        <v>97</v>
      </c>
      <c r="AC16" s="31" t="s">
        <v>81</v>
      </c>
      <c r="AD16" s="31" t="s">
        <v>82</v>
      </c>
      <c r="AE16" s="31" t="s">
        <v>83</v>
      </c>
      <c r="AF16" s="31" t="s">
        <v>85</v>
      </c>
      <c r="AG16" s="31" t="s">
        <v>86</v>
      </c>
      <c r="AH16" s="31" t="s">
        <v>84</v>
      </c>
      <c r="AI16" s="31" t="s">
        <v>85</v>
      </c>
      <c r="AJ16" s="31" t="s">
        <v>104</v>
      </c>
      <c r="AK16" s="31" t="s">
        <v>88</v>
      </c>
      <c r="AL16" s="31" t="s">
        <v>87</v>
      </c>
      <c r="AM16" s="31" t="s">
        <v>105</v>
      </c>
      <c r="AN16" s="31" t="s">
        <v>90</v>
      </c>
      <c r="AO16" s="31" t="s">
        <v>83</v>
      </c>
      <c r="AP16" s="31" t="s">
        <v>85</v>
      </c>
      <c r="AQ16" s="31" t="s">
        <v>101</v>
      </c>
      <c r="AR16" s="31" t="s">
        <v>102</v>
      </c>
      <c r="AS16" s="31" t="s">
        <v>94</v>
      </c>
      <c r="AT16" s="31" t="s">
        <v>93</v>
      </c>
      <c r="AU16" s="31" t="s">
        <v>93</v>
      </c>
      <c r="AV16" s="31" t="s">
        <v>93</v>
      </c>
      <c r="AW16" s="31" t="s">
        <v>93</v>
      </c>
      <c r="AX16" s="31" t="s">
        <v>93</v>
      </c>
      <c r="AY16" s="31" t="s">
        <v>93</v>
      </c>
      <c r="AZ16" s="31" t="s">
        <v>94</v>
      </c>
      <c r="BA16" s="31" t="s">
        <v>106</v>
      </c>
      <c r="BB16" s="31"/>
      <c r="BC16" s="24"/>
      <c r="BD16" s="30">
        <f>Table2[[#This Row],[interviewtime]]/60</f>
        <v>12.457500000000001</v>
      </c>
      <c r="BE16" s="31">
        <v>747.45</v>
      </c>
      <c r="BF16" s="31">
        <v>10.35</v>
      </c>
      <c r="BG16" s="31"/>
      <c r="BH16" s="31">
        <v>55.18</v>
      </c>
      <c r="BI16" s="31"/>
      <c r="BJ16" s="31"/>
      <c r="BK16" s="31"/>
      <c r="BL16" s="31"/>
      <c r="BM16" s="31">
        <v>374.6</v>
      </c>
      <c r="BN16" s="31"/>
      <c r="BO16" s="31"/>
      <c r="BP16" s="31"/>
      <c r="BQ16" s="31"/>
      <c r="BR16" s="31"/>
      <c r="BS16" s="31"/>
      <c r="BT16" s="31">
        <v>158.80000000000001</v>
      </c>
      <c r="BU16" s="31"/>
      <c r="BV16" s="31"/>
      <c r="BW16" s="31"/>
      <c r="BX16" s="31"/>
      <c r="BY16" s="31"/>
      <c r="BZ16" s="31"/>
      <c r="CA16" s="31"/>
      <c r="CB16" s="31"/>
      <c r="CC16" s="31">
        <v>122.98</v>
      </c>
      <c r="CD16" s="31"/>
      <c r="CE16" s="31"/>
      <c r="CF16" s="31"/>
      <c r="CG16" s="31"/>
      <c r="CH16" s="31"/>
      <c r="CI16" s="31"/>
      <c r="CJ16" s="31"/>
      <c r="CK16" s="31"/>
      <c r="CL16" s="31">
        <v>25.54</v>
      </c>
      <c r="CM16" s="31"/>
      <c r="CN16" s="31"/>
      <c r="CO16" s="24"/>
      <c r="CP16" s="24"/>
      <c r="CQ16" s="43">
        <f>Table2[[#This Row],[groupTime22]]/60</f>
        <v>6.2433333333333341</v>
      </c>
      <c r="CR16" s="43">
        <f>Table2[[#This Row],[groupTime23]]/60</f>
        <v>2.6466666666666669</v>
      </c>
      <c r="CS16" s="43">
        <f>Table2[[#This Row],[groupTime24]]/60</f>
        <v>2.0496666666666665</v>
      </c>
    </row>
    <row r="17" spans="1:97" x14ac:dyDescent="0.25">
      <c r="A17" s="11" t="s">
        <v>352</v>
      </c>
      <c r="B17" s="11" t="s">
        <v>115</v>
      </c>
      <c r="C17" s="12">
        <v>25</v>
      </c>
      <c r="D17" s="12" t="s">
        <v>214</v>
      </c>
      <c r="E17" s="12">
        <v>6</v>
      </c>
      <c r="F17" s="12" t="s">
        <v>79</v>
      </c>
      <c r="G17" s="12">
        <v>36023937</v>
      </c>
      <c r="H17" s="12" t="s">
        <v>215</v>
      </c>
      <c r="I17" s="12" t="s">
        <v>214</v>
      </c>
      <c r="J17" s="12" t="s">
        <v>80</v>
      </c>
      <c r="K17" s="12" t="str">
        <f>IF(Table2[[#This Row],[priorSuccessRatio]]&lt;1,"yes","no")</f>
        <v>no</v>
      </c>
      <c r="L17" s="27">
        <f>VLOOKUP(Table2[[#This Row],[prolific]],'Correct calc'!B$16:$AJ$998,6,FALSE)</f>
        <v>1</v>
      </c>
      <c r="M17" s="27">
        <f>VLOOKUP(Table2[[#This Row],[prolific]],'Correct calc'!B$16:$AJ$998,14,FALSE)</f>
        <v>0.66666666666666663</v>
      </c>
      <c r="N17" s="27">
        <f>VLOOKUP(Table2[[#This Row],[prolific]],'Correct calc'!B$16:$AJ1013,24,FALSE)</f>
        <v>1</v>
      </c>
      <c r="O17" s="27">
        <f>VLOOKUP(Table2[[#This Row],[prolific]],'Correct calc'!B$16:$AJ1013,34,FALSE)</f>
        <v>0.75</v>
      </c>
      <c r="P17" s="28">
        <f>VLOOKUP(Table2[[#This Row],[comprescore]],Table3[],2,FALSE)</f>
        <v>3</v>
      </c>
      <c r="Q17" s="16">
        <f>VLOOKUP(Table2[[#This Row],[prolific]],'Correct calc'!B$16:$AK$998,36,FALSE)</f>
        <v>18</v>
      </c>
      <c r="R17" s="16">
        <f>Table2[[#This Row],[interviewminutes]]</f>
        <v>21.304666666666666</v>
      </c>
      <c r="S17" s="16">
        <f>Table2[[#This Row],[classifyTime]]+Table2[[#This Row],[explainTime]]+Table2[[#This Row],[validateTime]]</f>
        <v>14.572166666666668</v>
      </c>
      <c r="T17" s="29">
        <f>VLOOKUP(Table2[[#This Row],[prolific]],'Correct calc'!B$16:$AJ$998,35,FALSE)</f>
        <v>0.81818181818181823</v>
      </c>
      <c r="U17" s="15">
        <f>SUM(Table2[[#This Row],[priorKnowledge'[CLUSTERING']]:[priorKnowledge'[ZSCORES']]])/Table2[[#This Row],[priorKnowledgeTechQuestionCount]]</f>
        <v>2.5</v>
      </c>
      <c r="V17" s="16">
        <f>IF(Table2[[#This Row],[visualization]]="Wordcloud",2,3)</f>
        <v>2</v>
      </c>
      <c r="W17" s="31" t="s">
        <v>1031</v>
      </c>
      <c r="X17" s="31">
        <v>2</v>
      </c>
      <c r="Y17" s="31">
        <v>3</v>
      </c>
      <c r="Z17" s="31">
        <v>0</v>
      </c>
      <c r="AA17" s="31">
        <v>9</v>
      </c>
      <c r="AB17" s="31" t="s">
        <v>97</v>
      </c>
      <c r="AC17" s="31" t="s">
        <v>81</v>
      </c>
      <c r="AD17" s="31" t="s">
        <v>82</v>
      </c>
      <c r="AE17" s="31" t="s">
        <v>83</v>
      </c>
      <c r="AF17" s="31" t="s">
        <v>104</v>
      </c>
      <c r="AG17" s="31" t="s">
        <v>86</v>
      </c>
      <c r="AH17" s="31" t="s">
        <v>84</v>
      </c>
      <c r="AI17" s="31" t="s">
        <v>104</v>
      </c>
      <c r="AJ17" s="31" t="s">
        <v>86</v>
      </c>
      <c r="AK17" s="31" t="s">
        <v>88</v>
      </c>
      <c r="AL17" s="31" t="s">
        <v>87</v>
      </c>
      <c r="AM17" s="31" t="s">
        <v>105</v>
      </c>
      <c r="AN17" s="31" t="s">
        <v>90</v>
      </c>
      <c r="AO17" s="31" t="s">
        <v>83</v>
      </c>
      <c r="AP17" s="31" t="s">
        <v>85</v>
      </c>
      <c r="AQ17" s="31" t="s">
        <v>91</v>
      </c>
      <c r="AR17" s="31" t="s">
        <v>102</v>
      </c>
      <c r="AS17" s="31" t="s">
        <v>94</v>
      </c>
      <c r="AT17" s="31" t="s">
        <v>93</v>
      </c>
      <c r="AU17" s="31" t="s">
        <v>94</v>
      </c>
      <c r="AV17" s="31" t="s">
        <v>93</v>
      </c>
      <c r="AW17" s="31" t="s">
        <v>93</v>
      </c>
      <c r="AX17" s="31" t="s">
        <v>94</v>
      </c>
      <c r="AY17" s="31" t="s">
        <v>94</v>
      </c>
      <c r="AZ17" s="31" t="s">
        <v>93</v>
      </c>
      <c r="BA17" s="31" t="s">
        <v>107</v>
      </c>
      <c r="BB17" s="31" t="s">
        <v>299</v>
      </c>
      <c r="BC17" s="24"/>
      <c r="BD17" s="30">
        <f>Table2[[#This Row],[interviewtime]]/60</f>
        <v>21.304666666666666</v>
      </c>
      <c r="BE17" s="31">
        <v>1278.28</v>
      </c>
      <c r="BF17" s="31">
        <v>7.01</v>
      </c>
      <c r="BG17" s="31"/>
      <c r="BH17" s="31">
        <v>40.159999999999997</v>
      </c>
      <c r="BI17" s="31"/>
      <c r="BJ17" s="31"/>
      <c r="BK17" s="31"/>
      <c r="BL17" s="31"/>
      <c r="BM17" s="31">
        <v>403.85</v>
      </c>
      <c r="BN17" s="31"/>
      <c r="BO17" s="31"/>
      <c r="BP17" s="31"/>
      <c r="BQ17" s="31"/>
      <c r="BR17" s="31"/>
      <c r="BS17" s="31"/>
      <c r="BT17" s="31">
        <v>277.8</v>
      </c>
      <c r="BU17" s="31"/>
      <c r="BV17" s="31"/>
      <c r="BW17" s="31"/>
      <c r="BX17" s="31"/>
      <c r="BY17" s="31"/>
      <c r="BZ17" s="31"/>
      <c r="CA17" s="31"/>
      <c r="CB17" s="31"/>
      <c r="CC17" s="31">
        <v>192.68</v>
      </c>
      <c r="CD17" s="31"/>
      <c r="CE17" s="31"/>
      <c r="CF17" s="31"/>
      <c r="CG17" s="31"/>
      <c r="CH17" s="31"/>
      <c r="CI17" s="31"/>
      <c r="CJ17" s="31"/>
      <c r="CK17" s="31"/>
      <c r="CL17" s="31">
        <v>356.78</v>
      </c>
      <c r="CM17" s="31"/>
      <c r="CN17" s="31"/>
      <c r="CO17" s="24"/>
      <c r="CP17" s="24"/>
      <c r="CQ17" s="43">
        <f>Table2[[#This Row],[groupTime22]]/60</f>
        <v>6.7308333333333339</v>
      </c>
      <c r="CR17" s="43">
        <f>Table2[[#This Row],[groupTime23]]/60</f>
        <v>4.63</v>
      </c>
      <c r="CS17" s="43">
        <f>Table2[[#This Row],[groupTime24]]/60</f>
        <v>3.2113333333333336</v>
      </c>
    </row>
    <row r="18" spans="1:97" x14ac:dyDescent="0.25">
      <c r="A18" s="11" t="s">
        <v>352</v>
      </c>
      <c r="B18" s="11" t="s">
        <v>115</v>
      </c>
      <c r="C18" s="12">
        <v>26</v>
      </c>
      <c r="D18" s="12" t="s">
        <v>216</v>
      </c>
      <c r="E18" s="12">
        <v>6</v>
      </c>
      <c r="F18" s="12" t="s">
        <v>79</v>
      </c>
      <c r="G18" s="12">
        <v>1442454672</v>
      </c>
      <c r="H18" s="12" t="s">
        <v>217</v>
      </c>
      <c r="I18" s="12" t="s">
        <v>216</v>
      </c>
      <c r="J18" s="12" t="s">
        <v>96</v>
      </c>
      <c r="K18" s="12" t="str">
        <f>IF(Table2[[#This Row],[priorSuccessRatio]]&lt;1,"yes","no")</f>
        <v>no</v>
      </c>
      <c r="L18" s="27">
        <f>VLOOKUP(Table2[[#This Row],[prolific]],'Correct calc'!B$16:$AJ$998,6,FALSE)</f>
        <v>1</v>
      </c>
      <c r="M18" s="27">
        <f>VLOOKUP(Table2[[#This Row],[prolific]],'Correct calc'!B$16:$AJ$998,14,FALSE)</f>
        <v>0.33333333333333331</v>
      </c>
      <c r="N18" s="27">
        <f>VLOOKUP(Table2[[#This Row],[prolific]],'Correct calc'!B$16:$AJ1014,24,FALSE)</f>
        <v>0.875</v>
      </c>
      <c r="O18" s="27">
        <f>VLOOKUP(Table2[[#This Row],[prolific]],'Correct calc'!B$16:$AJ1014,34,FALSE)</f>
        <v>0.5</v>
      </c>
      <c r="P18" s="28">
        <f>VLOOKUP(Table2[[#This Row],[comprescore]],Table3[],2,FALSE)</f>
        <v>2</v>
      </c>
      <c r="Q18" s="16">
        <f>VLOOKUP(Table2[[#This Row],[prolific]],'Correct calc'!B$16:$AK$998,36,FALSE)</f>
        <v>13</v>
      </c>
      <c r="R18" s="16">
        <f>Table2[[#This Row],[interviewminutes]]</f>
        <v>8.7110000000000003</v>
      </c>
      <c r="S18" s="16">
        <f>Table2[[#This Row],[classifyTime]]+Table2[[#This Row],[explainTime]]+Table2[[#This Row],[validateTime]]</f>
        <v>7.4653333333333336</v>
      </c>
      <c r="T18" s="29">
        <f>VLOOKUP(Table2[[#This Row],[prolific]],'Correct calc'!B$16:$AJ$998,35,FALSE)</f>
        <v>0.59090909090909094</v>
      </c>
      <c r="U18" s="15">
        <f>SUM(Table2[[#This Row],[priorKnowledge'[CLUSTERING']]:[priorKnowledge'[ZSCORES']]])/Table2[[#This Row],[priorKnowledgeTechQuestionCount]]</f>
        <v>1</v>
      </c>
      <c r="V18" s="16">
        <f>IF(Table2[[#This Row],[visualization]]="Wordcloud",2,3)</f>
        <v>2</v>
      </c>
      <c r="W18" s="31" t="s">
        <v>1032</v>
      </c>
      <c r="X18" s="31">
        <v>1</v>
      </c>
      <c r="Y18" s="31">
        <v>1</v>
      </c>
      <c r="Z18" s="31">
        <v>0</v>
      </c>
      <c r="AA18" s="31">
        <v>3</v>
      </c>
      <c r="AB18" s="31" t="s">
        <v>97</v>
      </c>
      <c r="AC18" s="31" t="s">
        <v>81</v>
      </c>
      <c r="AD18" s="31" t="s">
        <v>82</v>
      </c>
      <c r="AE18" s="31" t="s">
        <v>83</v>
      </c>
      <c r="AF18" s="31" t="s">
        <v>98</v>
      </c>
      <c r="AG18" s="31" t="s">
        <v>104</v>
      </c>
      <c r="AH18" s="31" t="s">
        <v>84</v>
      </c>
      <c r="AI18" s="31" t="s">
        <v>85</v>
      </c>
      <c r="AJ18" s="31" t="s">
        <v>83</v>
      </c>
      <c r="AK18" s="31" t="s">
        <v>88</v>
      </c>
      <c r="AL18" s="31" t="s">
        <v>87</v>
      </c>
      <c r="AM18" s="31" t="s">
        <v>99</v>
      </c>
      <c r="AN18" s="31" t="s">
        <v>90</v>
      </c>
      <c r="AO18" s="31" t="s">
        <v>83</v>
      </c>
      <c r="AP18" s="31" t="s">
        <v>85</v>
      </c>
      <c r="AQ18" s="31" t="s">
        <v>91</v>
      </c>
      <c r="AR18" s="31" t="s">
        <v>102</v>
      </c>
      <c r="AS18" s="31" t="s">
        <v>94</v>
      </c>
      <c r="AT18" s="31" t="s">
        <v>93</v>
      </c>
      <c r="AU18" s="31" t="s">
        <v>93</v>
      </c>
      <c r="AV18" s="31" t="s">
        <v>93</v>
      </c>
      <c r="AW18" s="31" t="s">
        <v>93</v>
      </c>
      <c r="AX18" s="31" t="s">
        <v>93</v>
      </c>
      <c r="AY18" s="31" t="s">
        <v>93</v>
      </c>
      <c r="AZ18" s="31" t="s">
        <v>94</v>
      </c>
      <c r="BA18" s="31" t="s">
        <v>106</v>
      </c>
      <c r="BB18" s="31" t="s">
        <v>301</v>
      </c>
      <c r="BC18" s="24"/>
      <c r="BD18" s="30">
        <f>Table2[[#This Row],[interviewtime]]/60</f>
        <v>8.7110000000000003</v>
      </c>
      <c r="BE18" s="31">
        <v>522.66</v>
      </c>
      <c r="BF18" s="31">
        <v>4.37</v>
      </c>
      <c r="BG18" s="31"/>
      <c r="BH18" s="31">
        <v>21.17</v>
      </c>
      <c r="BI18" s="31"/>
      <c r="BJ18" s="31"/>
      <c r="BK18" s="31"/>
      <c r="BL18" s="31"/>
      <c r="BM18" s="31">
        <v>315.26</v>
      </c>
      <c r="BN18" s="31"/>
      <c r="BO18" s="31"/>
      <c r="BP18" s="31"/>
      <c r="BQ18" s="31"/>
      <c r="BR18" s="31"/>
      <c r="BS18" s="31"/>
      <c r="BT18" s="31">
        <v>83.21</v>
      </c>
      <c r="BU18" s="31"/>
      <c r="BV18" s="31"/>
      <c r="BW18" s="31"/>
      <c r="BX18" s="31"/>
      <c r="BY18" s="31"/>
      <c r="BZ18" s="31"/>
      <c r="CA18" s="31"/>
      <c r="CB18" s="31"/>
      <c r="CC18" s="31">
        <v>49.45</v>
      </c>
      <c r="CD18" s="31"/>
      <c r="CE18" s="31"/>
      <c r="CF18" s="31"/>
      <c r="CG18" s="31"/>
      <c r="CH18" s="31"/>
      <c r="CI18" s="31"/>
      <c r="CJ18" s="31"/>
      <c r="CK18" s="31"/>
      <c r="CL18" s="31">
        <v>49.2</v>
      </c>
      <c r="CM18" s="31"/>
      <c r="CN18" s="31"/>
      <c r="CO18" s="24"/>
      <c r="CP18" s="24"/>
      <c r="CQ18" s="43">
        <f>Table2[[#This Row],[groupTime22]]/60</f>
        <v>5.2543333333333333</v>
      </c>
      <c r="CR18" s="43">
        <f>Table2[[#This Row],[groupTime23]]/60</f>
        <v>1.3868333333333331</v>
      </c>
      <c r="CS18" s="43">
        <f>Table2[[#This Row],[groupTime24]]/60</f>
        <v>0.82416666666666671</v>
      </c>
    </row>
    <row r="19" spans="1:97" x14ac:dyDescent="0.25">
      <c r="A19" s="11" t="s">
        <v>352</v>
      </c>
      <c r="B19" s="11" t="s">
        <v>115</v>
      </c>
      <c r="C19" s="12">
        <v>27</v>
      </c>
      <c r="D19" s="12" t="s">
        <v>218</v>
      </c>
      <c r="E19" s="12">
        <v>6</v>
      </c>
      <c r="F19" s="12" t="s">
        <v>79</v>
      </c>
      <c r="G19" s="12">
        <v>1989907371</v>
      </c>
      <c r="H19" s="12" t="s">
        <v>219</v>
      </c>
      <c r="I19" s="12" t="s">
        <v>218</v>
      </c>
      <c r="J19" s="12" t="s">
        <v>80</v>
      </c>
      <c r="K19" s="12" t="str">
        <f>IF(Table2[[#This Row],[priorSuccessRatio]]&lt;1,"yes","no")</f>
        <v>no</v>
      </c>
      <c r="L19" s="27">
        <f>VLOOKUP(Table2[[#This Row],[prolific]],'Correct calc'!B$16:$AJ$998,6,FALSE)</f>
        <v>1</v>
      </c>
      <c r="M19" s="27">
        <f>VLOOKUP(Table2[[#This Row],[prolific]],'Correct calc'!B$16:$AJ$998,14,FALSE)</f>
        <v>0.83333333333333337</v>
      </c>
      <c r="N19" s="27">
        <f>VLOOKUP(Table2[[#This Row],[prolific]],'Correct calc'!B$16:$AJ1015,24,FALSE)</f>
        <v>0.625</v>
      </c>
      <c r="O19" s="27">
        <f>VLOOKUP(Table2[[#This Row],[prolific]],'Correct calc'!B$16:$AJ1015,34,FALSE)</f>
        <v>0.375</v>
      </c>
      <c r="P19" s="28">
        <f>VLOOKUP(Table2[[#This Row],[comprescore]],Table3[],2,FALSE)</f>
        <v>3</v>
      </c>
      <c r="Q19" s="16">
        <f>VLOOKUP(Table2[[#This Row],[prolific]],'Correct calc'!B$16:$AK$998,36,FALSE)</f>
        <v>13</v>
      </c>
      <c r="R19" s="16">
        <f>Table2[[#This Row],[interviewminutes]]</f>
        <v>11.394333333333332</v>
      </c>
      <c r="S19" s="16">
        <f>Table2[[#This Row],[classifyTime]]+Table2[[#This Row],[explainTime]]+Table2[[#This Row],[validateTime]]</f>
        <v>10.203833333333332</v>
      </c>
      <c r="T19" s="29">
        <f>VLOOKUP(Table2[[#This Row],[prolific]],'Correct calc'!B$16:$AJ$998,35,FALSE)</f>
        <v>0.59090909090909094</v>
      </c>
      <c r="U19" s="15">
        <f>SUM(Table2[[#This Row],[priorKnowledge'[CLUSTERING']]:[priorKnowledge'[ZSCORES']]])/Table2[[#This Row],[priorKnowledgeTechQuestionCount]]</f>
        <v>2</v>
      </c>
      <c r="V19" s="16">
        <f>IF(Table2[[#This Row],[visualization]]="Wordcloud",2,3)</f>
        <v>2</v>
      </c>
      <c r="W19" s="31" t="s">
        <v>1033</v>
      </c>
      <c r="X19" s="31">
        <v>2</v>
      </c>
      <c r="Y19" s="31">
        <v>2</v>
      </c>
      <c r="Z19" s="31">
        <v>0</v>
      </c>
      <c r="AA19" s="31">
        <v>4</v>
      </c>
      <c r="AB19" s="31" t="s">
        <v>97</v>
      </c>
      <c r="AC19" s="31" t="s">
        <v>81</v>
      </c>
      <c r="AD19" s="31" t="s">
        <v>82</v>
      </c>
      <c r="AE19" s="31" t="s">
        <v>83</v>
      </c>
      <c r="AF19" s="31" t="s">
        <v>85</v>
      </c>
      <c r="AG19" s="31" t="s">
        <v>86</v>
      </c>
      <c r="AH19" s="31" t="s">
        <v>84</v>
      </c>
      <c r="AI19" s="31" t="s">
        <v>104</v>
      </c>
      <c r="AJ19" s="31" t="s">
        <v>84</v>
      </c>
      <c r="AK19" s="31" t="s">
        <v>88</v>
      </c>
      <c r="AL19" s="31" t="s">
        <v>108</v>
      </c>
      <c r="AM19" s="31" t="s">
        <v>285</v>
      </c>
      <c r="AN19" s="31" t="s">
        <v>278</v>
      </c>
      <c r="AO19" s="31" t="s">
        <v>83</v>
      </c>
      <c r="AP19" s="31" t="s">
        <v>85</v>
      </c>
      <c r="AQ19" s="31" t="s">
        <v>91</v>
      </c>
      <c r="AR19" s="31" t="s">
        <v>102</v>
      </c>
      <c r="AS19" s="31" t="s">
        <v>94</v>
      </c>
      <c r="AT19" s="31" t="s">
        <v>93</v>
      </c>
      <c r="AU19" s="31" t="s">
        <v>93</v>
      </c>
      <c r="AV19" s="31" t="s">
        <v>93</v>
      </c>
      <c r="AW19" s="31" t="s">
        <v>93</v>
      </c>
      <c r="AX19" s="31" t="s">
        <v>94</v>
      </c>
      <c r="AY19" s="31" t="s">
        <v>93</v>
      </c>
      <c r="AZ19" s="31" t="s">
        <v>94</v>
      </c>
      <c r="BA19" s="31" t="s">
        <v>107</v>
      </c>
      <c r="BB19" s="31"/>
      <c r="BC19" s="24"/>
      <c r="BD19" s="30">
        <f>Table2[[#This Row],[interviewtime]]/60</f>
        <v>11.394333333333332</v>
      </c>
      <c r="BE19" s="31">
        <v>683.66</v>
      </c>
      <c r="BF19" s="31">
        <v>3.82</v>
      </c>
      <c r="BG19" s="31"/>
      <c r="BH19" s="31">
        <v>35.49</v>
      </c>
      <c r="BI19" s="31"/>
      <c r="BJ19" s="31"/>
      <c r="BK19" s="31"/>
      <c r="BL19" s="31"/>
      <c r="BM19" s="31">
        <v>213.49</v>
      </c>
      <c r="BN19" s="31"/>
      <c r="BO19" s="31"/>
      <c r="BP19" s="31"/>
      <c r="BQ19" s="31"/>
      <c r="BR19" s="31"/>
      <c r="BS19" s="31"/>
      <c r="BT19" s="31">
        <v>193.89</v>
      </c>
      <c r="BU19" s="31"/>
      <c r="BV19" s="31"/>
      <c r="BW19" s="31"/>
      <c r="BX19" s="31"/>
      <c r="BY19" s="31"/>
      <c r="BZ19" s="31"/>
      <c r="CA19" s="31"/>
      <c r="CB19" s="31"/>
      <c r="CC19" s="31">
        <v>204.85</v>
      </c>
      <c r="CD19" s="31"/>
      <c r="CE19" s="31"/>
      <c r="CF19" s="31"/>
      <c r="CG19" s="31"/>
      <c r="CH19" s="31"/>
      <c r="CI19" s="31"/>
      <c r="CJ19" s="31"/>
      <c r="CK19" s="31"/>
      <c r="CL19" s="31">
        <v>32.119999999999997</v>
      </c>
      <c r="CM19" s="31"/>
      <c r="CN19" s="31"/>
      <c r="CO19" s="24"/>
      <c r="CP19" s="24"/>
      <c r="CQ19" s="43">
        <f>Table2[[#This Row],[groupTime22]]/60</f>
        <v>3.5581666666666667</v>
      </c>
      <c r="CR19" s="43">
        <f>Table2[[#This Row],[groupTime23]]/60</f>
        <v>3.2314999999999996</v>
      </c>
      <c r="CS19" s="43">
        <f>Table2[[#This Row],[groupTime24]]/60</f>
        <v>3.4141666666666666</v>
      </c>
    </row>
    <row r="20" spans="1:97" x14ac:dyDescent="0.25">
      <c r="A20" s="11" t="s">
        <v>352</v>
      </c>
      <c r="B20" s="11" t="s">
        <v>115</v>
      </c>
      <c r="C20" s="12">
        <v>28</v>
      </c>
      <c r="D20" s="12" t="s">
        <v>220</v>
      </c>
      <c r="E20" s="12">
        <v>6</v>
      </c>
      <c r="F20" s="12" t="s">
        <v>79</v>
      </c>
      <c r="G20" s="12">
        <v>782854374</v>
      </c>
      <c r="H20" s="12" t="s">
        <v>221</v>
      </c>
      <c r="I20" s="12" t="s">
        <v>220</v>
      </c>
      <c r="J20" s="12" t="s">
        <v>80</v>
      </c>
      <c r="K20" s="12" t="str">
        <f>IF(Table2[[#This Row],[priorSuccessRatio]]&lt;1,"yes","no")</f>
        <v>no</v>
      </c>
      <c r="L20" s="27">
        <f>VLOOKUP(Table2[[#This Row],[prolific]],'Correct calc'!B$16:$AJ$998,6,FALSE)</f>
        <v>1</v>
      </c>
      <c r="M20" s="27">
        <f>VLOOKUP(Table2[[#This Row],[prolific]],'Correct calc'!B$16:$AJ$998,14,FALSE)</f>
        <v>0.66666666666666663</v>
      </c>
      <c r="N20" s="27">
        <f>VLOOKUP(Table2[[#This Row],[prolific]],'Correct calc'!B$16:$AJ1016,24,FALSE)</f>
        <v>0.75</v>
      </c>
      <c r="O20" s="27">
        <f>VLOOKUP(Table2[[#This Row],[prolific]],'Correct calc'!B$16:$AJ1016,34,FALSE)</f>
        <v>0.5</v>
      </c>
      <c r="P20" s="28">
        <f>VLOOKUP(Table2[[#This Row],[comprescore]],Table3[],2,FALSE)</f>
        <v>4</v>
      </c>
      <c r="Q20" s="16">
        <f>VLOOKUP(Table2[[#This Row],[prolific]],'Correct calc'!B$16:$AK$998,36,FALSE)</f>
        <v>14</v>
      </c>
      <c r="R20" s="16">
        <f>Table2[[#This Row],[interviewminutes]]</f>
        <v>8.7573333333333334</v>
      </c>
      <c r="S20" s="16">
        <f>Table2[[#This Row],[classifyTime]]+Table2[[#This Row],[explainTime]]+Table2[[#This Row],[validateTime]]</f>
        <v>7.1503333333333332</v>
      </c>
      <c r="T20" s="29">
        <f>VLOOKUP(Table2[[#This Row],[prolific]],'Correct calc'!B$16:$AJ$998,35,FALSE)</f>
        <v>0.63636363636363635</v>
      </c>
      <c r="U20" s="15">
        <f>SUM(Table2[[#This Row],[priorKnowledge'[CLUSTERING']]:[priorKnowledge'[ZSCORES']]])/Table2[[#This Row],[priorKnowledgeTechQuestionCount]]</f>
        <v>2</v>
      </c>
      <c r="V20" s="16">
        <f>IF(Table2[[#This Row],[visualization]]="Wordcloud",2,3)</f>
        <v>2</v>
      </c>
      <c r="W20" s="31" t="s">
        <v>1034</v>
      </c>
      <c r="X20" s="31">
        <v>3</v>
      </c>
      <c r="Y20" s="31">
        <v>1</v>
      </c>
      <c r="Z20" s="31">
        <v>0</v>
      </c>
      <c r="AA20" s="31">
        <v>7</v>
      </c>
      <c r="AB20" s="31" t="s">
        <v>97</v>
      </c>
      <c r="AC20" s="31" t="s">
        <v>81</v>
      </c>
      <c r="AD20" s="31" t="s">
        <v>82</v>
      </c>
      <c r="AE20" s="31" t="s">
        <v>83</v>
      </c>
      <c r="AF20" s="31" t="s">
        <v>98</v>
      </c>
      <c r="AG20" s="31" t="s">
        <v>86</v>
      </c>
      <c r="AH20" s="31" t="s">
        <v>84</v>
      </c>
      <c r="AI20" s="31" t="s">
        <v>83</v>
      </c>
      <c r="AJ20" s="31" t="s">
        <v>98</v>
      </c>
      <c r="AK20" s="31" t="s">
        <v>88</v>
      </c>
      <c r="AL20" s="31" t="s">
        <v>87</v>
      </c>
      <c r="AM20" s="31" t="s">
        <v>89</v>
      </c>
      <c r="AN20" s="31" t="s">
        <v>90</v>
      </c>
      <c r="AO20" s="31" t="s">
        <v>83</v>
      </c>
      <c r="AP20" s="31" t="s">
        <v>85</v>
      </c>
      <c r="AQ20" s="31" t="s">
        <v>101</v>
      </c>
      <c r="AR20" s="31" t="s">
        <v>102</v>
      </c>
      <c r="AS20" s="31" t="s">
        <v>94</v>
      </c>
      <c r="AT20" s="31" t="s">
        <v>93</v>
      </c>
      <c r="AU20" s="31" t="s">
        <v>94</v>
      </c>
      <c r="AV20" s="31" t="s">
        <v>93</v>
      </c>
      <c r="AW20" s="31" t="s">
        <v>93</v>
      </c>
      <c r="AX20" s="31" t="s">
        <v>94</v>
      </c>
      <c r="AY20" s="31" t="s">
        <v>93</v>
      </c>
      <c r="AZ20" s="31" t="s">
        <v>94</v>
      </c>
      <c r="BA20" s="31" t="s">
        <v>103</v>
      </c>
      <c r="BB20" s="31" t="s">
        <v>304</v>
      </c>
      <c r="BC20" s="24"/>
      <c r="BD20" s="30">
        <f>Table2[[#This Row],[interviewtime]]/60</f>
        <v>8.7573333333333334</v>
      </c>
      <c r="BE20" s="31">
        <v>525.44000000000005</v>
      </c>
      <c r="BF20" s="31">
        <v>11.55</v>
      </c>
      <c r="BG20" s="31"/>
      <c r="BH20" s="31">
        <v>28.78</v>
      </c>
      <c r="BI20" s="31"/>
      <c r="BJ20" s="31"/>
      <c r="BK20" s="31"/>
      <c r="BL20" s="31"/>
      <c r="BM20" s="31">
        <v>161.51</v>
      </c>
      <c r="BN20" s="31"/>
      <c r="BO20" s="31"/>
      <c r="BP20" s="31"/>
      <c r="BQ20" s="31"/>
      <c r="BR20" s="31"/>
      <c r="BS20" s="31"/>
      <c r="BT20" s="31">
        <v>174.81</v>
      </c>
      <c r="BU20" s="31"/>
      <c r="BV20" s="31"/>
      <c r="BW20" s="31"/>
      <c r="BX20" s="31"/>
      <c r="BY20" s="31"/>
      <c r="BZ20" s="31"/>
      <c r="CA20" s="31"/>
      <c r="CB20" s="31"/>
      <c r="CC20" s="31">
        <v>92.7</v>
      </c>
      <c r="CD20" s="31"/>
      <c r="CE20" s="31"/>
      <c r="CF20" s="31"/>
      <c r="CG20" s="31"/>
      <c r="CH20" s="31"/>
      <c r="CI20" s="31"/>
      <c r="CJ20" s="31"/>
      <c r="CK20" s="31"/>
      <c r="CL20" s="31">
        <v>56.09</v>
      </c>
      <c r="CM20" s="31"/>
      <c r="CN20" s="31"/>
      <c r="CO20" s="24"/>
      <c r="CP20" s="24"/>
      <c r="CQ20" s="43">
        <f>Table2[[#This Row],[groupTime22]]/60</f>
        <v>2.6918333333333333</v>
      </c>
      <c r="CR20" s="43">
        <f>Table2[[#This Row],[groupTime23]]/60</f>
        <v>2.9135</v>
      </c>
      <c r="CS20" s="43">
        <f>Table2[[#This Row],[groupTime24]]/60</f>
        <v>1.5450000000000002</v>
      </c>
    </row>
    <row r="21" spans="1:97" x14ac:dyDescent="0.25">
      <c r="A21" s="11" t="s">
        <v>352</v>
      </c>
      <c r="B21" s="11" t="s">
        <v>115</v>
      </c>
      <c r="C21" s="12">
        <v>29</v>
      </c>
      <c r="D21" s="12" t="s">
        <v>222</v>
      </c>
      <c r="E21" s="12">
        <v>6</v>
      </c>
      <c r="F21" s="12" t="s">
        <v>79</v>
      </c>
      <c r="G21" s="12">
        <v>2144952950</v>
      </c>
      <c r="H21" s="12" t="s">
        <v>223</v>
      </c>
      <c r="I21" s="12" t="s">
        <v>222</v>
      </c>
      <c r="J21" s="12" t="s">
        <v>80</v>
      </c>
      <c r="K21" s="12" t="str">
        <f>IF(Table2[[#This Row],[priorSuccessRatio]]&lt;1,"yes","no")</f>
        <v>no</v>
      </c>
      <c r="L21" s="27">
        <f>VLOOKUP(Table2[[#This Row],[prolific]],'Correct calc'!B$16:$AJ$998,6,FALSE)</f>
        <v>1</v>
      </c>
      <c r="M21" s="27">
        <f>VLOOKUP(Table2[[#This Row],[prolific]],'Correct calc'!B$16:$AJ$998,14,FALSE)</f>
        <v>0.83333333333333337</v>
      </c>
      <c r="N21" s="27">
        <f>VLOOKUP(Table2[[#This Row],[prolific]],'Correct calc'!B$16:$AJ1017,24,FALSE)</f>
        <v>1</v>
      </c>
      <c r="O21" s="27">
        <f>VLOOKUP(Table2[[#This Row],[prolific]],'Correct calc'!B$16:$AJ1017,34,FALSE)</f>
        <v>0.5</v>
      </c>
      <c r="P21" s="28">
        <f>VLOOKUP(Table2[[#This Row],[comprescore]],Table3[],2,FALSE)</f>
        <v>2</v>
      </c>
      <c r="Q21" s="16">
        <f>VLOOKUP(Table2[[#This Row],[prolific]],'Correct calc'!B$16:$AK$998,36,FALSE)</f>
        <v>17</v>
      </c>
      <c r="R21" s="16">
        <f>Table2[[#This Row],[interviewminutes]]</f>
        <v>13.251833333333334</v>
      </c>
      <c r="S21" s="16">
        <f>Table2[[#This Row],[classifyTime]]+Table2[[#This Row],[explainTime]]+Table2[[#This Row],[validateTime]]</f>
        <v>11.327666666666667</v>
      </c>
      <c r="T21" s="29">
        <f>VLOOKUP(Table2[[#This Row],[prolific]],'Correct calc'!B$16:$AJ$998,35,FALSE)</f>
        <v>0.77272727272727271</v>
      </c>
      <c r="U21" s="15">
        <f>SUM(Table2[[#This Row],[priorKnowledge'[CLUSTERING']]:[priorKnowledge'[ZSCORES']]])/Table2[[#This Row],[priorKnowledgeTechQuestionCount]]</f>
        <v>3.5</v>
      </c>
      <c r="V21" s="16">
        <f>IF(Table2[[#This Row],[visualization]]="Wordcloud",2,3)</f>
        <v>2</v>
      </c>
      <c r="W21" s="31" t="s">
        <v>1035</v>
      </c>
      <c r="X21" s="31">
        <v>1</v>
      </c>
      <c r="Y21" s="31">
        <v>6</v>
      </c>
      <c r="Z21" s="31">
        <v>0</v>
      </c>
      <c r="AA21" s="31">
        <v>3</v>
      </c>
      <c r="AB21" s="31" t="s">
        <v>97</v>
      </c>
      <c r="AC21" s="31" t="s">
        <v>81</v>
      </c>
      <c r="AD21" s="31" t="s">
        <v>82</v>
      </c>
      <c r="AE21" s="31" t="s">
        <v>83</v>
      </c>
      <c r="AF21" s="31" t="s">
        <v>85</v>
      </c>
      <c r="AG21" s="31" t="s">
        <v>98</v>
      </c>
      <c r="AH21" s="31" t="s">
        <v>84</v>
      </c>
      <c r="AI21" s="31" t="s">
        <v>104</v>
      </c>
      <c r="AJ21" s="31" t="s">
        <v>98</v>
      </c>
      <c r="AK21" s="31" t="s">
        <v>88</v>
      </c>
      <c r="AL21" s="31" t="s">
        <v>87</v>
      </c>
      <c r="AM21" s="31" t="s">
        <v>105</v>
      </c>
      <c r="AN21" s="31" t="s">
        <v>90</v>
      </c>
      <c r="AO21" s="31" t="s">
        <v>83</v>
      </c>
      <c r="AP21" s="31" t="s">
        <v>85</v>
      </c>
      <c r="AQ21" s="31" t="s">
        <v>91</v>
      </c>
      <c r="AR21" s="31" t="s">
        <v>102</v>
      </c>
      <c r="AS21" s="31" t="s">
        <v>94</v>
      </c>
      <c r="AT21" s="31" t="s">
        <v>93</v>
      </c>
      <c r="AU21" s="31" t="s">
        <v>94</v>
      </c>
      <c r="AV21" s="31" t="s">
        <v>93</v>
      </c>
      <c r="AW21" s="31" t="s">
        <v>93</v>
      </c>
      <c r="AX21" s="31" t="s">
        <v>94</v>
      </c>
      <c r="AY21" s="31" t="s">
        <v>93</v>
      </c>
      <c r="AZ21" s="31" t="s">
        <v>94</v>
      </c>
      <c r="BA21" s="31" t="s">
        <v>106</v>
      </c>
      <c r="BB21" s="31"/>
      <c r="BC21" s="24"/>
      <c r="BD21" s="30">
        <f>Table2[[#This Row],[interviewtime]]/60</f>
        <v>13.251833333333334</v>
      </c>
      <c r="BE21" s="31">
        <v>795.11</v>
      </c>
      <c r="BF21" s="31">
        <v>9.9</v>
      </c>
      <c r="BG21" s="31"/>
      <c r="BH21" s="31">
        <v>98.4</v>
      </c>
      <c r="BI21" s="31"/>
      <c r="BJ21" s="31"/>
      <c r="BK21" s="31"/>
      <c r="BL21" s="31"/>
      <c r="BM21" s="31">
        <v>264.24</v>
      </c>
      <c r="BN21" s="31"/>
      <c r="BO21" s="31"/>
      <c r="BP21" s="31"/>
      <c r="BQ21" s="31"/>
      <c r="BR21" s="31"/>
      <c r="BS21" s="31"/>
      <c r="BT21" s="31">
        <v>187.99</v>
      </c>
      <c r="BU21" s="31"/>
      <c r="BV21" s="31"/>
      <c r="BW21" s="31"/>
      <c r="BX21" s="31"/>
      <c r="BY21" s="31"/>
      <c r="BZ21" s="31"/>
      <c r="CA21" s="31"/>
      <c r="CB21" s="31"/>
      <c r="CC21" s="31">
        <v>227.43</v>
      </c>
      <c r="CD21" s="31"/>
      <c r="CE21" s="31"/>
      <c r="CF21" s="31"/>
      <c r="CG21" s="31"/>
      <c r="CH21" s="31"/>
      <c r="CI21" s="31"/>
      <c r="CJ21" s="31"/>
      <c r="CK21" s="31"/>
      <c r="CL21" s="31">
        <v>7.15</v>
      </c>
      <c r="CM21" s="31"/>
      <c r="CN21" s="31"/>
      <c r="CO21" s="24"/>
      <c r="CP21" s="24"/>
      <c r="CQ21" s="43">
        <f>Table2[[#This Row],[groupTime22]]/60</f>
        <v>4.4039999999999999</v>
      </c>
      <c r="CR21" s="43">
        <f>Table2[[#This Row],[groupTime23]]/60</f>
        <v>3.1331666666666669</v>
      </c>
      <c r="CS21" s="43">
        <f>Table2[[#This Row],[groupTime24]]/60</f>
        <v>3.7905000000000002</v>
      </c>
    </row>
    <row r="22" spans="1:97" x14ac:dyDescent="0.25">
      <c r="A22" s="11" t="s">
        <v>352</v>
      </c>
      <c r="B22" s="11" t="s">
        <v>115</v>
      </c>
      <c r="C22" s="12">
        <v>30</v>
      </c>
      <c r="D22" s="12" t="s">
        <v>224</v>
      </c>
      <c r="E22" s="12">
        <v>6</v>
      </c>
      <c r="F22" s="12" t="s">
        <v>79</v>
      </c>
      <c r="G22" s="12">
        <v>2091202839</v>
      </c>
      <c r="H22" s="12" t="s">
        <v>225</v>
      </c>
      <c r="I22" s="12" t="s">
        <v>224</v>
      </c>
      <c r="J22" s="12" t="s">
        <v>96</v>
      </c>
      <c r="K22" s="12" t="str">
        <f>IF(Table2[[#This Row],[priorSuccessRatio]]&lt;1,"yes","no")</f>
        <v>no</v>
      </c>
      <c r="L22" s="27">
        <f>VLOOKUP(Table2[[#This Row],[prolific]],'Correct calc'!B$16:$AJ$998,6,FALSE)</f>
        <v>1</v>
      </c>
      <c r="M22" s="27">
        <f>VLOOKUP(Table2[[#This Row],[prolific]],'Correct calc'!B$16:$AJ$998,14,FALSE)</f>
        <v>0.33333333333333331</v>
      </c>
      <c r="N22" s="27">
        <f>VLOOKUP(Table2[[#This Row],[prolific]],'Correct calc'!B$16:$AJ1018,24,FALSE)</f>
        <v>0.375</v>
      </c>
      <c r="O22" s="27">
        <f>VLOOKUP(Table2[[#This Row],[prolific]],'Correct calc'!B$16:$AJ1018,34,FALSE)</f>
        <v>0.625</v>
      </c>
      <c r="P22" s="28">
        <f>VLOOKUP(Table2[[#This Row],[comprescore]],Table3[],2,FALSE)</f>
        <v>2</v>
      </c>
      <c r="Q22" s="16">
        <f>VLOOKUP(Table2[[#This Row],[prolific]],'Correct calc'!B$16:$AK$998,36,FALSE)</f>
        <v>10</v>
      </c>
      <c r="R22" s="16">
        <f>Table2[[#This Row],[interviewminutes]]</f>
        <v>8.4149999999999991</v>
      </c>
      <c r="S22" s="16">
        <f>Table2[[#This Row],[classifyTime]]+Table2[[#This Row],[explainTime]]+Table2[[#This Row],[validateTime]]</f>
        <v>7.2023333333333337</v>
      </c>
      <c r="T22" s="29">
        <f>VLOOKUP(Table2[[#This Row],[prolific]],'Correct calc'!B$16:$AJ$998,35,FALSE)</f>
        <v>0.45454545454545453</v>
      </c>
      <c r="U22" s="15">
        <f>SUM(Table2[[#This Row],[priorKnowledge'[CLUSTERING']]:[priorKnowledge'[ZSCORES']]])/Table2[[#This Row],[priorKnowledgeTechQuestionCount]]</f>
        <v>2.5</v>
      </c>
      <c r="V22" s="16">
        <f>IF(Table2[[#This Row],[visualization]]="Wordcloud",2,3)</f>
        <v>2</v>
      </c>
      <c r="W22" s="31" t="s">
        <v>1036</v>
      </c>
      <c r="X22" s="31">
        <v>3</v>
      </c>
      <c r="Y22" s="31">
        <v>2</v>
      </c>
      <c r="Z22" s="31">
        <v>0</v>
      </c>
      <c r="AA22" s="31">
        <v>5</v>
      </c>
      <c r="AB22" s="31" t="s">
        <v>97</v>
      </c>
      <c r="AC22" s="31" t="s">
        <v>81</v>
      </c>
      <c r="AD22" s="31" t="s">
        <v>82</v>
      </c>
      <c r="AE22" s="31" t="s">
        <v>83</v>
      </c>
      <c r="AF22" s="31" t="s">
        <v>98</v>
      </c>
      <c r="AG22" s="31" t="s">
        <v>98</v>
      </c>
      <c r="AH22" s="31" t="s">
        <v>84</v>
      </c>
      <c r="AI22" s="31" t="s">
        <v>83</v>
      </c>
      <c r="AJ22" s="31" t="s">
        <v>104</v>
      </c>
      <c r="AK22" s="31" t="s">
        <v>88</v>
      </c>
      <c r="AL22" s="31" t="s">
        <v>87</v>
      </c>
      <c r="AM22" s="31" t="s">
        <v>99</v>
      </c>
      <c r="AN22" s="31" t="s">
        <v>278</v>
      </c>
      <c r="AO22" s="31" t="s">
        <v>83</v>
      </c>
      <c r="AP22" s="31" t="s">
        <v>98</v>
      </c>
      <c r="AQ22" s="31" t="s">
        <v>101</v>
      </c>
      <c r="AR22" s="31" t="s">
        <v>91</v>
      </c>
      <c r="AS22" s="31" t="s">
        <v>94</v>
      </c>
      <c r="AT22" s="31" t="s">
        <v>93</v>
      </c>
      <c r="AU22" s="31" t="s">
        <v>94</v>
      </c>
      <c r="AV22" s="31" t="s">
        <v>93</v>
      </c>
      <c r="AW22" s="31" t="s">
        <v>93</v>
      </c>
      <c r="AX22" s="31" t="s">
        <v>93</v>
      </c>
      <c r="AY22" s="31" t="s">
        <v>93</v>
      </c>
      <c r="AZ22" s="31" t="s">
        <v>94</v>
      </c>
      <c r="BA22" s="31" t="s">
        <v>106</v>
      </c>
      <c r="BB22" s="31" t="s">
        <v>307</v>
      </c>
      <c r="BC22" s="24"/>
      <c r="BD22" s="30">
        <f>Table2[[#This Row],[interviewtime]]/60</f>
        <v>8.4149999999999991</v>
      </c>
      <c r="BE22" s="31">
        <v>504.9</v>
      </c>
      <c r="BF22" s="31">
        <v>7.96</v>
      </c>
      <c r="BG22" s="31"/>
      <c r="BH22" s="31">
        <v>28.92</v>
      </c>
      <c r="BI22" s="31"/>
      <c r="BJ22" s="31"/>
      <c r="BK22" s="31"/>
      <c r="BL22" s="31"/>
      <c r="BM22" s="31">
        <v>186.97</v>
      </c>
      <c r="BN22" s="31"/>
      <c r="BO22" s="31"/>
      <c r="BP22" s="31"/>
      <c r="BQ22" s="31"/>
      <c r="BR22" s="31"/>
      <c r="BS22" s="31"/>
      <c r="BT22" s="31">
        <v>92.52</v>
      </c>
      <c r="BU22" s="31"/>
      <c r="BV22" s="31"/>
      <c r="BW22" s="31"/>
      <c r="BX22" s="31"/>
      <c r="BY22" s="31"/>
      <c r="BZ22" s="31"/>
      <c r="CA22" s="31"/>
      <c r="CB22" s="31"/>
      <c r="CC22" s="31">
        <v>152.65</v>
      </c>
      <c r="CD22" s="31"/>
      <c r="CE22" s="31"/>
      <c r="CF22" s="31"/>
      <c r="CG22" s="31"/>
      <c r="CH22" s="31"/>
      <c r="CI22" s="31"/>
      <c r="CJ22" s="31"/>
      <c r="CK22" s="31"/>
      <c r="CL22" s="31">
        <v>35.880000000000003</v>
      </c>
      <c r="CM22" s="31"/>
      <c r="CN22" s="31"/>
      <c r="CO22" s="24"/>
      <c r="CP22" s="24"/>
      <c r="CQ22" s="43">
        <f>Table2[[#This Row],[groupTime22]]/60</f>
        <v>3.1161666666666665</v>
      </c>
      <c r="CR22" s="43">
        <f>Table2[[#This Row],[groupTime23]]/60</f>
        <v>1.542</v>
      </c>
      <c r="CS22" s="43">
        <f>Table2[[#This Row],[groupTime24]]/60</f>
        <v>2.5441666666666669</v>
      </c>
    </row>
    <row r="23" spans="1:97" x14ac:dyDescent="0.25">
      <c r="A23" s="11" t="s">
        <v>352</v>
      </c>
      <c r="B23" s="11" t="s">
        <v>115</v>
      </c>
      <c r="C23" s="12">
        <v>31</v>
      </c>
      <c r="D23" s="12" t="s">
        <v>226</v>
      </c>
      <c r="E23" s="12">
        <v>6</v>
      </c>
      <c r="F23" s="12" t="s">
        <v>79</v>
      </c>
      <c r="G23" s="12">
        <v>5236748</v>
      </c>
      <c r="H23" s="12" t="s">
        <v>225</v>
      </c>
      <c r="I23" s="12" t="s">
        <v>226</v>
      </c>
      <c r="J23" s="12" t="s">
        <v>80</v>
      </c>
      <c r="K23" s="12" t="str">
        <f>IF(Table2[[#This Row],[priorSuccessRatio]]&lt;1,"yes","no")</f>
        <v>no</v>
      </c>
      <c r="L23" s="27">
        <f>VLOOKUP(Table2[[#This Row],[prolific]],'Correct calc'!B$16:$AJ$998,6,FALSE)</f>
        <v>1</v>
      </c>
      <c r="M23" s="27">
        <f>VLOOKUP(Table2[[#This Row],[prolific]],'Correct calc'!B$16:$AJ$998,14,FALSE)</f>
        <v>0.5</v>
      </c>
      <c r="N23" s="27">
        <f>VLOOKUP(Table2[[#This Row],[prolific]],'Correct calc'!B$16:$AJ1019,24,FALSE)</f>
        <v>1</v>
      </c>
      <c r="O23" s="27">
        <f>VLOOKUP(Table2[[#This Row],[prolific]],'Correct calc'!B$16:$AJ1019,34,FALSE)</f>
        <v>0.375</v>
      </c>
      <c r="P23" s="28">
        <f>VLOOKUP(Table2[[#This Row],[comprescore]],Table3[],2,FALSE)</f>
        <v>2</v>
      </c>
      <c r="Q23" s="16">
        <f>VLOOKUP(Table2[[#This Row],[prolific]],'Correct calc'!B$16:$AK$998,36,FALSE)</f>
        <v>14</v>
      </c>
      <c r="R23" s="16">
        <f>Table2[[#This Row],[interviewminutes]]</f>
        <v>8.3159999999999989</v>
      </c>
      <c r="S23" s="16">
        <f>Table2[[#This Row],[classifyTime]]+Table2[[#This Row],[explainTime]]+Table2[[#This Row],[validateTime]]</f>
        <v>6.9771666666666654</v>
      </c>
      <c r="T23" s="29">
        <f>VLOOKUP(Table2[[#This Row],[prolific]],'Correct calc'!B$16:$AJ$998,35,FALSE)</f>
        <v>0.63636363636363635</v>
      </c>
      <c r="U23" s="15">
        <f>SUM(Table2[[#This Row],[priorKnowledge'[CLUSTERING']]:[priorKnowledge'[ZSCORES']]])/Table2[[#This Row],[priorKnowledgeTechQuestionCount]]</f>
        <v>1</v>
      </c>
      <c r="V23" s="16">
        <f>IF(Table2[[#This Row],[visualization]]="Wordcloud",2,3)</f>
        <v>2</v>
      </c>
      <c r="W23" s="31" t="s">
        <v>1037</v>
      </c>
      <c r="X23" s="31">
        <v>1</v>
      </c>
      <c r="Y23" s="31">
        <v>1</v>
      </c>
      <c r="Z23" s="31">
        <v>0</v>
      </c>
      <c r="AA23" s="31">
        <v>4</v>
      </c>
      <c r="AB23" s="31" t="s">
        <v>97</v>
      </c>
      <c r="AC23" s="31" t="s">
        <v>81</v>
      </c>
      <c r="AD23" s="31" t="s">
        <v>82</v>
      </c>
      <c r="AE23" s="31" t="s">
        <v>83</v>
      </c>
      <c r="AF23" s="31" t="s">
        <v>85</v>
      </c>
      <c r="AG23" s="31" t="s">
        <v>98</v>
      </c>
      <c r="AH23" s="31" t="s">
        <v>84</v>
      </c>
      <c r="AI23" s="31" t="s">
        <v>85</v>
      </c>
      <c r="AJ23" s="31" t="s">
        <v>86</v>
      </c>
      <c r="AK23" s="31" t="s">
        <v>88</v>
      </c>
      <c r="AL23" s="31" t="s">
        <v>87</v>
      </c>
      <c r="AM23" s="31" t="s">
        <v>105</v>
      </c>
      <c r="AN23" s="31" t="s">
        <v>90</v>
      </c>
      <c r="AO23" s="31" t="s">
        <v>83</v>
      </c>
      <c r="AP23" s="31" t="s">
        <v>85</v>
      </c>
      <c r="AQ23" s="31" t="s">
        <v>91</v>
      </c>
      <c r="AR23" s="31" t="s">
        <v>102</v>
      </c>
      <c r="AS23" s="31" t="s">
        <v>94</v>
      </c>
      <c r="AT23" s="31" t="s">
        <v>93</v>
      </c>
      <c r="AU23" s="31" t="s">
        <v>94</v>
      </c>
      <c r="AV23" s="31" t="s">
        <v>94</v>
      </c>
      <c r="AW23" s="31" t="s">
        <v>93</v>
      </c>
      <c r="AX23" s="31" t="s">
        <v>94</v>
      </c>
      <c r="AY23" s="31" t="s">
        <v>93</v>
      </c>
      <c r="AZ23" s="31" t="s">
        <v>94</v>
      </c>
      <c r="BA23" s="31" t="s">
        <v>106</v>
      </c>
      <c r="BB23" s="31" t="s">
        <v>309</v>
      </c>
      <c r="BC23" s="24"/>
      <c r="BD23" s="30">
        <f>Table2[[#This Row],[interviewtime]]/60</f>
        <v>8.3159999999999989</v>
      </c>
      <c r="BE23" s="31">
        <v>498.96</v>
      </c>
      <c r="BF23" s="31">
        <v>8.0500000000000007</v>
      </c>
      <c r="BG23" s="31"/>
      <c r="BH23" s="31">
        <v>40.159999999999997</v>
      </c>
      <c r="BI23" s="31"/>
      <c r="BJ23" s="31"/>
      <c r="BK23" s="31"/>
      <c r="BL23" s="31"/>
      <c r="BM23" s="31">
        <v>158.41999999999999</v>
      </c>
      <c r="BN23" s="31"/>
      <c r="BO23" s="31"/>
      <c r="BP23" s="31"/>
      <c r="BQ23" s="31"/>
      <c r="BR23" s="31"/>
      <c r="BS23" s="31"/>
      <c r="BT23" s="31">
        <v>151.13</v>
      </c>
      <c r="BU23" s="31"/>
      <c r="BV23" s="31"/>
      <c r="BW23" s="31"/>
      <c r="BX23" s="31"/>
      <c r="BY23" s="31"/>
      <c r="BZ23" s="31"/>
      <c r="CA23" s="31"/>
      <c r="CB23" s="31"/>
      <c r="CC23" s="31">
        <v>109.08</v>
      </c>
      <c r="CD23" s="31"/>
      <c r="CE23" s="31"/>
      <c r="CF23" s="31"/>
      <c r="CG23" s="31"/>
      <c r="CH23" s="31"/>
      <c r="CI23" s="31"/>
      <c r="CJ23" s="31"/>
      <c r="CK23" s="31"/>
      <c r="CL23" s="31">
        <v>32.119999999999997</v>
      </c>
      <c r="CM23" s="31"/>
      <c r="CN23" s="31"/>
      <c r="CO23" s="24"/>
      <c r="CP23" s="24"/>
      <c r="CQ23" s="43">
        <f>Table2[[#This Row],[groupTime22]]/60</f>
        <v>2.640333333333333</v>
      </c>
      <c r="CR23" s="43">
        <f>Table2[[#This Row],[groupTime23]]/60</f>
        <v>2.5188333333333333</v>
      </c>
      <c r="CS23" s="43">
        <f>Table2[[#This Row],[groupTime24]]/60</f>
        <v>1.8180000000000001</v>
      </c>
    </row>
    <row r="24" spans="1:97" x14ac:dyDescent="0.25">
      <c r="A24" s="11" t="s">
        <v>352</v>
      </c>
      <c r="B24" s="11" t="s">
        <v>115</v>
      </c>
      <c r="C24" s="12">
        <v>32</v>
      </c>
      <c r="D24" s="12" t="s">
        <v>227</v>
      </c>
      <c r="E24" s="12">
        <v>6</v>
      </c>
      <c r="F24" s="12" t="s">
        <v>79</v>
      </c>
      <c r="G24" s="12">
        <v>85851402</v>
      </c>
      <c r="H24" s="12" t="s">
        <v>228</v>
      </c>
      <c r="I24" s="12" t="s">
        <v>227</v>
      </c>
      <c r="J24" s="12" t="s">
        <v>80</v>
      </c>
      <c r="K24" s="12" t="str">
        <f>IF(Table2[[#This Row],[priorSuccessRatio]]&lt;1,"yes","no")</f>
        <v>no</v>
      </c>
      <c r="L24" s="27">
        <f>VLOOKUP(Table2[[#This Row],[prolific]],'Correct calc'!B$16:$AJ$998,6,FALSE)</f>
        <v>1</v>
      </c>
      <c r="M24" s="27">
        <f>VLOOKUP(Table2[[#This Row],[prolific]],'Correct calc'!B$16:$AJ$998,14,FALSE)</f>
        <v>0.5</v>
      </c>
      <c r="N24" s="27">
        <f>VLOOKUP(Table2[[#This Row],[prolific]],'Correct calc'!B$16:$AJ1020,24,FALSE)</f>
        <v>0.875</v>
      </c>
      <c r="O24" s="27">
        <f>VLOOKUP(Table2[[#This Row],[prolific]],'Correct calc'!B$16:$AJ1020,34,FALSE)</f>
        <v>0.375</v>
      </c>
      <c r="P24" s="28">
        <f>VLOOKUP(Table2[[#This Row],[comprescore]],Table3[],2,FALSE)</f>
        <v>3</v>
      </c>
      <c r="Q24" s="16">
        <f>VLOOKUP(Table2[[#This Row],[prolific]],'Correct calc'!B$16:$AK$998,36,FALSE)</f>
        <v>13</v>
      </c>
      <c r="R24" s="16">
        <f>Table2[[#This Row],[interviewminutes]]</f>
        <v>24.180999999999997</v>
      </c>
      <c r="S24" s="16">
        <f>Table2[[#This Row],[classifyTime]]+Table2[[#This Row],[explainTime]]+Table2[[#This Row],[validateTime]]</f>
        <v>18.623666666666665</v>
      </c>
      <c r="T24" s="29">
        <f>VLOOKUP(Table2[[#This Row],[prolific]],'Correct calc'!B$16:$AJ$998,35,FALSE)</f>
        <v>0.59090909090909094</v>
      </c>
      <c r="U24" s="15">
        <f>SUM(Table2[[#This Row],[priorKnowledge'[CLUSTERING']]:[priorKnowledge'[ZSCORES']]])/Table2[[#This Row],[priorKnowledgeTechQuestionCount]]</f>
        <v>2</v>
      </c>
      <c r="V24" s="16">
        <f>IF(Table2[[#This Row],[visualization]]="Wordcloud",2,3)</f>
        <v>2</v>
      </c>
      <c r="W24" s="31" t="s">
        <v>1038</v>
      </c>
      <c r="X24" s="31">
        <v>2</v>
      </c>
      <c r="Y24" s="31">
        <v>2</v>
      </c>
      <c r="Z24" s="31">
        <v>0</v>
      </c>
      <c r="AA24" s="31">
        <v>5</v>
      </c>
      <c r="AB24" s="31" t="s">
        <v>97</v>
      </c>
      <c r="AC24" s="31" t="s">
        <v>81</v>
      </c>
      <c r="AD24" s="31" t="s">
        <v>82</v>
      </c>
      <c r="AE24" s="31" t="s">
        <v>83</v>
      </c>
      <c r="AF24" s="31" t="s">
        <v>85</v>
      </c>
      <c r="AG24" s="31" t="s">
        <v>98</v>
      </c>
      <c r="AH24" s="31" t="s">
        <v>84</v>
      </c>
      <c r="AI24" s="31" t="s">
        <v>85</v>
      </c>
      <c r="AJ24" s="31" t="s">
        <v>86</v>
      </c>
      <c r="AK24" s="31" t="s">
        <v>88</v>
      </c>
      <c r="AL24" s="31" t="s">
        <v>87</v>
      </c>
      <c r="AM24" s="31" t="s">
        <v>105</v>
      </c>
      <c r="AN24" s="31" t="s">
        <v>90</v>
      </c>
      <c r="AO24" s="31" t="s">
        <v>83</v>
      </c>
      <c r="AP24" s="31" t="s">
        <v>85</v>
      </c>
      <c r="AQ24" s="31" t="s">
        <v>101</v>
      </c>
      <c r="AR24" s="31" t="s">
        <v>102</v>
      </c>
      <c r="AS24" s="31" t="s">
        <v>94</v>
      </c>
      <c r="AT24" s="31" t="s">
        <v>94</v>
      </c>
      <c r="AU24" s="31" t="s">
        <v>94</v>
      </c>
      <c r="AV24" s="31" t="s">
        <v>93</v>
      </c>
      <c r="AW24" s="31" t="s">
        <v>93</v>
      </c>
      <c r="AX24" s="31" t="s">
        <v>94</v>
      </c>
      <c r="AY24" s="31" t="s">
        <v>93</v>
      </c>
      <c r="AZ24" s="31" t="s">
        <v>94</v>
      </c>
      <c r="BA24" s="31" t="s">
        <v>107</v>
      </c>
      <c r="BB24" s="31" t="s">
        <v>311</v>
      </c>
      <c r="BC24" s="24"/>
      <c r="BD24" s="30">
        <f>Table2[[#This Row],[interviewtime]]/60</f>
        <v>24.180999999999997</v>
      </c>
      <c r="BE24" s="31">
        <v>1450.86</v>
      </c>
      <c r="BF24" s="31">
        <v>4.6500000000000004</v>
      </c>
      <c r="BG24" s="31"/>
      <c r="BH24" s="31">
        <v>114.37</v>
      </c>
      <c r="BI24" s="31"/>
      <c r="BJ24" s="31"/>
      <c r="BK24" s="31"/>
      <c r="BL24" s="31"/>
      <c r="BM24" s="31">
        <v>701.19</v>
      </c>
      <c r="BN24" s="31"/>
      <c r="BO24" s="31"/>
      <c r="BP24" s="31"/>
      <c r="BQ24" s="31"/>
      <c r="BR24" s="31"/>
      <c r="BS24" s="31"/>
      <c r="BT24" s="31">
        <v>253.76</v>
      </c>
      <c r="BU24" s="31"/>
      <c r="BV24" s="31"/>
      <c r="BW24" s="31"/>
      <c r="BX24" s="31"/>
      <c r="BY24" s="31"/>
      <c r="BZ24" s="31"/>
      <c r="CA24" s="31"/>
      <c r="CB24" s="31"/>
      <c r="CC24" s="31">
        <v>162.47</v>
      </c>
      <c r="CD24" s="31"/>
      <c r="CE24" s="31"/>
      <c r="CF24" s="31"/>
      <c r="CG24" s="31"/>
      <c r="CH24" s="31"/>
      <c r="CI24" s="31"/>
      <c r="CJ24" s="31"/>
      <c r="CK24" s="31"/>
      <c r="CL24" s="31">
        <v>214.42</v>
      </c>
      <c r="CM24" s="31"/>
      <c r="CN24" s="31"/>
      <c r="CO24" s="24"/>
      <c r="CP24" s="24"/>
      <c r="CQ24" s="43">
        <f>Table2[[#This Row],[groupTime22]]/60</f>
        <v>11.686500000000001</v>
      </c>
      <c r="CR24" s="43">
        <f>Table2[[#This Row],[groupTime23]]/60</f>
        <v>4.2293333333333329</v>
      </c>
      <c r="CS24" s="43">
        <f>Table2[[#This Row],[groupTime24]]/60</f>
        <v>2.7078333333333333</v>
      </c>
    </row>
    <row r="25" spans="1:97" x14ac:dyDescent="0.25">
      <c r="A25" s="11" t="s">
        <v>352</v>
      </c>
      <c r="B25" s="11" t="s">
        <v>115</v>
      </c>
      <c r="C25" s="12">
        <v>33</v>
      </c>
      <c r="D25" s="12" t="s">
        <v>229</v>
      </c>
      <c r="E25" s="12">
        <v>6</v>
      </c>
      <c r="F25" s="12" t="s">
        <v>79</v>
      </c>
      <c r="G25" s="12">
        <v>1693426025</v>
      </c>
      <c r="H25" s="12" t="s">
        <v>230</v>
      </c>
      <c r="I25" s="12" t="s">
        <v>229</v>
      </c>
      <c r="J25" s="12" t="s">
        <v>80</v>
      </c>
      <c r="K25" s="12" t="str">
        <f>IF(Table2[[#This Row],[priorSuccessRatio]]&lt;1,"yes","no")</f>
        <v>no</v>
      </c>
      <c r="L25" s="27">
        <f>VLOOKUP(Table2[[#This Row],[prolific]],'Correct calc'!B$16:$AJ$998,6,FALSE)</f>
        <v>1</v>
      </c>
      <c r="M25" s="27">
        <f>VLOOKUP(Table2[[#This Row],[prolific]],'Correct calc'!B$16:$AJ$998,14,FALSE)</f>
        <v>0.66666666666666663</v>
      </c>
      <c r="N25" s="27">
        <f>VLOOKUP(Table2[[#This Row],[prolific]],'Correct calc'!B$16:$AJ1021,24,FALSE)</f>
        <v>0.75</v>
      </c>
      <c r="O25" s="27">
        <f>VLOOKUP(Table2[[#This Row],[prolific]],'Correct calc'!B$16:$AJ1021,34,FALSE)</f>
        <v>0.375</v>
      </c>
      <c r="P25" s="28">
        <f>VLOOKUP(Table2[[#This Row],[comprescore]],Table3[],2,FALSE)</f>
        <v>3</v>
      </c>
      <c r="Q25" s="16">
        <f>VLOOKUP(Table2[[#This Row],[prolific]],'Correct calc'!B$16:$AK$998,36,FALSE)</f>
        <v>13</v>
      </c>
      <c r="R25" s="16">
        <f>Table2[[#This Row],[interviewminutes]]</f>
        <v>6.7519999999999998</v>
      </c>
      <c r="S25" s="16">
        <f>Table2[[#This Row],[classifyTime]]+Table2[[#This Row],[explainTime]]+Table2[[#This Row],[validateTime]]</f>
        <v>5.2331666666666665</v>
      </c>
      <c r="T25" s="29">
        <f>VLOOKUP(Table2[[#This Row],[prolific]],'Correct calc'!B$16:$AJ$998,35,FALSE)</f>
        <v>0.59090909090909094</v>
      </c>
      <c r="U25" s="15">
        <f>SUM(Table2[[#This Row],[priorKnowledge'[CLUSTERING']]:[priorKnowledge'[ZSCORES']]])/Table2[[#This Row],[priorKnowledgeTechQuestionCount]]</f>
        <v>1</v>
      </c>
      <c r="V25" s="16">
        <f>IF(Table2[[#This Row],[visualization]]="Wordcloud",2,3)</f>
        <v>2</v>
      </c>
      <c r="W25" s="31" t="s">
        <v>1039</v>
      </c>
      <c r="X25" s="31">
        <v>1</v>
      </c>
      <c r="Y25" s="31">
        <v>1</v>
      </c>
      <c r="Z25" s="31">
        <v>0</v>
      </c>
      <c r="AA25" s="31">
        <v>7</v>
      </c>
      <c r="AB25" s="31" t="s">
        <v>97</v>
      </c>
      <c r="AC25" s="31" t="s">
        <v>81</v>
      </c>
      <c r="AD25" s="31" t="s">
        <v>82</v>
      </c>
      <c r="AE25" s="31" t="s">
        <v>83</v>
      </c>
      <c r="AF25" s="31" t="s">
        <v>104</v>
      </c>
      <c r="AG25" s="31" t="s">
        <v>86</v>
      </c>
      <c r="AH25" s="31" t="s">
        <v>84</v>
      </c>
      <c r="AI25" s="31" t="s">
        <v>85</v>
      </c>
      <c r="AJ25" s="31" t="s">
        <v>98</v>
      </c>
      <c r="AK25" s="31" t="s">
        <v>88</v>
      </c>
      <c r="AL25" s="31" t="s">
        <v>87</v>
      </c>
      <c r="AM25" s="31" t="s">
        <v>99</v>
      </c>
      <c r="AN25" s="31" t="s">
        <v>90</v>
      </c>
      <c r="AO25" s="31" t="s">
        <v>83</v>
      </c>
      <c r="AP25" s="31" t="s">
        <v>85</v>
      </c>
      <c r="AQ25" s="31" t="s">
        <v>101</v>
      </c>
      <c r="AR25" s="31" t="s">
        <v>102</v>
      </c>
      <c r="AS25" s="31" t="s">
        <v>94</v>
      </c>
      <c r="AT25" s="31" t="s">
        <v>93</v>
      </c>
      <c r="AU25" s="31" t="s">
        <v>93</v>
      </c>
      <c r="AV25" s="31" t="s">
        <v>93</v>
      </c>
      <c r="AW25" s="31" t="s">
        <v>93</v>
      </c>
      <c r="AX25" s="31" t="s">
        <v>94</v>
      </c>
      <c r="AY25" s="31" t="s">
        <v>93</v>
      </c>
      <c r="AZ25" s="31" t="s">
        <v>94</v>
      </c>
      <c r="BA25" s="31" t="s">
        <v>107</v>
      </c>
      <c r="BB25" s="31" t="s">
        <v>313</v>
      </c>
      <c r="BC25" s="24"/>
      <c r="BD25" s="30">
        <f>Table2[[#This Row],[interviewtime]]/60</f>
        <v>6.7519999999999998</v>
      </c>
      <c r="BE25" s="31">
        <v>405.12</v>
      </c>
      <c r="BF25" s="31">
        <v>3.37</v>
      </c>
      <c r="BG25" s="31"/>
      <c r="BH25" s="31">
        <v>43.87</v>
      </c>
      <c r="BI25" s="31"/>
      <c r="BJ25" s="31"/>
      <c r="BK25" s="31"/>
      <c r="BL25" s="31"/>
      <c r="BM25" s="31">
        <v>126.69</v>
      </c>
      <c r="BN25" s="31"/>
      <c r="BO25" s="31"/>
      <c r="BP25" s="31"/>
      <c r="BQ25" s="31"/>
      <c r="BR25" s="31"/>
      <c r="BS25" s="31"/>
      <c r="BT25" s="31">
        <v>100.58</v>
      </c>
      <c r="BU25" s="31"/>
      <c r="BV25" s="31"/>
      <c r="BW25" s="31"/>
      <c r="BX25" s="31"/>
      <c r="BY25" s="31"/>
      <c r="BZ25" s="31"/>
      <c r="CA25" s="31"/>
      <c r="CB25" s="31"/>
      <c r="CC25" s="31">
        <v>86.72</v>
      </c>
      <c r="CD25" s="31"/>
      <c r="CE25" s="31"/>
      <c r="CF25" s="31"/>
      <c r="CG25" s="31"/>
      <c r="CH25" s="31"/>
      <c r="CI25" s="31"/>
      <c r="CJ25" s="31"/>
      <c r="CK25" s="31"/>
      <c r="CL25" s="31">
        <v>43.89</v>
      </c>
      <c r="CM25" s="31"/>
      <c r="CN25" s="31"/>
      <c r="CO25" s="24"/>
      <c r="CP25" s="24"/>
      <c r="CQ25" s="43">
        <f>Table2[[#This Row],[groupTime22]]/60</f>
        <v>2.1114999999999999</v>
      </c>
      <c r="CR25" s="43">
        <f>Table2[[#This Row],[groupTime23]]/60</f>
        <v>1.6763333333333332</v>
      </c>
      <c r="CS25" s="43">
        <f>Table2[[#This Row],[groupTime24]]/60</f>
        <v>1.4453333333333334</v>
      </c>
    </row>
    <row r="26" spans="1:97" x14ac:dyDescent="0.25">
      <c r="A26" s="11" t="s">
        <v>352</v>
      </c>
      <c r="B26" s="11" t="s">
        <v>115</v>
      </c>
      <c r="C26" s="12">
        <v>34</v>
      </c>
      <c r="D26" s="12" t="s">
        <v>231</v>
      </c>
      <c r="E26" s="12">
        <v>6</v>
      </c>
      <c r="F26" s="12" t="s">
        <v>79</v>
      </c>
      <c r="G26" s="12">
        <v>663186323</v>
      </c>
      <c r="H26" s="12" t="s">
        <v>232</v>
      </c>
      <c r="I26" s="12" t="s">
        <v>231</v>
      </c>
      <c r="J26" s="12" t="s">
        <v>80</v>
      </c>
      <c r="K26" s="12" t="str">
        <f>IF(Table2[[#This Row],[priorSuccessRatio]]&lt;1,"yes","no")</f>
        <v>no</v>
      </c>
      <c r="L26" s="27">
        <f>VLOOKUP(Table2[[#This Row],[prolific]],'Correct calc'!B$16:$AJ$998,6,FALSE)</f>
        <v>1</v>
      </c>
      <c r="M26" s="27">
        <f>VLOOKUP(Table2[[#This Row],[prolific]],'Correct calc'!B$16:$AJ$998,14,FALSE)</f>
        <v>1</v>
      </c>
      <c r="N26" s="27">
        <f>VLOOKUP(Table2[[#This Row],[prolific]],'Correct calc'!B$16:$AJ1022,24,FALSE)</f>
        <v>0.625</v>
      </c>
      <c r="O26" s="27">
        <f>VLOOKUP(Table2[[#This Row],[prolific]],'Correct calc'!B$16:$AJ1022,34,FALSE)</f>
        <v>0.5</v>
      </c>
      <c r="P26" s="28">
        <f>VLOOKUP(Table2[[#This Row],[comprescore]],Table3[],2,FALSE)</f>
        <v>2</v>
      </c>
      <c r="Q26" s="16">
        <f>VLOOKUP(Table2[[#This Row],[prolific]],'Correct calc'!B$16:$AK$998,36,FALSE)</f>
        <v>15</v>
      </c>
      <c r="R26" s="16">
        <f>Table2[[#This Row],[interviewminutes]]</f>
        <v>9.3523333333333323</v>
      </c>
      <c r="S26" s="16">
        <f>Table2[[#This Row],[classifyTime]]+Table2[[#This Row],[explainTime]]+Table2[[#This Row],[validateTime]]</f>
        <v>7.6073333333333331</v>
      </c>
      <c r="T26" s="29">
        <f>VLOOKUP(Table2[[#This Row],[prolific]],'Correct calc'!B$16:$AJ$998,35,FALSE)</f>
        <v>0.68181818181818177</v>
      </c>
      <c r="U26" s="15">
        <f>SUM(Table2[[#This Row],[priorKnowledge'[CLUSTERING']]:[priorKnowledge'[ZSCORES']]])/Table2[[#This Row],[priorKnowledgeTechQuestionCount]]</f>
        <v>1</v>
      </c>
      <c r="V26" s="16">
        <f>IF(Table2[[#This Row],[visualization]]="Wordcloud",2,3)</f>
        <v>2</v>
      </c>
      <c r="W26" s="31" t="s">
        <v>1040</v>
      </c>
      <c r="X26" s="31">
        <v>1</v>
      </c>
      <c r="Y26" s="31">
        <v>1</v>
      </c>
      <c r="Z26" s="31">
        <v>0</v>
      </c>
      <c r="AA26" s="31">
        <v>2</v>
      </c>
      <c r="AB26" s="31" t="s">
        <v>97</v>
      </c>
      <c r="AC26" s="31" t="s">
        <v>81</v>
      </c>
      <c r="AD26" s="31" t="s">
        <v>82</v>
      </c>
      <c r="AE26" s="31" t="s">
        <v>83</v>
      </c>
      <c r="AF26" s="31" t="s">
        <v>85</v>
      </c>
      <c r="AG26" s="31" t="s">
        <v>86</v>
      </c>
      <c r="AH26" s="31" t="s">
        <v>84</v>
      </c>
      <c r="AI26" s="31" t="s">
        <v>104</v>
      </c>
      <c r="AJ26" s="31" t="s">
        <v>98</v>
      </c>
      <c r="AK26" s="31" t="s">
        <v>88</v>
      </c>
      <c r="AL26" s="31" t="s">
        <v>87</v>
      </c>
      <c r="AM26" s="31" t="s">
        <v>285</v>
      </c>
      <c r="AN26" s="31" t="s">
        <v>90</v>
      </c>
      <c r="AO26" s="31" t="s">
        <v>83</v>
      </c>
      <c r="AP26" s="31" t="s">
        <v>85</v>
      </c>
      <c r="AQ26" s="31" t="s">
        <v>101</v>
      </c>
      <c r="AR26" s="31" t="s">
        <v>92</v>
      </c>
      <c r="AS26" s="31" t="s">
        <v>94</v>
      </c>
      <c r="AT26" s="31" t="s">
        <v>93</v>
      </c>
      <c r="AU26" s="31" t="s">
        <v>94</v>
      </c>
      <c r="AV26" s="31" t="s">
        <v>93</v>
      </c>
      <c r="AW26" s="31" t="s">
        <v>93</v>
      </c>
      <c r="AX26" s="31" t="s">
        <v>94</v>
      </c>
      <c r="AY26" s="31" t="s">
        <v>93</v>
      </c>
      <c r="AZ26" s="31" t="s">
        <v>94</v>
      </c>
      <c r="BA26" s="31" t="s">
        <v>106</v>
      </c>
      <c r="BB26" s="31" t="s">
        <v>315</v>
      </c>
      <c r="BC26" s="24"/>
      <c r="BD26" s="30">
        <f>Table2[[#This Row],[interviewtime]]/60</f>
        <v>9.3523333333333323</v>
      </c>
      <c r="BE26" s="31">
        <v>561.14</v>
      </c>
      <c r="BF26" s="31">
        <v>16.43</v>
      </c>
      <c r="BG26" s="31"/>
      <c r="BH26" s="31">
        <v>47.86</v>
      </c>
      <c r="BI26" s="31"/>
      <c r="BJ26" s="31"/>
      <c r="BK26" s="31"/>
      <c r="BL26" s="31"/>
      <c r="BM26" s="31">
        <v>155.86000000000001</v>
      </c>
      <c r="BN26" s="31"/>
      <c r="BO26" s="31"/>
      <c r="BP26" s="31"/>
      <c r="BQ26" s="31"/>
      <c r="BR26" s="31"/>
      <c r="BS26" s="31"/>
      <c r="BT26" s="31">
        <v>176.98</v>
      </c>
      <c r="BU26" s="31"/>
      <c r="BV26" s="31"/>
      <c r="BW26" s="31"/>
      <c r="BX26" s="31"/>
      <c r="BY26" s="31"/>
      <c r="BZ26" s="31"/>
      <c r="CA26" s="31"/>
      <c r="CB26" s="31"/>
      <c r="CC26" s="31">
        <v>123.6</v>
      </c>
      <c r="CD26" s="31"/>
      <c r="CE26" s="31"/>
      <c r="CF26" s="31"/>
      <c r="CG26" s="31"/>
      <c r="CH26" s="31"/>
      <c r="CI26" s="31"/>
      <c r="CJ26" s="31"/>
      <c r="CK26" s="31"/>
      <c r="CL26" s="31">
        <v>40.409999999999997</v>
      </c>
      <c r="CM26" s="31"/>
      <c r="CN26" s="31"/>
      <c r="CO26" s="24"/>
      <c r="CP26" s="24"/>
      <c r="CQ26" s="43">
        <f>Table2[[#This Row],[groupTime22]]/60</f>
        <v>2.597666666666667</v>
      </c>
      <c r="CR26" s="43">
        <f>Table2[[#This Row],[groupTime23]]/60</f>
        <v>2.9496666666666664</v>
      </c>
      <c r="CS26" s="43">
        <f>Table2[[#This Row],[groupTime24]]/60</f>
        <v>2.06</v>
      </c>
    </row>
    <row r="27" spans="1:97" x14ac:dyDescent="0.25">
      <c r="A27" s="11" t="s">
        <v>352</v>
      </c>
      <c r="B27" s="11" t="s">
        <v>115</v>
      </c>
      <c r="C27" s="12">
        <v>35</v>
      </c>
      <c r="D27" s="12" t="s">
        <v>233</v>
      </c>
      <c r="E27" s="12">
        <v>6</v>
      </c>
      <c r="F27" s="12" t="s">
        <v>79</v>
      </c>
      <c r="G27" s="12">
        <v>1319827244</v>
      </c>
      <c r="H27" s="12" t="s">
        <v>234</v>
      </c>
      <c r="I27" s="12" t="s">
        <v>233</v>
      </c>
      <c r="J27" s="12" t="s">
        <v>80</v>
      </c>
      <c r="K27" s="12" t="str">
        <f>IF(Table2[[#This Row],[priorSuccessRatio]]&lt;1,"yes","no")</f>
        <v>no</v>
      </c>
      <c r="L27" s="27">
        <f>VLOOKUP(Table2[[#This Row],[prolific]],'Correct calc'!B$16:$AJ$998,6,FALSE)</f>
        <v>1</v>
      </c>
      <c r="M27" s="27">
        <f>VLOOKUP(Table2[[#This Row],[prolific]],'Correct calc'!B$16:$AJ$998,14,FALSE)</f>
        <v>0.66666666666666663</v>
      </c>
      <c r="N27" s="27">
        <f>VLOOKUP(Table2[[#This Row],[prolific]],'Correct calc'!B$16:$AJ1023,24,FALSE)</f>
        <v>0.75</v>
      </c>
      <c r="O27" s="27">
        <f>VLOOKUP(Table2[[#This Row],[prolific]],'Correct calc'!B$16:$AJ1023,34,FALSE)</f>
        <v>0.5</v>
      </c>
      <c r="P27" s="28">
        <f>VLOOKUP(Table2[[#This Row],[comprescore]],Table3[],2,FALSE)</f>
        <v>3</v>
      </c>
      <c r="Q27" s="16">
        <f>VLOOKUP(Table2[[#This Row],[prolific]],'Correct calc'!B$16:$AK$998,36,FALSE)</f>
        <v>14</v>
      </c>
      <c r="R27" s="16">
        <f>Table2[[#This Row],[interviewminutes]]</f>
        <v>10.495666666666667</v>
      </c>
      <c r="S27" s="16">
        <f>Table2[[#This Row],[classifyTime]]+Table2[[#This Row],[explainTime]]+Table2[[#This Row],[validateTime]]</f>
        <v>8.9115000000000002</v>
      </c>
      <c r="T27" s="29">
        <f>VLOOKUP(Table2[[#This Row],[prolific]],'Correct calc'!B$16:$AJ$998,35,FALSE)</f>
        <v>0.63636363636363635</v>
      </c>
      <c r="U27" s="15">
        <f>SUM(Table2[[#This Row],[priorKnowledge'[CLUSTERING']]:[priorKnowledge'[ZSCORES']]])/Table2[[#This Row],[priorKnowledgeTechQuestionCount]]</f>
        <v>6.5</v>
      </c>
      <c r="V27" s="16">
        <f>IF(Table2[[#This Row],[visualization]]="Wordcloud",2,3)</f>
        <v>2</v>
      </c>
      <c r="W27" s="31" t="s">
        <v>1041</v>
      </c>
      <c r="X27" s="31">
        <v>6</v>
      </c>
      <c r="Y27" s="31">
        <v>7</v>
      </c>
      <c r="Z27" s="31">
        <v>0</v>
      </c>
      <c r="AA27" s="31">
        <v>6</v>
      </c>
      <c r="AB27" s="31" t="s">
        <v>97</v>
      </c>
      <c r="AC27" s="31" t="s">
        <v>81</v>
      </c>
      <c r="AD27" s="31" t="s">
        <v>82</v>
      </c>
      <c r="AE27" s="31" t="s">
        <v>83</v>
      </c>
      <c r="AF27" s="31" t="s">
        <v>98</v>
      </c>
      <c r="AG27" s="31" t="s">
        <v>86</v>
      </c>
      <c r="AH27" s="31" t="s">
        <v>84</v>
      </c>
      <c r="AI27" s="31" t="s">
        <v>104</v>
      </c>
      <c r="AJ27" s="31" t="s">
        <v>85</v>
      </c>
      <c r="AK27" s="31" t="s">
        <v>88</v>
      </c>
      <c r="AL27" s="31" t="s">
        <v>108</v>
      </c>
      <c r="AM27" s="31" t="s">
        <v>105</v>
      </c>
      <c r="AN27" s="31" t="s">
        <v>90</v>
      </c>
      <c r="AO27" s="31" t="s">
        <v>83</v>
      </c>
      <c r="AP27" s="31" t="s">
        <v>85</v>
      </c>
      <c r="AQ27" s="31" t="s">
        <v>101</v>
      </c>
      <c r="AR27" s="31" t="s">
        <v>102</v>
      </c>
      <c r="AS27" s="31" t="s">
        <v>94</v>
      </c>
      <c r="AT27" s="31" t="s">
        <v>93</v>
      </c>
      <c r="AU27" s="31" t="s">
        <v>94</v>
      </c>
      <c r="AV27" s="31" t="s">
        <v>93</v>
      </c>
      <c r="AW27" s="31" t="s">
        <v>93</v>
      </c>
      <c r="AX27" s="31" t="s">
        <v>94</v>
      </c>
      <c r="AY27" s="31" t="s">
        <v>93</v>
      </c>
      <c r="AZ27" s="31" t="s">
        <v>94</v>
      </c>
      <c r="BA27" s="31" t="s">
        <v>107</v>
      </c>
      <c r="BB27" s="31" t="s">
        <v>317</v>
      </c>
      <c r="BC27" s="24"/>
      <c r="BD27" s="30">
        <f>Table2[[#This Row],[interviewtime]]/60</f>
        <v>10.495666666666667</v>
      </c>
      <c r="BE27" s="31">
        <v>629.74</v>
      </c>
      <c r="BF27" s="31">
        <v>3.74</v>
      </c>
      <c r="BG27" s="31"/>
      <c r="BH27" s="31">
        <v>43.45</v>
      </c>
      <c r="BI27" s="31"/>
      <c r="BJ27" s="31"/>
      <c r="BK27" s="31"/>
      <c r="BL27" s="31"/>
      <c r="BM27" s="31">
        <v>227.01</v>
      </c>
      <c r="BN27" s="31"/>
      <c r="BO27" s="31"/>
      <c r="BP27" s="31"/>
      <c r="BQ27" s="31"/>
      <c r="BR27" s="31"/>
      <c r="BS27" s="31"/>
      <c r="BT27" s="31">
        <v>163.78</v>
      </c>
      <c r="BU27" s="31"/>
      <c r="BV27" s="31"/>
      <c r="BW27" s="31"/>
      <c r="BX27" s="31"/>
      <c r="BY27" s="31"/>
      <c r="BZ27" s="31"/>
      <c r="CA27" s="31"/>
      <c r="CB27" s="31"/>
      <c r="CC27" s="31">
        <v>143.9</v>
      </c>
      <c r="CD27" s="31"/>
      <c r="CE27" s="31"/>
      <c r="CF27" s="31"/>
      <c r="CG27" s="31"/>
      <c r="CH27" s="31"/>
      <c r="CI27" s="31"/>
      <c r="CJ27" s="31"/>
      <c r="CK27" s="31"/>
      <c r="CL27" s="31">
        <v>47.86</v>
      </c>
      <c r="CM27" s="31"/>
      <c r="CN27" s="31"/>
      <c r="CO27" s="24"/>
      <c r="CP27" s="24"/>
      <c r="CQ27" s="43">
        <f>Table2[[#This Row],[groupTime22]]/60</f>
        <v>3.7834999999999996</v>
      </c>
      <c r="CR27" s="43">
        <f>Table2[[#This Row],[groupTime23]]/60</f>
        <v>2.7296666666666667</v>
      </c>
      <c r="CS27" s="43">
        <f>Table2[[#This Row],[groupTime24]]/60</f>
        <v>2.3983333333333334</v>
      </c>
    </row>
    <row r="28" spans="1:97" x14ac:dyDescent="0.25">
      <c r="A28" s="11" t="s">
        <v>352</v>
      </c>
      <c r="B28" s="11" t="s">
        <v>115</v>
      </c>
      <c r="C28" s="12">
        <v>36</v>
      </c>
      <c r="D28" s="12" t="s">
        <v>235</v>
      </c>
      <c r="E28" s="12">
        <v>6</v>
      </c>
      <c r="F28" s="12" t="s">
        <v>79</v>
      </c>
      <c r="G28" s="12">
        <v>2118140487</v>
      </c>
      <c r="H28" s="12" t="s">
        <v>236</v>
      </c>
      <c r="I28" s="12" t="s">
        <v>235</v>
      </c>
      <c r="J28" s="12" t="s">
        <v>80</v>
      </c>
      <c r="K28" s="12" t="str">
        <f>IF(Table2[[#This Row],[priorSuccessRatio]]&lt;1,"yes","no")</f>
        <v>no</v>
      </c>
      <c r="L28" s="27">
        <f>VLOOKUP(Table2[[#This Row],[prolific]],'Correct calc'!B$16:$AJ$998,6,FALSE)</f>
        <v>1</v>
      </c>
      <c r="M28" s="27">
        <f>VLOOKUP(Table2[[#This Row],[prolific]],'Correct calc'!B$16:$AJ$998,14,FALSE)</f>
        <v>0.66666666666666663</v>
      </c>
      <c r="N28" s="27">
        <f>VLOOKUP(Table2[[#This Row],[prolific]],'Correct calc'!B$16:$AJ1024,24,FALSE)</f>
        <v>0.625</v>
      </c>
      <c r="O28" s="27">
        <f>VLOOKUP(Table2[[#This Row],[prolific]],'Correct calc'!B$16:$AJ1024,34,FALSE)</f>
        <v>0.375</v>
      </c>
      <c r="P28" s="28">
        <f>VLOOKUP(Table2[[#This Row],[comprescore]],Table3[],2,FALSE)</f>
        <v>4</v>
      </c>
      <c r="Q28" s="16">
        <f>VLOOKUP(Table2[[#This Row],[prolific]],'Correct calc'!B$16:$AK$998,36,FALSE)</f>
        <v>12</v>
      </c>
      <c r="R28" s="16">
        <f>Table2[[#This Row],[interviewminutes]]</f>
        <v>21.601499999999998</v>
      </c>
      <c r="S28" s="16">
        <f>Table2[[#This Row],[classifyTime]]+Table2[[#This Row],[explainTime]]+Table2[[#This Row],[validateTime]]</f>
        <v>19.855</v>
      </c>
      <c r="T28" s="29">
        <f>VLOOKUP(Table2[[#This Row],[prolific]],'Correct calc'!B$16:$AJ$998,35,FALSE)</f>
        <v>0.54545454545454541</v>
      </c>
      <c r="U28" s="15">
        <f>SUM(Table2[[#This Row],[priorKnowledge'[CLUSTERING']]:[priorKnowledge'[ZSCORES']]])/Table2[[#This Row],[priorKnowledgeTechQuestionCount]]</f>
        <v>5</v>
      </c>
      <c r="V28" s="16">
        <f>IF(Table2[[#This Row],[visualization]]="Wordcloud",2,3)</f>
        <v>2</v>
      </c>
      <c r="W28" s="31" t="s">
        <v>1042</v>
      </c>
      <c r="X28" s="31">
        <v>5</v>
      </c>
      <c r="Y28" s="31">
        <v>5</v>
      </c>
      <c r="Z28" s="31">
        <v>0</v>
      </c>
      <c r="AA28" s="31">
        <v>6</v>
      </c>
      <c r="AB28" s="31" t="s">
        <v>97</v>
      </c>
      <c r="AC28" s="31" t="s">
        <v>81</v>
      </c>
      <c r="AD28" s="31" t="s">
        <v>82</v>
      </c>
      <c r="AE28" s="31" t="s">
        <v>83</v>
      </c>
      <c r="AF28" s="31" t="s">
        <v>85</v>
      </c>
      <c r="AG28" s="31" t="s">
        <v>98</v>
      </c>
      <c r="AH28" s="31" t="s">
        <v>84</v>
      </c>
      <c r="AI28" s="31" t="s">
        <v>104</v>
      </c>
      <c r="AJ28" s="31" t="s">
        <v>85</v>
      </c>
      <c r="AK28" s="31" t="s">
        <v>88</v>
      </c>
      <c r="AL28" s="31" t="s">
        <v>87</v>
      </c>
      <c r="AM28" s="31" t="s">
        <v>99</v>
      </c>
      <c r="AN28" s="31" t="s">
        <v>100</v>
      </c>
      <c r="AO28" s="31" t="s">
        <v>83</v>
      </c>
      <c r="AP28" s="31" t="s">
        <v>98</v>
      </c>
      <c r="AQ28" s="31" t="s">
        <v>91</v>
      </c>
      <c r="AR28" s="31" t="s">
        <v>102</v>
      </c>
      <c r="AS28" s="31" t="s">
        <v>94</v>
      </c>
      <c r="AT28" s="31" t="s">
        <v>93</v>
      </c>
      <c r="AU28" s="31" t="s">
        <v>93</v>
      </c>
      <c r="AV28" s="31" t="s">
        <v>93</v>
      </c>
      <c r="AW28" s="31" t="s">
        <v>93</v>
      </c>
      <c r="AX28" s="31" t="s">
        <v>94</v>
      </c>
      <c r="AY28" s="31" t="s">
        <v>93</v>
      </c>
      <c r="AZ28" s="31" t="s">
        <v>94</v>
      </c>
      <c r="BA28" s="31" t="s">
        <v>103</v>
      </c>
      <c r="BB28" s="31" t="s">
        <v>319</v>
      </c>
      <c r="BC28" s="24"/>
      <c r="BD28" s="30">
        <f>Table2[[#This Row],[interviewtime]]/60</f>
        <v>21.601499999999998</v>
      </c>
      <c r="BE28" s="31">
        <v>1296.0899999999999</v>
      </c>
      <c r="BF28" s="31">
        <v>8.31</v>
      </c>
      <c r="BG28" s="31"/>
      <c r="BH28" s="31">
        <v>38.33</v>
      </c>
      <c r="BI28" s="31"/>
      <c r="BJ28" s="31"/>
      <c r="BK28" s="31"/>
      <c r="BL28" s="31"/>
      <c r="BM28" s="31">
        <v>730.43</v>
      </c>
      <c r="BN28" s="31"/>
      <c r="BO28" s="31"/>
      <c r="BP28" s="31"/>
      <c r="BQ28" s="31"/>
      <c r="BR28" s="31"/>
      <c r="BS28" s="31"/>
      <c r="BT28" s="31">
        <v>306.01</v>
      </c>
      <c r="BU28" s="31"/>
      <c r="BV28" s="31"/>
      <c r="BW28" s="31"/>
      <c r="BX28" s="31"/>
      <c r="BY28" s="31"/>
      <c r="BZ28" s="31"/>
      <c r="CA28" s="31"/>
      <c r="CB28" s="31"/>
      <c r="CC28" s="31">
        <v>154.86000000000001</v>
      </c>
      <c r="CD28" s="31"/>
      <c r="CE28" s="31"/>
      <c r="CF28" s="31"/>
      <c r="CG28" s="31"/>
      <c r="CH28" s="31"/>
      <c r="CI28" s="31"/>
      <c r="CJ28" s="31"/>
      <c r="CK28" s="31"/>
      <c r="CL28" s="31">
        <v>58.15</v>
      </c>
      <c r="CM28" s="31"/>
      <c r="CN28" s="31"/>
      <c r="CO28" s="24"/>
      <c r="CP28" s="24"/>
      <c r="CQ28" s="43">
        <f>Table2[[#This Row],[groupTime22]]/60</f>
        <v>12.173833333333333</v>
      </c>
      <c r="CR28" s="43">
        <f>Table2[[#This Row],[groupTime23]]/60</f>
        <v>5.1001666666666665</v>
      </c>
      <c r="CS28" s="43">
        <f>Table2[[#This Row],[groupTime24]]/60</f>
        <v>2.5810000000000004</v>
      </c>
    </row>
    <row r="29" spans="1:97" x14ac:dyDescent="0.25">
      <c r="A29" s="11" t="s">
        <v>352</v>
      </c>
      <c r="B29" s="11" t="s">
        <v>115</v>
      </c>
      <c r="C29" s="12">
        <v>37</v>
      </c>
      <c r="D29" s="12" t="s">
        <v>237</v>
      </c>
      <c r="E29" s="12">
        <v>6</v>
      </c>
      <c r="F29" s="12" t="s">
        <v>79</v>
      </c>
      <c r="G29" s="12">
        <v>890248851</v>
      </c>
      <c r="H29" s="12" t="s">
        <v>238</v>
      </c>
      <c r="I29" s="12" t="s">
        <v>237</v>
      </c>
      <c r="J29" s="12" t="s">
        <v>80</v>
      </c>
      <c r="K29" s="12" t="str">
        <f>IF(Table2[[#This Row],[priorSuccessRatio]]&lt;1,"yes","no")</f>
        <v>no</v>
      </c>
      <c r="L29" s="27">
        <f>VLOOKUP(Table2[[#This Row],[prolific]],'Correct calc'!B$16:$AJ$998,6,FALSE)</f>
        <v>1</v>
      </c>
      <c r="M29" s="27">
        <f>VLOOKUP(Table2[[#This Row],[prolific]],'Correct calc'!B$16:$AJ$998,14,FALSE)</f>
        <v>0.66666666666666663</v>
      </c>
      <c r="N29" s="27">
        <f>VLOOKUP(Table2[[#This Row],[prolific]],'Correct calc'!B$16:$AJ1025,24,FALSE)</f>
        <v>1</v>
      </c>
      <c r="O29" s="27">
        <f>VLOOKUP(Table2[[#This Row],[prolific]],'Correct calc'!B$16:$AJ1025,34,FALSE)</f>
        <v>0.5</v>
      </c>
      <c r="P29" s="28">
        <f>VLOOKUP(Table2[[#This Row],[comprescore]],Table3[],2,FALSE)</f>
        <v>4</v>
      </c>
      <c r="Q29" s="16">
        <f>VLOOKUP(Table2[[#This Row],[prolific]],'Correct calc'!B$16:$AK$998,36,FALSE)</f>
        <v>16</v>
      </c>
      <c r="R29" s="16">
        <f>Table2[[#This Row],[interviewminutes]]</f>
        <v>15.907</v>
      </c>
      <c r="S29" s="16">
        <f>Table2[[#This Row],[classifyTime]]+Table2[[#This Row],[explainTime]]+Table2[[#This Row],[validateTime]]</f>
        <v>11.613499999999998</v>
      </c>
      <c r="T29" s="29">
        <f>VLOOKUP(Table2[[#This Row],[prolific]],'Correct calc'!B$16:$AJ$998,35,FALSE)</f>
        <v>0.72727272727272729</v>
      </c>
      <c r="U29" s="15">
        <f>SUM(Table2[[#This Row],[priorKnowledge'[CLUSTERING']]:[priorKnowledge'[ZSCORES']]])/Table2[[#This Row],[priorKnowledgeTechQuestionCount]]</f>
        <v>3.5</v>
      </c>
      <c r="V29" s="16">
        <f>IF(Table2[[#This Row],[visualization]]="Wordcloud",2,3)</f>
        <v>2</v>
      </c>
      <c r="W29" s="31" t="s">
        <v>1043</v>
      </c>
      <c r="X29" s="31">
        <v>2</v>
      </c>
      <c r="Y29" s="31">
        <v>5</v>
      </c>
      <c r="Z29" s="31">
        <v>0</v>
      </c>
      <c r="AA29" s="31">
        <v>4</v>
      </c>
      <c r="AB29" s="31" t="s">
        <v>97</v>
      </c>
      <c r="AC29" s="31" t="s">
        <v>81</v>
      </c>
      <c r="AD29" s="31" t="s">
        <v>82</v>
      </c>
      <c r="AE29" s="31" t="s">
        <v>83</v>
      </c>
      <c r="AF29" s="31" t="s">
        <v>85</v>
      </c>
      <c r="AG29" s="31" t="s">
        <v>98</v>
      </c>
      <c r="AH29" s="31" t="s">
        <v>84</v>
      </c>
      <c r="AI29" s="31" t="s">
        <v>85</v>
      </c>
      <c r="AJ29" s="31" t="s">
        <v>98</v>
      </c>
      <c r="AK29" s="31" t="s">
        <v>88</v>
      </c>
      <c r="AL29" s="31" t="s">
        <v>87</v>
      </c>
      <c r="AM29" s="31" t="s">
        <v>105</v>
      </c>
      <c r="AN29" s="31" t="s">
        <v>90</v>
      </c>
      <c r="AO29" s="31" t="s">
        <v>83</v>
      </c>
      <c r="AP29" s="31" t="s">
        <v>85</v>
      </c>
      <c r="AQ29" s="31" t="s">
        <v>91</v>
      </c>
      <c r="AR29" s="31" t="s">
        <v>102</v>
      </c>
      <c r="AS29" s="31" t="s">
        <v>94</v>
      </c>
      <c r="AT29" s="31" t="s">
        <v>93</v>
      </c>
      <c r="AU29" s="31" t="s">
        <v>94</v>
      </c>
      <c r="AV29" s="31" t="s">
        <v>93</v>
      </c>
      <c r="AW29" s="31" t="s">
        <v>93</v>
      </c>
      <c r="AX29" s="31" t="s">
        <v>94</v>
      </c>
      <c r="AY29" s="31" t="s">
        <v>93</v>
      </c>
      <c r="AZ29" s="31" t="s">
        <v>94</v>
      </c>
      <c r="BA29" s="31" t="s">
        <v>103</v>
      </c>
      <c r="BB29" s="31" t="s">
        <v>321</v>
      </c>
      <c r="BC29" s="24"/>
      <c r="BD29" s="30">
        <f>Table2[[#This Row],[interviewtime]]/60</f>
        <v>15.907</v>
      </c>
      <c r="BE29" s="31">
        <v>954.42</v>
      </c>
      <c r="BF29" s="31">
        <v>8.94</v>
      </c>
      <c r="BG29" s="31"/>
      <c r="BH29" s="31">
        <v>174.06</v>
      </c>
      <c r="BI29" s="31"/>
      <c r="BJ29" s="31"/>
      <c r="BK29" s="31"/>
      <c r="BL29" s="31"/>
      <c r="BM29" s="31">
        <v>361.57</v>
      </c>
      <c r="BN29" s="31"/>
      <c r="BO29" s="31"/>
      <c r="BP29" s="31"/>
      <c r="BQ29" s="31"/>
      <c r="BR29" s="31"/>
      <c r="BS29" s="31"/>
      <c r="BT29" s="31">
        <v>181.17</v>
      </c>
      <c r="BU29" s="31"/>
      <c r="BV29" s="31"/>
      <c r="BW29" s="31"/>
      <c r="BX29" s="31"/>
      <c r="BY29" s="31"/>
      <c r="BZ29" s="31"/>
      <c r="CA29" s="31"/>
      <c r="CB29" s="31"/>
      <c r="CC29" s="31">
        <v>154.07</v>
      </c>
      <c r="CD29" s="31"/>
      <c r="CE29" s="31"/>
      <c r="CF29" s="31"/>
      <c r="CG29" s="31"/>
      <c r="CH29" s="31"/>
      <c r="CI29" s="31"/>
      <c r="CJ29" s="31"/>
      <c r="CK29" s="31"/>
      <c r="CL29" s="31">
        <v>74.61</v>
      </c>
      <c r="CM29" s="31"/>
      <c r="CN29" s="31"/>
      <c r="CO29" s="24"/>
      <c r="CP29" s="24"/>
      <c r="CQ29" s="43">
        <f>Table2[[#This Row],[groupTime22]]/60</f>
        <v>6.0261666666666667</v>
      </c>
      <c r="CR29" s="43">
        <f>Table2[[#This Row],[groupTime23]]/60</f>
        <v>3.0194999999999999</v>
      </c>
      <c r="CS29" s="43">
        <f>Table2[[#This Row],[groupTime24]]/60</f>
        <v>2.5678333333333332</v>
      </c>
    </row>
    <row r="30" spans="1:97" x14ac:dyDescent="0.25">
      <c r="A30" s="11" t="s">
        <v>352</v>
      </c>
      <c r="B30" s="11" t="s">
        <v>115</v>
      </c>
      <c r="C30" s="12">
        <v>38</v>
      </c>
      <c r="D30" s="12" t="s">
        <v>239</v>
      </c>
      <c r="E30" s="12">
        <v>6</v>
      </c>
      <c r="F30" s="12" t="s">
        <v>79</v>
      </c>
      <c r="G30" s="12">
        <v>1813325921</v>
      </c>
      <c r="H30" s="12" t="s">
        <v>240</v>
      </c>
      <c r="I30" s="12" t="s">
        <v>239</v>
      </c>
      <c r="J30" s="12" t="s">
        <v>96</v>
      </c>
      <c r="K30" s="12" t="str">
        <f>IF(Table2[[#This Row],[priorSuccessRatio]]&lt;1,"yes","no")</f>
        <v>no</v>
      </c>
      <c r="L30" s="27">
        <f>VLOOKUP(Table2[[#This Row],[prolific]],'Correct calc'!B$16:$AJ$998,6,FALSE)</f>
        <v>1</v>
      </c>
      <c r="M30" s="27">
        <f>VLOOKUP(Table2[[#This Row],[prolific]],'Correct calc'!B$16:$AJ$998,14,FALSE)</f>
        <v>1</v>
      </c>
      <c r="N30" s="27">
        <f>VLOOKUP(Table2[[#This Row],[prolific]],'Correct calc'!B$16:$AJ1026,24,FALSE)</f>
        <v>0.625</v>
      </c>
      <c r="O30" s="27">
        <f>VLOOKUP(Table2[[#This Row],[prolific]],'Correct calc'!B$16:$AJ1026,34,FALSE)</f>
        <v>0.625</v>
      </c>
      <c r="P30" s="28">
        <f>VLOOKUP(Table2[[#This Row],[comprescore]],Table3[],2,FALSE)</f>
        <v>3</v>
      </c>
      <c r="Q30" s="16">
        <f>VLOOKUP(Table2[[#This Row],[prolific]],'Correct calc'!B$16:$AK$998,36,FALSE)</f>
        <v>16</v>
      </c>
      <c r="R30" s="16">
        <f>Table2[[#This Row],[interviewminutes]]</f>
        <v>30.806500000000003</v>
      </c>
      <c r="S30" s="16">
        <f>Table2[[#This Row],[classifyTime]]+Table2[[#This Row],[explainTime]]+Table2[[#This Row],[validateTime]]</f>
        <v>26.09</v>
      </c>
      <c r="T30" s="29">
        <f>VLOOKUP(Table2[[#This Row],[prolific]],'Correct calc'!B$16:$AJ$998,35,FALSE)</f>
        <v>0.72727272727272729</v>
      </c>
      <c r="U30" s="15">
        <f>SUM(Table2[[#This Row],[priorKnowledge'[CLUSTERING']]:[priorKnowledge'[ZSCORES']]])/Table2[[#This Row],[priorKnowledgeTechQuestionCount]]</f>
        <v>1</v>
      </c>
      <c r="V30" s="16">
        <f>IF(Table2[[#This Row],[visualization]]="Wordcloud",2,3)</f>
        <v>2</v>
      </c>
      <c r="W30" s="31" t="s">
        <v>1044</v>
      </c>
      <c r="X30" s="31">
        <v>1</v>
      </c>
      <c r="Y30" s="31">
        <v>1</v>
      </c>
      <c r="Z30" s="31">
        <v>0</v>
      </c>
      <c r="AA30" s="31">
        <v>5</v>
      </c>
      <c r="AB30" s="31" t="s">
        <v>97</v>
      </c>
      <c r="AC30" s="31" t="s">
        <v>81</v>
      </c>
      <c r="AD30" s="31" t="s">
        <v>82</v>
      </c>
      <c r="AE30" s="31" t="s">
        <v>83</v>
      </c>
      <c r="AF30" s="31" t="s">
        <v>85</v>
      </c>
      <c r="AG30" s="31" t="s">
        <v>86</v>
      </c>
      <c r="AH30" s="31" t="s">
        <v>84</v>
      </c>
      <c r="AI30" s="31" t="s">
        <v>104</v>
      </c>
      <c r="AJ30" s="31" t="s">
        <v>98</v>
      </c>
      <c r="AK30" s="31" t="s">
        <v>88</v>
      </c>
      <c r="AL30" s="31" t="s">
        <v>87</v>
      </c>
      <c r="AM30" s="31" t="s">
        <v>99</v>
      </c>
      <c r="AN30" s="31" t="s">
        <v>100</v>
      </c>
      <c r="AO30" s="31" t="s">
        <v>83</v>
      </c>
      <c r="AP30" s="31" t="s">
        <v>85</v>
      </c>
      <c r="AQ30" s="31" t="s">
        <v>91</v>
      </c>
      <c r="AR30" s="31" t="s">
        <v>92</v>
      </c>
      <c r="AS30" s="31" t="s">
        <v>94</v>
      </c>
      <c r="AT30" s="31" t="s">
        <v>93</v>
      </c>
      <c r="AU30" s="31" t="s">
        <v>94</v>
      </c>
      <c r="AV30" s="31" t="s">
        <v>93</v>
      </c>
      <c r="AW30" s="31" t="s">
        <v>93</v>
      </c>
      <c r="AX30" s="31" t="s">
        <v>94</v>
      </c>
      <c r="AY30" s="31" t="s">
        <v>94</v>
      </c>
      <c r="AZ30" s="31" t="s">
        <v>94</v>
      </c>
      <c r="BA30" s="31" t="s">
        <v>107</v>
      </c>
      <c r="BB30" s="31" t="s">
        <v>323</v>
      </c>
      <c r="BC30" s="24"/>
      <c r="BD30" s="30">
        <f>Table2[[#This Row],[interviewtime]]/60</f>
        <v>30.806500000000003</v>
      </c>
      <c r="BE30" s="31">
        <v>1848.39</v>
      </c>
      <c r="BF30" s="31">
        <v>13.07</v>
      </c>
      <c r="BG30" s="31"/>
      <c r="BH30" s="31">
        <v>103.28</v>
      </c>
      <c r="BI30" s="31"/>
      <c r="BJ30" s="31"/>
      <c r="BK30" s="31"/>
      <c r="BL30" s="31"/>
      <c r="BM30" s="31">
        <v>356.85</v>
      </c>
      <c r="BN30" s="31"/>
      <c r="BO30" s="31"/>
      <c r="BP30" s="31"/>
      <c r="BQ30" s="31"/>
      <c r="BR30" s="31"/>
      <c r="BS30" s="31"/>
      <c r="BT30" s="31">
        <v>858.92</v>
      </c>
      <c r="BU30" s="31"/>
      <c r="BV30" s="31"/>
      <c r="BW30" s="31"/>
      <c r="BX30" s="31"/>
      <c r="BY30" s="31"/>
      <c r="BZ30" s="31"/>
      <c r="CA30" s="31"/>
      <c r="CB30" s="31"/>
      <c r="CC30" s="31">
        <v>349.63</v>
      </c>
      <c r="CD30" s="31"/>
      <c r="CE30" s="31"/>
      <c r="CF30" s="31"/>
      <c r="CG30" s="31"/>
      <c r="CH30" s="31"/>
      <c r="CI30" s="31"/>
      <c r="CJ30" s="31"/>
      <c r="CK30" s="31"/>
      <c r="CL30" s="31">
        <v>166.64</v>
      </c>
      <c r="CM30" s="31"/>
      <c r="CN30" s="31"/>
      <c r="CO30" s="24"/>
      <c r="CP30" s="24"/>
      <c r="CQ30" s="43">
        <f>Table2[[#This Row],[groupTime22]]/60</f>
        <v>5.9475000000000007</v>
      </c>
      <c r="CR30" s="43">
        <f>Table2[[#This Row],[groupTime23]]/60</f>
        <v>14.315333333333333</v>
      </c>
      <c r="CS30" s="43">
        <f>Table2[[#This Row],[groupTime24]]/60</f>
        <v>5.8271666666666668</v>
      </c>
    </row>
    <row r="31" spans="1:97" x14ac:dyDescent="0.25">
      <c r="A31" s="11" t="s">
        <v>352</v>
      </c>
      <c r="B31" s="11" t="s">
        <v>115</v>
      </c>
      <c r="C31" s="12">
        <v>39</v>
      </c>
      <c r="D31" s="12" t="s">
        <v>241</v>
      </c>
      <c r="E31" s="12">
        <v>6</v>
      </c>
      <c r="F31" s="12" t="s">
        <v>79</v>
      </c>
      <c r="G31" s="12">
        <v>1908137297</v>
      </c>
      <c r="H31" s="12" t="s">
        <v>242</v>
      </c>
      <c r="I31" s="12" t="s">
        <v>241</v>
      </c>
      <c r="J31" s="12" t="s">
        <v>80</v>
      </c>
      <c r="K31" s="12" t="str">
        <f>IF(Table2[[#This Row],[priorSuccessRatio]]&lt;1,"yes","no")</f>
        <v>no</v>
      </c>
      <c r="L31" s="27">
        <f>VLOOKUP(Table2[[#This Row],[prolific]],'Correct calc'!B$16:$AJ$998,6,FALSE)</f>
        <v>1</v>
      </c>
      <c r="M31" s="27">
        <f>VLOOKUP(Table2[[#This Row],[prolific]],'Correct calc'!B$16:$AJ$998,14,FALSE)</f>
        <v>0.5</v>
      </c>
      <c r="N31" s="27">
        <f>VLOOKUP(Table2[[#This Row],[prolific]],'Correct calc'!B$16:$AJ1027,24,FALSE)</f>
        <v>0.875</v>
      </c>
      <c r="O31" s="27">
        <f>VLOOKUP(Table2[[#This Row],[prolific]],'Correct calc'!B$16:$AJ1027,34,FALSE)</f>
        <v>0.5</v>
      </c>
      <c r="P31" s="28">
        <f>VLOOKUP(Table2[[#This Row],[comprescore]],Table3[],2,FALSE)</f>
        <v>4</v>
      </c>
      <c r="Q31" s="16">
        <f>VLOOKUP(Table2[[#This Row],[prolific]],'Correct calc'!B$16:$AK$998,36,FALSE)</f>
        <v>14</v>
      </c>
      <c r="R31" s="16">
        <f>Table2[[#This Row],[interviewminutes]]</f>
        <v>11.569333333333333</v>
      </c>
      <c r="S31" s="16">
        <f>Table2[[#This Row],[classifyTime]]+Table2[[#This Row],[explainTime]]+Table2[[#This Row],[validateTime]]</f>
        <v>8.7328333333333337</v>
      </c>
      <c r="T31" s="29">
        <f>VLOOKUP(Table2[[#This Row],[prolific]],'Correct calc'!B$16:$AJ$998,35,FALSE)</f>
        <v>0.63636363636363635</v>
      </c>
      <c r="U31" s="15">
        <f>SUM(Table2[[#This Row],[priorKnowledge'[CLUSTERING']]:[priorKnowledge'[ZSCORES']]])/Table2[[#This Row],[priorKnowledgeTechQuestionCount]]</f>
        <v>1</v>
      </c>
      <c r="V31" s="16">
        <f>IF(Table2[[#This Row],[visualization]]="Wordcloud",2,3)</f>
        <v>2</v>
      </c>
      <c r="W31" s="31" t="s">
        <v>1045</v>
      </c>
      <c r="X31" s="31">
        <v>1</v>
      </c>
      <c r="Y31" s="31">
        <v>1</v>
      </c>
      <c r="Z31" s="31">
        <v>0</v>
      </c>
      <c r="AA31" s="31">
        <v>5</v>
      </c>
      <c r="AB31" s="31" t="s">
        <v>97</v>
      </c>
      <c r="AC31" s="31" t="s">
        <v>81</v>
      </c>
      <c r="AD31" s="31" t="s">
        <v>82</v>
      </c>
      <c r="AE31" s="31" t="s">
        <v>83</v>
      </c>
      <c r="AF31" s="31" t="s">
        <v>85</v>
      </c>
      <c r="AG31" s="31" t="s">
        <v>98</v>
      </c>
      <c r="AH31" s="31" t="s">
        <v>84</v>
      </c>
      <c r="AI31" s="31" t="s">
        <v>85</v>
      </c>
      <c r="AJ31" s="31" t="s">
        <v>86</v>
      </c>
      <c r="AK31" s="31" t="s">
        <v>88</v>
      </c>
      <c r="AL31" s="31" t="s">
        <v>87</v>
      </c>
      <c r="AM31" s="31" t="s">
        <v>105</v>
      </c>
      <c r="AN31" s="31" t="s">
        <v>100</v>
      </c>
      <c r="AO31" s="31" t="s">
        <v>83</v>
      </c>
      <c r="AP31" s="31" t="s">
        <v>85</v>
      </c>
      <c r="AQ31" s="31" t="s">
        <v>91</v>
      </c>
      <c r="AR31" s="31" t="s">
        <v>102</v>
      </c>
      <c r="AS31" s="31" t="s">
        <v>94</v>
      </c>
      <c r="AT31" s="31" t="s">
        <v>93</v>
      </c>
      <c r="AU31" s="31" t="s">
        <v>93</v>
      </c>
      <c r="AV31" s="31" t="s">
        <v>93</v>
      </c>
      <c r="AW31" s="31" t="s">
        <v>93</v>
      </c>
      <c r="AX31" s="31" t="s">
        <v>93</v>
      </c>
      <c r="AY31" s="31" t="s">
        <v>93</v>
      </c>
      <c r="AZ31" s="31" t="s">
        <v>94</v>
      </c>
      <c r="BA31" s="31" t="s">
        <v>103</v>
      </c>
      <c r="BB31" s="31" t="s">
        <v>325</v>
      </c>
      <c r="BC31" s="24"/>
      <c r="BD31" s="30">
        <f>Table2[[#This Row],[interviewtime]]/60</f>
        <v>11.569333333333333</v>
      </c>
      <c r="BE31" s="31">
        <v>694.16</v>
      </c>
      <c r="BF31" s="31">
        <v>57.45</v>
      </c>
      <c r="BG31" s="31"/>
      <c r="BH31" s="31">
        <v>48.4</v>
      </c>
      <c r="BI31" s="31"/>
      <c r="BJ31" s="31"/>
      <c r="BK31" s="31"/>
      <c r="BL31" s="31"/>
      <c r="BM31" s="31">
        <v>213.9</v>
      </c>
      <c r="BN31" s="31"/>
      <c r="BO31" s="31"/>
      <c r="BP31" s="31"/>
      <c r="BQ31" s="31"/>
      <c r="BR31" s="31"/>
      <c r="BS31" s="31"/>
      <c r="BT31" s="31">
        <v>169.03</v>
      </c>
      <c r="BU31" s="31"/>
      <c r="BV31" s="31"/>
      <c r="BW31" s="31"/>
      <c r="BX31" s="31"/>
      <c r="BY31" s="31"/>
      <c r="BZ31" s="31"/>
      <c r="CA31" s="31"/>
      <c r="CB31" s="31"/>
      <c r="CC31" s="31">
        <v>141.04</v>
      </c>
      <c r="CD31" s="31"/>
      <c r="CE31" s="31"/>
      <c r="CF31" s="31"/>
      <c r="CG31" s="31"/>
      <c r="CH31" s="31"/>
      <c r="CI31" s="31"/>
      <c r="CJ31" s="31"/>
      <c r="CK31" s="31"/>
      <c r="CL31" s="31">
        <v>64.34</v>
      </c>
      <c r="CM31" s="31"/>
      <c r="CN31" s="31"/>
      <c r="CO31" s="24"/>
      <c r="CP31" s="24"/>
      <c r="CQ31" s="43">
        <f>Table2[[#This Row],[groupTime22]]/60</f>
        <v>3.5649999999999999</v>
      </c>
      <c r="CR31" s="43">
        <f>Table2[[#This Row],[groupTime23]]/60</f>
        <v>2.8171666666666666</v>
      </c>
      <c r="CS31" s="43">
        <f>Table2[[#This Row],[groupTime24]]/60</f>
        <v>2.3506666666666667</v>
      </c>
    </row>
    <row r="32" spans="1:97" x14ac:dyDescent="0.25">
      <c r="A32" s="11" t="s">
        <v>352</v>
      </c>
      <c r="B32" s="11" t="s">
        <v>115</v>
      </c>
      <c r="C32" s="12">
        <v>40</v>
      </c>
      <c r="D32" s="12" t="s">
        <v>243</v>
      </c>
      <c r="E32" s="12">
        <v>6</v>
      </c>
      <c r="F32" s="12" t="s">
        <v>79</v>
      </c>
      <c r="G32" s="12">
        <v>325592629</v>
      </c>
      <c r="H32" s="12" t="s">
        <v>242</v>
      </c>
      <c r="I32" s="12" t="s">
        <v>243</v>
      </c>
      <c r="J32" s="12" t="s">
        <v>80</v>
      </c>
      <c r="K32" s="12" t="str">
        <f>IF(Table2[[#This Row],[priorSuccessRatio]]&lt;1,"yes","no")</f>
        <v>no</v>
      </c>
      <c r="L32" s="27">
        <f>VLOOKUP(Table2[[#This Row],[prolific]],'Correct calc'!B$16:$AJ$998,6,FALSE)</f>
        <v>1</v>
      </c>
      <c r="M32" s="27">
        <f>VLOOKUP(Table2[[#This Row],[prolific]],'Correct calc'!B$16:$AJ$998,14,FALSE)</f>
        <v>0</v>
      </c>
      <c r="N32" s="27">
        <f>VLOOKUP(Table2[[#This Row],[prolific]],'Correct calc'!B$16:$AJ1028,24,FALSE)</f>
        <v>0.625</v>
      </c>
      <c r="O32" s="27">
        <f>VLOOKUP(Table2[[#This Row],[prolific]],'Correct calc'!B$16:$AJ1028,34,FALSE)</f>
        <v>0.125</v>
      </c>
      <c r="P32" s="28">
        <f>VLOOKUP(Table2[[#This Row],[comprescore]],Table3[],2,FALSE)</f>
        <v>4</v>
      </c>
      <c r="Q32" s="16">
        <f>VLOOKUP(Table2[[#This Row],[prolific]],'Correct calc'!B$16:$AK$998,36,FALSE)</f>
        <v>6</v>
      </c>
      <c r="R32" s="16">
        <f>Table2[[#This Row],[interviewminutes]]</f>
        <v>10.564833333333333</v>
      </c>
      <c r="S32" s="16">
        <f>Table2[[#This Row],[classifyTime]]+Table2[[#This Row],[explainTime]]+Table2[[#This Row],[validateTime]]</f>
        <v>9.8800000000000008</v>
      </c>
      <c r="T32" s="29">
        <f>VLOOKUP(Table2[[#This Row],[prolific]],'Correct calc'!B$16:$AJ$998,35,FALSE)</f>
        <v>0.27272727272727271</v>
      </c>
      <c r="U32" s="15">
        <f>SUM(Table2[[#This Row],[priorKnowledge'[CLUSTERING']]:[priorKnowledge'[ZSCORES']]])/Table2[[#This Row],[priorKnowledgeTechQuestionCount]]</f>
        <v>2.5</v>
      </c>
      <c r="V32" s="16">
        <f>IF(Table2[[#This Row],[visualization]]="Wordcloud",2,3)</f>
        <v>2</v>
      </c>
      <c r="W32" s="31" t="s">
        <v>1046</v>
      </c>
      <c r="X32" s="31">
        <v>2</v>
      </c>
      <c r="Y32" s="31">
        <v>3</v>
      </c>
      <c r="Z32" s="31">
        <v>0</v>
      </c>
      <c r="AA32" s="31">
        <v>4</v>
      </c>
      <c r="AB32" s="31" t="s">
        <v>97</v>
      </c>
      <c r="AC32" s="31" t="s">
        <v>81</v>
      </c>
      <c r="AD32" s="31" t="s">
        <v>82</v>
      </c>
      <c r="AE32" s="31" t="s">
        <v>98</v>
      </c>
      <c r="AF32" s="31" t="s">
        <v>104</v>
      </c>
      <c r="AG32" s="31" t="s">
        <v>104</v>
      </c>
      <c r="AH32" s="31" t="s">
        <v>104</v>
      </c>
      <c r="AI32" s="31" t="s">
        <v>83</v>
      </c>
      <c r="AJ32" s="31" t="s">
        <v>83</v>
      </c>
      <c r="AK32" s="31" t="s">
        <v>88</v>
      </c>
      <c r="AL32" s="31" t="s">
        <v>87</v>
      </c>
      <c r="AM32" s="31" t="s">
        <v>105</v>
      </c>
      <c r="AN32" s="31" t="s">
        <v>90</v>
      </c>
      <c r="AO32" s="31" t="s">
        <v>83</v>
      </c>
      <c r="AP32" s="31" t="s">
        <v>86</v>
      </c>
      <c r="AQ32" s="31" t="s">
        <v>92</v>
      </c>
      <c r="AR32" s="31" t="s">
        <v>91</v>
      </c>
      <c r="AS32" s="31" t="s">
        <v>94</v>
      </c>
      <c r="AT32" s="31" t="s">
        <v>94</v>
      </c>
      <c r="AU32" s="31" t="s">
        <v>93</v>
      </c>
      <c r="AV32" s="31" t="s">
        <v>94</v>
      </c>
      <c r="AW32" s="31" t="s">
        <v>93</v>
      </c>
      <c r="AX32" s="31" t="s">
        <v>94</v>
      </c>
      <c r="AY32" s="31" t="s">
        <v>93</v>
      </c>
      <c r="AZ32" s="31" t="s">
        <v>94</v>
      </c>
      <c r="BA32" s="31" t="s">
        <v>103</v>
      </c>
      <c r="BB32" s="31"/>
      <c r="BC32" s="24"/>
      <c r="BD32" s="30">
        <f>Table2[[#This Row],[interviewtime]]/60</f>
        <v>10.564833333333333</v>
      </c>
      <c r="BE32" s="31">
        <v>633.89</v>
      </c>
      <c r="BF32" s="31">
        <v>11.36</v>
      </c>
      <c r="BG32" s="31"/>
      <c r="BH32" s="31">
        <v>23.8</v>
      </c>
      <c r="BI32" s="31"/>
      <c r="BJ32" s="31"/>
      <c r="BK32" s="31"/>
      <c r="BL32" s="31"/>
      <c r="BM32" s="31">
        <v>384.14</v>
      </c>
      <c r="BN32" s="31"/>
      <c r="BO32" s="31"/>
      <c r="BP32" s="31"/>
      <c r="BQ32" s="31"/>
      <c r="BR32" s="31"/>
      <c r="BS32" s="31"/>
      <c r="BT32" s="31">
        <v>107.29</v>
      </c>
      <c r="BU32" s="31"/>
      <c r="BV32" s="31"/>
      <c r="BW32" s="31"/>
      <c r="BX32" s="31"/>
      <c r="BY32" s="31"/>
      <c r="BZ32" s="31"/>
      <c r="CA32" s="31"/>
      <c r="CB32" s="31"/>
      <c r="CC32" s="31">
        <v>101.37</v>
      </c>
      <c r="CD32" s="31"/>
      <c r="CE32" s="31"/>
      <c r="CF32" s="31"/>
      <c r="CG32" s="31"/>
      <c r="CH32" s="31"/>
      <c r="CI32" s="31"/>
      <c r="CJ32" s="31"/>
      <c r="CK32" s="31"/>
      <c r="CL32" s="31">
        <v>5.93</v>
      </c>
      <c r="CM32" s="31"/>
      <c r="CN32" s="31"/>
      <c r="CO32" s="24"/>
      <c r="CP32" s="24"/>
      <c r="CQ32" s="43">
        <f>Table2[[#This Row],[groupTime22]]/60</f>
        <v>6.402333333333333</v>
      </c>
      <c r="CR32" s="43">
        <f>Table2[[#This Row],[groupTime23]]/60</f>
        <v>1.7881666666666667</v>
      </c>
      <c r="CS32" s="43">
        <f>Table2[[#This Row],[groupTime24]]/60</f>
        <v>1.6895</v>
      </c>
    </row>
    <row r="33" spans="1:97" hidden="1" x14ac:dyDescent="0.25">
      <c r="A33" s="11" t="s">
        <v>352</v>
      </c>
      <c r="B33" s="11" t="s">
        <v>115</v>
      </c>
      <c r="C33" s="12">
        <v>41</v>
      </c>
      <c r="D33" s="12" t="s">
        <v>244</v>
      </c>
      <c r="E33" s="12">
        <v>6</v>
      </c>
      <c r="F33" s="12" t="s">
        <v>79</v>
      </c>
      <c r="G33" s="12">
        <v>675307916</v>
      </c>
      <c r="H33" s="12" t="s">
        <v>245</v>
      </c>
      <c r="I33" s="12" t="s">
        <v>244</v>
      </c>
      <c r="J33" s="12" t="s">
        <v>80</v>
      </c>
      <c r="K33" s="12" t="str">
        <f>IF(Table2[[#This Row],[priorSuccessRatio]]&lt;1,"yes","no")</f>
        <v>yes</v>
      </c>
      <c r="L33" s="27">
        <f>VLOOKUP(Table2[[#This Row],[prolific]],'Correct calc'!B$16:$AJ$998,6,FALSE)</f>
        <v>0.66666666666666663</v>
      </c>
      <c r="M33" s="27">
        <f>VLOOKUP(Table2[[#This Row],[prolific]],'Correct calc'!B$16:$AJ$998,14,FALSE)</f>
        <v>0.66666666666666663</v>
      </c>
      <c r="N33" s="27">
        <f>VLOOKUP(Table2[[#This Row],[prolific]],'Correct calc'!B$16:$AJ1029,24,FALSE)</f>
        <v>1</v>
      </c>
      <c r="O33" s="27">
        <f>VLOOKUP(Table2[[#This Row],[prolific]],'Correct calc'!B$16:$AJ1029,34,FALSE)</f>
        <v>0.5</v>
      </c>
      <c r="P33" s="28">
        <f>VLOOKUP(Table2[[#This Row],[comprescore]],Table3[],2,FALSE)</f>
        <v>3</v>
      </c>
      <c r="Q33" s="16">
        <f>VLOOKUP(Table2[[#This Row],[prolific]],'Correct calc'!B$16:$AK$998,36,FALSE)</f>
        <v>16</v>
      </c>
      <c r="R33" s="16">
        <f>Table2[[#This Row],[interviewminutes]]</f>
        <v>13.326500000000001</v>
      </c>
      <c r="S33" s="16">
        <f>Table2[[#This Row],[classifyTime]]+Table2[[#This Row],[explainTime]]+Table2[[#This Row],[validateTime]]</f>
        <v>10.817333333333332</v>
      </c>
      <c r="T33" s="29">
        <f>VLOOKUP(Table2[[#This Row],[prolific]],'Correct calc'!B$16:$AJ$998,35,FALSE)</f>
        <v>0.72727272727272729</v>
      </c>
      <c r="U33" s="15">
        <f>SUM(Table2[[#This Row],[priorKnowledge'[CLUSTERING']]:[priorKnowledge'[ZSCORES']]])/Table2[[#This Row],[priorKnowledgeTechQuestionCount]]</f>
        <v>6.5</v>
      </c>
      <c r="V33" s="16">
        <f>IF(Table2[[#This Row],[visualization]]="Wordcloud",2,3)</f>
        <v>2</v>
      </c>
      <c r="W33" s="31" t="s">
        <v>1047</v>
      </c>
      <c r="X33" s="31">
        <v>6</v>
      </c>
      <c r="Y33" s="31">
        <v>7</v>
      </c>
      <c r="Z33" s="31">
        <v>0</v>
      </c>
      <c r="AA33" s="31">
        <v>5</v>
      </c>
      <c r="AB33" s="31" t="s">
        <v>327</v>
      </c>
      <c r="AC33" s="31" t="s">
        <v>81</v>
      </c>
      <c r="AD33" s="31" t="s">
        <v>82</v>
      </c>
      <c r="AE33" s="31" t="s">
        <v>83</v>
      </c>
      <c r="AF33" s="31" t="s">
        <v>85</v>
      </c>
      <c r="AG33" s="31" t="s">
        <v>98</v>
      </c>
      <c r="AH33" s="31" t="s">
        <v>84</v>
      </c>
      <c r="AI33" s="31" t="s">
        <v>104</v>
      </c>
      <c r="AJ33" s="31" t="s">
        <v>86</v>
      </c>
      <c r="AK33" s="31" t="s">
        <v>88</v>
      </c>
      <c r="AL33" s="31" t="s">
        <v>87</v>
      </c>
      <c r="AM33" s="31" t="s">
        <v>105</v>
      </c>
      <c r="AN33" s="31" t="s">
        <v>90</v>
      </c>
      <c r="AO33" s="31" t="s">
        <v>83</v>
      </c>
      <c r="AP33" s="31" t="s">
        <v>85</v>
      </c>
      <c r="AQ33" s="31" t="s">
        <v>91</v>
      </c>
      <c r="AR33" s="31" t="s">
        <v>102</v>
      </c>
      <c r="AS33" s="31" t="s">
        <v>94</v>
      </c>
      <c r="AT33" s="31" t="s">
        <v>94</v>
      </c>
      <c r="AU33" s="31" t="s">
        <v>94</v>
      </c>
      <c r="AV33" s="31" t="s">
        <v>93</v>
      </c>
      <c r="AW33" s="31" t="s">
        <v>93</v>
      </c>
      <c r="AX33" s="31" t="s">
        <v>94</v>
      </c>
      <c r="AY33" s="31" t="s">
        <v>94</v>
      </c>
      <c r="AZ33" s="31" t="s">
        <v>94</v>
      </c>
      <c r="BA33" s="31" t="s">
        <v>107</v>
      </c>
      <c r="BB33" s="31" t="s">
        <v>328</v>
      </c>
      <c r="BC33" s="24"/>
      <c r="BD33" s="30">
        <f>Table2[[#This Row],[interviewtime]]/60</f>
        <v>13.326500000000001</v>
      </c>
      <c r="BE33" s="31">
        <v>799.59</v>
      </c>
      <c r="BF33" s="31">
        <v>4.71</v>
      </c>
      <c r="BG33" s="31"/>
      <c r="BH33" s="31">
        <v>46.2</v>
      </c>
      <c r="BI33" s="31"/>
      <c r="BJ33" s="31"/>
      <c r="BK33" s="31"/>
      <c r="BL33" s="31"/>
      <c r="BM33" s="31">
        <v>381.3</v>
      </c>
      <c r="BN33" s="31"/>
      <c r="BO33" s="31"/>
      <c r="BP33" s="31"/>
      <c r="BQ33" s="31"/>
      <c r="BR33" s="31"/>
      <c r="BS33" s="31"/>
      <c r="BT33" s="31">
        <v>148.38</v>
      </c>
      <c r="BU33" s="31"/>
      <c r="BV33" s="31"/>
      <c r="BW33" s="31"/>
      <c r="BX33" s="31"/>
      <c r="BY33" s="31"/>
      <c r="BZ33" s="31"/>
      <c r="CA33" s="31"/>
      <c r="CB33" s="31"/>
      <c r="CC33" s="31">
        <v>119.36</v>
      </c>
      <c r="CD33" s="31"/>
      <c r="CE33" s="31"/>
      <c r="CF33" s="31"/>
      <c r="CG33" s="31"/>
      <c r="CH33" s="31"/>
      <c r="CI33" s="31"/>
      <c r="CJ33" s="31"/>
      <c r="CK33" s="31"/>
      <c r="CL33" s="31">
        <v>99.64</v>
      </c>
      <c r="CM33" s="31"/>
      <c r="CN33" s="31"/>
      <c r="CO33" s="24"/>
      <c r="CP33" s="24"/>
      <c r="CQ33" s="43">
        <f>Table2[[#This Row],[groupTime22]]/60</f>
        <v>6.3550000000000004</v>
      </c>
      <c r="CR33" s="43">
        <f>Table2[[#This Row],[groupTime23]]/60</f>
        <v>2.4729999999999999</v>
      </c>
      <c r="CS33" s="43">
        <f>Table2[[#This Row],[groupTime24]]/60</f>
        <v>1.9893333333333334</v>
      </c>
    </row>
    <row r="34" spans="1:97" x14ac:dyDescent="0.25">
      <c r="A34" s="11" t="s">
        <v>352</v>
      </c>
      <c r="B34" s="11" t="s">
        <v>115</v>
      </c>
      <c r="C34" s="12">
        <v>42</v>
      </c>
      <c r="D34" s="12" t="s">
        <v>246</v>
      </c>
      <c r="E34" s="12">
        <v>6</v>
      </c>
      <c r="F34" s="12" t="s">
        <v>79</v>
      </c>
      <c r="G34" s="12">
        <v>486518529</v>
      </c>
      <c r="H34" s="12" t="s">
        <v>247</v>
      </c>
      <c r="I34" s="12" t="s">
        <v>246</v>
      </c>
      <c r="J34" s="12" t="s">
        <v>80</v>
      </c>
      <c r="K34" s="12" t="str">
        <f>IF(Table2[[#This Row],[priorSuccessRatio]]&lt;1,"yes","no")</f>
        <v>no</v>
      </c>
      <c r="L34" s="27">
        <f>VLOOKUP(Table2[[#This Row],[prolific]],'Correct calc'!B$16:$AJ$998,6,FALSE)</f>
        <v>1</v>
      </c>
      <c r="M34" s="27">
        <f>VLOOKUP(Table2[[#This Row],[prolific]],'Correct calc'!B$16:$AJ$998,14,FALSE)</f>
        <v>0.66666666666666663</v>
      </c>
      <c r="N34" s="27">
        <f>VLOOKUP(Table2[[#This Row],[prolific]],'Correct calc'!B$16:$AJ1030,24,FALSE)</f>
        <v>0.875</v>
      </c>
      <c r="O34" s="27">
        <f>VLOOKUP(Table2[[#This Row],[prolific]],'Correct calc'!B$16:$AJ1030,34,FALSE)</f>
        <v>0.5</v>
      </c>
      <c r="P34" s="28">
        <f>VLOOKUP(Table2[[#This Row],[comprescore]],Table3[],2,FALSE)</f>
        <v>2</v>
      </c>
      <c r="Q34" s="16">
        <f>VLOOKUP(Table2[[#This Row],[prolific]],'Correct calc'!B$16:$AK$998,36,FALSE)</f>
        <v>15</v>
      </c>
      <c r="R34" s="16">
        <f>Table2[[#This Row],[interviewminutes]]</f>
        <v>8.214833333333333</v>
      </c>
      <c r="S34" s="16">
        <f>Table2[[#This Row],[classifyTime]]+Table2[[#This Row],[explainTime]]+Table2[[#This Row],[validateTime]]</f>
        <v>7.0748333333333342</v>
      </c>
      <c r="T34" s="29">
        <f>VLOOKUP(Table2[[#This Row],[prolific]],'Correct calc'!B$16:$AJ$998,35,FALSE)</f>
        <v>0.68181818181818177</v>
      </c>
      <c r="U34" s="15">
        <f>SUM(Table2[[#This Row],[priorKnowledge'[CLUSTERING']]:[priorKnowledge'[ZSCORES']]])/Table2[[#This Row],[priorKnowledgeTechQuestionCount]]</f>
        <v>1.5</v>
      </c>
      <c r="V34" s="16">
        <f>IF(Table2[[#This Row],[visualization]]="Wordcloud",2,3)</f>
        <v>2</v>
      </c>
      <c r="W34" s="31" t="s">
        <v>1048</v>
      </c>
      <c r="X34" s="31">
        <v>1</v>
      </c>
      <c r="Y34" s="31">
        <v>2</v>
      </c>
      <c r="Z34" s="31">
        <v>0</v>
      </c>
      <c r="AA34" s="31">
        <v>5</v>
      </c>
      <c r="AB34" s="31" t="s">
        <v>97</v>
      </c>
      <c r="AC34" s="31" t="s">
        <v>81</v>
      </c>
      <c r="AD34" s="31" t="s">
        <v>82</v>
      </c>
      <c r="AE34" s="31" t="s">
        <v>83</v>
      </c>
      <c r="AF34" s="31" t="s">
        <v>104</v>
      </c>
      <c r="AG34" s="31" t="s">
        <v>86</v>
      </c>
      <c r="AH34" s="31" t="s">
        <v>84</v>
      </c>
      <c r="AI34" s="31" t="s">
        <v>104</v>
      </c>
      <c r="AJ34" s="31" t="s">
        <v>85</v>
      </c>
      <c r="AK34" s="31" t="s">
        <v>88</v>
      </c>
      <c r="AL34" s="31" t="s">
        <v>87</v>
      </c>
      <c r="AM34" s="31" t="s">
        <v>99</v>
      </c>
      <c r="AN34" s="31" t="s">
        <v>90</v>
      </c>
      <c r="AO34" s="31" t="s">
        <v>83</v>
      </c>
      <c r="AP34" s="31" t="s">
        <v>85</v>
      </c>
      <c r="AQ34" s="31" t="s">
        <v>91</v>
      </c>
      <c r="AR34" s="31" t="s">
        <v>102</v>
      </c>
      <c r="AS34" s="31" t="s">
        <v>94</v>
      </c>
      <c r="AT34" s="31" t="s">
        <v>93</v>
      </c>
      <c r="AU34" s="31" t="s">
        <v>94</v>
      </c>
      <c r="AV34" s="31" t="s">
        <v>93</v>
      </c>
      <c r="AW34" s="31" t="s">
        <v>93</v>
      </c>
      <c r="AX34" s="31" t="s">
        <v>94</v>
      </c>
      <c r="AY34" s="31" t="s">
        <v>93</v>
      </c>
      <c r="AZ34" s="31" t="s">
        <v>94</v>
      </c>
      <c r="BA34" s="31" t="s">
        <v>106</v>
      </c>
      <c r="BB34" s="31" t="s">
        <v>330</v>
      </c>
      <c r="BC34" s="24"/>
      <c r="BD34" s="30">
        <f>Table2[[#This Row],[interviewtime]]/60</f>
        <v>8.214833333333333</v>
      </c>
      <c r="BE34" s="31">
        <v>492.89</v>
      </c>
      <c r="BF34" s="31">
        <v>5.34</v>
      </c>
      <c r="BG34" s="31"/>
      <c r="BH34" s="31">
        <v>37.39</v>
      </c>
      <c r="BI34" s="31"/>
      <c r="BJ34" s="31"/>
      <c r="BK34" s="31"/>
      <c r="BL34" s="31"/>
      <c r="BM34" s="31">
        <v>203.27</v>
      </c>
      <c r="BN34" s="31"/>
      <c r="BO34" s="31"/>
      <c r="BP34" s="31"/>
      <c r="BQ34" s="31"/>
      <c r="BR34" s="31"/>
      <c r="BS34" s="31"/>
      <c r="BT34" s="31">
        <v>134.99</v>
      </c>
      <c r="BU34" s="31"/>
      <c r="BV34" s="31"/>
      <c r="BW34" s="31"/>
      <c r="BX34" s="31"/>
      <c r="BY34" s="31"/>
      <c r="BZ34" s="31"/>
      <c r="CA34" s="31"/>
      <c r="CB34" s="31"/>
      <c r="CC34" s="31">
        <v>86.23</v>
      </c>
      <c r="CD34" s="31"/>
      <c r="CE34" s="31"/>
      <c r="CF34" s="31"/>
      <c r="CG34" s="31"/>
      <c r="CH34" s="31"/>
      <c r="CI34" s="31"/>
      <c r="CJ34" s="31"/>
      <c r="CK34" s="31"/>
      <c r="CL34" s="31">
        <v>25.67</v>
      </c>
      <c r="CM34" s="31"/>
      <c r="CN34" s="31"/>
      <c r="CO34" s="24"/>
      <c r="CP34" s="24"/>
      <c r="CQ34" s="43">
        <f>Table2[[#This Row],[groupTime22]]/60</f>
        <v>3.3878333333333335</v>
      </c>
      <c r="CR34" s="43">
        <f>Table2[[#This Row],[groupTime23]]/60</f>
        <v>2.2498333333333336</v>
      </c>
      <c r="CS34" s="43">
        <f>Table2[[#This Row],[groupTime24]]/60</f>
        <v>1.4371666666666667</v>
      </c>
    </row>
    <row r="35" spans="1:97" x14ac:dyDescent="0.25">
      <c r="A35" s="11" t="s">
        <v>352</v>
      </c>
      <c r="B35" s="11" t="s">
        <v>115</v>
      </c>
      <c r="C35" s="12">
        <v>43</v>
      </c>
      <c r="D35" s="12" t="s">
        <v>248</v>
      </c>
      <c r="E35" s="12">
        <v>6</v>
      </c>
      <c r="F35" s="12" t="s">
        <v>79</v>
      </c>
      <c r="G35" s="12">
        <v>1691932778</v>
      </c>
      <c r="H35" s="12" t="s">
        <v>249</v>
      </c>
      <c r="I35" s="12" t="s">
        <v>248</v>
      </c>
      <c r="J35" s="12" t="s">
        <v>80</v>
      </c>
      <c r="K35" s="12" t="str">
        <f>IF(Table2[[#This Row],[priorSuccessRatio]]&lt;1,"yes","no")</f>
        <v>no</v>
      </c>
      <c r="L35" s="27">
        <f>VLOOKUP(Table2[[#This Row],[prolific]],'Correct calc'!B$16:$AJ$998,6,FALSE)</f>
        <v>1</v>
      </c>
      <c r="M35" s="27">
        <f>VLOOKUP(Table2[[#This Row],[prolific]],'Correct calc'!B$16:$AJ$998,14,FALSE)</f>
        <v>0.83333333333333337</v>
      </c>
      <c r="N35" s="27">
        <f>VLOOKUP(Table2[[#This Row],[prolific]],'Correct calc'!B$16:$AJ1031,24,FALSE)</f>
        <v>1</v>
      </c>
      <c r="O35" s="27">
        <f>VLOOKUP(Table2[[#This Row],[prolific]],'Correct calc'!B$16:$AJ1031,34,FALSE)</f>
        <v>0.625</v>
      </c>
      <c r="P35" s="28">
        <f>VLOOKUP(Table2[[#This Row],[comprescore]],Table3[],2,FALSE)</f>
        <v>2</v>
      </c>
      <c r="Q35" s="16">
        <f>VLOOKUP(Table2[[#This Row],[prolific]],'Correct calc'!B$16:$AK$998,36,FALSE)</f>
        <v>18</v>
      </c>
      <c r="R35" s="16">
        <f>Table2[[#This Row],[interviewminutes]]</f>
        <v>11.759166666666665</v>
      </c>
      <c r="S35" s="16">
        <f>Table2[[#This Row],[classifyTime]]+Table2[[#This Row],[explainTime]]+Table2[[#This Row],[validateTime]]</f>
        <v>10.463999999999999</v>
      </c>
      <c r="T35" s="29">
        <f>VLOOKUP(Table2[[#This Row],[prolific]],'Correct calc'!B$16:$AJ$998,35,FALSE)</f>
        <v>0.81818181818181823</v>
      </c>
      <c r="U35" s="15">
        <f>SUM(Table2[[#This Row],[priorKnowledge'[CLUSTERING']]:[priorKnowledge'[ZSCORES']]])/Table2[[#This Row],[priorKnowledgeTechQuestionCount]]</f>
        <v>1.5</v>
      </c>
      <c r="V35" s="16">
        <f>IF(Table2[[#This Row],[visualization]]="Wordcloud",2,3)</f>
        <v>2</v>
      </c>
      <c r="W35" s="31" t="s">
        <v>1049</v>
      </c>
      <c r="X35" s="31">
        <v>2</v>
      </c>
      <c r="Y35" s="31">
        <v>1</v>
      </c>
      <c r="Z35" s="31">
        <v>0</v>
      </c>
      <c r="AA35" s="31">
        <v>4</v>
      </c>
      <c r="AB35" s="31" t="s">
        <v>97</v>
      </c>
      <c r="AC35" s="31" t="s">
        <v>81</v>
      </c>
      <c r="AD35" s="31" t="s">
        <v>82</v>
      </c>
      <c r="AE35" s="31" t="s">
        <v>83</v>
      </c>
      <c r="AF35" s="31" t="s">
        <v>85</v>
      </c>
      <c r="AG35" s="31" t="s">
        <v>98</v>
      </c>
      <c r="AH35" s="31" t="s">
        <v>84</v>
      </c>
      <c r="AI35" s="31" t="s">
        <v>104</v>
      </c>
      <c r="AJ35" s="31" t="s">
        <v>98</v>
      </c>
      <c r="AK35" s="31" t="s">
        <v>88</v>
      </c>
      <c r="AL35" s="31" t="s">
        <v>87</v>
      </c>
      <c r="AM35" s="31" t="s">
        <v>105</v>
      </c>
      <c r="AN35" s="31" t="s">
        <v>90</v>
      </c>
      <c r="AO35" s="31" t="s">
        <v>83</v>
      </c>
      <c r="AP35" s="31" t="s">
        <v>85</v>
      </c>
      <c r="AQ35" s="31" t="s">
        <v>91</v>
      </c>
      <c r="AR35" s="31" t="s">
        <v>102</v>
      </c>
      <c r="AS35" s="31" t="s">
        <v>94</v>
      </c>
      <c r="AT35" s="31" t="s">
        <v>93</v>
      </c>
      <c r="AU35" s="31" t="s">
        <v>94</v>
      </c>
      <c r="AV35" s="31" t="s">
        <v>93</v>
      </c>
      <c r="AW35" s="31" t="s">
        <v>93</v>
      </c>
      <c r="AX35" s="31" t="s">
        <v>94</v>
      </c>
      <c r="AY35" s="31" t="s">
        <v>93</v>
      </c>
      <c r="AZ35" s="31" t="s">
        <v>93</v>
      </c>
      <c r="BA35" s="31" t="s">
        <v>106</v>
      </c>
      <c r="BB35" s="31" t="s">
        <v>332</v>
      </c>
      <c r="BC35" s="24"/>
      <c r="BD35" s="30">
        <f>Table2[[#This Row],[interviewtime]]/60</f>
        <v>11.759166666666665</v>
      </c>
      <c r="BE35" s="31">
        <v>705.55</v>
      </c>
      <c r="BF35" s="31">
        <v>6.51</v>
      </c>
      <c r="BG35" s="31"/>
      <c r="BH35" s="31">
        <v>45.89</v>
      </c>
      <c r="BI35" s="31"/>
      <c r="BJ35" s="31"/>
      <c r="BK35" s="31"/>
      <c r="BL35" s="31"/>
      <c r="BM35" s="31">
        <v>336.09</v>
      </c>
      <c r="BN35" s="31"/>
      <c r="BO35" s="31"/>
      <c r="BP35" s="31"/>
      <c r="BQ35" s="31"/>
      <c r="BR35" s="31"/>
      <c r="BS35" s="31"/>
      <c r="BT35" s="31">
        <v>172.93</v>
      </c>
      <c r="BU35" s="31"/>
      <c r="BV35" s="31"/>
      <c r="BW35" s="31"/>
      <c r="BX35" s="31"/>
      <c r="BY35" s="31"/>
      <c r="BZ35" s="31"/>
      <c r="CA35" s="31"/>
      <c r="CB35" s="31"/>
      <c r="CC35" s="31">
        <v>118.82</v>
      </c>
      <c r="CD35" s="31"/>
      <c r="CE35" s="31"/>
      <c r="CF35" s="31"/>
      <c r="CG35" s="31"/>
      <c r="CH35" s="31"/>
      <c r="CI35" s="31"/>
      <c r="CJ35" s="31"/>
      <c r="CK35" s="31"/>
      <c r="CL35" s="31">
        <v>25.31</v>
      </c>
      <c r="CM35" s="31"/>
      <c r="CN35" s="31"/>
      <c r="CO35" s="24"/>
      <c r="CP35" s="24"/>
      <c r="CQ35" s="43">
        <f>Table2[[#This Row],[groupTime22]]/60</f>
        <v>5.6014999999999997</v>
      </c>
      <c r="CR35" s="43">
        <f>Table2[[#This Row],[groupTime23]]/60</f>
        <v>2.882166666666667</v>
      </c>
      <c r="CS35" s="43">
        <f>Table2[[#This Row],[groupTime24]]/60</f>
        <v>1.9803333333333333</v>
      </c>
    </row>
    <row r="36" spans="1:97" x14ac:dyDescent="0.25">
      <c r="A36" s="11" t="s">
        <v>352</v>
      </c>
      <c r="B36" s="11" t="s">
        <v>115</v>
      </c>
      <c r="C36" s="12">
        <v>44</v>
      </c>
      <c r="D36" s="12" t="s">
        <v>250</v>
      </c>
      <c r="E36" s="12">
        <v>6</v>
      </c>
      <c r="F36" s="12" t="s">
        <v>79</v>
      </c>
      <c r="G36" s="12">
        <v>1019680419</v>
      </c>
      <c r="H36" s="12" t="s">
        <v>251</v>
      </c>
      <c r="I36" s="12" t="s">
        <v>250</v>
      </c>
      <c r="J36" s="12" t="s">
        <v>80</v>
      </c>
      <c r="K36" s="12" t="str">
        <f>IF(Table2[[#This Row],[priorSuccessRatio]]&lt;1,"yes","no")</f>
        <v>no</v>
      </c>
      <c r="L36" s="27">
        <f>VLOOKUP(Table2[[#This Row],[prolific]],'Correct calc'!B$16:$AJ$998,6,FALSE)</f>
        <v>1</v>
      </c>
      <c r="M36" s="27">
        <f>VLOOKUP(Table2[[#This Row],[prolific]],'Correct calc'!B$16:$AJ$998,14,FALSE)</f>
        <v>1</v>
      </c>
      <c r="N36" s="27">
        <f>VLOOKUP(Table2[[#This Row],[prolific]],'Correct calc'!B$16:$AJ1032,24,FALSE)</f>
        <v>0.875</v>
      </c>
      <c r="O36" s="27">
        <f>VLOOKUP(Table2[[#This Row],[prolific]],'Correct calc'!B$16:$AJ1032,34,FALSE)</f>
        <v>0.375</v>
      </c>
      <c r="P36" s="28">
        <f>VLOOKUP(Table2[[#This Row],[comprescore]],Table3[],2,FALSE)</f>
        <v>1</v>
      </c>
      <c r="Q36" s="16">
        <f>VLOOKUP(Table2[[#This Row],[prolific]],'Correct calc'!B$16:$AK$998,36,FALSE)</f>
        <v>16</v>
      </c>
      <c r="R36" s="16">
        <f>Table2[[#This Row],[interviewminutes]]</f>
        <v>9.5368333333333339</v>
      </c>
      <c r="S36" s="16">
        <f>Table2[[#This Row],[classifyTime]]+Table2[[#This Row],[explainTime]]+Table2[[#This Row],[validateTime]]</f>
        <v>8.161999999999999</v>
      </c>
      <c r="T36" s="29">
        <f>VLOOKUP(Table2[[#This Row],[prolific]],'Correct calc'!B$16:$AJ$998,35,FALSE)</f>
        <v>0.72727272727272729</v>
      </c>
      <c r="U36" s="15">
        <f>SUM(Table2[[#This Row],[priorKnowledge'[CLUSTERING']]:[priorKnowledge'[ZSCORES']]])/Table2[[#This Row],[priorKnowledgeTechQuestionCount]]</f>
        <v>4.5</v>
      </c>
      <c r="V36" s="16">
        <f>IF(Table2[[#This Row],[visualization]]="Wordcloud",2,3)</f>
        <v>2</v>
      </c>
      <c r="W36" s="31" t="s">
        <v>1050</v>
      </c>
      <c r="X36" s="31">
        <v>6</v>
      </c>
      <c r="Y36" s="31">
        <v>3</v>
      </c>
      <c r="Z36" s="31">
        <v>0</v>
      </c>
      <c r="AA36" s="31">
        <v>8</v>
      </c>
      <c r="AB36" s="31" t="s">
        <v>97</v>
      </c>
      <c r="AC36" s="31" t="s">
        <v>81</v>
      </c>
      <c r="AD36" s="31" t="s">
        <v>82</v>
      </c>
      <c r="AE36" s="31" t="s">
        <v>83</v>
      </c>
      <c r="AF36" s="31" t="s">
        <v>85</v>
      </c>
      <c r="AG36" s="31" t="s">
        <v>86</v>
      </c>
      <c r="AH36" s="31" t="s">
        <v>84</v>
      </c>
      <c r="AI36" s="31" t="s">
        <v>104</v>
      </c>
      <c r="AJ36" s="31" t="s">
        <v>98</v>
      </c>
      <c r="AK36" s="31" t="s">
        <v>88</v>
      </c>
      <c r="AL36" s="31" t="s">
        <v>87</v>
      </c>
      <c r="AM36" s="31" t="s">
        <v>105</v>
      </c>
      <c r="AN36" s="31" t="s">
        <v>90</v>
      </c>
      <c r="AO36" s="31" t="s">
        <v>83</v>
      </c>
      <c r="AP36" s="31" t="s">
        <v>85</v>
      </c>
      <c r="AQ36" s="31" t="s">
        <v>101</v>
      </c>
      <c r="AR36" s="31" t="s">
        <v>102</v>
      </c>
      <c r="AS36" s="31" t="s">
        <v>94</v>
      </c>
      <c r="AT36" s="31" t="s">
        <v>93</v>
      </c>
      <c r="AU36" s="31" t="s">
        <v>93</v>
      </c>
      <c r="AV36" s="31" t="s">
        <v>93</v>
      </c>
      <c r="AW36" s="31" t="s">
        <v>93</v>
      </c>
      <c r="AX36" s="31" t="s">
        <v>94</v>
      </c>
      <c r="AY36" s="31" t="s">
        <v>93</v>
      </c>
      <c r="AZ36" s="31" t="s">
        <v>94</v>
      </c>
      <c r="BA36" s="31" t="s">
        <v>95</v>
      </c>
      <c r="BB36" s="31" t="s">
        <v>334</v>
      </c>
      <c r="BC36" s="24"/>
      <c r="BD36" s="30">
        <f>Table2[[#This Row],[interviewtime]]/60</f>
        <v>9.5368333333333339</v>
      </c>
      <c r="BE36" s="31">
        <v>572.21</v>
      </c>
      <c r="BF36" s="31">
        <v>5.62</v>
      </c>
      <c r="BG36" s="31"/>
      <c r="BH36" s="31">
        <v>25.4</v>
      </c>
      <c r="BI36" s="31"/>
      <c r="BJ36" s="31"/>
      <c r="BK36" s="31"/>
      <c r="BL36" s="31"/>
      <c r="BM36" s="31">
        <v>209.64</v>
      </c>
      <c r="BN36" s="31"/>
      <c r="BO36" s="31"/>
      <c r="BP36" s="31"/>
      <c r="BQ36" s="31"/>
      <c r="BR36" s="31"/>
      <c r="BS36" s="31"/>
      <c r="BT36" s="31">
        <v>118.61</v>
      </c>
      <c r="BU36" s="31"/>
      <c r="BV36" s="31"/>
      <c r="BW36" s="31"/>
      <c r="BX36" s="31"/>
      <c r="BY36" s="31"/>
      <c r="BZ36" s="31"/>
      <c r="CA36" s="31"/>
      <c r="CB36" s="31"/>
      <c r="CC36" s="31">
        <v>161.47</v>
      </c>
      <c r="CD36" s="31"/>
      <c r="CE36" s="31"/>
      <c r="CF36" s="31"/>
      <c r="CG36" s="31"/>
      <c r="CH36" s="31"/>
      <c r="CI36" s="31"/>
      <c r="CJ36" s="31"/>
      <c r="CK36" s="31"/>
      <c r="CL36" s="31">
        <v>51.47</v>
      </c>
      <c r="CM36" s="31"/>
      <c r="CN36" s="31"/>
      <c r="CO36" s="24"/>
      <c r="CP36" s="24"/>
      <c r="CQ36" s="43">
        <f>Table2[[#This Row],[groupTime22]]/60</f>
        <v>3.4939999999999998</v>
      </c>
      <c r="CR36" s="43">
        <f>Table2[[#This Row],[groupTime23]]/60</f>
        <v>1.9768333333333332</v>
      </c>
      <c r="CS36" s="43">
        <f>Table2[[#This Row],[groupTime24]]/60</f>
        <v>2.6911666666666667</v>
      </c>
    </row>
    <row r="37" spans="1:97" x14ac:dyDescent="0.25">
      <c r="A37" s="11" t="s">
        <v>352</v>
      </c>
      <c r="B37" s="11" t="s">
        <v>115</v>
      </c>
      <c r="C37" s="12">
        <v>45</v>
      </c>
      <c r="D37" s="12" t="s">
        <v>252</v>
      </c>
      <c r="E37" s="12">
        <v>6</v>
      </c>
      <c r="F37" s="12" t="s">
        <v>79</v>
      </c>
      <c r="G37" s="12">
        <v>952985029</v>
      </c>
      <c r="H37" s="12" t="s">
        <v>253</v>
      </c>
      <c r="I37" s="12" t="s">
        <v>252</v>
      </c>
      <c r="J37" s="12" t="s">
        <v>80</v>
      </c>
      <c r="K37" s="12" t="str">
        <f>IF(Table2[[#This Row],[priorSuccessRatio]]&lt;1,"yes","no")</f>
        <v>no</v>
      </c>
      <c r="L37" s="27">
        <f>VLOOKUP(Table2[[#This Row],[prolific]],'Correct calc'!B$16:$AJ$998,6,FALSE)</f>
        <v>1</v>
      </c>
      <c r="M37" s="27">
        <f>VLOOKUP(Table2[[#This Row],[prolific]],'Correct calc'!B$16:$AJ$998,14,FALSE)</f>
        <v>0.66666666666666663</v>
      </c>
      <c r="N37" s="27">
        <f>VLOOKUP(Table2[[#This Row],[prolific]],'Correct calc'!B$16:$AJ1033,24,FALSE)</f>
        <v>0.75</v>
      </c>
      <c r="O37" s="27">
        <f>VLOOKUP(Table2[[#This Row],[prolific]],'Correct calc'!B$16:$AJ1033,34,FALSE)</f>
        <v>0.375</v>
      </c>
      <c r="P37" s="28">
        <f>VLOOKUP(Table2[[#This Row],[comprescore]],Table3[],2,FALSE)</f>
        <v>3</v>
      </c>
      <c r="Q37" s="16">
        <f>VLOOKUP(Table2[[#This Row],[prolific]],'Correct calc'!B$16:$AK$998,36,FALSE)</f>
        <v>13</v>
      </c>
      <c r="R37" s="16">
        <f>Table2[[#This Row],[interviewminutes]]</f>
        <v>7.8926666666666669</v>
      </c>
      <c r="S37" s="16">
        <f>Table2[[#This Row],[classifyTime]]+Table2[[#This Row],[explainTime]]+Table2[[#This Row],[validateTime]]</f>
        <v>6.3555000000000001</v>
      </c>
      <c r="T37" s="29">
        <f>VLOOKUP(Table2[[#This Row],[prolific]],'Correct calc'!B$16:$AJ$998,35,FALSE)</f>
        <v>0.59090909090909094</v>
      </c>
      <c r="U37" s="15">
        <f>SUM(Table2[[#This Row],[priorKnowledge'[CLUSTERING']]:[priorKnowledge'[ZSCORES']]])/Table2[[#This Row],[priorKnowledgeTechQuestionCount]]</f>
        <v>5</v>
      </c>
      <c r="V37" s="16">
        <f>IF(Table2[[#This Row],[visualization]]="Wordcloud",2,3)</f>
        <v>2</v>
      </c>
      <c r="W37" s="31" t="s">
        <v>1051</v>
      </c>
      <c r="X37" s="31">
        <v>5</v>
      </c>
      <c r="Y37" s="31">
        <v>5</v>
      </c>
      <c r="Z37" s="31">
        <v>0</v>
      </c>
      <c r="AA37" s="31">
        <v>5</v>
      </c>
      <c r="AB37" s="31" t="s">
        <v>97</v>
      </c>
      <c r="AC37" s="31" t="s">
        <v>81</v>
      </c>
      <c r="AD37" s="31" t="s">
        <v>82</v>
      </c>
      <c r="AE37" s="31" t="s">
        <v>83</v>
      </c>
      <c r="AF37" s="31" t="s">
        <v>85</v>
      </c>
      <c r="AG37" s="31" t="s">
        <v>98</v>
      </c>
      <c r="AH37" s="31" t="s">
        <v>84</v>
      </c>
      <c r="AI37" s="31" t="s">
        <v>104</v>
      </c>
      <c r="AJ37" s="31" t="s">
        <v>86</v>
      </c>
      <c r="AK37" s="31" t="s">
        <v>88</v>
      </c>
      <c r="AL37" s="31" t="s">
        <v>87</v>
      </c>
      <c r="AM37" s="31" t="s">
        <v>285</v>
      </c>
      <c r="AN37" s="31" t="s">
        <v>90</v>
      </c>
      <c r="AO37" s="31" t="s">
        <v>83</v>
      </c>
      <c r="AP37" s="31" t="s">
        <v>85</v>
      </c>
      <c r="AQ37" s="31" t="s">
        <v>101</v>
      </c>
      <c r="AR37" s="31" t="s">
        <v>102</v>
      </c>
      <c r="AS37" s="31" t="s">
        <v>94</v>
      </c>
      <c r="AT37" s="31" t="s">
        <v>93</v>
      </c>
      <c r="AU37" s="31" t="s">
        <v>93</v>
      </c>
      <c r="AV37" s="31" t="s">
        <v>93</v>
      </c>
      <c r="AW37" s="31" t="s">
        <v>93</v>
      </c>
      <c r="AX37" s="31" t="s">
        <v>94</v>
      </c>
      <c r="AY37" s="31" t="s">
        <v>93</v>
      </c>
      <c r="AZ37" s="31" t="s">
        <v>94</v>
      </c>
      <c r="BA37" s="31" t="s">
        <v>107</v>
      </c>
      <c r="BB37" s="31" t="s">
        <v>336</v>
      </c>
      <c r="BC37" s="24"/>
      <c r="BD37" s="30">
        <f>Table2[[#This Row],[interviewtime]]/60</f>
        <v>7.8926666666666669</v>
      </c>
      <c r="BE37" s="31">
        <v>473.56</v>
      </c>
      <c r="BF37" s="31">
        <v>13.59</v>
      </c>
      <c r="BG37" s="31"/>
      <c r="BH37" s="31">
        <v>28.82</v>
      </c>
      <c r="BI37" s="31"/>
      <c r="BJ37" s="31"/>
      <c r="BK37" s="31"/>
      <c r="BL37" s="31"/>
      <c r="BM37" s="31">
        <v>164.71</v>
      </c>
      <c r="BN37" s="31"/>
      <c r="BO37" s="31"/>
      <c r="BP37" s="31"/>
      <c r="BQ37" s="31"/>
      <c r="BR37" s="31"/>
      <c r="BS37" s="31"/>
      <c r="BT37" s="31">
        <v>142.22999999999999</v>
      </c>
      <c r="BU37" s="31"/>
      <c r="BV37" s="31"/>
      <c r="BW37" s="31"/>
      <c r="BX37" s="31"/>
      <c r="BY37" s="31"/>
      <c r="BZ37" s="31"/>
      <c r="CA37" s="31"/>
      <c r="CB37" s="31"/>
      <c r="CC37" s="31">
        <v>74.39</v>
      </c>
      <c r="CD37" s="31"/>
      <c r="CE37" s="31"/>
      <c r="CF37" s="31"/>
      <c r="CG37" s="31"/>
      <c r="CH37" s="31"/>
      <c r="CI37" s="31"/>
      <c r="CJ37" s="31"/>
      <c r="CK37" s="31"/>
      <c r="CL37" s="31">
        <v>49.82</v>
      </c>
      <c r="CM37" s="31"/>
      <c r="CN37" s="31"/>
      <c r="CO37" s="24"/>
      <c r="CP37" s="24"/>
      <c r="CQ37" s="43">
        <f>Table2[[#This Row],[groupTime22]]/60</f>
        <v>2.745166666666667</v>
      </c>
      <c r="CR37" s="43">
        <f>Table2[[#This Row],[groupTime23]]/60</f>
        <v>2.3704999999999998</v>
      </c>
      <c r="CS37" s="43">
        <f>Table2[[#This Row],[groupTime24]]/60</f>
        <v>1.2398333333333333</v>
      </c>
    </row>
    <row r="38" spans="1:97" x14ac:dyDescent="0.25">
      <c r="A38" s="11" t="s">
        <v>352</v>
      </c>
      <c r="B38" s="11" t="s">
        <v>115</v>
      </c>
      <c r="C38" s="12">
        <v>46</v>
      </c>
      <c r="D38" s="12" t="s">
        <v>254</v>
      </c>
      <c r="E38" s="12">
        <v>6</v>
      </c>
      <c r="F38" s="12" t="s">
        <v>79</v>
      </c>
      <c r="G38" s="12">
        <v>107546343</v>
      </c>
      <c r="H38" s="12" t="s">
        <v>255</v>
      </c>
      <c r="I38" s="12" t="s">
        <v>254</v>
      </c>
      <c r="J38" s="12" t="s">
        <v>80</v>
      </c>
      <c r="K38" s="12" t="str">
        <f>IF(Table2[[#This Row],[priorSuccessRatio]]&lt;1,"yes","no")</f>
        <v>no</v>
      </c>
      <c r="L38" s="27">
        <f>VLOOKUP(Table2[[#This Row],[prolific]],'Correct calc'!B$16:$AJ$998,6,FALSE)</f>
        <v>1</v>
      </c>
      <c r="M38" s="27">
        <f>VLOOKUP(Table2[[#This Row],[prolific]],'Correct calc'!B$16:$AJ$998,14,FALSE)</f>
        <v>1</v>
      </c>
      <c r="N38" s="27">
        <f>VLOOKUP(Table2[[#This Row],[prolific]],'Correct calc'!B$16:$AJ1034,24,FALSE)</f>
        <v>1</v>
      </c>
      <c r="O38" s="27">
        <f>VLOOKUP(Table2[[#This Row],[prolific]],'Correct calc'!B$16:$AJ1034,34,FALSE)</f>
        <v>0.5</v>
      </c>
      <c r="P38" s="28">
        <f>VLOOKUP(Table2[[#This Row],[comprescore]],Table3[],2,FALSE)</f>
        <v>4</v>
      </c>
      <c r="Q38" s="16">
        <f>VLOOKUP(Table2[[#This Row],[prolific]],'Correct calc'!B$16:$AK$998,36,FALSE)</f>
        <v>18</v>
      </c>
      <c r="R38" s="16">
        <f>Table2[[#This Row],[interviewminutes]]</f>
        <v>15.481666666666666</v>
      </c>
      <c r="S38" s="16">
        <f>Table2[[#This Row],[classifyTime]]+Table2[[#This Row],[explainTime]]+Table2[[#This Row],[validateTime]]</f>
        <v>13.399333333333335</v>
      </c>
      <c r="T38" s="29">
        <f>VLOOKUP(Table2[[#This Row],[prolific]],'Correct calc'!B$16:$AJ$998,35,FALSE)</f>
        <v>0.81818181818181823</v>
      </c>
      <c r="U38" s="15">
        <f>SUM(Table2[[#This Row],[priorKnowledge'[CLUSTERING']]:[priorKnowledge'[ZSCORES']]])/Table2[[#This Row],[priorKnowledgeTechQuestionCount]]</f>
        <v>1</v>
      </c>
      <c r="V38" s="16">
        <f>IF(Table2[[#This Row],[visualization]]="Wordcloud",2,3)</f>
        <v>2</v>
      </c>
      <c r="W38" s="66" t="s">
        <v>1052</v>
      </c>
      <c r="X38" s="31">
        <v>1</v>
      </c>
      <c r="Y38" s="31">
        <v>1</v>
      </c>
      <c r="Z38" s="31">
        <v>0</v>
      </c>
      <c r="AA38" s="31">
        <v>3</v>
      </c>
      <c r="AB38" s="31" t="s">
        <v>97</v>
      </c>
      <c r="AC38" s="31" t="s">
        <v>81</v>
      </c>
      <c r="AD38" s="31" t="s">
        <v>82</v>
      </c>
      <c r="AE38" s="31" t="s">
        <v>83</v>
      </c>
      <c r="AF38" s="31" t="s">
        <v>85</v>
      </c>
      <c r="AG38" s="31" t="s">
        <v>86</v>
      </c>
      <c r="AH38" s="31" t="s">
        <v>84</v>
      </c>
      <c r="AI38" s="31" t="s">
        <v>104</v>
      </c>
      <c r="AJ38" s="31" t="s">
        <v>98</v>
      </c>
      <c r="AK38" s="31" t="s">
        <v>88</v>
      </c>
      <c r="AL38" s="31" t="s">
        <v>87</v>
      </c>
      <c r="AM38" s="31" t="s">
        <v>105</v>
      </c>
      <c r="AN38" s="31" t="s">
        <v>90</v>
      </c>
      <c r="AO38" s="31" t="s">
        <v>83</v>
      </c>
      <c r="AP38" s="31" t="s">
        <v>85</v>
      </c>
      <c r="AQ38" s="31" t="s">
        <v>91</v>
      </c>
      <c r="AR38" s="31" t="s">
        <v>102</v>
      </c>
      <c r="AS38" s="31" t="s">
        <v>94</v>
      </c>
      <c r="AT38" s="31" t="s">
        <v>93</v>
      </c>
      <c r="AU38" s="31" t="s">
        <v>94</v>
      </c>
      <c r="AV38" s="31" t="s">
        <v>93</v>
      </c>
      <c r="AW38" s="31" t="s">
        <v>93</v>
      </c>
      <c r="AX38" s="31" t="s">
        <v>94</v>
      </c>
      <c r="AY38" s="31" t="s">
        <v>93</v>
      </c>
      <c r="AZ38" s="31" t="s">
        <v>94</v>
      </c>
      <c r="BA38" s="31" t="s">
        <v>103</v>
      </c>
      <c r="BB38" s="31" t="s">
        <v>338</v>
      </c>
      <c r="BC38" s="24"/>
      <c r="BD38" s="30">
        <f>Table2[[#This Row],[interviewtime]]/60</f>
        <v>15.481666666666666</v>
      </c>
      <c r="BE38" s="31">
        <v>928.9</v>
      </c>
      <c r="BF38" s="31">
        <v>5.0999999999999996</v>
      </c>
      <c r="BG38" s="31"/>
      <c r="BH38" s="31">
        <v>35.6</v>
      </c>
      <c r="BI38" s="31"/>
      <c r="BJ38" s="31"/>
      <c r="BK38" s="31"/>
      <c r="BL38" s="31"/>
      <c r="BM38" s="31">
        <v>424.3</v>
      </c>
      <c r="BN38" s="31"/>
      <c r="BO38" s="31"/>
      <c r="BP38" s="31"/>
      <c r="BQ38" s="31"/>
      <c r="BR38" s="31"/>
      <c r="BS38" s="31"/>
      <c r="BT38" s="31">
        <v>224.06</v>
      </c>
      <c r="BU38" s="31"/>
      <c r="BV38" s="31"/>
      <c r="BW38" s="31"/>
      <c r="BX38" s="31"/>
      <c r="BY38" s="31"/>
      <c r="BZ38" s="31"/>
      <c r="CA38" s="31"/>
      <c r="CB38" s="31"/>
      <c r="CC38" s="31">
        <v>155.6</v>
      </c>
      <c r="CD38" s="31"/>
      <c r="CE38" s="31"/>
      <c r="CF38" s="31"/>
      <c r="CG38" s="31"/>
      <c r="CH38" s="31"/>
      <c r="CI38" s="31"/>
      <c r="CJ38" s="31"/>
      <c r="CK38" s="31"/>
      <c r="CL38" s="31">
        <v>84.24</v>
      </c>
      <c r="CM38" s="31"/>
      <c r="CN38" s="31"/>
      <c r="CO38" s="24"/>
      <c r="CP38" s="24"/>
      <c r="CQ38" s="43">
        <f>Table2[[#This Row],[groupTime22]]/60</f>
        <v>7.0716666666666672</v>
      </c>
      <c r="CR38" s="43">
        <f>Table2[[#This Row],[groupTime23]]/60</f>
        <v>3.7343333333333333</v>
      </c>
      <c r="CS38" s="43">
        <f>Table2[[#This Row],[groupTime24]]/60</f>
        <v>2.5933333333333333</v>
      </c>
    </row>
    <row r="39" spans="1:97" x14ac:dyDescent="0.25">
      <c r="A39" s="11" t="s">
        <v>352</v>
      </c>
      <c r="B39" s="11" t="s">
        <v>115</v>
      </c>
      <c r="C39" s="12">
        <v>47</v>
      </c>
      <c r="D39" s="12" t="s">
        <v>256</v>
      </c>
      <c r="E39" s="12">
        <v>6</v>
      </c>
      <c r="F39" s="12" t="s">
        <v>79</v>
      </c>
      <c r="G39" s="12">
        <v>1038956816</v>
      </c>
      <c r="H39" s="12" t="s">
        <v>257</v>
      </c>
      <c r="I39" s="12" t="s">
        <v>256</v>
      </c>
      <c r="J39" s="12" t="s">
        <v>80</v>
      </c>
      <c r="K39" s="12" t="str">
        <f>IF(Table2[[#This Row],[priorSuccessRatio]]&lt;1,"yes","no")</f>
        <v>no</v>
      </c>
      <c r="L39" s="27">
        <f>VLOOKUP(Table2[[#This Row],[prolific]],'Correct calc'!B$16:$AJ$998,6,FALSE)</f>
        <v>1</v>
      </c>
      <c r="M39" s="27">
        <f>VLOOKUP(Table2[[#This Row],[prolific]],'Correct calc'!B$16:$AJ$998,14,FALSE)</f>
        <v>0.5</v>
      </c>
      <c r="N39" s="27">
        <f>VLOOKUP(Table2[[#This Row],[prolific]],'Correct calc'!B$16:$AJ1035,24,FALSE)</f>
        <v>0.875</v>
      </c>
      <c r="O39" s="27">
        <f>VLOOKUP(Table2[[#This Row],[prolific]],'Correct calc'!B$16:$AJ1035,34,FALSE)</f>
        <v>0.5</v>
      </c>
      <c r="P39" s="28">
        <f>VLOOKUP(Table2[[#This Row],[comprescore]],Table3[],2,FALSE)</f>
        <v>2</v>
      </c>
      <c r="Q39" s="16">
        <f>VLOOKUP(Table2[[#This Row],[prolific]],'Correct calc'!B$16:$AK$998,36,FALSE)</f>
        <v>14</v>
      </c>
      <c r="R39" s="16">
        <f>Table2[[#This Row],[interviewminutes]]</f>
        <v>9.3294999999999995</v>
      </c>
      <c r="S39" s="16">
        <f>Table2[[#This Row],[classifyTime]]+Table2[[#This Row],[explainTime]]+Table2[[#This Row],[validateTime]]</f>
        <v>7.6113333333333335</v>
      </c>
      <c r="T39" s="29">
        <f>VLOOKUP(Table2[[#This Row],[prolific]],'Correct calc'!B$16:$AJ$998,35,FALSE)</f>
        <v>0.63636363636363635</v>
      </c>
      <c r="U39" s="15">
        <f>SUM(Table2[[#This Row],[priorKnowledge'[CLUSTERING']]:[priorKnowledge'[ZSCORES']]])/Table2[[#This Row],[priorKnowledgeTechQuestionCount]]</f>
        <v>2</v>
      </c>
      <c r="V39" s="16">
        <f>IF(Table2[[#This Row],[visualization]]="Wordcloud",2,3)</f>
        <v>2</v>
      </c>
      <c r="W39" s="31" t="s">
        <v>1053</v>
      </c>
      <c r="X39" s="31">
        <v>2</v>
      </c>
      <c r="Y39" s="31">
        <v>2</v>
      </c>
      <c r="Z39" s="31">
        <v>0</v>
      </c>
      <c r="AA39" s="31">
        <v>2</v>
      </c>
      <c r="AB39" s="31" t="s">
        <v>97</v>
      </c>
      <c r="AC39" s="31" t="s">
        <v>81</v>
      </c>
      <c r="AD39" s="31" t="s">
        <v>82</v>
      </c>
      <c r="AE39" s="31" t="s">
        <v>83</v>
      </c>
      <c r="AF39" s="31" t="s">
        <v>104</v>
      </c>
      <c r="AG39" s="31" t="s">
        <v>98</v>
      </c>
      <c r="AH39" s="31" t="s">
        <v>84</v>
      </c>
      <c r="AI39" s="31" t="s">
        <v>104</v>
      </c>
      <c r="AJ39" s="31" t="s">
        <v>86</v>
      </c>
      <c r="AK39" s="31" t="s">
        <v>88</v>
      </c>
      <c r="AL39" s="31" t="s">
        <v>87</v>
      </c>
      <c r="AM39" s="31" t="s">
        <v>89</v>
      </c>
      <c r="AN39" s="31" t="s">
        <v>90</v>
      </c>
      <c r="AO39" s="31" t="s">
        <v>83</v>
      </c>
      <c r="AP39" s="31" t="s">
        <v>85</v>
      </c>
      <c r="AQ39" s="31" t="s">
        <v>91</v>
      </c>
      <c r="AR39" s="31" t="s">
        <v>102</v>
      </c>
      <c r="AS39" s="31" t="s">
        <v>94</v>
      </c>
      <c r="AT39" s="31" t="s">
        <v>93</v>
      </c>
      <c r="AU39" s="31" t="s">
        <v>94</v>
      </c>
      <c r="AV39" s="31" t="s">
        <v>93</v>
      </c>
      <c r="AW39" s="31" t="s">
        <v>93</v>
      </c>
      <c r="AX39" s="31" t="s">
        <v>94</v>
      </c>
      <c r="AY39" s="31" t="s">
        <v>93</v>
      </c>
      <c r="AZ39" s="31" t="s">
        <v>94</v>
      </c>
      <c r="BA39" s="31" t="s">
        <v>106</v>
      </c>
      <c r="BB39" s="31"/>
      <c r="BC39" s="24"/>
      <c r="BD39" s="30">
        <f>Table2[[#This Row],[interviewtime]]/60</f>
        <v>9.3294999999999995</v>
      </c>
      <c r="BE39" s="31">
        <v>559.77</v>
      </c>
      <c r="BF39" s="31">
        <v>9.5399999999999991</v>
      </c>
      <c r="BG39" s="31"/>
      <c r="BH39" s="31">
        <v>78.55</v>
      </c>
      <c r="BI39" s="31"/>
      <c r="BJ39" s="31"/>
      <c r="BK39" s="31"/>
      <c r="BL39" s="31"/>
      <c r="BM39" s="31">
        <v>209.22</v>
      </c>
      <c r="BN39" s="31"/>
      <c r="BO39" s="31"/>
      <c r="BP39" s="31"/>
      <c r="BQ39" s="31"/>
      <c r="BR39" s="31"/>
      <c r="BS39" s="31"/>
      <c r="BT39" s="31">
        <v>156.15</v>
      </c>
      <c r="BU39" s="31"/>
      <c r="BV39" s="31"/>
      <c r="BW39" s="31"/>
      <c r="BX39" s="31"/>
      <c r="BY39" s="31"/>
      <c r="BZ39" s="31"/>
      <c r="CA39" s="31"/>
      <c r="CB39" s="31"/>
      <c r="CC39" s="31">
        <v>91.31</v>
      </c>
      <c r="CD39" s="31"/>
      <c r="CE39" s="31"/>
      <c r="CF39" s="31"/>
      <c r="CG39" s="31"/>
      <c r="CH39" s="31"/>
      <c r="CI39" s="31"/>
      <c r="CJ39" s="31"/>
      <c r="CK39" s="31"/>
      <c r="CL39" s="31">
        <v>15</v>
      </c>
      <c r="CM39" s="31"/>
      <c r="CN39" s="31"/>
      <c r="CO39" s="24"/>
      <c r="CP39" s="24"/>
      <c r="CQ39" s="43">
        <f>Table2[[#This Row],[groupTime22]]/60</f>
        <v>3.4870000000000001</v>
      </c>
      <c r="CR39" s="43">
        <f>Table2[[#This Row],[groupTime23]]/60</f>
        <v>2.6025</v>
      </c>
      <c r="CS39" s="43">
        <f>Table2[[#This Row],[groupTime24]]/60</f>
        <v>1.5218333333333334</v>
      </c>
    </row>
    <row r="40" spans="1:97" x14ac:dyDescent="0.25">
      <c r="A40" s="11" t="s">
        <v>352</v>
      </c>
      <c r="B40" s="11" t="s">
        <v>115</v>
      </c>
      <c r="C40" s="12">
        <v>48</v>
      </c>
      <c r="D40" s="12" t="s">
        <v>258</v>
      </c>
      <c r="E40" s="12">
        <v>6</v>
      </c>
      <c r="F40" s="12" t="s">
        <v>79</v>
      </c>
      <c r="G40" s="12">
        <v>1883866992</v>
      </c>
      <c r="H40" s="12" t="s">
        <v>259</v>
      </c>
      <c r="I40" s="12" t="s">
        <v>258</v>
      </c>
      <c r="J40" s="12" t="s">
        <v>96</v>
      </c>
      <c r="K40" s="12" t="str">
        <f>IF(Table2[[#This Row],[priorSuccessRatio]]&lt;1,"yes","no")</f>
        <v>no</v>
      </c>
      <c r="L40" s="27">
        <f>VLOOKUP(Table2[[#This Row],[prolific]],'Correct calc'!B$16:$AJ$998,6,FALSE)</f>
        <v>1</v>
      </c>
      <c r="M40" s="27">
        <f>VLOOKUP(Table2[[#This Row],[prolific]],'Correct calc'!B$16:$AJ$998,14,FALSE)</f>
        <v>0.83333333333333337</v>
      </c>
      <c r="N40" s="27">
        <f>VLOOKUP(Table2[[#This Row],[prolific]],'Correct calc'!B$16:$AJ1036,24,FALSE)</f>
        <v>0.875</v>
      </c>
      <c r="O40" s="27">
        <f>VLOOKUP(Table2[[#This Row],[prolific]],'Correct calc'!B$16:$AJ1036,34,FALSE)</f>
        <v>0.5</v>
      </c>
      <c r="P40" s="28">
        <f>VLOOKUP(Table2[[#This Row],[comprescore]],Table3[],2,FALSE)</f>
        <v>2</v>
      </c>
      <c r="Q40" s="16">
        <f>VLOOKUP(Table2[[#This Row],[prolific]],'Correct calc'!B$16:$AK$998,36,FALSE)</f>
        <v>16</v>
      </c>
      <c r="R40" s="16">
        <f>Table2[[#This Row],[interviewminutes]]</f>
        <v>10.6835</v>
      </c>
      <c r="S40" s="16">
        <f>Table2[[#This Row],[classifyTime]]+Table2[[#This Row],[explainTime]]+Table2[[#This Row],[validateTime]]</f>
        <v>8.634666666666666</v>
      </c>
      <c r="T40" s="29">
        <f>VLOOKUP(Table2[[#This Row],[prolific]],'Correct calc'!B$16:$AJ$998,35,FALSE)</f>
        <v>0.72727272727272729</v>
      </c>
      <c r="U40" s="15">
        <f>SUM(Table2[[#This Row],[priorKnowledge'[CLUSTERING']]:[priorKnowledge'[ZSCORES']]])/Table2[[#This Row],[priorKnowledgeTechQuestionCount]]</f>
        <v>1</v>
      </c>
      <c r="V40" s="16">
        <f>IF(Table2[[#This Row],[visualization]]="Wordcloud",2,3)</f>
        <v>2</v>
      </c>
      <c r="W40" s="31" t="s">
        <v>1054</v>
      </c>
      <c r="X40" s="31">
        <v>1</v>
      </c>
      <c r="Y40" s="31">
        <v>1</v>
      </c>
      <c r="Z40" s="31">
        <v>0</v>
      </c>
      <c r="AA40" s="31">
        <v>1</v>
      </c>
      <c r="AB40" s="31" t="s">
        <v>97</v>
      </c>
      <c r="AC40" s="31" t="s">
        <v>81</v>
      </c>
      <c r="AD40" s="31" t="s">
        <v>82</v>
      </c>
      <c r="AE40" s="31" t="s">
        <v>83</v>
      </c>
      <c r="AF40" s="31" t="s">
        <v>85</v>
      </c>
      <c r="AG40" s="31" t="s">
        <v>86</v>
      </c>
      <c r="AH40" s="31" t="s">
        <v>84</v>
      </c>
      <c r="AI40" s="31" t="s">
        <v>104</v>
      </c>
      <c r="AJ40" s="31" t="s">
        <v>86</v>
      </c>
      <c r="AK40" s="31" t="s">
        <v>88</v>
      </c>
      <c r="AL40" s="31" t="s">
        <v>87</v>
      </c>
      <c r="AM40" s="31" t="s">
        <v>105</v>
      </c>
      <c r="AN40" s="31" t="s">
        <v>90</v>
      </c>
      <c r="AO40" s="31" t="s">
        <v>83</v>
      </c>
      <c r="AP40" s="31" t="s">
        <v>85</v>
      </c>
      <c r="AQ40" s="31" t="s">
        <v>101</v>
      </c>
      <c r="AR40" s="31" t="s">
        <v>102</v>
      </c>
      <c r="AS40" s="31" t="s">
        <v>94</v>
      </c>
      <c r="AT40" s="31" t="s">
        <v>93</v>
      </c>
      <c r="AU40" s="31" t="s">
        <v>93</v>
      </c>
      <c r="AV40" s="31" t="s">
        <v>93</v>
      </c>
      <c r="AW40" s="31" t="s">
        <v>93</v>
      </c>
      <c r="AX40" s="31" t="s">
        <v>93</v>
      </c>
      <c r="AY40" s="31" t="s">
        <v>93</v>
      </c>
      <c r="AZ40" s="31" t="s">
        <v>94</v>
      </c>
      <c r="BA40" s="31" t="s">
        <v>106</v>
      </c>
      <c r="BB40" s="31" t="s">
        <v>341</v>
      </c>
      <c r="BC40" s="24"/>
      <c r="BD40" s="30">
        <f>Table2[[#This Row],[interviewtime]]/60</f>
        <v>10.6835</v>
      </c>
      <c r="BE40" s="31">
        <v>641.01</v>
      </c>
      <c r="BF40" s="31">
        <v>6.91</v>
      </c>
      <c r="BG40" s="31"/>
      <c r="BH40" s="31">
        <v>64.790000000000006</v>
      </c>
      <c r="BI40" s="31"/>
      <c r="BJ40" s="31"/>
      <c r="BK40" s="31"/>
      <c r="BL40" s="31"/>
      <c r="BM40" s="31">
        <v>251.73</v>
      </c>
      <c r="BN40" s="31"/>
      <c r="BO40" s="31"/>
      <c r="BP40" s="31"/>
      <c r="BQ40" s="31"/>
      <c r="BR40" s="31"/>
      <c r="BS40" s="31"/>
      <c r="BT40" s="31">
        <v>137.93</v>
      </c>
      <c r="BU40" s="31"/>
      <c r="BV40" s="31"/>
      <c r="BW40" s="31"/>
      <c r="BX40" s="31"/>
      <c r="BY40" s="31"/>
      <c r="BZ40" s="31"/>
      <c r="CA40" s="31"/>
      <c r="CB40" s="31"/>
      <c r="CC40" s="31">
        <v>128.41999999999999</v>
      </c>
      <c r="CD40" s="31"/>
      <c r="CE40" s="31"/>
      <c r="CF40" s="31"/>
      <c r="CG40" s="31"/>
      <c r="CH40" s="31"/>
      <c r="CI40" s="31"/>
      <c r="CJ40" s="31"/>
      <c r="CK40" s="31"/>
      <c r="CL40" s="31">
        <v>51.23</v>
      </c>
      <c r="CM40" s="31"/>
      <c r="CN40" s="31"/>
      <c r="CO40" s="24"/>
      <c r="CP40" s="24"/>
      <c r="CQ40" s="43">
        <f>Table2[[#This Row],[groupTime22]]/60</f>
        <v>4.1955</v>
      </c>
      <c r="CR40" s="43">
        <f>Table2[[#This Row],[groupTime23]]/60</f>
        <v>2.2988333333333335</v>
      </c>
      <c r="CS40" s="43">
        <f>Table2[[#This Row],[groupTime24]]/60</f>
        <v>2.140333333333333</v>
      </c>
    </row>
    <row r="41" spans="1:97" x14ac:dyDescent="0.25">
      <c r="A41" s="11" t="s">
        <v>352</v>
      </c>
      <c r="B41" s="11" t="s">
        <v>115</v>
      </c>
      <c r="C41" s="12">
        <v>49</v>
      </c>
      <c r="D41" s="12" t="s">
        <v>260</v>
      </c>
      <c r="E41" s="12">
        <v>6</v>
      </c>
      <c r="F41" s="12" t="s">
        <v>79</v>
      </c>
      <c r="G41" s="12">
        <v>950292166</v>
      </c>
      <c r="H41" s="12" t="s">
        <v>261</v>
      </c>
      <c r="I41" s="12" t="s">
        <v>260</v>
      </c>
      <c r="J41" s="12" t="s">
        <v>80</v>
      </c>
      <c r="K41" s="12" t="str">
        <f>IF(Table2[[#This Row],[priorSuccessRatio]]&lt;1,"yes","no")</f>
        <v>no</v>
      </c>
      <c r="L41" s="27">
        <f>VLOOKUP(Table2[[#This Row],[prolific]],'Correct calc'!B$16:$AJ$998,6,FALSE)</f>
        <v>1</v>
      </c>
      <c r="M41" s="27">
        <f>VLOOKUP(Table2[[#This Row],[prolific]],'Correct calc'!B$16:$AJ$998,14,FALSE)</f>
        <v>0.33333333333333331</v>
      </c>
      <c r="N41" s="27">
        <f>VLOOKUP(Table2[[#This Row],[prolific]],'Correct calc'!B$16:$AJ1037,24,FALSE)</f>
        <v>0.625</v>
      </c>
      <c r="O41" s="27">
        <f>VLOOKUP(Table2[[#This Row],[prolific]],'Correct calc'!B$16:$AJ1037,34,FALSE)</f>
        <v>0.5</v>
      </c>
      <c r="P41" s="28">
        <f>VLOOKUP(Table2[[#This Row],[comprescore]],Table3[],2,FALSE)</f>
        <v>5</v>
      </c>
      <c r="Q41" s="16">
        <f>VLOOKUP(Table2[[#This Row],[prolific]],'Correct calc'!B$16:$AK$998,36,FALSE)</f>
        <v>11</v>
      </c>
      <c r="R41" s="16">
        <f>Table2[[#This Row],[interviewminutes]]</f>
        <v>24.747333333333334</v>
      </c>
      <c r="S41" s="16">
        <f>Table2[[#This Row],[classifyTime]]+Table2[[#This Row],[explainTime]]+Table2[[#This Row],[validateTime]]</f>
        <v>20.736333333333331</v>
      </c>
      <c r="T41" s="29">
        <f>VLOOKUP(Table2[[#This Row],[prolific]],'Correct calc'!B$16:$AJ$998,35,FALSE)</f>
        <v>0.5</v>
      </c>
      <c r="U41" s="15">
        <f>SUM(Table2[[#This Row],[priorKnowledge'[CLUSTERING']]:[priorKnowledge'[ZSCORES']]])/Table2[[#This Row],[priorKnowledgeTechQuestionCount]]</f>
        <v>1</v>
      </c>
      <c r="V41" s="16">
        <f>IF(Table2[[#This Row],[visualization]]="Wordcloud",2,3)</f>
        <v>2</v>
      </c>
      <c r="W41" s="31" t="s">
        <v>1055</v>
      </c>
      <c r="X41" s="31">
        <v>1</v>
      </c>
      <c r="Y41" s="31">
        <v>1</v>
      </c>
      <c r="Z41" s="31">
        <v>0</v>
      </c>
      <c r="AA41" s="31">
        <v>2</v>
      </c>
      <c r="AB41" s="31" t="s">
        <v>97</v>
      </c>
      <c r="AC41" s="31" t="s">
        <v>81</v>
      </c>
      <c r="AD41" s="31" t="s">
        <v>82</v>
      </c>
      <c r="AE41" s="31" t="s">
        <v>85</v>
      </c>
      <c r="AF41" s="31" t="s">
        <v>83</v>
      </c>
      <c r="AG41" s="31" t="s">
        <v>98</v>
      </c>
      <c r="AH41" s="31" t="s">
        <v>84</v>
      </c>
      <c r="AI41" s="31" t="s">
        <v>104</v>
      </c>
      <c r="AJ41" s="31" t="s">
        <v>86</v>
      </c>
      <c r="AK41" s="31" t="s">
        <v>88</v>
      </c>
      <c r="AL41" s="31" t="s">
        <v>87</v>
      </c>
      <c r="AM41" s="31" t="s">
        <v>285</v>
      </c>
      <c r="AN41" s="31" t="s">
        <v>278</v>
      </c>
      <c r="AO41" s="31" t="s">
        <v>83</v>
      </c>
      <c r="AP41" s="31" t="s">
        <v>104</v>
      </c>
      <c r="AQ41" s="31" t="s">
        <v>91</v>
      </c>
      <c r="AR41" s="31" t="s">
        <v>102</v>
      </c>
      <c r="AS41" s="31" t="s">
        <v>94</v>
      </c>
      <c r="AT41" s="31" t="s">
        <v>93</v>
      </c>
      <c r="AU41" s="31" t="s">
        <v>94</v>
      </c>
      <c r="AV41" s="31" t="s">
        <v>93</v>
      </c>
      <c r="AW41" s="31" t="s">
        <v>93</v>
      </c>
      <c r="AX41" s="31" t="s">
        <v>94</v>
      </c>
      <c r="AY41" s="31" t="s">
        <v>93</v>
      </c>
      <c r="AZ41" s="31" t="s">
        <v>94</v>
      </c>
      <c r="BA41" s="31" t="s">
        <v>110</v>
      </c>
      <c r="BB41" s="31" t="s">
        <v>343</v>
      </c>
      <c r="BC41" s="24"/>
      <c r="BD41" s="30">
        <f>Table2[[#This Row],[interviewtime]]/60</f>
        <v>24.747333333333334</v>
      </c>
      <c r="BE41" s="31">
        <v>1484.84</v>
      </c>
      <c r="BF41" s="31">
        <v>15.35</v>
      </c>
      <c r="BG41" s="31"/>
      <c r="BH41" s="31">
        <v>96.56</v>
      </c>
      <c r="BI41" s="31"/>
      <c r="BJ41" s="31"/>
      <c r="BK41" s="31"/>
      <c r="BL41" s="31"/>
      <c r="BM41" s="31">
        <v>809.01</v>
      </c>
      <c r="BN41" s="31"/>
      <c r="BO41" s="31"/>
      <c r="BP41" s="31"/>
      <c r="BQ41" s="31"/>
      <c r="BR41" s="31"/>
      <c r="BS41" s="31"/>
      <c r="BT41" s="31">
        <v>247.91</v>
      </c>
      <c r="BU41" s="31"/>
      <c r="BV41" s="31"/>
      <c r="BW41" s="31"/>
      <c r="BX41" s="31"/>
      <c r="BY41" s="31"/>
      <c r="BZ41" s="31"/>
      <c r="CA41" s="31"/>
      <c r="CB41" s="31"/>
      <c r="CC41" s="31">
        <v>187.26</v>
      </c>
      <c r="CD41" s="31"/>
      <c r="CE41" s="31"/>
      <c r="CF41" s="31"/>
      <c r="CG41" s="31"/>
      <c r="CH41" s="31"/>
      <c r="CI41" s="31"/>
      <c r="CJ41" s="31"/>
      <c r="CK41" s="31"/>
      <c r="CL41" s="31">
        <v>128.75</v>
      </c>
      <c r="CM41" s="31"/>
      <c r="CN41" s="31"/>
      <c r="CO41" s="24"/>
      <c r="CP41" s="24"/>
      <c r="CQ41" s="43">
        <f>Table2[[#This Row],[groupTime22]]/60</f>
        <v>13.483499999999999</v>
      </c>
      <c r="CR41" s="43">
        <f>Table2[[#This Row],[groupTime23]]/60</f>
        <v>4.1318333333333337</v>
      </c>
      <c r="CS41" s="43">
        <f>Table2[[#This Row],[groupTime24]]/60</f>
        <v>3.121</v>
      </c>
    </row>
    <row r="42" spans="1:97" x14ac:dyDescent="0.25">
      <c r="A42" s="11" t="s">
        <v>352</v>
      </c>
      <c r="B42" s="11" t="s">
        <v>115</v>
      </c>
      <c r="C42" s="12">
        <v>50</v>
      </c>
      <c r="D42" s="12" t="s">
        <v>262</v>
      </c>
      <c r="E42" s="12">
        <v>6</v>
      </c>
      <c r="F42" s="12" t="s">
        <v>79</v>
      </c>
      <c r="G42" s="12">
        <v>1318853239</v>
      </c>
      <c r="H42" s="12" t="s">
        <v>263</v>
      </c>
      <c r="I42" s="12" t="s">
        <v>262</v>
      </c>
      <c r="J42" s="12" t="s">
        <v>80</v>
      </c>
      <c r="K42" s="12" t="str">
        <f>IF(Table2[[#This Row],[priorSuccessRatio]]&lt;1,"yes","no")</f>
        <v>no</v>
      </c>
      <c r="L42" s="27">
        <f>VLOOKUP(Table2[[#This Row],[prolific]],'Correct calc'!B$16:$AJ$998,6,FALSE)</f>
        <v>1</v>
      </c>
      <c r="M42" s="27">
        <f>VLOOKUP(Table2[[#This Row],[prolific]],'Correct calc'!B$16:$AJ$998,14,FALSE)</f>
        <v>0.5</v>
      </c>
      <c r="N42" s="27">
        <f>VLOOKUP(Table2[[#This Row],[prolific]],'Correct calc'!B$16:$AJ1038,24,FALSE)</f>
        <v>0.75</v>
      </c>
      <c r="O42" s="27">
        <f>VLOOKUP(Table2[[#This Row],[prolific]],'Correct calc'!B$16:$AJ1038,34,FALSE)</f>
        <v>0.375</v>
      </c>
      <c r="P42" s="28">
        <f>VLOOKUP(Table2[[#This Row],[comprescore]],Table3[],2,FALSE)</f>
        <v>4</v>
      </c>
      <c r="Q42" s="16">
        <f>VLOOKUP(Table2[[#This Row],[prolific]],'Correct calc'!B$16:$AK$998,36,FALSE)</f>
        <v>12</v>
      </c>
      <c r="R42" s="16">
        <f>Table2[[#This Row],[interviewminutes]]</f>
        <v>8.3495000000000008</v>
      </c>
      <c r="S42" s="16">
        <f>Table2[[#This Row],[classifyTime]]+Table2[[#This Row],[explainTime]]+Table2[[#This Row],[validateTime]]</f>
        <v>5.5265000000000004</v>
      </c>
      <c r="T42" s="29">
        <f>VLOOKUP(Table2[[#This Row],[prolific]],'Correct calc'!B$16:$AJ$998,35,FALSE)</f>
        <v>0.54545454545454541</v>
      </c>
      <c r="U42" s="15">
        <f>SUM(Table2[[#This Row],[priorKnowledge'[CLUSTERING']]:[priorKnowledge'[ZSCORES']]])/Table2[[#This Row],[priorKnowledgeTechQuestionCount]]</f>
        <v>1.5</v>
      </c>
      <c r="V42" s="16">
        <f>IF(Table2[[#This Row],[visualization]]="Wordcloud",2,3)</f>
        <v>2</v>
      </c>
      <c r="W42" s="31" t="s">
        <v>1056</v>
      </c>
      <c r="X42" s="31">
        <v>2</v>
      </c>
      <c r="Y42" s="31">
        <v>1</v>
      </c>
      <c r="Z42" s="31">
        <v>0</v>
      </c>
      <c r="AA42" s="31">
        <v>1</v>
      </c>
      <c r="AB42" s="31" t="s">
        <v>97</v>
      </c>
      <c r="AC42" s="31" t="s">
        <v>81</v>
      </c>
      <c r="AD42" s="31" t="s">
        <v>82</v>
      </c>
      <c r="AE42" s="31" t="s">
        <v>83</v>
      </c>
      <c r="AF42" s="31" t="s">
        <v>85</v>
      </c>
      <c r="AG42" s="31" t="s">
        <v>104</v>
      </c>
      <c r="AH42" s="31" t="s">
        <v>84</v>
      </c>
      <c r="AI42" s="31" t="s">
        <v>85</v>
      </c>
      <c r="AJ42" s="31" t="s">
        <v>104</v>
      </c>
      <c r="AK42" s="31" t="s">
        <v>88</v>
      </c>
      <c r="AL42" s="31" t="s">
        <v>87</v>
      </c>
      <c r="AM42" s="31" t="s">
        <v>105</v>
      </c>
      <c r="AN42" s="31" t="s">
        <v>90</v>
      </c>
      <c r="AO42" s="31" t="s">
        <v>83</v>
      </c>
      <c r="AP42" s="31" t="s">
        <v>85</v>
      </c>
      <c r="AQ42" s="31" t="s">
        <v>101</v>
      </c>
      <c r="AR42" s="31" t="s">
        <v>91</v>
      </c>
      <c r="AS42" s="31" t="s">
        <v>94</v>
      </c>
      <c r="AT42" s="31" t="s">
        <v>94</v>
      </c>
      <c r="AU42" s="31" t="s">
        <v>94</v>
      </c>
      <c r="AV42" s="31" t="s">
        <v>93</v>
      </c>
      <c r="AW42" s="31" t="s">
        <v>93</v>
      </c>
      <c r="AX42" s="31" t="s">
        <v>94</v>
      </c>
      <c r="AY42" s="31" t="s">
        <v>93</v>
      </c>
      <c r="AZ42" s="31" t="s">
        <v>94</v>
      </c>
      <c r="BA42" s="31" t="s">
        <v>103</v>
      </c>
      <c r="BB42" s="31" t="s">
        <v>345</v>
      </c>
      <c r="BC42" s="24"/>
      <c r="BD42" s="30">
        <f>Table2[[#This Row],[interviewtime]]/60</f>
        <v>8.3495000000000008</v>
      </c>
      <c r="BE42" s="31">
        <v>500.97</v>
      </c>
      <c r="BF42" s="31">
        <v>4.05</v>
      </c>
      <c r="BG42" s="31"/>
      <c r="BH42" s="31">
        <v>101.06</v>
      </c>
      <c r="BI42" s="31"/>
      <c r="BJ42" s="31"/>
      <c r="BK42" s="31"/>
      <c r="BL42" s="31"/>
      <c r="BM42" s="31">
        <v>97.59</v>
      </c>
      <c r="BN42" s="31"/>
      <c r="BO42" s="31"/>
      <c r="BP42" s="31"/>
      <c r="BQ42" s="31"/>
      <c r="BR42" s="31"/>
      <c r="BS42" s="31"/>
      <c r="BT42" s="31">
        <v>123.13</v>
      </c>
      <c r="BU42" s="31"/>
      <c r="BV42" s="31"/>
      <c r="BW42" s="31"/>
      <c r="BX42" s="31"/>
      <c r="BY42" s="31"/>
      <c r="BZ42" s="31"/>
      <c r="CA42" s="31"/>
      <c r="CB42" s="31"/>
      <c r="CC42" s="31">
        <v>110.87</v>
      </c>
      <c r="CD42" s="31"/>
      <c r="CE42" s="31"/>
      <c r="CF42" s="31"/>
      <c r="CG42" s="31"/>
      <c r="CH42" s="31"/>
      <c r="CI42" s="31"/>
      <c r="CJ42" s="31"/>
      <c r="CK42" s="31"/>
      <c r="CL42" s="31">
        <v>64.27</v>
      </c>
      <c r="CM42" s="31"/>
      <c r="CN42" s="31"/>
      <c r="CO42" s="24"/>
      <c r="CP42" s="24"/>
      <c r="CQ42" s="43">
        <f>Table2[[#This Row],[groupTime22]]/60</f>
        <v>1.6265000000000001</v>
      </c>
      <c r="CR42" s="43">
        <f>Table2[[#This Row],[groupTime23]]/60</f>
        <v>2.0521666666666665</v>
      </c>
      <c r="CS42" s="43">
        <f>Table2[[#This Row],[groupTime24]]/60</f>
        <v>1.8478333333333334</v>
      </c>
    </row>
    <row r="43" spans="1:97" x14ac:dyDescent="0.25">
      <c r="A43" s="11" t="s">
        <v>352</v>
      </c>
      <c r="B43" s="11" t="s">
        <v>115</v>
      </c>
      <c r="C43" s="12">
        <v>51</v>
      </c>
      <c r="D43" s="12" t="s">
        <v>264</v>
      </c>
      <c r="E43" s="12">
        <v>6</v>
      </c>
      <c r="F43" s="12" t="s">
        <v>79</v>
      </c>
      <c r="G43" s="12">
        <v>423943923</v>
      </c>
      <c r="H43" s="12" t="s">
        <v>265</v>
      </c>
      <c r="I43" s="12" t="s">
        <v>264</v>
      </c>
      <c r="J43" s="12" t="s">
        <v>80</v>
      </c>
      <c r="K43" s="12" t="str">
        <f>IF(Table2[[#This Row],[priorSuccessRatio]]&lt;1,"yes","no")</f>
        <v>no</v>
      </c>
      <c r="L43" s="27">
        <f>VLOOKUP(Table2[[#This Row],[prolific]],'Correct calc'!B$16:$AJ$998,6,FALSE)</f>
        <v>1</v>
      </c>
      <c r="M43" s="27">
        <f>VLOOKUP(Table2[[#This Row],[prolific]],'Correct calc'!B$16:$AJ$998,14,FALSE)</f>
        <v>0.5</v>
      </c>
      <c r="N43" s="27">
        <f>VLOOKUP(Table2[[#This Row],[prolific]],'Correct calc'!B$16:$AJ1039,24,FALSE)</f>
        <v>0.375</v>
      </c>
      <c r="O43" s="27">
        <f>VLOOKUP(Table2[[#This Row],[prolific]],'Correct calc'!B$16:$AJ1039,34,FALSE)</f>
        <v>0.375</v>
      </c>
      <c r="P43" s="28">
        <f>VLOOKUP(Table2[[#This Row],[comprescore]],Table3[],2,FALSE)</f>
        <v>2</v>
      </c>
      <c r="Q43" s="16">
        <f>VLOOKUP(Table2[[#This Row],[prolific]],'Correct calc'!B$16:$AK$998,36,FALSE)</f>
        <v>9</v>
      </c>
      <c r="R43" s="16">
        <f>Table2[[#This Row],[interviewminutes]]</f>
        <v>10.238166666666666</v>
      </c>
      <c r="S43" s="16">
        <f>Table2[[#This Row],[classifyTime]]+Table2[[#This Row],[explainTime]]+Table2[[#This Row],[validateTime]]</f>
        <v>8.3993333333333347</v>
      </c>
      <c r="T43" s="29">
        <f>VLOOKUP(Table2[[#This Row],[prolific]],'Correct calc'!B$16:$AJ$998,35,FALSE)</f>
        <v>0.40909090909090912</v>
      </c>
      <c r="U43" s="15">
        <f>SUM(Table2[[#This Row],[priorKnowledge'[CLUSTERING']]:[priorKnowledge'[ZSCORES']]])/Table2[[#This Row],[priorKnowledgeTechQuestionCount]]</f>
        <v>4</v>
      </c>
      <c r="V43" s="16">
        <f>IF(Table2[[#This Row],[visualization]]="Wordcloud",2,3)</f>
        <v>2</v>
      </c>
      <c r="W43" s="31" t="s">
        <v>1057</v>
      </c>
      <c r="X43" s="31">
        <v>2</v>
      </c>
      <c r="Y43" s="31">
        <v>6</v>
      </c>
      <c r="Z43" s="31">
        <v>0</v>
      </c>
      <c r="AA43" s="31">
        <v>4</v>
      </c>
      <c r="AB43" s="31" t="s">
        <v>97</v>
      </c>
      <c r="AC43" s="31" t="s">
        <v>81</v>
      </c>
      <c r="AD43" s="31" t="s">
        <v>82</v>
      </c>
      <c r="AE43" s="31" t="s">
        <v>83</v>
      </c>
      <c r="AF43" s="31" t="s">
        <v>104</v>
      </c>
      <c r="AG43" s="31" t="s">
        <v>98</v>
      </c>
      <c r="AH43" s="31" t="s">
        <v>84</v>
      </c>
      <c r="AI43" s="31" t="s">
        <v>104</v>
      </c>
      <c r="AJ43" s="31" t="s">
        <v>83</v>
      </c>
      <c r="AK43" s="31" t="s">
        <v>88</v>
      </c>
      <c r="AL43" s="31" t="s">
        <v>87</v>
      </c>
      <c r="AM43" s="31" t="s">
        <v>285</v>
      </c>
      <c r="AN43" s="31" t="s">
        <v>278</v>
      </c>
      <c r="AO43" s="31" t="s">
        <v>83</v>
      </c>
      <c r="AP43" s="31" t="s">
        <v>104</v>
      </c>
      <c r="AQ43" s="31" t="s">
        <v>101</v>
      </c>
      <c r="AR43" s="31" t="s">
        <v>101</v>
      </c>
      <c r="AS43" s="31" t="s">
        <v>93</v>
      </c>
      <c r="AT43" s="31" t="s">
        <v>93</v>
      </c>
      <c r="AU43" s="31" t="s">
        <v>94</v>
      </c>
      <c r="AV43" s="31" t="s">
        <v>93</v>
      </c>
      <c r="AW43" s="31" t="s">
        <v>93</v>
      </c>
      <c r="AX43" s="31" t="s">
        <v>94</v>
      </c>
      <c r="AY43" s="31" t="s">
        <v>93</v>
      </c>
      <c r="AZ43" s="31" t="s">
        <v>94</v>
      </c>
      <c r="BA43" s="31" t="s">
        <v>106</v>
      </c>
      <c r="BB43" s="31" t="s">
        <v>347</v>
      </c>
      <c r="BC43" s="24"/>
      <c r="BD43" s="30">
        <f>Table2[[#This Row],[interviewtime]]/60</f>
        <v>10.238166666666666</v>
      </c>
      <c r="BE43" s="31">
        <v>614.29</v>
      </c>
      <c r="BF43" s="31">
        <v>18.190000000000001</v>
      </c>
      <c r="BG43" s="31"/>
      <c r="BH43" s="31">
        <v>29.02</v>
      </c>
      <c r="BI43" s="31"/>
      <c r="BJ43" s="31"/>
      <c r="BK43" s="31"/>
      <c r="BL43" s="31"/>
      <c r="BM43" s="31">
        <v>205.33</v>
      </c>
      <c r="BN43" s="31"/>
      <c r="BO43" s="31"/>
      <c r="BP43" s="31"/>
      <c r="BQ43" s="31"/>
      <c r="BR43" s="31"/>
      <c r="BS43" s="31"/>
      <c r="BT43" s="31">
        <v>162.61000000000001</v>
      </c>
      <c r="BU43" s="31"/>
      <c r="BV43" s="31"/>
      <c r="BW43" s="31"/>
      <c r="BX43" s="31"/>
      <c r="BY43" s="31"/>
      <c r="BZ43" s="31"/>
      <c r="CA43" s="31"/>
      <c r="CB43" s="31"/>
      <c r="CC43" s="31">
        <v>136.02000000000001</v>
      </c>
      <c r="CD43" s="31"/>
      <c r="CE43" s="31"/>
      <c r="CF43" s="31"/>
      <c r="CG43" s="31"/>
      <c r="CH43" s="31"/>
      <c r="CI43" s="31"/>
      <c r="CJ43" s="31"/>
      <c r="CK43" s="31"/>
      <c r="CL43" s="31">
        <v>63.12</v>
      </c>
      <c r="CM43" s="31"/>
      <c r="CN43" s="31"/>
      <c r="CO43" s="24"/>
      <c r="CP43" s="24"/>
      <c r="CQ43" s="43">
        <f>Table2[[#This Row],[groupTime22]]/60</f>
        <v>3.422166666666667</v>
      </c>
      <c r="CR43" s="43">
        <f>Table2[[#This Row],[groupTime23]]/60</f>
        <v>2.7101666666666668</v>
      </c>
      <c r="CS43" s="43">
        <f>Table2[[#This Row],[groupTime24]]/60</f>
        <v>2.2670000000000003</v>
      </c>
    </row>
    <row r="44" spans="1:97" x14ac:dyDescent="0.25">
      <c r="A44" s="11" t="s">
        <v>352</v>
      </c>
      <c r="B44" s="11" t="s">
        <v>115</v>
      </c>
      <c r="C44" s="12">
        <v>52</v>
      </c>
      <c r="D44" s="12" t="s">
        <v>266</v>
      </c>
      <c r="E44" s="12">
        <v>6</v>
      </c>
      <c r="F44" s="12" t="s">
        <v>79</v>
      </c>
      <c r="G44" s="12">
        <v>1254182669</v>
      </c>
      <c r="H44" s="12" t="s">
        <v>267</v>
      </c>
      <c r="I44" s="12" t="s">
        <v>266</v>
      </c>
      <c r="J44" s="12" t="s">
        <v>80</v>
      </c>
      <c r="K44" s="12" t="str">
        <f>IF(Table2[[#This Row],[priorSuccessRatio]]&lt;1,"yes","no")</f>
        <v>no</v>
      </c>
      <c r="L44" s="27">
        <f>VLOOKUP(Table2[[#This Row],[prolific]],'Correct calc'!B$16:$AJ$998,6,FALSE)</f>
        <v>1</v>
      </c>
      <c r="M44" s="27">
        <f>VLOOKUP(Table2[[#This Row],[prolific]],'Correct calc'!B$16:$AJ$998,14,FALSE)</f>
        <v>1</v>
      </c>
      <c r="N44" s="27">
        <f>VLOOKUP(Table2[[#This Row],[prolific]],'Correct calc'!B$16:$AJ1040,24,FALSE)</f>
        <v>1</v>
      </c>
      <c r="O44" s="27">
        <f>VLOOKUP(Table2[[#This Row],[prolific]],'Correct calc'!B$16:$AJ1040,34,FALSE)</f>
        <v>0.375</v>
      </c>
      <c r="P44" s="28">
        <f>VLOOKUP(Table2[[#This Row],[comprescore]],Table3[],2,FALSE)</f>
        <v>3</v>
      </c>
      <c r="Q44" s="16">
        <f>VLOOKUP(Table2[[#This Row],[prolific]],'Correct calc'!B$16:$AK$998,36,FALSE)</f>
        <v>17</v>
      </c>
      <c r="R44" s="16">
        <f>Table2[[#This Row],[interviewminutes]]</f>
        <v>14.545666666666667</v>
      </c>
      <c r="S44" s="16">
        <f>Table2[[#This Row],[classifyTime]]+Table2[[#This Row],[explainTime]]+Table2[[#This Row],[validateTime]]</f>
        <v>12.382166666666667</v>
      </c>
      <c r="T44" s="29">
        <f>VLOOKUP(Table2[[#This Row],[prolific]],'Correct calc'!B$16:$AJ$998,35,FALSE)</f>
        <v>0.77272727272727271</v>
      </c>
      <c r="U44" s="15">
        <f>SUM(Table2[[#This Row],[priorKnowledge'[CLUSTERING']]:[priorKnowledge'[ZSCORES']]])/Table2[[#This Row],[priorKnowledgeTechQuestionCount]]</f>
        <v>2.5</v>
      </c>
      <c r="V44" s="16">
        <f>IF(Table2[[#This Row],[visualization]]="Wordcloud",2,3)</f>
        <v>2</v>
      </c>
      <c r="W44" s="31" t="s">
        <v>1058</v>
      </c>
      <c r="X44" s="31">
        <v>2</v>
      </c>
      <c r="Y44" s="31">
        <v>3</v>
      </c>
      <c r="Z44" s="31">
        <v>0</v>
      </c>
      <c r="AA44" s="31">
        <v>5</v>
      </c>
      <c r="AB44" s="31" t="s">
        <v>97</v>
      </c>
      <c r="AC44" s="31" t="s">
        <v>81</v>
      </c>
      <c r="AD44" s="31" t="s">
        <v>82</v>
      </c>
      <c r="AE44" s="31" t="s">
        <v>83</v>
      </c>
      <c r="AF44" s="31" t="s">
        <v>85</v>
      </c>
      <c r="AG44" s="31" t="s">
        <v>86</v>
      </c>
      <c r="AH44" s="31" t="s">
        <v>84</v>
      </c>
      <c r="AI44" s="31" t="s">
        <v>104</v>
      </c>
      <c r="AJ44" s="31" t="s">
        <v>98</v>
      </c>
      <c r="AK44" s="31" t="s">
        <v>88</v>
      </c>
      <c r="AL44" s="31" t="s">
        <v>87</v>
      </c>
      <c r="AM44" s="31" t="s">
        <v>105</v>
      </c>
      <c r="AN44" s="31" t="s">
        <v>90</v>
      </c>
      <c r="AO44" s="31" t="s">
        <v>83</v>
      </c>
      <c r="AP44" s="31" t="s">
        <v>85</v>
      </c>
      <c r="AQ44" s="31" t="s">
        <v>91</v>
      </c>
      <c r="AR44" s="31" t="s">
        <v>102</v>
      </c>
      <c r="AS44" s="31" t="s">
        <v>94</v>
      </c>
      <c r="AT44" s="31" t="s">
        <v>93</v>
      </c>
      <c r="AU44" s="31" t="s">
        <v>93</v>
      </c>
      <c r="AV44" s="31" t="s">
        <v>93</v>
      </c>
      <c r="AW44" s="31" t="s">
        <v>93</v>
      </c>
      <c r="AX44" s="31" t="s">
        <v>94</v>
      </c>
      <c r="AY44" s="31" t="s">
        <v>93</v>
      </c>
      <c r="AZ44" s="31" t="s">
        <v>94</v>
      </c>
      <c r="BA44" s="31" t="s">
        <v>107</v>
      </c>
      <c r="BB44" s="31" t="s">
        <v>349</v>
      </c>
      <c r="BC44" s="24"/>
      <c r="BD44" s="30">
        <f>Table2[[#This Row],[interviewtime]]/60</f>
        <v>14.545666666666667</v>
      </c>
      <c r="BE44" s="31">
        <v>872.74</v>
      </c>
      <c r="BF44" s="31">
        <v>17.989999999999998</v>
      </c>
      <c r="BG44" s="31"/>
      <c r="BH44" s="31">
        <v>38.36</v>
      </c>
      <c r="BI44" s="31"/>
      <c r="BJ44" s="31"/>
      <c r="BK44" s="31"/>
      <c r="BL44" s="31"/>
      <c r="BM44" s="31">
        <v>378.37</v>
      </c>
      <c r="BN44" s="31"/>
      <c r="BO44" s="31"/>
      <c r="BP44" s="31"/>
      <c r="BQ44" s="31"/>
      <c r="BR44" s="31"/>
      <c r="BS44" s="31"/>
      <c r="BT44" s="31">
        <v>238.47</v>
      </c>
      <c r="BU44" s="31"/>
      <c r="BV44" s="31"/>
      <c r="BW44" s="31"/>
      <c r="BX44" s="31"/>
      <c r="BY44" s="31"/>
      <c r="BZ44" s="31"/>
      <c r="CA44" s="31"/>
      <c r="CB44" s="31"/>
      <c r="CC44" s="31">
        <v>126.09</v>
      </c>
      <c r="CD44" s="31"/>
      <c r="CE44" s="31"/>
      <c r="CF44" s="31"/>
      <c r="CG44" s="31"/>
      <c r="CH44" s="31"/>
      <c r="CI44" s="31"/>
      <c r="CJ44" s="31"/>
      <c r="CK44" s="31"/>
      <c r="CL44" s="31">
        <v>73.459999999999994</v>
      </c>
      <c r="CM44" s="31"/>
      <c r="CN44" s="31"/>
      <c r="CO44" s="24"/>
      <c r="CP44" s="24"/>
      <c r="CQ44" s="43">
        <f>Table2[[#This Row],[groupTime22]]/60</f>
        <v>6.3061666666666669</v>
      </c>
      <c r="CR44" s="43">
        <f>Table2[[#This Row],[groupTime23]]/60</f>
        <v>3.9744999999999999</v>
      </c>
      <c r="CS44" s="43">
        <f>Table2[[#This Row],[groupTime24]]/60</f>
        <v>2.1015000000000001</v>
      </c>
    </row>
    <row r="45" spans="1:97" x14ac:dyDescent="0.25">
      <c r="A45" s="11" t="s">
        <v>352</v>
      </c>
      <c r="B45" s="11" t="s">
        <v>115</v>
      </c>
      <c r="C45" s="12">
        <v>53</v>
      </c>
      <c r="D45" s="12" t="s">
        <v>268</v>
      </c>
      <c r="E45" s="12">
        <v>6</v>
      </c>
      <c r="F45" s="12" t="s">
        <v>79</v>
      </c>
      <c r="G45" s="12">
        <v>974368670</v>
      </c>
      <c r="H45" s="12" t="s">
        <v>269</v>
      </c>
      <c r="I45" s="12" t="s">
        <v>268</v>
      </c>
      <c r="J45" s="12" t="s">
        <v>80</v>
      </c>
      <c r="K45" s="12" t="str">
        <f>IF(Table2[[#This Row],[priorSuccessRatio]]&lt;1,"yes","no")</f>
        <v>no</v>
      </c>
      <c r="L45" s="27">
        <f>VLOOKUP(Table2[[#This Row],[prolific]],'Correct calc'!B$16:$AJ$998,6,FALSE)</f>
        <v>1</v>
      </c>
      <c r="M45" s="27">
        <f>VLOOKUP(Table2[[#This Row],[prolific]],'Correct calc'!B$16:$AJ$998,14,FALSE)</f>
        <v>0.83333333333333337</v>
      </c>
      <c r="N45" s="27">
        <f>VLOOKUP(Table2[[#This Row],[prolific]],'Correct calc'!B$16:$AJ1041,24,FALSE)</f>
        <v>1</v>
      </c>
      <c r="O45" s="27">
        <f>VLOOKUP(Table2[[#This Row],[prolific]],'Correct calc'!B$16:$AJ1041,34,FALSE)</f>
        <v>0.5</v>
      </c>
      <c r="P45" s="28">
        <f>VLOOKUP(Table2[[#This Row],[comprescore]],Table3[],2,FALSE)</f>
        <v>2</v>
      </c>
      <c r="Q45" s="16">
        <f>VLOOKUP(Table2[[#This Row],[prolific]],'Correct calc'!B$16:$AK$998,36,FALSE)</f>
        <v>17</v>
      </c>
      <c r="R45" s="16">
        <f>Table2[[#This Row],[interviewminutes]]</f>
        <v>11.526333333333334</v>
      </c>
      <c r="S45" s="16">
        <f>Table2[[#This Row],[classifyTime]]+Table2[[#This Row],[explainTime]]+Table2[[#This Row],[validateTime]]</f>
        <v>9.9156666666666666</v>
      </c>
      <c r="T45" s="29">
        <f>VLOOKUP(Table2[[#This Row],[prolific]],'Correct calc'!B$16:$AJ$998,35,FALSE)</f>
        <v>0.77272727272727271</v>
      </c>
      <c r="U45" s="15">
        <f>SUM(Table2[[#This Row],[priorKnowledge'[CLUSTERING']]:[priorKnowledge'[ZSCORES']]])/Table2[[#This Row],[priorKnowledgeTechQuestionCount]]</f>
        <v>2</v>
      </c>
      <c r="V45" s="16">
        <f>IF(Table2[[#This Row],[visualization]]="Wordcloud",2,3)</f>
        <v>2</v>
      </c>
      <c r="W45" s="31" t="s">
        <v>1059</v>
      </c>
      <c r="X45" s="31">
        <v>2</v>
      </c>
      <c r="Y45" s="31">
        <v>2</v>
      </c>
      <c r="Z45" s="31">
        <v>0</v>
      </c>
      <c r="AA45" s="31">
        <v>3</v>
      </c>
      <c r="AB45" s="31" t="s">
        <v>97</v>
      </c>
      <c r="AC45" s="31" t="s">
        <v>81</v>
      </c>
      <c r="AD45" s="31" t="s">
        <v>82</v>
      </c>
      <c r="AE45" s="31" t="s">
        <v>83</v>
      </c>
      <c r="AF45" s="31" t="s">
        <v>85</v>
      </c>
      <c r="AG45" s="31" t="s">
        <v>86</v>
      </c>
      <c r="AH45" s="31" t="s">
        <v>84</v>
      </c>
      <c r="AI45" s="31" t="s">
        <v>85</v>
      </c>
      <c r="AJ45" s="31" t="s">
        <v>98</v>
      </c>
      <c r="AK45" s="31" t="s">
        <v>88</v>
      </c>
      <c r="AL45" s="31" t="s">
        <v>87</v>
      </c>
      <c r="AM45" s="31" t="s">
        <v>105</v>
      </c>
      <c r="AN45" s="31" t="s">
        <v>90</v>
      </c>
      <c r="AO45" s="31" t="s">
        <v>83</v>
      </c>
      <c r="AP45" s="31" t="s">
        <v>85</v>
      </c>
      <c r="AQ45" s="31" t="s">
        <v>91</v>
      </c>
      <c r="AR45" s="31" t="s">
        <v>102</v>
      </c>
      <c r="AS45" s="31" t="s">
        <v>94</v>
      </c>
      <c r="AT45" s="31" t="s">
        <v>93</v>
      </c>
      <c r="AU45" s="31" t="s">
        <v>94</v>
      </c>
      <c r="AV45" s="31" t="s">
        <v>93</v>
      </c>
      <c r="AW45" s="31" t="s">
        <v>93</v>
      </c>
      <c r="AX45" s="31" t="s">
        <v>94</v>
      </c>
      <c r="AY45" s="31" t="s">
        <v>93</v>
      </c>
      <c r="AZ45" s="31" t="s">
        <v>94</v>
      </c>
      <c r="BA45" s="31" t="s">
        <v>106</v>
      </c>
      <c r="BB45" s="31" t="s">
        <v>351</v>
      </c>
      <c r="BC45" s="24"/>
      <c r="BD45" s="30">
        <f>Table2[[#This Row],[interviewtime]]/60</f>
        <v>11.526333333333334</v>
      </c>
      <c r="BE45" s="31">
        <v>691.58</v>
      </c>
      <c r="BF45" s="31">
        <v>4.37</v>
      </c>
      <c r="BG45" s="31"/>
      <c r="BH45" s="31">
        <v>27.7</v>
      </c>
      <c r="BI45" s="31"/>
      <c r="BJ45" s="31"/>
      <c r="BK45" s="31"/>
      <c r="BL45" s="31"/>
      <c r="BM45" s="31">
        <v>279.89</v>
      </c>
      <c r="BN45" s="31"/>
      <c r="BO45" s="31"/>
      <c r="BP45" s="31"/>
      <c r="BQ45" s="31"/>
      <c r="BR45" s="31"/>
      <c r="BS45" s="31"/>
      <c r="BT45" s="31">
        <v>145.78</v>
      </c>
      <c r="BU45" s="31"/>
      <c r="BV45" s="31"/>
      <c r="BW45" s="31"/>
      <c r="BX45" s="31"/>
      <c r="BY45" s="31"/>
      <c r="BZ45" s="31"/>
      <c r="CA45" s="31"/>
      <c r="CB45" s="31"/>
      <c r="CC45" s="31">
        <v>169.27</v>
      </c>
      <c r="CD45" s="31"/>
      <c r="CE45" s="31"/>
      <c r="CF45" s="31"/>
      <c r="CG45" s="31"/>
      <c r="CH45" s="31"/>
      <c r="CI45" s="31"/>
      <c r="CJ45" s="31"/>
      <c r="CK45" s="31"/>
      <c r="CL45" s="31">
        <v>64.569999999999993</v>
      </c>
      <c r="CM45" s="31"/>
      <c r="CN45" s="31"/>
      <c r="CO45" s="24"/>
      <c r="CP45" s="24"/>
      <c r="CQ45" s="43">
        <f>Table2[[#This Row],[groupTime22]]/60</f>
        <v>4.6648333333333332</v>
      </c>
      <c r="CR45" s="43">
        <f>Table2[[#This Row],[groupTime23]]/60</f>
        <v>2.4296666666666669</v>
      </c>
      <c r="CS45" s="43">
        <f>Table2[[#This Row],[groupTime24]]/60</f>
        <v>2.821166666666667</v>
      </c>
    </row>
    <row r="46" spans="1:97" x14ac:dyDescent="0.25">
      <c r="A46" s="47" t="s">
        <v>821</v>
      </c>
      <c r="B46" s="11" t="s">
        <v>115</v>
      </c>
      <c r="C46" s="47">
        <v>55</v>
      </c>
      <c r="D46" s="47" t="s">
        <v>743</v>
      </c>
      <c r="E46" s="47">
        <v>6</v>
      </c>
      <c r="F46" s="47" t="s">
        <v>79</v>
      </c>
      <c r="G46" s="47">
        <v>504035862</v>
      </c>
      <c r="H46" s="47" t="s">
        <v>744</v>
      </c>
      <c r="I46" s="47" t="s">
        <v>743</v>
      </c>
      <c r="J46" s="47" t="s">
        <v>589</v>
      </c>
      <c r="K46" s="37" t="str">
        <f>IF(Table2[[#This Row],[priorSuccessRatio]]&lt;1,"yes","no")</f>
        <v>no</v>
      </c>
      <c r="L46" s="27">
        <f>VLOOKUP(Table2[[#This Row],[prolific]],'Correct calc'!B$16:$AJ$998,6,FALSE)</f>
        <v>1</v>
      </c>
      <c r="M46" s="27">
        <f>VLOOKUP(Table2[[#This Row],[prolific]],'Correct calc'!B$16:$AJ$998,14,FALSE)</f>
        <v>0.16666666666666666</v>
      </c>
      <c r="N46" s="27">
        <f>VLOOKUP(Table2[[#This Row],[prolific]],'Correct calc'!B$16:$AJ1139,24,FALSE)</f>
        <v>0.375</v>
      </c>
      <c r="O46" s="27">
        <f>VLOOKUP(Table2[[#This Row],[prolific]],'Correct calc'!B$16:$AJ1139,34,FALSE)</f>
        <v>0.5</v>
      </c>
      <c r="P46" s="28">
        <f>VLOOKUP(Table2[[#This Row],[comprescore]],Table3[],2,FALSE)</f>
        <v>1</v>
      </c>
      <c r="Q46" s="16">
        <f>VLOOKUP(Table2[[#This Row],[prolific]],'Correct calc'!B$16:$AK$998,36,FALSE)</f>
        <v>8</v>
      </c>
      <c r="R46" s="16">
        <f>Table2[[#This Row],[interviewminutes]]</f>
        <v>3.0598333333333332</v>
      </c>
      <c r="S46" s="16">
        <f>Table2[[#This Row],[classifyTime]]+Table2[[#This Row],[explainTime]]+Table2[[#This Row],[validateTime]]</f>
        <v>2.0001666666666669</v>
      </c>
      <c r="T46" s="29">
        <f>VLOOKUP(Table2[[#This Row],[prolific]],'Correct calc'!B$16:$AJ$998,35,FALSE)</f>
        <v>0.36363636363636365</v>
      </c>
      <c r="U46" s="15">
        <f>SUM(Table2[[#This Row],[priorKnowledge'[CLUSTERING']]:[priorKnowledge'[ZSCORES']]])/Table2[[#This Row],[priorKnowledgeTechQuestionCount]]</f>
        <v>10</v>
      </c>
      <c r="V46" s="16">
        <f>IF(Table2[[#This Row],[visualization]]="Wordcloud",2,3)</f>
        <v>2</v>
      </c>
      <c r="W46" s="31" t="s">
        <v>1060</v>
      </c>
      <c r="X46" s="31">
        <v>10</v>
      </c>
      <c r="Y46" s="31">
        <v>10</v>
      </c>
      <c r="Z46" s="31">
        <v>0</v>
      </c>
      <c r="AA46" s="31">
        <v>10</v>
      </c>
      <c r="AB46" s="31" t="s">
        <v>97</v>
      </c>
      <c r="AC46" s="31" t="s">
        <v>81</v>
      </c>
      <c r="AD46" s="31" t="s">
        <v>82</v>
      </c>
      <c r="AE46" s="31" t="s">
        <v>98</v>
      </c>
      <c r="AF46" s="31" t="s">
        <v>98</v>
      </c>
      <c r="AG46" s="31" t="s">
        <v>98</v>
      </c>
      <c r="AH46" s="31" t="s">
        <v>83</v>
      </c>
      <c r="AI46" s="31" t="s">
        <v>104</v>
      </c>
      <c r="AJ46" s="31" t="s">
        <v>83</v>
      </c>
      <c r="AK46" s="31" t="s">
        <v>108</v>
      </c>
      <c r="AL46" s="31" t="s">
        <v>88</v>
      </c>
      <c r="AM46" s="31" t="s">
        <v>105</v>
      </c>
      <c r="AN46" s="31" t="s">
        <v>90</v>
      </c>
      <c r="AO46" s="31" t="s">
        <v>98</v>
      </c>
      <c r="AP46" s="31" t="s">
        <v>85</v>
      </c>
      <c r="AQ46" s="31" t="s">
        <v>92</v>
      </c>
      <c r="AR46" s="31" t="s">
        <v>92</v>
      </c>
      <c r="AS46" s="31" t="s">
        <v>94</v>
      </c>
      <c r="AT46" s="31" t="s">
        <v>94</v>
      </c>
      <c r="AU46" s="31" t="s">
        <v>94</v>
      </c>
      <c r="AV46" s="31" t="s">
        <v>94</v>
      </c>
      <c r="AW46" s="31" t="s">
        <v>94</v>
      </c>
      <c r="AX46" s="31" t="s">
        <v>94</v>
      </c>
      <c r="AY46" s="31" t="s">
        <v>94</v>
      </c>
      <c r="AZ46" s="31" t="s">
        <v>94</v>
      </c>
      <c r="BA46" s="31" t="s">
        <v>95</v>
      </c>
      <c r="BB46" s="31" t="s">
        <v>803</v>
      </c>
      <c r="BC46" s="24"/>
      <c r="BD46" s="30">
        <f>Table2[[#This Row],[interviewtime]]/60</f>
        <v>3.0598333333333332</v>
      </c>
      <c r="BE46" s="31">
        <v>183.59</v>
      </c>
      <c r="BF46" s="31">
        <v>30</v>
      </c>
      <c r="BG46" s="31"/>
      <c r="BH46" s="31">
        <v>19.149999999999999</v>
      </c>
      <c r="BI46" s="31"/>
      <c r="BJ46" s="31"/>
      <c r="BK46" s="31"/>
      <c r="BL46" s="31"/>
      <c r="BM46" s="31">
        <v>50.08</v>
      </c>
      <c r="BN46" s="31"/>
      <c r="BO46" s="31"/>
      <c r="BP46" s="31"/>
      <c r="BQ46" s="31"/>
      <c r="BR46" s="31"/>
      <c r="BS46" s="31"/>
      <c r="BT46" s="31">
        <v>44.27</v>
      </c>
      <c r="BU46" s="31"/>
      <c r="BV46" s="31"/>
      <c r="BW46" s="31"/>
      <c r="BX46" s="31"/>
      <c r="BY46" s="31"/>
      <c r="BZ46" s="31"/>
      <c r="CA46" s="31"/>
      <c r="CB46" s="31"/>
      <c r="CC46" s="31">
        <v>25.66</v>
      </c>
      <c r="CD46" s="31"/>
      <c r="CE46" s="31"/>
      <c r="CF46" s="31"/>
      <c r="CG46" s="31"/>
      <c r="CH46" s="31"/>
      <c r="CI46" s="31"/>
      <c r="CJ46" s="31"/>
      <c r="CK46" s="31"/>
      <c r="CL46" s="31">
        <v>14.43</v>
      </c>
      <c r="CM46" s="24"/>
      <c r="CN46" s="24"/>
      <c r="CO46" s="24"/>
      <c r="CP46" s="24"/>
      <c r="CQ46" s="43">
        <f>Table2[[#This Row],[groupTime22]]/60</f>
        <v>0.83466666666666667</v>
      </c>
      <c r="CR46" s="43">
        <f>Table2[[#This Row],[groupTime23]]/60</f>
        <v>0.73783333333333334</v>
      </c>
      <c r="CS46" s="43">
        <f>Table2[[#This Row],[groupTime24]]/60</f>
        <v>0.42766666666666669</v>
      </c>
    </row>
    <row r="47" spans="1:97" x14ac:dyDescent="0.25">
      <c r="A47" s="47" t="s">
        <v>821</v>
      </c>
      <c r="B47" s="11" t="s">
        <v>115</v>
      </c>
      <c r="C47" s="47">
        <v>56</v>
      </c>
      <c r="D47" s="47" t="s">
        <v>746</v>
      </c>
      <c r="E47" s="47">
        <v>6</v>
      </c>
      <c r="F47" s="47" t="s">
        <v>79</v>
      </c>
      <c r="G47" s="47">
        <v>2119971450</v>
      </c>
      <c r="H47" s="47" t="s">
        <v>747</v>
      </c>
      <c r="I47" s="47" t="s">
        <v>746</v>
      </c>
      <c r="J47" s="47" t="s">
        <v>586</v>
      </c>
      <c r="K47" s="37" t="str">
        <f>IF(Table2[[#This Row],[priorSuccessRatio]]&lt;1,"yes","no")</f>
        <v>no</v>
      </c>
      <c r="L47" s="27">
        <f>VLOOKUP(Table2[[#This Row],[prolific]],'Correct calc'!B$16:$AJ$998,6,FALSE)</f>
        <v>1</v>
      </c>
      <c r="M47" s="27">
        <f>VLOOKUP(Table2[[#This Row],[prolific]],'Correct calc'!B$16:$AJ$998,14,FALSE)</f>
        <v>0.5</v>
      </c>
      <c r="N47" s="27">
        <f>VLOOKUP(Table2[[#This Row],[prolific]],'Correct calc'!B$16:$AJ1140,24,FALSE)</f>
        <v>0.375</v>
      </c>
      <c r="O47" s="27">
        <f>VLOOKUP(Table2[[#This Row],[prolific]],'Correct calc'!B$16:$AJ1140,34,FALSE)</f>
        <v>0.625</v>
      </c>
      <c r="P47" s="28">
        <f>VLOOKUP(Table2[[#This Row],[comprescore]],Table3[],2,FALSE)</f>
        <v>4</v>
      </c>
      <c r="Q47" s="16">
        <f>VLOOKUP(Table2[[#This Row],[prolific]],'Correct calc'!B$16:$AK$998,36,FALSE)</f>
        <v>11</v>
      </c>
      <c r="R47" s="16">
        <f>Table2[[#This Row],[interviewminutes]]</f>
        <v>12.8285</v>
      </c>
      <c r="S47" s="16">
        <f>Table2[[#This Row],[classifyTime]]+Table2[[#This Row],[explainTime]]+Table2[[#This Row],[validateTime]]</f>
        <v>8.6120000000000001</v>
      </c>
      <c r="T47" s="29">
        <f>VLOOKUP(Table2[[#This Row],[prolific]],'Correct calc'!B$16:$AJ$998,35,FALSE)</f>
        <v>0.5</v>
      </c>
      <c r="U47" s="15">
        <f>SUM(Table2[[#This Row],[priorKnowledge'[CLUSTERING']]:[priorKnowledge'[ZSCORES']]])/Table2[[#This Row],[priorKnowledgeTechQuestionCount]]</f>
        <v>3</v>
      </c>
      <c r="V47" s="16">
        <f>IF(Table2[[#This Row],[visualization]]="Wordcloud",2,3)</f>
        <v>2</v>
      </c>
      <c r="W47" s="31" t="s">
        <v>1061</v>
      </c>
      <c r="X47" s="31">
        <v>3</v>
      </c>
      <c r="Y47" s="31">
        <v>3</v>
      </c>
      <c r="Z47" s="31">
        <v>0</v>
      </c>
      <c r="AA47" s="31">
        <v>4</v>
      </c>
      <c r="AB47" s="31" t="s">
        <v>97</v>
      </c>
      <c r="AC47" s="31" t="s">
        <v>81</v>
      </c>
      <c r="AD47" s="31" t="s">
        <v>82</v>
      </c>
      <c r="AE47" s="31" t="s">
        <v>83</v>
      </c>
      <c r="AF47" s="31" t="s">
        <v>104</v>
      </c>
      <c r="AG47" s="31" t="s">
        <v>86</v>
      </c>
      <c r="AH47" s="31" t="s">
        <v>84</v>
      </c>
      <c r="AI47" s="31" t="s">
        <v>85</v>
      </c>
      <c r="AJ47" s="31" t="s">
        <v>83</v>
      </c>
      <c r="AK47" s="31" t="s">
        <v>88</v>
      </c>
      <c r="AL47" s="31" t="s">
        <v>87</v>
      </c>
      <c r="AM47" s="31" t="s">
        <v>99</v>
      </c>
      <c r="AN47" s="31" t="s">
        <v>100</v>
      </c>
      <c r="AO47" s="31" t="s">
        <v>83</v>
      </c>
      <c r="AP47" s="31" t="s">
        <v>104</v>
      </c>
      <c r="AQ47" s="31" t="s">
        <v>101</v>
      </c>
      <c r="AR47" s="31" t="s">
        <v>101</v>
      </c>
      <c r="AS47" s="31" t="s">
        <v>94</v>
      </c>
      <c r="AT47" s="31" t="s">
        <v>93</v>
      </c>
      <c r="AU47" s="31" t="s">
        <v>94</v>
      </c>
      <c r="AV47" s="31" t="s">
        <v>93</v>
      </c>
      <c r="AW47" s="31" t="s">
        <v>93</v>
      </c>
      <c r="AX47" s="31" t="s">
        <v>93</v>
      </c>
      <c r="AY47" s="31" t="s">
        <v>93</v>
      </c>
      <c r="AZ47" s="31" t="s">
        <v>94</v>
      </c>
      <c r="BA47" s="31" t="s">
        <v>103</v>
      </c>
      <c r="BB47" s="31" t="s">
        <v>804</v>
      </c>
      <c r="BC47" s="24"/>
      <c r="BD47" s="30">
        <f>Table2[[#This Row],[interviewtime]]/60</f>
        <v>12.8285</v>
      </c>
      <c r="BE47" s="31">
        <v>769.71</v>
      </c>
      <c r="BF47" s="31">
        <v>56.01</v>
      </c>
      <c r="BG47" s="31"/>
      <c r="BH47" s="31">
        <v>92.64</v>
      </c>
      <c r="BI47" s="31"/>
      <c r="BJ47" s="31"/>
      <c r="BK47" s="31"/>
      <c r="BL47" s="31"/>
      <c r="BM47" s="31">
        <v>270.51</v>
      </c>
      <c r="BN47" s="31"/>
      <c r="BO47" s="31"/>
      <c r="BP47" s="31"/>
      <c r="BQ47" s="31"/>
      <c r="BR47" s="31"/>
      <c r="BS47" s="31"/>
      <c r="BT47" s="31">
        <v>124.03</v>
      </c>
      <c r="BU47" s="31"/>
      <c r="BV47" s="31"/>
      <c r="BW47" s="31"/>
      <c r="BX47" s="31"/>
      <c r="BY47" s="31"/>
      <c r="BZ47" s="31"/>
      <c r="CA47" s="31"/>
      <c r="CB47" s="31"/>
      <c r="CC47" s="31">
        <v>122.18</v>
      </c>
      <c r="CD47" s="31"/>
      <c r="CE47" s="31"/>
      <c r="CF47" s="31"/>
      <c r="CG47" s="31"/>
      <c r="CH47" s="31"/>
      <c r="CI47" s="31"/>
      <c r="CJ47" s="31"/>
      <c r="CK47" s="31"/>
      <c r="CL47" s="31">
        <v>104.34</v>
      </c>
      <c r="CM47" s="24"/>
      <c r="CN47" s="24"/>
      <c r="CO47" s="24"/>
      <c r="CP47" s="24"/>
      <c r="CQ47" s="43">
        <f>Table2[[#This Row],[groupTime22]]/60</f>
        <v>4.5084999999999997</v>
      </c>
      <c r="CR47" s="43">
        <f>Table2[[#This Row],[groupTime23]]/60</f>
        <v>2.0671666666666666</v>
      </c>
      <c r="CS47" s="43">
        <f>Table2[[#This Row],[groupTime24]]/60</f>
        <v>2.0363333333333333</v>
      </c>
    </row>
    <row r="48" spans="1:97" x14ac:dyDescent="0.25">
      <c r="A48" s="47" t="s">
        <v>821</v>
      </c>
      <c r="B48" s="11" t="s">
        <v>115</v>
      </c>
      <c r="C48" s="47">
        <v>57</v>
      </c>
      <c r="D48" s="47" t="s">
        <v>749</v>
      </c>
      <c r="E48" s="47">
        <v>6</v>
      </c>
      <c r="F48" s="47" t="s">
        <v>79</v>
      </c>
      <c r="G48" s="47">
        <v>1483015796</v>
      </c>
      <c r="H48" s="47" t="s">
        <v>750</v>
      </c>
      <c r="I48" s="47" t="s">
        <v>749</v>
      </c>
      <c r="J48" s="47" t="s">
        <v>589</v>
      </c>
      <c r="K48" s="37" t="str">
        <f>IF(Table2[[#This Row],[priorSuccessRatio]]&lt;1,"yes","no")</f>
        <v>no</v>
      </c>
      <c r="L48" s="27">
        <f>VLOOKUP(Table2[[#This Row],[prolific]],'Correct calc'!B$16:$AJ$998,6,FALSE)</f>
        <v>1</v>
      </c>
      <c r="M48" s="27">
        <f>VLOOKUP(Table2[[#This Row],[prolific]],'Correct calc'!B$16:$AJ$998,14,FALSE)</f>
        <v>0.33333333333333331</v>
      </c>
      <c r="N48" s="27">
        <f>VLOOKUP(Table2[[#This Row],[prolific]],'Correct calc'!B$16:$AJ1141,24,FALSE)</f>
        <v>0.375</v>
      </c>
      <c r="O48" s="27">
        <f>VLOOKUP(Table2[[#This Row],[prolific]],'Correct calc'!B$16:$AJ1141,34,FALSE)</f>
        <v>0.5</v>
      </c>
      <c r="P48" s="28">
        <f>VLOOKUP(Table2[[#This Row],[comprescore]],Table3[],2,FALSE)</f>
        <v>3</v>
      </c>
      <c r="Q48" s="16">
        <f>VLOOKUP(Table2[[#This Row],[prolific]],'Correct calc'!B$16:$AK$998,36,FALSE)</f>
        <v>9</v>
      </c>
      <c r="R48" s="16">
        <f>Table2[[#This Row],[interviewminutes]]</f>
        <v>14.004999999999999</v>
      </c>
      <c r="S48" s="16">
        <f>Table2[[#This Row],[classifyTime]]+Table2[[#This Row],[explainTime]]+Table2[[#This Row],[validateTime]]</f>
        <v>12.042666666666667</v>
      </c>
      <c r="T48" s="29">
        <f>VLOOKUP(Table2[[#This Row],[prolific]],'Correct calc'!B$16:$AJ$998,35,FALSE)</f>
        <v>0.40909090909090912</v>
      </c>
      <c r="U48" s="15">
        <f>SUM(Table2[[#This Row],[priorKnowledge'[CLUSTERING']]:[priorKnowledge'[ZSCORES']]])/Table2[[#This Row],[priorKnowledgeTechQuestionCount]]</f>
        <v>2</v>
      </c>
      <c r="V48" s="16">
        <f>IF(Table2[[#This Row],[visualization]]="Wordcloud",2,3)</f>
        <v>2</v>
      </c>
      <c r="W48" s="31" t="s">
        <v>1062</v>
      </c>
      <c r="X48" s="31">
        <v>2</v>
      </c>
      <c r="Y48" s="31">
        <v>2</v>
      </c>
      <c r="Z48" s="31">
        <v>0</v>
      </c>
      <c r="AA48" s="31">
        <v>7</v>
      </c>
      <c r="AB48" s="31" t="s">
        <v>97</v>
      </c>
      <c r="AC48" s="31" t="s">
        <v>81</v>
      </c>
      <c r="AD48" s="31" t="s">
        <v>82</v>
      </c>
      <c r="AE48" s="31" t="s">
        <v>83</v>
      </c>
      <c r="AF48" s="31" t="s">
        <v>86</v>
      </c>
      <c r="AG48" s="31" t="s">
        <v>98</v>
      </c>
      <c r="AH48" s="31" t="s">
        <v>84</v>
      </c>
      <c r="AI48" s="31" t="s">
        <v>85</v>
      </c>
      <c r="AJ48" s="31" t="s">
        <v>104</v>
      </c>
      <c r="AK48" s="31" t="s">
        <v>87</v>
      </c>
      <c r="AL48" s="31" t="s">
        <v>87</v>
      </c>
      <c r="AM48" s="31" t="s">
        <v>99</v>
      </c>
      <c r="AN48" s="31" t="s">
        <v>90</v>
      </c>
      <c r="AO48" s="31" t="s">
        <v>83</v>
      </c>
      <c r="AP48" s="31" t="s">
        <v>86</v>
      </c>
      <c r="AQ48" s="31" t="s">
        <v>92</v>
      </c>
      <c r="AR48" s="31" t="s">
        <v>101</v>
      </c>
      <c r="AS48" s="31" t="s">
        <v>94</v>
      </c>
      <c r="AT48" s="31" t="s">
        <v>93</v>
      </c>
      <c r="AU48" s="31" t="s">
        <v>94</v>
      </c>
      <c r="AV48" s="31" t="s">
        <v>93</v>
      </c>
      <c r="AW48" s="31" t="s">
        <v>93</v>
      </c>
      <c r="AX48" s="31" t="s">
        <v>94</v>
      </c>
      <c r="AY48" s="31" t="s">
        <v>93</v>
      </c>
      <c r="AZ48" s="31" t="s">
        <v>94</v>
      </c>
      <c r="BA48" s="31" t="s">
        <v>107</v>
      </c>
      <c r="BB48" s="31" t="s">
        <v>805</v>
      </c>
      <c r="BC48" s="24"/>
      <c r="BD48" s="30">
        <f>Table2[[#This Row],[interviewtime]]/60</f>
        <v>14.004999999999999</v>
      </c>
      <c r="BE48" s="31">
        <v>840.3</v>
      </c>
      <c r="BF48" s="31">
        <v>5.89</v>
      </c>
      <c r="BG48" s="31"/>
      <c r="BH48" s="31">
        <v>37.4</v>
      </c>
      <c r="BI48" s="31"/>
      <c r="BJ48" s="31"/>
      <c r="BK48" s="31"/>
      <c r="BL48" s="31"/>
      <c r="BM48" s="31">
        <v>339.86</v>
      </c>
      <c r="BN48" s="31"/>
      <c r="BO48" s="31"/>
      <c r="BP48" s="31"/>
      <c r="BQ48" s="31"/>
      <c r="BR48" s="31"/>
      <c r="BS48" s="31"/>
      <c r="BT48" s="31">
        <v>239.13</v>
      </c>
      <c r="BU48" s="31"/>
      <c r="BV48" s="31"/>
      <c r="BW48" s="31"/>
      <c r="BX48" s="31"/>
      <c r="BY48" s="31"/>
      <c r="BZ48" s="31"/>
      <c r="CA48" s="31"/>
      <c r="CB48" s="31"/>
      <c r="CC48" s="31">
        <v>143.57</v>
      </c>
      <c r="CD48" s="31"/>
      <c r="CE48" s="31"/>
      <c r="CF48" s="31"/>
      <c r="CG48" s="31"/>
      <c r="CH48" s="31"/>
      <c r="CI48" s="31"/>
      <c r="CJ48" s="31"/>
      <c r="CK48" s="31"/>
      <c r="CL48" s="31">
        <v>74.45</v>
      </c>
      <c r="CM48" s="24"/>
      <c r="CN48" s="24"/>
      <c r="CO48" s="24"/>
      <c r="CP48" s="24"/>
      <c r="CQ48" s="43">
        <f>Table2[[#This Row],[groupTime22]]/60</f>
        <v>5.6643333333333334</v>
      </c>
      <c r="CR48" s="43">
        <f>Table2[[#This Row],[groupTime23]]/60</f>
        <v>3.9855</v>
      </c>
      <c r="CS48" s="43">
        <f>Table2[[#This Row],[groupTime24]]/60</f>
        <v>2.3928333333333334</v>
      </c>
    </row>
    <row r="49" spans="1:97" x14ac:dyDescent="0.25">
      <c r="A49" s="47" t="s">
        <v>821</v>
      </c>
      <c r="B49" s="11" t="s">
        <v>115</v>
      </c>
      <c r="C49" s="47">
        <v>58</v>
      </c>
      <c r="D49" s="47" t="s">
        <v>752</v>
      </c>
      <c r="E49" s="47">
        <v>6</v>
      </c>
      <c r="F49" s="47" t="s">
        <v>79</v>
      </c>
      <c r="G49" s="47">
        <v>794199642</v>
      </c>
      <c r="H49" s="47" t="s">
        <v>753</v>
      </c>
      <c r="I49" s="47" t="s">
        <v>752</v>
      </c>
      <c r="J49" s="47" t="s">
        <v>586</v>
      </c>
      <c r="K49" s="37" t="str">
        <f>IF(Table2[[#This Row],[priorSuccessRatio]]&lt;1,"yes","no")</f>
        <v>no</v>
      </c>
      <c r="L49" s="27">
        <f>VLOOKUP(Table2[[#This Row],[prolific]],'Correct calc'!B$16:$AJ$998,6,FALSE)</f>
        <v>1</v>
      </c>
      <c r="M49" s="27">
        <f>VLOOKUP(Table2[[#This Row],[prolific]],'Correct calc'!B$16:$AJ$998,14,FALSE)</f>
        <v>0.83333333333333337</v>
      </c>
      <c r="N49" s="27">
        <f>VLOOKUP(Table2[[#This Row],[prolific]],'Correct calc'!B$16:$AJ1142,24,FALSE)</f>
        <v>0.75</v>
      </c>
      <c r="O49" s="27">
        <f>VLOOKUP(Table2[[#This Row],[prolific]],'Correct calc'!B$16:$AJ1142,34,FALSE)</f>
        <v>0.375</v>
      </c>
      <c r="P49" s="28">
        <f>VLOOKUP(Table2[[#This Row],[comprescore]],Table3[],2,FALSE)</f>
        <v>4</v>
      </c>
      <c r="Q49" s="16">
        <f>VLOOKUP(Table2[[#This Row],[prolific]],'Correct calc'!B$16:$AK$998,36,FALSE)</f>
        <v>14</v>
      </c>
      <c r="R49" s="16">
        <f>Table2[[#This Row],[interviewminutes]]</f>
        <v>14.970333333333334</v>
      </c>
      <c r="S49" s="16">
        <f>Table2[[#This Row],[classifyTime]]+Table2[[#This Row],[explainTime]]+Table2[[#This Row],[validateTime]]</f>
        <v>13.203833333333332</v>
      </c>
      <c r="T49" s="29">
        <f>VLOOKUP(Table2[[#This Row],[prolific]],'Correct calc'!B$16:$AJ$998,35,FALSE)</f>
        <v>0.63636363636363635</v>
      </c>
      <c r="U49" s="15">
        <f>SUM(Table2[[#This Row],[priorKnowledge'[CLUSTERING']]:[priorKnowledge'[ZSCORES']]])/Table2[[#This Row],[priorKnowledgeTechQuestionCount]]</f>
        <v>1.5</v>
      </c>
      <c r="V49" s="16">
        <f>IF(Table2[[#This Row],[visualization]]="Wordcloud",2,3)</f>
        <v>2</v>
      </c>
      <c r="W49" s="31" t="s">
        <v>1063</v>
      </c>
      <c r="X49" s="31">
        <v>1</v>
      </c>
      <c r="Y49" s="31">
        <v>2</v>
      </c>
      <c r="Z49" s="31">
        <v>0</v>
      </c>
      <c r="AA49" s="31">
        <v>6</v>
      </c>
      <c r="AB49" s="31" t="s">
        <v>97</v>
      </c>
      <c r="AC49" s="31" t="s">
        <v>81</v>
      </c>
      <c r="AD49" s="31" t="s">
        <v>82</v>
      </c>
      <c r="AE49" s="31" t="s">
        <v>83</v>
      </c>
      <c r="AF49" s="31" t="s">
        <v>85</v>
      </c>
      <c r="AG49" s="31" t="s">
        <v>86</v>
      </c>
      <c r="AH49" s="31" t="s">
        <v>84</v>
      </c>
      <c r="AI49" s="31" t="s">
        <v>104</v>
      </c>
      <c r="AJ49" s="31" t="s">
        <v>86</v>
      </c>
      <c r="AK49" s="31" t="s">
        <v>88</v>
      </c>
      <c r="AL49" s="31" t="s">
        <v>87</v>
      </c>
      <c r="AM49" s="31" t="s">
        <v>105</v>
      </c>
      <c r="AN49" s="31" t="s">
        <v>100</v>
      </c>
      <c r="AO49" s="31" t="s">
        <v>83</v>
      </c>
      <c r="AP49" s="31" t="s">
        <v>85</v>
      </c>
      <c r="AQ49" s="31" t="s">
        <v>91</v>
      </c>
      <c r="AR49" s="31" t="s">
        <v>92</v>
      </c>
      <c r="AS49" s="31" t="s">
        <v>94</v>
      </c>
      <c r="AT49" s="31" t="s">
        <v>93</v>
      </c>
      <c r="AU49" s="31" t="s">
        <v>93</v>
      </c>
      <c r="AV49" s="31" t="s">
        <v>93</v>
      </c>
      <c r="AW49" s="31" t="s">
        <v>93</v>
      </c>
      <c r="AX49" s="31" t="s">
        <v>94</v>
      </c>
      <c r="AY49" s="31" t="s">
        <v>93</v>
      </c>
      <c r="AZ49" s="31" t="s">
        <v>94</v>
      </c>
      <c r="BA49" s="31" t="s">
        <v>103</v>
      </c>
      <c r="BB49" s="31" t="s">
        <v>806</v>
      </c>
      <c r="BC49" s="24"/>
      <c r="BD49" s="30">
        <f>Table2[[#This Row],[interviewtime]]/60</f>
        <v>14.970333333333334</v>
      </c>
      <c r="BE49" s="31">
        <v>898.22</v>
      </c>
      <c r="BF49" s="31">
        <v>9.4600000000000009</v>
      </c>
      <c r="BG49" s="31"/>
      <c r="BH49" s="31">
        <v>35.82</v>
      </c>
      <c r="BI49" s="31"/>
      <c r="BJ49" s="31"/>
      <c r="BK49" s="31"/>
      <c r="BL49" s="31"/>
      <c r="BM49" s="31">
        <v>368.1</v>
      </c>
      <c r="BN49" s="31"/>
      <c r="BO49" s="31"/>
      <c r="BP49" s="31"/>
      <c r="BQ49" s="31"/>
      <c r="BR49" s="31"/>
      <c r="BS49" s="31"/>
      <c r="BT49" s="31">
        <v>229.17</v>
      </c>
      <c r="BU49" s="31"/>
      <c r="BV49" s="31"/>
      <c r="BW49" s="31"/>
      <c r="BX49" s="31"/>
      <c r="BY49" s="31"/>
      <c r="BZ49" s="31"/>
      <c r="CA49" s="31"/>
      <c r="CB49" s="31"/>
      <c r="CC49" s="31">
        <v>194.96</v>
      </c>
      <c r="CD49" s="31"/>
      <c r="CE49" s="31"/>
      <c r="CF49" s="31"/>
      <c r="CG49" s="31"/>
      <c r="CH49" s="31"/>
      <c r="CI49" s="31"/>
      <c r="CJ49" s="31"/>
      <c r="CK49" s="31"/>
      <c r="CL49" s="31">
        <v>60.71</v>
      </c>
      <c r="CM49" s="24"/>
      <c r="CN49" s="24"/>
      <c r="CO49" s="24"/>
      <c r="CP49" s="24"/>
      <c r="CQ49" s="43">
        <f>Table2[[#This Row],[groupTime22]]/60</f>
        <v>6.1350000000000007</v>
      </c>
      <c r="CR49" s="43">
        <f>Table2[[#This Row],[groupTime23]]/60</f>
        <v>3.8194999999999997</v>
      </c>
      <c r="CS49" s="43">
        <f>Table2[[#This Row],[groupTime24]]/60</f>
        <v>3.2493333333333334</v>
      </c>
    </row>
    <row r="50" spans="1:97" x14ac:dyDescent="0.25">
      <c r="A50" s="47" t="s">
        <v>821</v>
      </c>
      <c r="B50" s="11" t="s">
        <v>115</v>
      </c>
      <c r="C50" s="47">
        <v>59</v>
      </c>
      <c r="D50" s="47" t="s">
        <v>755</v>
      </c>
      <c r="E50" s="47">
        <v>6</v>
      </c>
      <c r="F50" s="47" t="s">
        <v>79</v>
      </c>
      <c r="G50" s="47">
        <v>1216756236</v>
      </c>
      <c r="H50" s="47" t="s">
        <v>756</v>
      </c>
      <c r="I50" s="47" t="s">
        <v>755</v>
      </c>
      <c r="J50" s="47" t="s">
        <v>589</v>
      </c>
      <c r="K50" s="37" t="str">
        <f>IF(Table2[[#This Row],[priorSuccessRatio]]&lt;1,"yes","no")</f>
        <v>no</v>
      </c>
      <c r="L50" s="27">
        <f>VLOOKUP(Table2[[#This Row],[prolific]],'Correct calc'!B$16:$AJ$998,6,FALSE)</f>
        <v>1</v>
      </c>
      <c r="M50" s="27">
        <f>VLOOKUP(Table2[[#This Row],[prolific]],'Correct calc'!B$16:$AJ$998,14,FALSE)</f>
        <v>0.66666666666666663</v>
      </c>
      <c r="N50" s="27">
        <f>VLOOKUP(Table2[[#This Row],[prolific]],'Correct calc'!B$16:$AJ1143,24,FALSE)</f>
        <v>0.5</v>
      </c>
      <c r="O50" s="27">
        <f>VLOOKUP(Table2[[#This Row],[prolific]],'Correct calc'!B$16:$AJ1143,34,FALSE)</f>
        <v>0.375</v>
      </c>
      <c r="P50" s="28">
        <f>VLOOKUP(Table2[[#This Row],[comprescore]],Table3[],2,FALSE)</f>
        <v>1</v>
      </c>
      <c r="Q50" s="16">
        <f>VLOOKUP(Table2[[#This Row],[prolific]],'Correct calc'!B$16:$AK$998,36,FALSE)</f>
        <v>11</v>
      </c>
      <c r="R50" s="16">
        <f>Table2[[#This Row],[interviewminutes]]</f>
        <v>6.117166666666666</v>
      </c>
      <c r="S50" s="16">
        <f>Table2[[#This Row],[classifyTime]]+Table2[[#This Row],[explainTime]]+Table2[[#This Row],[validateTime]]</f>
        <v>4.9995000000000003</v>
      </c>
      <c r="T50" s="29">
        <f>VLOOKUP(Table2[[#This Row],[prolific]],'Correct calc'!B$16:$AJ$998,35,FALSE)</f>
        <v>0.5</v>
      </c>
      <c r="U50" s="15">
        <f>SUM(Table2[[#This Row],[priorKnowledge'[CLUSTERING']]:[priorKnowledge'[ZSCORES']]])/Table2[[#This Row],[priorKnowledgeTechQuestionCount]]</f>
        <v>1</v>
      </c>
      <c r="V50" s="16">
        <f>IF(Table2[[#This Row],[visualization]]="Wordcloud",2,3)</f>
        <v>2</v>
      </c>
      <c r="W50" s="31" t="s">
        <v>1064</v>
      </c>
      <c r="X50" s="31">
        <v>1</v>
      </c>
      <c r="Y50" s="31">
        <v>1</v>
      </c>
      <c r="Z50" s="31">
        <v>0</v>
      </c>
      <c r="AA50" s="31">
        <v>1</v>
      </c>
      <c r="AB50" s="31" t="s">
        <v>97</v>
      </c>
      <c r="AC50" s="31" t="s">
        <v>81</v>
      </c>
      <c r="AD50" s="31" t="s">
        <v>82</v>
      </c>
      <c r="AE50" s="31" t="s">
        <v>83</v>
      </c>
      <c r="AF50" s="31" t="s">
        <v>85</v>
      </c>
      <c r="AG50" s="31" t="s">
        <v>86</v>
      </c>
      <c r="AH50" s="31" t="s">
        <v>84</v>
      </c>
      <c r="AI50" s="31" t="s">
        <v>83</v>
      </c>
      <c r="AJ50" s="31" t="s">
        <v>85</v>
      </c>
      <c r="AK50" s="31" t="s">
        <v>88</v>
      </c>
      <c r="AL50" s="31" t="s">
        <v>87</v>
      </c>
      <c r="AM50" s="31" t="s">
        <v>89</v>
      </c>
      <c r="AN50" s="31" t="s">
        <v>278</v>
      </c>
      <c r="AO50" s="31" t="s">
        <v>83</v>
      </c>
      <c r="AP50" s="31" t="s">
        <v>85</v>
      </c>
      <c r="AQ50" s="31" t="s">
        <v>101</v>
      </c>
      <c r="AR50" s="31" t="s">
        <v>91</v>
      </c>
      <c r="AS50" s="31" t="s">
        <v>94</v>
      </c>
      <c r="AT50" s="31" t="s">
        <v>93</v>
      </c>
      <c r="AU50" s="31" t="s">
        <v>93</v>
      </c>
      <c r="AV50" s="31" t="s">
        <v>93</v>
      </c>
      <c r="AW50" s="31" t="s">
        <v>93</v>
      </c>
      <c r="AX50" s="31" t="s">
        <v>94</v>
      </c>
      <c r="AY50" s="31" t="s">
        <v>93</v>
      </c>
      <c r="AZ50" s="31" t="s">
        <v>94</v>
      </c>
      <c r="BA50" s="31" t="s">
        <v>95</v>
      </c>
      <c r="BB50" s="31" t="s">
        <v>807</v>
      </c>
      <c r="BC50" s="24"/>
      <c r="BD50" s="30">
        <f>Table2[[#This Row],[interviewtime]]/60</f>
        <v>6.117166666666666</v>
      </c>
      <c r="BE50" s="31">
        <v>367.03</v>
      </c>
      <c r="BF50" s="31">
        <v>5.44</v>
      </c>
      <c r="BG50" s="31"/>
      <c r="BH50" s="31">
        <v>18.940000000000001</v>
      </c>
      <c r="BI50" s="31"/>
      <c r="BJ50" s="31"/>
      <c r="BK50" s="31"/>
      <c r="BL50" s="31"/>
      <c r="BM50" s="31">
        <v>92.07</v>
      </c>
      <c r="BN50" s="31"/>
      <c r="BO50" s="31"/>
      <c r="BP50" s="31"/>
      <c r="BQ50" s="31"/>
      <c r="BR50" s="31"/>
      <c r="BS50" s="31"/>
      <c r="BT50" s="31">
        <v>113.92</v>
      </c>
      <c r="BU50" s="31"/>
      <c r="BV50" s="31"/>
      <c r="BW50" s="31"/>
      <c r="BX50" s="31"/>
      <c r="BY50" s="31"/>
      <c r="BZ50" s="31"/>
      <c r="CA50" s="31"/>
      <c r="CB50" s="31"/>
      <c r="CC50" s="31">
        <v>93.98</v>
      </c>
      <c r="CD50" s="31"/>
      <c r="CE50" s="31"/>
      <c r="CF50" s="31"/>
      <c r="CG50" s="31"/>
      <c r="CH50" s="31"/>
      <c r="CI50" s="31"/>
      <c r="CJ50" s="31"/>
      <c r="CK50" s="31"/>
      <c r="CL50" s="31">
        <v>42.68</v>
      </c>
      <c r="CM50" s="24"/>
      <c r="CN50" s="24"/>
      <c r="CO50" s="24"/>
      <c r="CP50" s="24"/>
      <c r="CQ50" s="43">
        <f>Table2[[#This Row],[groupTime22]]/60</f>
        <v>1.5345</v>
      </c>
      <c r="CR50" s="43">
        <f>Table2[[#This Row],[groupTime23]]/60</f>
        <v>1.8986666666666667</v>
      </c>
      <c r="CS50" s="43">
        <f>Table2[[#This Row],[groupTime24]]/60</f>
        <v>1.5663333333333334</v>
      </c>
    </row>
    <row r="51" spans="1:97" x14ac:dyDescent="0.25">
      <c r="A51" s="47" t="s">
        <v>821</v>
      </c>
      <c r="B51" s="11" t="s">
        <v>115</v>
      </c>
      <c r="C51" s="47">
        <v>60</v>
      </c>
      <c r="D51" s="47" t="s">
        <v>758</v>
      </c>
      <c r="E51" s="47">
        <v>6</v>
      </c>
      <c r="F51" s="47" t="s">
        <v>79</v>
      </c>
      <c r="G51" s="47">
        <v>372122104</v>
      </c>
      <c r="H51" s="47" t="s">
        <v>759</v>
      </c>
      <c r="I51" s="47" t="s">
        <v>758</v>
      </c>
      <c r="J51" s="47" t="s">
        <v>589</v>
      </c>
      <c r="K51" s="37" t="str">
        <f>IF(Table2[[#This Row],[priorSuccessRatio]]&lt;1,"yes","no")</f>
        <v>no</v>
      </c>
      <c r="L51" s="27">
        <f>VLOOKUP(Table2[[#This Row],[prolific]],'Correct calc'!B$16:$AJ$998,6,FALSE)</f>
        <v>1</v>
      </c>
      <c r="M51" s="27">
        <f>VLOOKUP(Table2[[#This Row],[prolific]],'Correct calc'!B$16:$AJ$998,14,FALSE)</f>
        <v>1</v>
      </c>
      <c r="N51" s="27">
        <f>VLOOKUP(Table2[[#This Row],[prolific]],'Correct calc'!B$16:$AJ1144,24,FALSE)</f>
        <v>1</v>
      </c>
      <c r="O51" s="27">
        <f>VLOOKUP(Table2[[#This Row],[prolific]],'Correct calc'!B$16:$AJ1144,34,FALSE)</f>
        <v>0.5</v>
      </c>
      <c r="P51" s="28">
        <f>VLOOKUP(Table2[[#This Row],[comprescore]],Table3[],2,FALSE)</f>
        <v>3</v>
      </c>
      <c r="Q51" s="16">
        <f>VLOOKUP(Table2[[#This Row],[prolific]],'Correct calc'!B$16:$AK$998,36,FALSE)</f>
        <v>18</v>
      </c>
      <c r="R51" s="16">
        <f>Table2[[#This Row],[interviewminutes]]</f>
        <v>14.252833333333333</v>
      </c>
      <c r="S51" s="16">
        <f>Table2[[#This Row],[classifyTime]]+Table2[[#This Row],[explainTime]]+Table2[[#This Row],[validateTime]]</f>
        <v>10.041499999999999</v>
      </c>
      <c r="T51" s="29">
        <f>VLOOKUP(Table2[[#This Row],[prolific]],'Correct calc'!B$16:$AJ$998,35,FALSE)</f>
        <v>0.81818181818181823</v>
      </c>
      <c r="U51" s="15">
        <f>SUM(Table2[[#This Row],[priorKnowledge'[CLUSTERING']]:[priorKnowledge'[ZSCORES']]])/Table2[[#This Row],[priorKnowledgeTechQuestionCount]]</f>
        <v>1</v>
      </c>
      <c r="V51" s="16">
        <f>IF(Table2[[#This Row],[visualization]]="Wordcloud",2,3)</f>
        <v>2</v>
      </c>
      <c r="W51" s="31" t="s">
        <v>1065</v>
      </c>
      <c r="X51" s="31">
        <v>1</v>
      </c>
      <c r="Y51" s="31">
        <v>1</v>
      </c>
      <c r="Z51" s="31">
        <v>0</v>
      </c>
      <c r="AA51" s="31">
        <v>8</v>
      </c>
      <c r="AB51" s="31" t="s">
        <v>97</v>
      </c>
      <c r="AC51" s="31" t="s">
        <v>81</v>
      </c>
      <c r="AD51" s="31" t="s">
        <v>82</v>
      </c>
      <c r="AE51" s="31" t="s">
        <v>83</v>
      </c>
      <c r="AF51" s="31" t="s">
        <v>85</v>
      </c>
      <c r="AG51" s="31" t="s">
        <v>86</v>
      </c>
      <c r="AH51" s="31" t="s">
        <v>84</v>
      </c>
      <c r="AI51" s="31" t="s">
        <v>104</v>
      </c>
      <c r="AJ51" s="31" t="s">
        <v>98</v>
      </c>
      <c r="AK51" s="31" t="s">
        <v>88</v>
      </c>
      <c r="AL51" s="31" t="s">
        <v>87</v>
      </c>
      <c r="AM51" s="31" t="s">
        <v>105</v>
      </c>
      <c r="AN51" s="31" t="s">
        <v>90</v>
      </c>
      <c r="AO51" s="31" t="s">
        <v>83</v>
      </c>
      <c r="AP51" s="31" t="s">
        <v>85</v>
      </c>
      <c r="AQ51" s="31" t="s">
        <v>91</v>
      </c>
      <c r="AR51" s="31" t="s">
        <v>102</v>
      </c>
      <c r="AS51" s="31" t="s">
        <v>94</v>
      </c>
      <c r="AT51" s="31" t="s">
        <v>93</v>
      </c>
      <c r="AU51" s="31" t="s">
        <v>94</v>
      </c>
      <c r="AV51" s="31" t="s">
        <v>93</v>
      </c>
      <c r="AW51" s="31" t="s">
        <v>93</v>
      </c>
      <c r="AX51" s="31" t="s">
        <v>94</v>
      </c>
      <c r="AY51" s="31" t="s">
        <v>93</v>
      </c>
      <c r="AZ51" s="31" t="s">
        <v>94</v>
      </c>
      <c r="BA51" s="31" t="s">
        <v>107</v>
      </c>
      <c r="BB51" s="31" t="s">
        <v>808</v>
      </c>
      <c r="BC51" s="24"/>
      <c r="BD51" s="30">
        <f>Table2[[#This Row],[interviewtime]]/60</f>
        <v>14.252833333333333</v>
      </c>
      <c r="BE51" s="31">
        <v>855.17</v>
      </c>
      <c r="BF51" s="31">
        <v>26.61</v>
      </c>
      <c r="BG51" s="31"/>
      <c r="BH51" s="31">
        <v>42.39</v>
      </c>
      <c r="BI51" s="31"/>
      <c r="BJ51" s="31"/>
      <c r="BK51" s="31"/>
      <c r="BL51" s="31"/>
      <c r="BM51" s="31">
        <v>275.83999999999997</v>
      </c>
      <c r="BN51" s="31"/>
      <c r="BO51" s="31"/>
      <c r="BP51" s="31"/>
      <c r="BQ51" s="31"/>
      <c r="BR51" s="31"/>
      <c r="BS51" s="31"/>
      <c r="BT51" s="31">
        <v>145.82</v>
      </c>
      <c r="BU51" s="31"/>
      <c r="BV51" s="31"/>
      <c r="BW51" s="31"/>
      <c r="BX51" s="31"/>
      <c r="BY51" s="31"/>
      <c r="BZ51" s="31"/>
      <c r="CA51" s="31"/>
      <c r="CB51" s="31"/>
      <c r="CC51" s="31">
        <v>180.83</v>
      </c>
      <c r="CD51" s="31"/>
      <c r="CE51" s="31"/>
      <c r="CF51" s="31"/>
      <c r="CG51" s="31"/>
      <c r="CH51" s="31"/>
      <c r="CI51" s="31"/>
      <c r="CJ51" s="31"/>
      <c r="CK51" s="31"/>
      <c r="CL51" s="31">
        <v>183.68</v>
      </c>
      <c r="CM51" s="24"/>
      <c r="CN51" s="24"/>
      <c r="CO51" s="24"/>
      <c r="CP51" s="24"/>
      <c r="CQ51" s="43">
        <f>Table2[[#This Row],[groupTime22]]/60</f>
        <v>4.5973333333333333</v>
      </c>
      <c r="CR51" s="43">
        <f>Table2[[#This Row],[groupTime23]]/60</f>
        <v>2.430333333333333</v>
      </c>
      <c r="CS51" s="43">
        <f>Table2[[#This Row],[groupTime24]]/60</f>
        <v>3.0138333333333334</v>
      </c>
    </row>
    <row r="52" spans="1:97" x14ac:dyDescent="0.25">
      <c r="A52" s="47" t="s">
        <v>821</v>
      </c>
      <c r="B52" s="11" t="s">
        <v>115</v>
      </c>
      <c r="C52" s="47">
        <v>61</v>
      </c>
      <c r="D52" s="47" t="s">
        <v>761</v>
      </c>
      <c r="E52" s="47">
        <v>6</v>
      </c>
      <c r="F52" s="47" t="s">
        <v>79</v>
      </c>
      <c r="G52" s="47">
        <v>34404930</v>
      </c>
      <c r="H52" s="47" t="s">
        <v>762</v>
      </c>
      <c r="I52" s="47" t="s">
        <v>761</v>
      </c>
      <c r="J52" s="47" t="s">
        <v>586</v>
      </c>
      <c r="K52" s="37" t="str">
        <f>IF(Table2[[#This Row],[priorSuccessRatio]]&lt;1,"yes","no")</f>
        <v>no</v>
      </c>
      <c r="L52" s="27">
        <f>VLOOKUP(Table2[[#This Row],[prolific]],'Correct calc'!B$16:$AJ$998,6,FALSE)</f>
        <v>1</v>
      </c>
      <c r="M52" s="27">
        <f>VLOOKUP(Table2[[#This Row],[prolific]],'Correct calc'!B$16:$AJ$998,14,FALSE)</f>
        <v>0.33333333333333331</v>
      </c>
      <c r="N52" s="27">
        <f>VLOOKUP(Table2[[#This Row],[prolific]],'Correct calc'!B$16:$AJ1145,24,FALSE)</f>
        <v>0.5</v>
      </c>
      <c r="O52" s="27">
        <f>VLOOKUP(Table2[[#This Row],[prolific]],'Correct calc'!B$16:$AJ1145,34,FALSE)</f>
        <v>0.5</v>
      </c>
      <c r="P52" s="28">
        <f>VLOOKUP(Table2[[#This Row],[comprescore]],Table3[],2,FALSE)</f>
        <v>4</v>
      </c>
      <c r="Q52" s="16">
        <f>VLOOKUP(Table2[[#This Row],[prolific]],'Correct calc'!B$16:$AK$998,36,FALSE)</f>
        <v>10</v>
      </c>
      <c r="R52" s="16">
        <f>Table2[[#This Row],[interviewminutes]]</f>
        <v>16.420500000000001</v>
      </c>
      <c r="S52" s="16">
        <f>Table2[[#This Row],[classifyTime]]+Table2[[#This Row],[explainTime]]+Table2[[#This Row],[validateTime]]</f>
        <v>10.979666666666667</v>
      </c>
      <c r="T52" s="29">
        <f>VLOOKUP(Table2[[#This Row],[prolific]],'Correct calc'!B$16:$AJ$998,35,FALSE)</f>
        <v>0.45454545454545453</v>
      </c>
      <c r="U52" s="15">
        <f>SUM(Table2[[#This Row],[priorKnowledge'[CLUSTERING']]:[priorKnowledge'[ZSCORES']]])/Table2[[#This Row],[priorKnowledgeTechQuestionCount]]</f>
        <v>2</v>
      </c>
      <c r="V52" s="16">
        <f>IF(Table2[[#This Row],[visualization]]="Wordcloud",2,3)</f>
        <v>2</v>
      </c>
      <c r="W52" s="31" t="s">
        <v>1066</v>
      </c>
      <c r="X52" s="31">
        <v>2</v>
      </c>
      <c r="Y52" s="31">
        <v>2</v>
      </c>
      <c r="Z52" s="31">
        <v>0</v>
      </c>
      <c r="AA52" s="31">
        <v>3</v>
      </c>
      <c r="AB52" s="31" t="s">
        <v>97</v>
      </c>
      <c r="AC52" s="31" t="s">
        <v>81</v>
      </c>
      <c r="AD52" s="31" t="s">
        <v>82</v>
      </c>
      <c r="AE52" s="31" t="s">
        <v>83</v>
      </c>
      <c r="AF52" s="31" t="s">
        <v>98</v>
      </c>
      <c r="AG52" s="31" t="s">
        <v>98</v>
      </c>
      <c r="AH52" s="31" t="s">
        <v>84</v>
      </c>
      <c r="AI52" s="31" t="s">
        <v>85</v>
      </c>
      <c r="AJ52" s="31" t="s">
        <v>104</v>
      </c>
      <c r="AK52" s="31" t="s">
        <v>88</v>
      </c>
      <c r="AL52" s="31" t="s">
        <v>87</v>
      </c>
      <c r="AM52" s="31" t="s">
        <v>99</v>
      </c>
      <c r="AN52" s="31" t="s">
        <v>109</v>
      </c>
      <c r="AO52" s="31" t="s">
        <v>83</v>
      </c>
      <c r="AP52" s="31" t="s">
        <v>85</v>
      </c>
      <c r="AQ52" s="31" t="s">
        <v>101</v>
      </c>
      <c r="AR52" s="31" t="s">
        <v>92</v>
      </c>
      <c r="AS52" s="31" t="s">
        <v>94</v>
      </c>
      <c r="AT52" s="31" t="s">
        <v>93</v>
      </c>
      <c r="AU52" s="31" t="s">
        <v>93</v>
      </c>
      <c r="AV52" s="31" t="s">
        <v>93</v>
      </c>
      <c r="AW52" s="31" t="s">
        <v>93</v>
      </c>
      <c r="AX52" s="31" t="s">
        <v>94</v>
      </c>
      <c r="AY52" s="31" t="s">
        <v>93</v>
      </c>
      <c r="AZ52" s="31" t="s">
        <v>93</v>
      </c>
      <c r="BA52" s="31" t="s">
        <v>103</v>
      </c>
      <c r="BB52" s="31" t="s">
        <v>809</v>
      </c>
      <c r="BC52" s="24"/>
      <c r="BD52" s="30">
        <f>Table2[[#This Row],[interviewtime]]/60</f>
        <v>16.420500000000001</v>
      </c>
      <c r="BE52" s="31">
        <v>985.23</v>
      </c>
      <c r="BF52" s="31">
        <v>10.31</v>
      </c>
      <c r="BG52" s="31"/>
      <c r="BH52" s="31">
        <v>275.51</v>
      </c>
      <c r="BI52" s="31"/>
      <c r="BJ52" s="31"/>
      <c r="BK52" s="31"/>
      <c r="BL52" s="31"/>
      <c r="BM52" s="31">
        <v>300.82</v>
      </c>
      <c r="BN52" s="31"/>
      <c r="BO52" s="31"/>
      <c r="BP52" s="31"/>
      <c r="BQ52" s="31"/>
      <c r="BR52" s="31"/>
      <c r="BS52" s="31"/>
      <c r="BT52" s="31">
        <v>202.58</v>
      </c>
      <c r="BU52" s="31"/>
      <c r="BV52" s="31"/>
      <c r="BW52" s="31"/>
      <c r="BX52" s="31"/>
      <c r="BY52" s="31"/>
      <c r="BZ52" s="31"/>
      <c r="CA52" s="31"/>
      <c r="CB52" s="31"/>
      <c r="CC52" s="31">
        <v>155.38</v>
      </c>
      <c r="CD52" s="31"/>
      <c r="CE52" s="31"/>
      <c r="CF52" s="31"/>
      <c r="CG52" s="31"/>
      <c r="CH52" s="31"/>
      <c r="CI52" s="31"/>
      <c r="CJ52" s="31"/>
      <c r="CK52" s="31"/>
      <c r="CL52" s="31">
        <v>40.630000000000003</v>
      </c>
      <c r="CM52" s="24"/>
      <c r="CN52" s="24"/>
      <c r="CO52" s="24"/>
      <c r="CP52" s="24"/>
      <c r="CQ52" s="43">
        <f>Table2[[#This Row],[groupTime22]]/60</f>
        <v>5.0136666666666665</v>
      </c>
      <c r="CR52" s="43">
        <f>Table2[[#This Row],[groupTime23]]/60</f>
        <v>3.3763333333333336</v>
      </c>
      <c r="CS52" s="43">
        <f>Table2[[#This Row],[groupTime24]]/60</f>
        <v>2.5896666666666666</v>
      </c>
    </row>
    <row r="53" spans="1:97" x14ac:dyDescent="0.25">
      <c r="A53" s="47" t="s">
        <v>821</v>
      </c>
      <c r="B53" s="11" t="s">
        <v>115</v>
      </c>
      <c r="C53" s="47">
        <v>62</v>
      </c>
      <c r="D53" s="47" t="s">
        <v>764</v>
      </c>
      <c r="E53" s="47">
        <v>6</v>
      </c>
      <c r="F53" s="47" t="s">
        <v>79</v>
      </c>
      <c r="G53" s="47">
        <v>1296035991</v>
      </c>
      <c r="H53" s="47" t="s">
        <v>765</v>
      </c>
      <c r="I53" s="47" t="s">
        <v>764</v>
      </c>
      <c r="J53" s="47" t="s">
        <v>586</v>
      </c>
      <c r="K53" s="37" t="str">
        <f>IF(Table2[[#This Row],[priorSuccessRatio]]&lt;1,"yes","no")</f>
        <v>no</v>
      </c>
      <c r="L53" s="27">
        <f>VLOOKUP(Table2[[#This Row],[prolific]],'Correct calc'!B$16:$AJ$998,6,FALSE)</f>
        <v>1</v>
      </c>
      <c r="M53" s="27">
        <f>VLOOKUP(Table2[[#This Row],[prolific]],'Correct calc'!B$16:$AJ$998,14,FALSE)</f>
        <v>0.66666666666666663</v>
      </c>
      <c r="N53" s="27">
        <f>VLOOKUP(Table2[[#This Row],[prolific]],'Correct calc'!B$16:$AJ1146,24,FALSE)</f>
        <v>0.875</v>
      </c>
      <c r="O53" s="27">
        <f>VLOOKUP(Table2[[#This Row],[prolific]],'Correct calc'!B$16:$AJ1146,34,FALSE)</f>
        <v>0.5</v>
      </c>
      <c r="P53" s="28">
        <f>VLOOKUP(Table2[[#This Row],[comprescore]],Table3[],2,FALSE)</f>
        <v>3</v>
      </c>
      <c r="Q53" s="16">
        <f>VLOOKUP(Table2[[#This Row],[prolific]],'Correct calc'!B$16:$AK$998,36,FALSE)</f>
        <v>15</v>
      </c>
      <c r="R53" s="16">
        <f>Table2[[#This Row],[interviewminutes]]</f>
        <v>12.514000000000001</v>
      </c>
      <c r="S53" s="16">
        <f>Table2[[#This Row],[classifyTime]]+Table2[[#This Row],[explainTime]]+Table2[[#This Row],[validateTime]]</f>
        <v>11.364500000000001</v>
      </c>
      <c r="T53" s="29">
        <f>VLOOKUP(Table2[[#This Row],[prolific]],'Correct calc'!B$16:$AJ$998,35,FALSE)</f>
        <v>0.68181818181818177</v>
      </c>
      <c r="U53" s="15">
        <f>SUM(Table2[[#This Row],[priorKnowledge'[CLUSTERING']]:[priorKnowledge'[ZSCORES']]])/Table2[[#This Row],[priorKnowledgeTechQuestionCount]]</f>
        <v>1.5</v>
      </c>
      <c r="V53" s="16">
        <f>IF(Table2[[#This Row],[visualization]]="Wordcloud",2,3)</f>
        <v>2</v>
      </c>
      <c r="W53" s="31" t="s">
        <v>1067</v>
      </c>
      <c r="X53" s="31">
        <v>2</v>
      </c>
      <c r="Y53" s="31">
        <v>1</v>
      </c>
      <c r="Z53" s="31">
        <v>0</v>
      </c>
      <c r="AA53" s="31">
        <v>1</v>
      </c>
      <c r="AB53" s="31" t="s">
        <v>97</v>
      </c>
      <c r="AC53" s="31" t="s">
        <v>81</v>
      </c>
      <c r="AD53" s="31" t="s">
        <v>82</v>
      </c>
      <c r="AE53" s="31" t="s">
        <v>83</v>
      </c>
      <c r="AF53" s="31" t="s">
        <v>85</v>
      </c>
      <c r="AG53" s="31" t="s">
        <v>86</v>
      </c>
      <c r="AH53" s="31" t="s">
        <v>84</v>
      </c>
      <c r="AI53" s="31" t="s">
        <v>85</v>
      </c>
      <c r="AJ53" s="31" t="s">
        <v>85</v>
      </c>
      <c r="AK53" s="31" t="s">
        <v>88</v>
      </c>
      <c r="AL53" s="31" t="s">
        <v>87</v>
      </c>
      <c r="AM53" s="31" t="s">
        <v>285</v>
      </c>
      <c r="AN53" s="31" t="s">
        <v>90</v>
      </c>
      <c r="AO53" s="31" t="s">
        <v>83</v>
      </c>
      <c r="AP53" s="31" t="s">
        <v>85</v>
      </c>
      <c r="AQ53" s="31" t="s">
        <v>91</v>
      </c>
      <c r="AR53" s="31" t="s">
        <v>102</v>
      </c>
      <c r="AS53" s="31" t="s">
        <v>94</v>
      </c>
      <c r="AT53" s="31" t="s">
        <v>93</v>
      </c>
      <c r="AU53" s="31" t="s">
        <v>94</v>
      </c>
      <c r="AV53" s="31" t="s">
        <v>93</v>
      </c>
      <c r="AW53" s="31" t="s">
        <v>93</v>
      </c>
      <c r="AX53" s="31" t="s">
        <v>94</v>
      </c>
      <c r="AY53" s="31" t="s">
        <v>93</v>
      </c>
      <c r="AZ53" s="31" t="s">
        <v>94</v>
      </c>
      <c r="BA53" s="31" t="s">
        <v>107</v>
      </c>
      <c r="BB53" s="31" t="s">
        <v>810</v>
      </c>
      <c r="BC53" s="24"/>
      <c r="BD53" s="30">
        <f>Table2[[#This Row],[interviewtime]]/60</f>
        <v>12.514000000000001</v>
      </c>
      <c r="BE53" s="31">
        <v>750.84</v>
      </c>
      <c r="BF53" s="31">
        <v>10.050000000000001</v>
      </c>
      <c r="BG53" s="31"/>
      <c r="BH53" s="31">
        <v>32.49</v>
      </c>
      <c r="BI53" s="31"/>
      <c r="BJ53" s="31"/>
      <c r="BK53" s="31"/>
      <c r="BL53" s="31"/>
      <c r="BM53" s="31">
        <v>341.04</v>
      </c>
      <c r="BN53" s="31"/>
      <c r="BO53" s="31"/>
      <c r="BP53" s="31"/>
      <c r="BQ53" s="31"/>
      <c r="BR53" s="31"/>
      <c r="BS53" s="31"/>
      <c r="BT53" s="31">
        <v>187.75</v>
      </c>
      <c r="BU53" s="31"/>
      <c r="BV53" s="31"/>
      <c r="BW53" s="31"/>
      <c r="BX53" s="31"/>
      <c r="BY53" s="31"/>
      <c r="BZ53" s="31"/>
      <c r="CA53" s="31"/>
      <c r="CB53" s="31"/>
      <c r="CC53" s="31">
        <v>153.08000000000001</v>
      </c>
      <c r="CD53" s="31"/>
      <c r="CE53" s="31"/>
      <c r="CF53" s="31"/>
      <c r="CG53" s="31"/>
      <c r="CH53" s="31"/>
      <c r="CI53" s="31"/>
      <c r="CJ53" s="31"/>
      <c r="CK53" s="31"/>
      <c r="CL53" s="31">
        <v>26.43</v>
      </c>
      <c r="CM53" s="24"/>
      <c r="CN53" s="24"/>
      <c r="CO53" s="24"/>
      <c r="CP53" s="24"/>
      <c r="CQ53" s="43">
        <f>Table2[[#This Row],[groupTime22]]/60</f>
        <v>5.6840000000000002</v>
      </c>
      <c r="CR53" s="43">
        <f>Table2[[#This Row],[groupTime23]]/60</f>
        <v>3.1291666666666669</v>
      </c>
      <c r="CS53" s="43">
        <f>Table2[[#This Row],[groupTime24]]/60</f>
        <v>2.5513333333333335</v>
      </c>
    </row>
    <row r="54" spans="1:97" x14ac:dyDescent="0.25">
      <c r="A54" s="47" t="s">
        <v>821</v>
      </c>
      <c r="B54" s="11" t="s">
        <v>115</v>
      </c>
      <c r="C54" s="47">
        <v>64</v>
      </c>
      <c r="D54" s="47" t="s">
        <v>767</v>
      </c>
      <c r="E54" s="47">
        <v>6</v>
      </c>
      <c r="F54" s="47" t="s">
        <v>79</v>
      </c>
      <c r="G54" s="47">
        <v>637231453</v>
      </c>
      <c r="H54" s="47" t="s">
        <v>768</v>
      </c>
      <c r="I54" s="47" t="s">
        <v>767</v>
      </c>
      <c r="J54" s="47" t="s">
        <v>589</v>
      </c>
      <c r="K54" s="37" t="str">
        <f>IF(Table2[[#This Row],[priorSuccessRatio]]&lt;1,"yes","no")</f>
        <v>no</v>
      </c>
      <c r="L54" s="27">
        <f>VLOOKUP(Table2[[#This Row],[prolific]],'Correct calc'!B$16:$AJ$998,6,FALSE)</f>
        <v>1</v>
      </c>
      <c r="M54" s="27">
        <f>VLOOKUP(Table2[[#This Row],[prolific]],'Correct calc'!B$16:$AJ$998,14,FALSE)</f>
        <v>0.66666666666666663</v>
      </c>
      <c r="N54" s="27">
        <f>VLOOKUP(Table2[[#This Row],[prolific]],'Correct calc'!B$16:$AJ1148,24,FALSE)</f>
        <v>1</v>
      </c>
      <c r="O54" s="27">
        <f>VLOOKUP(Table2[[#This Row],[prolific]],'Correct calc'!B$16:$AJ1148,34,FALSE)</f>
        <v>0.625</v>
      </c>
      <c r="P54" s="28">
        <f>VLOOKUP(Table2[[#This Row],[comprescore]],Table3[],2,FALSE)</f>
        <v>1</v>
      </c>
      <c r="Q54" s="16">
        <f>VLOOKUP(Table2[[#This Row],[prolific]],'Correct calc'!B$16:$AK$998,36,FALSE)</f>
        <v>17</v>
      </c>
      <c r="R54" s="16">
        <f>Table2[[#This Row],[interviewminutes]]</f>
        <v>14.009500000000001</v>
      </c>
      <c r="S54" s="16">
        <f>Table2[[#This Row],[classifyTime]]+Table2[[#This Row],[explainTime]]+Table2[[#This Row],[validateTime]]</f>
        <v>10.5915</v>
      </c>
      <c r="T54" s="29">
        <f>VLOOKUP(Table2[[#This Row],[prolific]],'Correct calc'!B$16:$AJ$998,35,FALSE)</f>
        <v>0.77272727272727271</v>
      </c>
      <c r="U54" s="15">
        <f>SUM(Table2[[#This Row],[priorKnowledge'[CLUSTERING']]:[priorKnowledge'[ZSCORES']]])/Table2[[#This Row],[priorKnowledgeTechQuestionCount]]</f>
        <v>6</v>
      </c>
      <c r="V54" s="16">
        <f>IF(Table2[[#This Row],[visualization]]="Wordcloud",2,3)</f>
        <v>2</v>
      </c>
      <c r="W54" s="31" t="s">
        <v>1068</v>
      </c>
      <c r="X54" s="31">
        <v>7</v>
      </c>
      <c r="Y54" s="31">
        <v>5</v>
      </c>
      <c r="Z54" s="31">
        <v>0</v>
      </c>
      <c r="AA54" s="31">
        <v>3</v>
      </c>
      <c r="AB54" s="31" t="s">
        <v>97</v>
      </c>
      <c r="AC54" s="31" t="s">
        <v>81</v>
      </c>
      <c r="AD54" s="31" t="s">
        <v>82</v>
      </c>
      <c r="AE54" s="31" t="s">
        <v>83</v>
      </c>
      <c r="AF54" s="31" t="s">
        <v>85</v>
      </c>
      <c r="AG54" s="31" t="s">
        <v>98</v>
      </c>
      <c r="AH54" s="31" t="s">
        <v>84</v>
      </c>
      <c r="AI54" s="31" t="s">
        <v>104</v>
      </c>
      <c r="AJ54" s="31" t="s">
        <v>86</v>
      </c>
      <c r="AK54" s="31" t="s">
        <v>88</v>
      </c>
      <c r="AL54" s="31" t="s">
        <v>87</v>
      </c>
      <c r="AM54" s="31" t="s">
        <v>105</v>
      </c>
      <c r="AN54" s="31" t="s">
        <v>90</v>
      </c>
      <c r="AO54" s="31" t="s">
        <v>83</v>
      </c>
      <c r="AP54" s="31" t="s">
        <v>85</v>
      </c>
      <c r="AQ54" s="31" t="s">
        <v>91</v>
      </c>
      <c r="AR54" s="31" t="s">
        <v>102</v>
      </c>
      <c r="AS54" s="31" t="s">
        <v>94</v>
      </c>
      <c r="AT54" s="31" t="s">
        <v>93</v>
      </c>
      <c r="AU54" s="31" t="s">
        <v>93</v>
      </c>
      <c r="AV54" s="31" t="s">
        <v>93</v>
      </c>
      <c r="AW54" s="31" t="s">
        <v>93</v>
      </c>
      <c r="AX54" s="31" t="s">
        <v>93</v>
      </c>
      <c r="AY54" s="31" t="s">
        <v>94</v>
      </c>
      <c r="AZ54" s="31" t="s">
        <v>94</v>
      </c>
      <c r="BA54" s="31" t="s">
        <v>95</v>
      </c>
      <c r="BB54" s="31" t="s">
        <v>811</v>
      </c>
      <c r="BC54" s="24"/>
      <c r="BD54" s="30">
        <f>Table2[[#This Row],[interviewtime]]/60</f>
        <v>14.009500000000001</v>
      </c>
      <c r="BE54" s="31">
        <v>840.57</v>
      </c>
      <c r="BF54" s="31">
        <v>6.25</v>
      </c>
      <c r="BG54" s="31"/>
      <c r="BH54" s="31">
        <v>64.47</v>
      </c>
      <c r="BI54" s="31"/>
      <c r="BJ54" s="31"/>
      <c r="BK54" s="31"/>
      <c r="BL54" s="31"/>
      <c r="BM54" s="31">
        <v>298.27</v>
      </c>
      <c r="BN54" s="31"/>
      <c r="BO54" s="31"/>
      <c r="BP54" s="31"/>
      <c r="BQ54" s="31"/>
      <c r="BR54" s="31"/>
      <c r="BS54" s="31"/>
      <c r="BT54" s="31">
        <v>239.47</v>
      </c>
      <c r="BU54" s="31"/>
      <c r="BV54" s="31"/>
      <c r="BW54" s="31"/>
      <c r="BX54" s="31"/>
      <c r="BY54" s="31"/>
      <c r="BZ54" s="31"/>
      <c r="CA54" s="31"/>
      <c r="CB54" s="31"/>
      <c r="CC54" s="31">
        <v>97.75</v>
      </c>
      <c r="CD54" s="31"/>
      <c r="CE54" s="31"/>
      <c r="CF54" s="31"/>
      <c r="CG54" s="31"/>
      <c r="CH54" s="31"/>
      <c r="CI54" s="31"/>
      <c r="CJ54" s="31"/>
      <c r="CK54" s="31"/>
      <c r="CL54" s="31">
        <v>134.36000000000001</v>
      </c>
      <c r="CM54" s="24"/>
      <c r="CN54" s="24"/>
      <c r="CO54" s="24"/>
      <c r="CP54" s="24"/>
      <c r="CQ54" s="43">
        <f>Table2[[#This Row],[groupTime22]]/60</f>
        <v>4.9711666666666661</v>
      </c>
      <c r="CR54" s="43">
        <f>Table2[[#This Row],[groupTime23]]/60</f>
        <v>3.9911666666666665</v>
      </c>
      <c r="CS54" s="43">
        <f>Table2[[#This Row],[groupTime24]]/60</f>
        <v>1.6291666666666667</v>
      </c>
    </row>
    <row r="55" spans="1:97" x14ac:dyDescent="0.25">
      <c r="A55" s="47" t="s">
        <v>821</v>
      </c>
      <c r="B55" s="11" t="s">
        <v>115</v>
      </c>
      <c r="C55" s="47">
        <v>65</v>
      </c>
      <c r="D55" s="47" t="s">
        <v>770</v>
      </c>
      <c r="E55" s="47">
        <v>6</v>
      </c>
      <c r="F55" s="47" t="s">
        <v>79</v>
      </c>
      <c r="G55" s="47">
        <v>921603395</v>
      </c>
      <c r="H55" s="47" t="s">
        <v>771</v>
      </c>
      <c r="I55" s="47" t="s">
        <v>770</v>
      </c>
      <c r="J55" s="47" t="s">
        <v>589</v>
      </c>
      <c r="K55" s="37" t="str">
        <f>IF(Table2[[#This Row],[priorSuccessRatio]]&lt;1,"yes","no")</f>
        <v>no</v>
      </c>
      <c r="L55" s="27">
        <f>VLOOKUP(Table2[[#This Row],[prolific]],'Correct calc'!B$16:$AJ$998,6,FALSE)</f>
        <v>1</v>
      </c>
      <c r="M55" s="27">
        <f>VLOOKUP(Table2[[#This Row],[prolific]],'Correct calc'!B$16:$AJ$998,14,FALSE)</f>
        <v>1</v>
      </c>
      <c r="N55" s="27">
        <f>VLOOKUP(Table2[[#This Row],[prolific]],'Correct calc'!B$16:$AJ1149,24,FALSE)</f>
        <v>0.875</v>
      </c>
      <c r="O55" s="27">
        <f>VLOOKUP(Table2[[#This Row],[prolific]],'Correct calc'!B$16:$AJ1149,34,FALSE)</f>
        <v>0.625</v>
      </c>
      <c r="P55" s="28">
        <f>VLOOKUP(Table2[[#This Row],[comprescore]],Table3[],2,FALSE)</f>
        <v>2</v>
      </c>
      <c r="Q55" s="16">
        <f>VLOOKUP(Table2[[#This Row],[prolific]],'Correct calc'!B$16:$AK$998,36,FALSE)</f>
        <v>18</v>
      </c>
      <c r="R55" s="16">
        <f>Table2[[#This Row],[interviewminutes]]</f>
        <v>8.23</v>
      </c>
      <c r="S55" s="16">
        <f>Table2[[#This Row],[classifyTime]]+Table2[[#This Row],[explainTime]]+Table2[[#This Row],[validateTime]]</f>
        <v>7.1318333333333337</v>
      </c>
      <c r="T55" s="29">
        <f>VLOOKUP(Table2[[#This Row],[prolific]],'Correct calc'!B$16:$AJ$998,35,FALSE)</f>
        <v>0.81818181818181823</v>
      </c>
      <c r="U55" s="15">
        <f>SUM(Table2[[#This Row],[priorKnowledge'[CLUSTERING']]:[priorKnowledge'[ZSCORES']]])/Table2[[#This Row],[priorKnowledgeTechQuestionCount]]</f>
        <v>1</v>
      </c>
      <c r="V55" s="16">
        <f>IF(Table2[[#This Row],[visualization]]="Wordcloud",2,3)</f>
        <v>2</v>
      </c>
      <c r="W55" s="31" t="s">
        <v>1069</v>
      </c>
      <c r="X55" s="31">
        <v>1</v>
      </c>
      <c r="Y55" s="31">
        <v>1</v>
      </c>
      <c r="Z55" s="31">
        <v>0</v>
      </c>
      <c r="AA55" s="31">
        <v>5</v>
      </c>
      <c r="AB55" s="31" t="s">
        <v>97</v>
      </c>
      <c r="AC55" s="31" t="s">
        <v>81</v>
      </c>
      <c r="AD55" s="31" t="s">
        <v>82</v>
      </c>
      <c r="AE55" s="31" t="s">
        <v>83</v>
      </c>
      <c r="AF55" s="31" t="s">
        <v>85</v>
      </c>
      <c r="AG55" s="31" t="s">
        <v>86</v>
      </c>
      <c r="AH55" s="31" t="s">
        <v>84</v>
      </c>
      <c r="AI55" s="31" t="s">
        <v>104</v>
      </c>
      <c r="AJ55" s="31" t="s">
        <v>98</v>
      </c>
      <c r="AK55" s="31" t="s">
        <v>88</v>
      </c>
      <c r="AL55" s="31" t="s">
        <v>87</v>
      </c>
      <c r="AM55" s="31" t="s">
        <v>105</v>
      </c>
      <c r="AN55" s="31" t="s">
        <v>90</v>
      </c>
      <c r="AO55" s="31" t="s">
        <v>83</v>
      </c>
      <c r="AP55" s="31" t="s">
        <v>85</v>
      </c>
      <c r="AQ55" s="31" t="s">
        <v>111</v>
      </c>
      <c r="AR55" s="31" t="s">
        <v>102</v>
      </c>
      <c r="AS55" s="31" t="s">
        <v>94</v>
      </c>
      <c r="AT55" s="31" t="s">
        <v>93</v>
      </c>
      <c r="AU55" s="31" t="s">
        <v>94</v>
      </c>
      <c r="AV55" s="31" t="s">
        <v>93</v>
      </c>
      <c r="AW55" s="31" t="s">
        <v>93</v>
      </c>
      <c r="AX55" s="31" t="s">
        <v>94</v>
      </c>
      <c r="AY55" s="31" t="s">
        <v>94</v>
      </c>
      <c r="AZ55" s="31" t="s">
        <v>94</v>
      </c>
      <c r="BA55" s="31" t="s">
        <v>106</v>
      </c>
      <c r="BB55" s="31" t="s">
        <v>812</v>
      </c>
      <c r="BC55" s="24"/>
      <c r="BD55" s="30">
        <f>Table2[[#This Row],[interviewtime]]/60</f>
        <v>8.23</v>
      </c>
      <c r="BE55" s="31">
        <v>493.8</v>
      </c>
      <c r="BF55" s="31">
        <v>4.42</v>
      </c>
      <c r="BG55" s="31"/>
      <c r="BH55" s="31">
        <v>32.49</v>
      </c>
      <c r="BI55" s="31"/>
      <c r="BJ55" s="31"/>
      <c r="BK55" s="31"/>
      <c r="BL55" s="31"/>
      <c r="BM55" s="31">
        <v>168.24</v>
      </c>
      <c r="BN55" s="31"/>
      <c r="BO55" s="31"/>
      <c r="BP55" s="31"/>
      <c r="BQ55" s="31"/>
      <c r="BR55" s="31"/>
      <c r="BS55" s="31"/>
      <c r="BT55" s="31">
        <v>152.71</v>
      </c>
      <c r="BU55" s="31"/>
      <c r="BV55" s="31"/>
      <c r="BW55" s="31"/>
      <c r="BX55" s="31"/>
      <c r="BY55" s="31"/>
      <c r="BZ55" s="31"/>
      <c r="CA55" s="31"/>
      <c r="CB55" s="31"/>
      <c r="CC55" s="31">
        <v>106.96</v>
      </c>
      <c r="CD55" s="31"/>
      <c r="CE55" s="31"/>
      <c r="CF55" s="31"/>
      <c r="CG55" s="31"/>
      <c r="CH55" s="31"/>
      <c r="CI55" s="31"/>
      <c r="CJ55" s="31"/>
      <c r="CK55" s="31"/>
      <c r="CL55" s="31">
        <v>28.98</v>
      </c>
      <c r="CM55" s="24"/>
      <c r="CN55" s="24"/>
      <c r="CO55" s="24"/>
      <c r="CP55" s="24"/>
      <c r="CQ55" s="43">
        <f>Table2[[#This Row],[groupTime22]]/60</f>
        <v>2.8040000000000003</v>
      </c>
      <c r="CR55" s="43">
        <f>Table2[[#This Row],[groupTime23]]/60</f>
        <v>2.5451666666666668</v>
      </c>
      <c r="CS55" s="43">
        <f>Table2[[#This Row],[groupTime24]]/60</f>
        <v>1.7826666666666666</v>
      </c>
    </row>
    <row r="56" spans="1:97" x14ac:dyDescent="0.25">
      <c r="A56" s="47" t="s">
        <v>821</v>
      </c>
      <c r="B56" s="11" t="s">
        <v>115</v>
      </c>
      <c r="C56" s="47">
        <v>66</v>
      </c>
      <c r="D56" s="47" t="s">
        <v>773</v>
      </c>
      <c r="E56" s="47">
        <v>6</v>
      </c>
      <c r="F56" s="47" t="s">
        <v>79</v>
      </c>
      <c r="G56" s="47">
        <v>902149787</v>
      </c>
      <c r="H56" s="47" t="s">
        <v>774</v>
      </c>
      <c r="I56" s="47" t="s">
        <v>773</v>
      </c>
      <c r="J56" s="47" t="s">
        <v>589</v>
      </c>
      <c r="K56" s="37" t="str">
        <f>IF(Table2[[#This Row],[priorSuccessRatio]]&lt;1,"yes","no")</f>
        <v>no</v>
      </c>
      <c r="L56" s="27">
        <f>VLOOKUP(Table2[[#This Row],[prolific]],'Correct calc'!B$16:$AJ$998,6,FALSE)</f>
        <v>1</v>
      </c>
      <c r="M56" s="27">
        <f>VLOOKUP(Table2[[#This Row],[prolific]],'Correct calc'!B$16:$AJ$998,14,FALSE)</f>
        <v>0.66666666666666663</v>
      </c>
      <c r="N56" s="27">
        <f>VLOOKUP(Table2[[#This Row],[prolific]],'Correct calc'!B$16:$AJ1150,24,FALSE)</f>
        <v>0.75</v>
      </c>
      <c r="O56" s="27">
        <f>VLOOKUP(Table2[[#This Row],[prolific]],'Correct calc'!B$16:$AJ1150,34,FALSE)</f>
        <v>0.375</v>
      </c>
      <c r="P56" s="28">
        <f>VLOOKUP(Table2[[#This Row],[comprescore]],Table3[],2,FALSE)</f>
        <v>3</v>
      </c>
      <c r="Q56" s="16">
        <f>VLOOKUP(Table2[[#This Row],[prolific]],'Correct calc'!B$16:$AK$998,36,FALSE)</f>
        <v>13</v>
      </c>
      <c r="R56" s="16">
        <f>Table2[[#This Row],[interviewminutes]]</f>
        <v>17.519000000000002</v>
      </c>
      <c r="S56" s="16">
        <f>Table2[[#This Row],[classifyTime]]+Table2[[#This Row],[explainTime]]+Table2[[#This Row],[validateTime]]</f>
        <v>16.051500000000001</v>
      </c>
      <c r="T56" s="29">
        <f>VLOOKUP(Table2[[#This Row],[prolific]],'Correct calc'!B$16:$AJ$998,35,FALSE)</f>
        <v>0.59090909090909094</v>
      </c>
      <c r="U56" s="15">
        <f>SUM(Table2[[#This Row],[priorKnowledge'[CLUSTERING']]:[priorKnowledge'[ZSCORES']]])/Table2[[#This Row],[priorKnowledgeTechQuestionCount]]</f>
        <v>3.5</v>
      </c>
      <c r="V56" s="16">
        <f>IF(Table2[[#This Row],[visualization]]="Wordcloud",2,3)</f>
        <v>2</v>
      </c>
      <c r="W56" s="31" t="s">
        <v>1070</v>
      </c>
      <c r="X56" s="31">
        <v>4</v>
      </c>
      <c r="Y56" s="31">
        <v>3</v>
      </c>
      <c r="Z56" s="31">
        <v>0</v>
      </c>
      <c r="AA56" s="31">
        <v>7</v>
      </c>
      <c r="AB56" s="31" t="s">
        <v>97</v>
      </c>
      <c r="AC56" s="31" t="s">
        <v>81</v>
      </c>
      <c r="AD56" s="31" t="s">
        <v>82</v>
      </c>
      <c r="AE56" s="31" t="s">
        <v>83</v>
      </c>
      <c r="AF56" s="31" t="s">
        <v>83</v>
      </c>
      <c r="AG56" s="31" t="s">
        <v>98</v>
      </c>
      <c r="AH56" s="31" t="s">
        <v>84</v>
      </c>
      <c r="AI56" s="31" t="s">
        <v>104</v>
      </c>
      <c r="AJ56" s="31" t="s">
        <v>98</v>
      </c>
      <c r="AK56" s="31" t="s">
        <v>88</v>
      </c>
      <c r="AL56" s="31" t="s">
        <v>87</v>
      </c>
      <c r="AM56" s="31" t="s">
        <v>285</v>
      </c>
      <c r="AN56" s="31" t="s">
        <v>109</v>
      </c>
      <c r="AO56" s="31" t="s">
        <v>83</v>
      </c>
      <c r="AP56" s="31" t="s">
        <v>85</v>
      </c>
      <c r="AQ56" s="31" t="s">
        <v>91</v>
      </c>
      <c r="AR56" s="31" t="s">
        <v>102</v>
      </c>
      <c r="AS56" s="31" t="s">
        <v>94</v>
      </c>
      <c r="AT56" s="31" t="s">
        <v>93</v>
      </c>
      <c r="AU56" s="31" t="s">
        <v>93</v>
      </c>
      <c r="AV56" s="31" t="s">
        <v>93</v>
      </c>
      <c r="AW56" s="31" t="s">
        <v>93</v>
      </c>
      <c r="AX56" s="31" t="s">
        <v>94</v>
      </c>
      <c r="AY56" s="31" t="s">
        <v>93</v>
      </c>
      <c r="AZ56" s="31" t="s">
        <v>94</v>
      </c>
      <c r="BA56" s="31" t="s">
        <v>107</v>
      </c>
      <c r="BB56" s="31" t="s">
        <v>813</v>
      </c>
      <c r="BC56" s="24"/>
      <c r="BD56" s="30">
        <f>Table2[[#This Row],[interviewtime]]/60</f>
        <v>17.519000000000002</v>
      </c>
      <c r="BE56" s="31">
        <v>1051.1400000000001</v>
      </c>
      <c r="BF56" s="31">
        <v>12.35</v>
      </c>
      <c r="BG56" s="31"/>
      <c r="BH56" s="31">
        <v>29.49</v>
      </c>
      <c r="BI56" s="31"/>
      <c r="BJ56" s="31"/>
      <c r="BK56" s="31"/>
      <c r="BL56" s="31"/>
      <c r="BM56" s="31">
        <v>308.11</v>
      </c>
      <c r="BN56" s="31"/>
      <c r="BO56" s="31"/>
      <c r="BP56" s="31"/>
      <c r="BQ56" s="31"/>
      <c r="BR56" s="31"/>
      <c r="BS56" s="31"/>
      <c r="BT56" s="31">
        <v>458.04</v>
      </c>
      <c r="BU56" s="31"/>
      <c r="BV56" s="31"/>
      <c r="BW56" s="31"/>
      <c r="BX56" s="31"/>
      <c r="BY56" s="31"/>
      <c r="BZ56" s="31"/>
      <c r="CA56" s="31"/>
      <c r="CB56" s="31"/>
      <c r="CC56" s="31">
        <v>196.94</v>
      </c>
      <c r="CD56" s="31"/>
      <c r="CE56" s="31"/>
      <c r="CF56" s="31"/>
      <c r="CG56" s="31"/>
      <c r="CH56" s="31"/>
      <c r="CI56" s="31"/>
      <c r="CJ56" s="31"/>
      <c r="CK56" s="31"/>
      <c r="CL56" s="31">
        <v>46.21</v>
      </c>
      <c r="CM56" s="24"/>
      <c r="CN56" s="24"/>
      <c r="CO56" s="24"/>
      <c r="CP56" s="24"/>
      <c r="CQ56" s="43">
        <f>Table2[[#This Row],[groupTime22]]/60</f>
        <v>5.1351666666666667</v>
      </c>
      <c r="CR56" s="43">
        <f>Table2[[#This Row],[groupTime23]]/60</f>
        <v>7.6340000000000003</v>
      </c>
      <c r="CS56" s="43">
        <f>Table2[[#This Row],[groupTime24]]/60</f>
        <v>3.2823333333333333</v>
      </c>
    </row>
    <row r="57" spans="1:97" x14ac:dyDescent="0.25">
      <c r="A57" s="47" t="s">
        <v>821</v>
      </c>
      <c r="B57" s="11" t="s">
        <v>115</v>
      </c>
      <c r="C57" s="47">
        <v>67</v>
      </c>
      <c r="D57" s="47" t="s">
        <v>776</v>
      </c>
      <c r="E57" s="47">
        <v>6</v>
      </c>
      <c r="F57" s="47" t="s">
        <v>79</v>
      </c>
      <c r="G57" s="47">
        <v>1247914858</v>
      </c>
      <c r="H57" s="47" t="s">
        <v>777</v>
      </c>
      <c r="I57" s="47" t="s">
        <v>776</v>
      </c>
      <c r="J57" s="47" t="s">
        <v>589</v>
      </c>
      <c r="K57" s="37" t="str">
        <f>IF(Table2[[#This Row],[priorSuccessRatio]]&lt;1,"yes","no")</f>
        <v>no</v>
      </c>
      <c r="L57" s="27">
        <f>VLOOKUP(Table2[[#This Row],[prolific]],'Correct calc'!B$16:$AJ$998,6,FALSE)</f>
        <v>1</v>
      </c>
      <c r="M57" s="27">
        <f>VLOOKUP(Table2[[#This Row],[prolific]],'Correct calc'!B$16:$AJ$998,14,FALSE)</f>
        <v>0.66666666666666663</v>
      </c>
      <c r="N57" s="27">
        <f>VLOOKUP(Table2[[#This Row],[prolific]],'Correct calc'!B$16:$AJ1151,24,FALSE)</f>
        <v>0.625</v>
      </c>
      <c r="O57" s="27">
        <f>VLOOKUP(Table2[[#This Row],[prolific]],'Correct calc'!B$16:$AJ1151,34,FALSE)</f>
        <v>0.375</v>
      </c>
      <c r="P57" s="28">
        <f>VLOOKUP(Table2[[#This Row],[comprescore]],Table3[],2,FALSE)</f>
        <v>2</v>
      </c>
      <c r="Q57" s="16">
        <f>VLOOKUP(Table2[[#This Row],[prolific]],'Correct calc'!B$16:$AK$998,36,FALSE)</f>
        <v>12</v>
      </c>
      <c r="R57" s="16">
        <f>Table2[[#This Row],[interviewminutes]]</f>
        <v>6.5739999999999998</v>
      </c>
      <c r="S57" s="16">
        <f>Table2[[#This Row],[classifyTime]]+Table2[[#This Row],[explainTime]]+Table2[[#This Row],[validateTime]]</f>
        <v>5.9481666666666655</v>
      </c>
      <c r="T57" s="29">
        <f>VLOOKUP(Table2[[#This Row],[prolific]],'Correct calc'!B$16:$AJ$998,35,FALSE)</f>
        <v>0.54545454545454541</v>
      </c>
      <c r="U57" s="15">
        <f>SUM(Table2[[#This Row],[priorKnowledge'[CLUSTERING']]:[priorKnowledge'[ZSCORES']]])/Table2[[#This Row],[priorKnowledgeTechQuestionCount]]</f>
        <v>1</v>
      </c>
      <c r="V57" s="16">
        <f>IF(Table2[[#This Row],[visualization]]="Wordcloud",2,3)</f>
        <v>2</v>
      </c>
      <c r="W57" s="31" t="s">
        <v>1071</v>
      </c>
      <c r="X57" s="31">
        <v>1</v>
      </c>
      <c r="Y57" s="31">
        <v>1</v>
      </c>
      <c r="Z57" s="31">
        <v>0</v>
      </c>
      <c r="AA57" s="31">
        <v>2</v>
      </c>
      <c r="AB57" s="31" t="s">
        <v>97</v>
      </c>
      <c r="AC57" s="31" t="s">
        <v>81</v>
      </c>
      <c r="AD57" s="31" t="s">
        <v>82</v>
      </c>
      <c r="AE57" s="31" t="s">
        <v>83</v>
      </c>
      <c r="AF57" s="31" t="s">
        <v>104</v>
      </c>
      <c r="AG57" s="31" t="s">
        <v>86</v>
      </c>
      <c r="AH57" s="31" t="s">
        <v>84</v>
      </c>
      <c r="AI57" s="31" t="s">
        <v>85</v>
      </c>
      <c r="AJ57" s="31" t="s">
        <v>98</v>
      </c>
      <c r="AK57" s="31" t="s">
        <v>88</v>
      </c>
      <c r="AL57" s="31" t="s">
        <v>87</v>
      </c>
      <c r="AM57" s="31" t="s">
        <v>105</v>
      </c>
      <c r="AN57" s="31" t="s">
        <v>109</v>
      </c>
      <c r="AO57" s="31" t="s">
        <v>83</v>
      </c>
      <c r="AP57" s="31" t="s">
        <v>85</v>
      </c>
      <c r="AQ57" s="31" t="s">
        <v>101</v>
      </c>
      <c r="AR57" s="31" t="s">
        <v>101</v>
      </c>
      <c r="AS57" s="31" t="s">
        <v>94</v>
      </c>
      <c r="AT57" s="31" t="s">
        <v>93</v>
      </c>
      <c r="AU57" s="31" t="s">
        <v>93</v>
      </c>
      <c r="AV57" s="31" t="s">
        <v>93</v>
      </c>
      <c r="AW57" s="31" t="s">
        <v>93</v>
      </c>
      <c r="AX57" s="31" t="s">
        <v>94</v>
      </c>
      <c r="AY57" s="31" t="s">
        <v>93</v>
      </c>
      <c r="AZ57" s="31" t="s">
        <v>94</v>
      </c>
      <c r="BA57" s="31" t="s">
        <v>106</v>
      </c>
      <c r="BB57" s="31"/>
      <c r="BC57" s="24"/>
      <c r="BD57" s="30">
        <f>Table2[[#This Row],[interviewtime]]/60</f>
        <v>6.5739999999999998</v>
      </c>
      <c r="BE57" s="31">
        <v>394.44</v>
      </c>
      <c r="BF57" s="31">
        <v>7.38</v>
      </c>
      <c r="BG57" s="31"/>
      <c r="BH57" s="31">
        <v>20.72</v>
      </c>
      <c r="BI57" s="31"/>
      <c r="BJ57" s="31"/>
      <c r="BK57" s="31"/>
      <c r="BL57" s="31"/>
      <c r="BM57" s="31">
        <v>154.71</v>
      </c>
      <c r="BN57" s="31"/>
      <c r="BO57" s="31"/>
      <c r="BP57" s="31"/>
      <c r="BQ57" s="31"/>
      <c r="BR57" s="31"/>
      <c r="BS57" s="31"/>
      <c r="BT57" s="31">
        <v>124.85</v>
      </c>
      <c r="BU57" s="31"/>
      <c r="BV57" s="31"/>
      <c r="BW57" s="31"/>
      <c r="BX57" s="31"/>
      <c r="BY57" s="31"/>
      <c r="BZ57" s="31"/>
      <c r="CA57" s="31"/>
      <c r="CB57" s="31"/>
      <c r="CC57" s="31">
        <v>77.33</v>
      </c>
      <c r="CD57" s="31"/>
      <c r="CE57" s="31"/>
      <c r="CF57" s="31"/>
      <c r="CG57" s="31"/>
      <c r="CH57" s="31"/>
      <c r="CI57" s="31"/>
      <c r="CJ57" s="31"/>
      <c r="CK57" s="31"/>
      <c r="CL57" s="31">
        <v>9.4499999999999993</v>
      </c>
      <c r="CM57" s="24"/>
      <c r="CN57" s="24"/>
      <c r="CO57" s="24"/>
      <c r="CP57" s="24"/>
      <c r="CQ57" s="43">
        <f>Table2[[#This Row],[groupTime22]]/60</f>
        <v>2.5785</v>
      </c>
      <c r="CR57" s="43">
        <f>Table2[[#This Row],[groupTime23]]/60</f>
        <v>2.0808333333333331</v>
      </c>
      <c r="CS57" s="43">
        <f>Table2[[#This Row],[groupTime24]]/60</f>
        <v>1.2888333333333333</v>
      </c>
    </row>
    <row r="58" spans="1:97" x14ac:dyDescent="0.25">
      <c r="A58" s="47" t="s">
        <v>821</v>
      </c>
      <c r="B58" s="11" t="s">
        <v>115</v>
      </c>
      <c r="C58" s="47">
        <v>68</v>
      </c>
      <c r="D58" s="47" t="s">
        <v>779</v>
      </c>
      <c r="E58" s="47">
        <v>6</v>
      </c>
      <c r="F58" s="47" t="s">
        <v>79</v>
      </c>
      <c r="G58" s="47">
        <v>1645189931</v>
      </c>
      <c r="H58" s="47" t="s">
        <v>780</v>
      </c>
      <c r="I58" s="47" t="s">
        <v>779</v>
      </c>
      <c r="J58" s="47" t="s">
        <v>589</v>
      </c>
      <c r="K58" s="37" t="str">
        <f>IF(Table2[[#This Row],[priorSuccessRatio]]&lt;1,"yes","no")</f>
        <v>no</v>
      </c>
      <c r="L58" s="27">
        <f>VLOOKUP(Table2[[#This Row],[prolific]],'Correct calc'!B$16:$AJ$998,6,FALSE)</f>
        <v>1</v>
      </c>
      <c r="M58" s="27">
        <f>VLOOKUP(Table2[[#This Row],[prolific]],'Correct calc'!B$16:$AJ$998,14,FALSE)</f>
        <v>0.5</v>
      </c>
      <c r="N58" s="27">
        <f>VLOOKUP(Table2[[#This Row],[prolific]],'Correct calc'!B$16:$AJ1152,24,FALSE)</f>
        <v>0.875</v>
      </c>
      <c r="O58" s="27">
        <f>VLOOKUP(Table2[[#This Row],[prolific]],'Correct calc'!B$16:$AJ1152,34,FALSE)</f>
        <v>0.625</v>
      </c>
      <c r="P58" s="28">
        <f>VLOOKUP(Table2[[#This Row],[comprescore]],Table3[],2,FALSE)</f>
        <v>4</v>
      </c>
      <c r="Q58" s="16">
        <f>VLOOKUP(Table2[[#This Row],[prolific]],'Correct calc'!B$16:$AK$998,36,FALSE)</f>
        <v>15</v>
      </c>
      <c r="R58" s="16">
        <f>Table2[[#This Row],[interviewminutes]]</f>
        <v>8.8763333333333332</v>
      </c>
      <c r="S58" s="16">
        <f>Table2[[#This Row],[classifyTime]]+Table2[[#This Row],[explainTime]]+Table2[[#This Row],[validateTime]]</f>
        <v>7.3931666666666676</v>
      </c>
      <c r="T58" s="29">
        <f>VLOOKUP(Table2[[#This Row],[prolific]],'Correct calc'!B$16:$AJ$998,35,FALSE)</f>
        <v>0.68181818181818177</v>
      </c>
      <c r="U58" s="15">
        <f>SUM(Table2[[#This Row],[priorKnowledge'[CLUSTERING']]:[priorKnowledge'[ZSCORES']]])/Table2[[#This Row],[priorKnowledgeTechQuestionCount]]</f>
        <v>1.5</v>
      </c>
      <c r="V58" s="16">
        <f>IF(Table2[[#This Row],[visualization]]="Wordcloud",2,3)</f>
        <v>2</v>
      </c>
      <c r="W58" s="31" t="s">
        <v>1072</v>
      </c>
      <c r="X58" s="31">
        <v>1</v>
      </c>
      <c r="Y58" s="31">
        <v>2</v>
      </c>
      <c r="Z58" s="31">
        <v>0</v>
      </c>
      <c r="AA58" s="31">
        <v>6</v>
      </c>
      <c r="AB58" s="31" t="s">
        <v>97</v>
      </c>
      <c r="AC58" s="31" t="s">
        <v>81</v>
      </c>
      <c r="AD58" s="31" t="s">
        <v>82</v>
      </c>
      <c r="AE58" s="31" t="s">
        <v>83</v>
      </c>
      <c r="AF58" s="31" t="s">
        <v>85</v>
      </c>
      <c r="AG58" s="31" t="s">
        <v>98</v>
      </c>
      <c r="AH58" s="31" t="s">
        <v>84</v>
      </c>
      <c r="AI58" s="31" t="s">
        <v>85</v>
      </c>
      <c r="AJ58" s="31" t="s">
        <v>86</v>
      </c>
      <c r="AK58" s="31" t="s">
        <v>88</v>
      </c>
      <c r="AL58" s="31" t="s">
        <v>87</v>
      </c>
      <c r="AM58" s="31" t="s">
        <v>105</v>
      </c>
      <c r="AN58" s="31" t="s">
        <v>90</v>
      </c>
      <c r="AO58" s="31" t="s">
        <v>83</v>
      </c>
      <c r="AP58" s="31" t="s">
        <v>85</v>
      </c>
      <c r="AQ58" s="31" t="s">
        <v>91</v>
      </c>
      <c r="AR58" s="31" t="s">
        <v>92</v>
      </c>
      <c r="AS58" s="31" t="s">
        <v>94</v>
      </c>
      <c r="AT58" s="31" t="s">
        <v>94</v>
      </c>
      <c r="AU58" s="31" t="s">
        <v>94</v>
      </c>
      <c r="AV58" s="31" t="s">
        <v>93</v>
      </c>
      <c r="AW58" s="31" t="s">
        <v>94</v>
      </c>
      <c r="AX58" s="31" t="s">
        <v>94</v>
      </c>
      <c r="AY58" s="31" t="s">
        <v>93</v>
      </c>
      <c r="AZ58" s="31" t="s">
        <v>93</v>
      </c>
      <c r="BA58" s="31" t="s">
        <v>103</v>
      </c>
      <c r="BB58" s="31" t="s">
        <v>814</v>
      </c>
      <c r="BC58" s="24"/>
      <c r="BD58" s="30">
        <f>Table2[[#This Row],[interviewtime]]/60</f>
        <v>8.8763333333333332</v>
      </c>
      <c r="BE58" s="31">
        <v>532.58000000000004</v>
      </c>
      <c r="BF58" s="31">
        <v>9.6199999999999992</v>
      </c>
      <c r="BG58" s="31"/>
      <c r="BH58" s="31">
        <v>22.57</v>
      </c>
      <c r="BI58" s="31"/>
      <c r="BJ58" s="31"/>
      <c r="BK58" s="31"/>
      <c r="BL58" s="31"/>
      <c r="BM58" s="31">
        <v>158.62</v>
      </c>
      <c r="BN58" s="31"/>
      <c r="BO58" s="31"/>
      <c r="BP58" s="31"/>
      <c r="BQ58" s="31"/>
      <c r="BR58" s="31"/>
      <c r="BS58" s="31"/>
      <c r="BT58" s="31">
        <v>132.6</v>
      </c>
      <c r="BU58" s="31"/>
      <c r="BV58" s="31"/>
      <c r="BW58" s="31"/>
      <c r="BX58" s="31"/>
      <c r="BY58" s="31"/>
      <c r="BZ58" s="31"/>
      <c r="CA58" s="31"/>
      <c r="CB58" s="31"/>
      <c r="CC58" s="31">
        <v>152.37</v>
      </c>
      <c r="CD58" s="31"/>
      <c r="CE58" s="31"/>
      <c r="CF58" s="31"/>
      <c r="CG58" s="31"/>
      <c r="CH58" s="31"/>
      <c r="CI58" s="31"/>
      <c r="CJ58" s="31"/>
      <c r="CK58" s="31"/>
      <c r="CL58" s="31">
        <v>56.8</v>
      </c>
      <c r="CM58" s="24"/>
      <c r="CN58" s="24"/>
      <c r="CO58" s="24"/>
      <c r="CP58" s="24"/>
      <c r="CQ58" s="43">
        <f>Table2[[#This Row],[groupTime22]]/60</f>
        <v>2.6436666666666668</v>
      </c>
      <c r="CR58" s="43">
        <f>Table2[[#This Row],[groupTime23]]/60</f>
        <v>2.21</v>
      </c>
      <c r="CS58" s="43">
        <f>Table2[[#This Row],[groupTime24]]/60</f>
        <v>2.5394999999999999</v>
      </c>
    </row>
    <row r="59" spans="1:97" x14ac:dyDescent="0.25">
      <c r="A59" s="47" t="s">
        <v>821</v>
      </c>
      <c r="B59" s="11" t="s">
        <v>115</v>
      </c>
      <c r="C59" s="47">
        <v>69</v>
      </c>
      <c r="D59" s="47" t="s">
        <v>782</v>
      </c>
      <c r="E59" s="47">
        <v>6</v>
      </c>
      <c r="F59" s="47" t="s">
        <v>79</v>
      </c>
      <c r="G59" s="47">
        <v>899245014</v>
      </c>
      <c r="H59" s="47" t="s">
        <v>783</v>
      </c>
      <c r="I59" s="47" t="s">
        <v>784</v>
      </c>
      <c r="J59" s="47" t="s">
        <v>589</v>
      </c>
      <c r="K59" s="37" t="str">
        <f>IF(Table2[[#This Row],[priorSuccessRatio]]&lt;1,"yes","no")</f>
        <v>no</v>
      </c>
      <c r="L59" s="27">
        <f>VLOOKUP(Table2[[#This Row],[prolific]],'Correct calc'!B$16:$AJ$998,6,FALSE)</f>
        <v>1</v>
      </c>
      <c r="M59" s="27">
        <f>VLOOKUP(Table2[[#This Row],[prolific]],'Correct calc'!B$16:$AJ$998,14,FALSE)</f>
        <v>0.5</v>
      </c>
      <c r="N59" s="27">
        <f>VLOOKUP(Table2[[#This Row],[prolific]],'Correct calc'!B$16:$AJ1153,24,FALSE)</f>
        <v>0.625</v>
      </c>
      <c r="O59" s="27">
        <f>VLOOKUP(Table2[[#This Row],[prolific]],'Correct calc'!B$16:$AJ1153,34,FALSE)</f>
        <v>0.375</v>
      </c>
      <c r="P59" s="28">
        <f>VLOOKUP(Table2[[#This Row],[comprescore]],Table3[],2,FALSE)</f>
        <v>3</v>
      </c>
      <c r="Q59" s="16">
        <f>VLOOKUP(Table2[[#This Row],[prolific]],'Correct calc'!B$16:$AK$998,36,FALSE)</f>
        <v>11</v>
      </c>
      <c r="R59" s="16">
        <f>Table2[[#This Row],[interviewminutes]]</f>
        <v>11.282333333333334</v>
      </c>
      <c r="S59" s="16">
        <f>Table2[[#This Row],[classifyTime]]+Table2[[#This Row],[explainTime]]+Table2[[#This Row],[validateTime]]</f>
        <v>9.9878333333333345</v>
      </c>
      <c r="T59" s="29">
        <f>VLOOKUP(Table2[[#This Row],[prolific]],'Correct calc'!B$16:$AJ$998,35,FALSE)</f>
        <v>0.5</v>
      </c>
      <c r="U59" s="15">
        <f>SUM(Table2[[#This Row],[priorKnowledge'[CLUSTERING']]:[priorKnowledge'[ZSCORES']]])/Table2[[#This Row],[priorKnowledgeTechQuestionCount]]</f>
        <v>2</v>
      </c>
      <c r="V59" s="16">
        <f>IF(Table2[[#This Row],[visualization]]="Wordcloud",2,3)</f>
        <v>2</v>
      </c>
      <c r="W59" s="31" t="s">
        <v>1073</v>
      </c>
      <c r="X59" s="31">
        <v>1</v>
      </c>
      <c r="Y59" s="31">
        <v>3</v>
      </c>
      <c r="Z59" s="31">
        <v>0</v>
      </c>
      <c r="AA59" s="31">
        <v>3</v>
      </c>
      <c r="AB59" s="31" t="s">
        <v>97</v>
      </c>
      <c r="AC59" s="31" t="s">
        <v>81</v>
      </c>
      <c r="AD59" s="31" t="s">
        <v>82</v>
      </c>
      <c r="AE59" s="31" t="s">
        <v>83</v>
      </c>
      <c r="AF59" s="31" t="s">
        <v>98</v>
      </c>
      <c r="AG59" s="31" t="s">
        <v>86</v>
      </c>
      <c r="AH59" s="31" t="s">
        <v>84</v>
      </c>
      <c r="AI59" s="31" t="s">
        <v>85</v>
      </c>
      <c r="AJ59" s="31" t="s">
        <v>86</v>
      </c>
      <c r="AK59" s="31" t="s">
        <v>88</v>
      </c>
      <c r="AL59" s="31" t="s">
        <v>87</v>
      </c>
      <c r="AM59" s="31" t="s">
        <v>89</v>
      </c>
      <c r="AN59" s="31" t="s">
        <v>278</v>
      </c>
      <c r="AO59" s="31" t="s">
        <v>83</v>
      </c>
      <c r="AP59" s="31" t="s">
        <v>85</v>
      </c>
      <c r="AQ59" s="31" t="s">
        <v>111</v>
      </c>
      <c r="AR59" s="31" t="s">
        <v>102</v>
      </c>
      <c r="AS59" s="31" t="s">
        <v>94</v>
      </c>
      <c r="AT59" s="31" t="s">
        <v>93</v>
      </c>
      <c r="AU59" s="31" t="s">
        <v>93</v>
      </c>
      <c r="AV59" s="31" t="s">
        <v>93</v>
      </c>
      <c r="AW59" s="31" t="s">
        <v>93</v>
      </c>
      <c r="AX59" s="31" t="s">
        <v>94</v>
      </c>
      <c r="AY59" s="31" t="s">
        <v>93</v>
      </c>
      <c r="AZ59" s="31" t="s">
        <v>94</v>
      </c>
      <c r="BA59" s="31" t="s">
        <v>107</v>
      </c>
      <c r="BB59" s="31" t="s">
        <v>815</v>
      </c>
      <c r="BC59" s="24"/>
      <c r="BD59" s="30">
        <f>Table2[[#This Row],[interviewtime]]/60</f>
        <v>11.282333333333334</v>
      </c>
      <c r="BE59" s="31">
        <v>676.94</v>
      </c>
      <c r="BF59" s="31">
        <v>23.9</v>
      </c>
      <c r="BG59" s="31"/>
      <c r="BH59" s="31">
        <v>25.74</v>
      </c>
      <c r="BI59" s="31"/>
      <c r="BJ59" s="31"/>
      <c r="BK59" s="31"/>
      <c r="BL59" s="31"/>
      <c r="BM59" s="31">
        <v>273.94</v>
      </c>
      <c r="BN59" s="31"/>
      <c r="BO59" s="31"/>
      <c r="BP59" s="31"/>
      <c r="BQ59" s="31"/>
      <c r="BR59" s="31"/>
      <c r="BS59" s="31"/>
      <c r="BT59" s="31">
        <v>198.1</v>
      </c>
      <c r="BU59" s="31"/>
      <c r="BV59" s="31"/>
      <c r="BW59" s="31"/>
      <c r="BX59" s="31"/>
      <c r="BY59" s="31"/>
      <c r="BZ59" s="31"/>
      <c r="CA59" s="31"/>
      <c r="CB59" s="31"/>
      <c r="CC59" s="31">
        <v>127.23</v>
      </c>
      <c r="CD59" s="31"/>
      <c r="CE59" s="31"/>
      <c r="CF59" s="31"/>
      <c r="CG59" s="31"/>
      <c r="CH59" s="31"/>
      <c r="CI59" s="31"/>
      <c r="CJ59" s="31"/>
      <c r="CK59" s="31"/>
      <c r="CL59" s="31">
        <v>28.03</v>
      </c>
      <c r="CM59" s="24"/>
      <c r="CN59" s="24"/>
      <c r="CO59" s="24"/>
      <c r="CP59" s="24"/>
      <c r="CQ59" s="43">
        <f>Table2[[#This Row],[groupTime22]]/60</f>
        <v>4.565666666666667</v>
      </c>
      <c r="CR59" s="43">
        <f>Table2[[#This Row],[groupTime23]]/60</f>
        <v>3.3016666666666667</v>
      </c>
      <c r="CS59" s="43">
        <f>Table2[[#This Row],[groupTime24]]/60</f>
        <v>2.1205000000000003</v>
      </c>
    </row>
    <row r="60" spans="1:97" x14ac:dyDescent="0.25">
      <c r="A60" s="47" t="s">
        <v>821</v>
      </c>
      <c r="B60" s="11" t="s">
        <v>115</v>
      </c>
      <c r="C60" s="47">
        <v>70</v>
      </c>
      <c r="D60" s="47" t="s">
        <v>786</v>
      </c>
      <c r="E60" s="47">
        <v>6</v>
      </c>
      <c r="F60" s="47" t="s">
        <v>79</v>
      </c>
      <c r="G60" s="47">
        <v>1695526247</v>
      </c>
      <c r="H60" s="47" t="s">
        <v>787</v>
      </c>
      <c r="I60" s="47" t="s">
        <v>786</v>
      </c>
      <c r="J60" s="47" t="s">
        <v>589</v>
      </c>
      <c r="K60" s="37" t="str">
        <f>IF(Table2[[#This Row],[priorSuccessRatio]]&lt;1,"yes","no")</f>
        <v>no</v>
      </c>
      <c r="L60" s="27">
        <f>VLOOKUP(Table2[[#This Row],[prolific]],'Correct calc'!B$16:$AJ$998,6,FALSE)</f>
        <v>1</v>
      </c>
      <c r="M60" s="27">
        <f>VLOOKUP(Table2[[#This Row],[prolific]],'Correct calc'!B$16:$AJ$998,14,FALSE)</f>
        <v>0.5</v>
      </c>
      <c r="N60" s="27">
        <f>VLOOKUP(Table2[[#This Row],[prolific]],'Correct calc'!B$16:$AJ1154,24,FALSE)</f>
        <v>0.75</v>
      </c>
      <c r="O60" s="27">
        <f>VLOOKUP(Table2[[#This Row],[prolific]],'Correct calc'!B$16:$AJ1154,34,FALSE)</f>
        <v>0.5</v>
      </c>
      <c r="P60" s="28">
        <f>VLOOKUP(Table2[[#This Row],[comprescore]],Table3[],2,FALSE)</f>
        <v>3</v>
      </c>
      <c r="Q60" s="16">
        <f>VLOOKUP(Table2[[#This Row],[prolific]],'Correct calc'!B$16:$AK$998,36,FALSE)</f>
        <v>13</v>
      </c>
      <c r="R60" s="16">
        <f>Table2[[#This Row],[interviewminutes]]</f>
        <v>20.759833333333333</v>
      </c>
      <c r="S60" s="16">
        <f>Table2[[#This Row],[classifyTime]]+Table2[[#This Row],[explainTime]]+Table2[[#This Row],[validateTime]]</f>
        <v>18.770000000000003</v>
      </c>
      <c r="T60" s="29">
        <f>VLOOKUP(Table2[[#This Row],[prolific]],'Correct calc'!B$16:$AJ$998,35,FALSE)</f>
        <v>0.59090909090909094</v>
      </c>
      <c r="U60" s="15">
        <f>SUM(Table2[[#This Row],[priorKnowledge'[CLUSTERING']]:[priorKnowledge'[ZSCORES']]])/Table2[[#This Row],[priorKnowledgeTechQuestionCount]]</f>
        <v>4.5</v>
      </c>
      <c r="V60" s="16">
        <f>IF(Table2[[#This Row],[visualization]]="Wordcloud",2,3)</f>
        <v>2</v>
      </c>
      <c r="W60" s="31" t="s">
        <v>1074</v>
      </c>
      <c r="X60" s="31">
        <v>4</v>
      </c>
      <c r="Y60" s="31">
        <v>5</v>
      </c>
      <c r="Z60" s="31">
        <v>0</v>
      </c>
      <c r="AA60" s="31">
        <v>6</v>
      </c>
      <c r="AB60" s="31" t="s">
        <v>97</v>
      </c>
      <c r="AC60" s="31" t="s">
        <v>81</v>
      </c>
      <c r="AD60" s="31" t="s">
        <v>82</v>
      </c>
      <c r="AE60" s="31" t="s">
        <v>83</v>
      </c>
      <c r="AF60" s="31" t="s">
        <v>85</v>
      </c>
      <c r="AG60" s="31" t="s">
        <v>98</v>
      </c>
      <c r="AH60" s="31" t="s">
        <v>84</v>
      </c>
      <c r="AI60" s="31" t="s">
        <v>85</v>
      </c>
      <c r="AJ60" s="31" t="s">
        <v>86</v>
      </c>
      <c r="AK60" s="31" t="s">
        <v>88</v>
      </c>
      <c r="AL60" s="31" t="s">
        <v>87</v>
      </c>
      <c r="AM60" s="31" t="s">
        <v>105</v>
      </c>
      <c r="AN60" s="31" t="s">
        <v>90</v>
      </c>
      <c r="AO60" s="31" t="s">
        <v>83</v>
      </c>
      <c r="AP60" s="31" t="s">
        <v>85</v>
      </c>
      <c r="AQ60" s="31" t="s">
        <v>101</v>
      </c>
      <c r="AR60" s="31" t="s">
        <v>101</v>
      </c>
      <c r="AS60" s="31" t="s">
        <v>94</v>
      </c>
      <c r="AT60" s="31" t="s">
        <v>93</v>
      </c>
      <c r="AU60" s="31" t="s">
        <v>94</v>
      </c>
      <c r="AV60" s="31" t="s">
        <v>93</v>
      </c>
      <c r="AW60" s="31" t="s">
        <v>93</v>
      </c>
      <c r="AX60" s="31" t="s">
        <v>94</v>
      </c>
      <c r="AY60" s="31" t="s">
        <v>93</v>
      </c>
      <c r="AZ60" s="31" t="s">
        <v>94</v>
      </c>
      <c r="BA60" s="31" t="s">
        <v>107</v>
      </c>
      <c r="BB60" s="31" t="s">
        <v>816</v>
      </c>
      <c r="BC60" s="24"/>
      <c r="BD60" s="30">
        <f>Table2[[#This Row],[interviewtime]]/60</f>
        <v>20.759833333333333</v>
      </c>
      <c r="BE60" s="31">
        <v>1245.5899999999999</v>
      </c>
      <c r="BF60" s="31">
        <v>10.16</v>
      </c>
      <c r="BG60" s="31"/>
      <c r="BH60" s="31">
        <v>30.49</v>
      </c>
      <c r="BI60" s="31"/>
      <c r="BJ60" s="31"/>
      <c r="BK60" s="31"/>
      <c r="BL60" s="31"/>
      <c r="BM60" s="31">
        <v>476.98</v>
      </c>
      <c r="BN60" s="31"/>
      <c r="BO60" s="31"/>
      <c r="BP60" s="31"/>
      <c r="BQ60" s="31"/>
      <c r="BR60" s="31"/>
      <c r="BS60" s="31"/>
      <c r="BT60" s="31">
        <v>373.85</v>
      </c>
      <c r="BU60" s="31"/>
      <c r="BV60" s="31"/>
      <c r="BW60" s="31"/>
      <c r="BX60" s="31"/>
      <c r="BY60" s="31"/>
      <c r="BZ60" s="31"/>
      <c r="CA60" s="31"/>
      <c r="CB60" s="31"/>
      <c r="CC60" s="31">
        <v>275.37</v>
      </c>
      <c r="CD60" s="31"/>
      <c r="CE60" s="31"/>
      <c r="CF60" s="31"/>
      <c r="CG60" s="31"/>
      <c r="CH60" s="31"/>
      <c r="CI60" s="31"/>
      <c r="CJ60" s="31"/>
      <c r="CK60" s="31"/>
      <c r="CL60" s="31">
        <v>78.739999999999995</v>
      </c>
      <c r="CM60" s="24"/>
      <c r="CN60" s="24"/>
      <c r="CO60" s="24"/>
      <c r="CP60" s="24"/>
      <c r="CQ60" s="43">
        <f>Table2[[#This Row],[groupTime22]]/60</f>
        <v>7.9496666666666673</v>
      </c>
      <c r="CR60" s="43">
        <f>Table2[[#This Row],[groupTime23]]/60</f>
        <v>6.2308333333333339</v>
      </c>
      <c r="CS60" s="43">
        <f>Table2[[#This Row],[groupTime24]]/60</f>
        <v>4.5895000000000001</v>
      </c>
    </row>
    <row r="61" spans="1:97" x14ac:dyDescent="0.25">
      <c r="A61" s="47" t="s">
        <v>821</v>
      </c>
      <c r="B61" s="11" t="s">
        <v>115</v>
      </c>
      <c r="C61" s="47">
        <v>71</v>
      </c>
      <c r="D61" s="47" t="s">
        <v>789</v>
      </c>
      <c r="E61" s="47">
        <v>6</v>
      </c>
      <c r="F61" s="47" t="s">
        <v>79</v>
      </c>
      <c r="G61" s="47">
        <v>1189176715</v>
      </c>
      <c r="H61" s="47" t="s">
        <v>790</v>
      </c>
      <c r="I61" s="47" t="s">
        <v>789</v>
      </c>
      <c r="J61" s="47" t="s">
        <v>589</v>
      </c>
      <c r="K61" s="37" t="str">
        <f>IF(Table2[[#This Row],[priorSuccessRatio]]&lt;1,"yes","no")</f>
        <v>no</v>
      </c>
      <c r="L61" s="27">
        <f>VLOOKUP(Table2[[#This Row],[prolific]],'Correct calc'!B$16:$AJ$998,6,FALSE)</f>
        <v>1</v>
      </c>
      <c r="M61" s="27">
        <f>VLOOKUP(Table2[[#This Row],[prolific]],'Correct calc'!B$16:$AJ$998,14,FALSE)</f>
        <v>0.5</v>
      </c>
      <c r="N61" s="27">
        <f>VLOOKUP(Table2[[#This Row],[prolific]],'Correct calc'!B$16:$AJ1155,24,FALSE)</f>
        <v>0.75</v>
      </c>
      <c r="O61" s="27">
        <f>VLOOKUP(Table2[[#This Row],[prolific]],'Correct calc'!B$16:$AJ1155,34,FALSE)</f>
        <v>0.875</v>
      </c>
      <c r="P61" s="28">
        <f>VLOOKUP(Table2[[#This Row],[comprescore]],Table3[],2,FALSE)</f>
        <v>4</v>
      </c>
      <c r="Q61" s="16">
        <f>VLOOKUP(Table2[[#This Row],[prolific]],'Correct calc'!B$16:$AK$998,36,FALSE)</f>
        <v>16</v>
      </c>
      <c r="R61" s="16">
        <f>Table2[[#This Row],[interviewminutes]]</f>
        <v>8.940666666666667</v>
      </c>
      <c r="S61" s="16">
        <f>Table2[[#This Row],[classifyTime]]+Table2[[#This Row],[explainTime]]+Table2[[#This Row],[validateTime]]</f>
        <v>8.0373333333333346</v>
      </c>
      <c r="T61" s="29">
        <f>VLOOKUP(Table2[[#This Row],[prolific]],'Correct calc'!B$16:$AJ$998,35,FALSE)</f>
        <v>0.72727272727272729</v>
      </c>
      <c r="U61" s="15">
        <f>SUM(Table2[[#This Row],[priorKnowledge'[CLUSTERING']]:[priorKnowledge'[ZSCORES']]])/Table2[[#This Row],[priorKnowledgeTechQuestionCount]]</f>
        <v>1</v>
      </c>
      <c r="V61" s="16">
        <f>IF(Table2[[#This Row],[visualization]]="Wordcloud",2,3)</f>
        <v>2</v>
      </c>
      <c r="W61" s="31" t="s">
        <v>1075</v>
      </c>
      <c r="X61" s="31">
        <v>1</v>
      </c>
      <c r="Y61" s="31">
        <v>1</v>
      </c>
      <c r="Z61" s="31">
        <v>0</v>
      </c>
      <c r="AA61" s="31">
        <v>5</v>
      </c>
      <c r="AB61" s="31" t="s">
        <v>97</v>
      </c>
      <c r="AC61" s="31" t="s">
        <v>81</v>
      </c>
      <c r="AD61" s="31" t="s">
        <v>82</v>
      </c>
      <c r="AE61" s="31" t="s">
        <v>104</v>
      </c>
      <c r="AF61" s="31" t="s">
        <v>85</v>
      </c>
      <c r="AG61" s="31" t="s">
        <v>98</v>
      </c>
      <c r="AH61" s="31" t="s">
        <v>84</v>
      </c>
      <c r="AI61" s="31" t="s">
        <v>85</v>
      </c>
      <c r="AJ61" s="31" t="s">
        <v>98</v>
      </c>
      <c r="AK61" s="31" t="s">
        <v>88</v>
      </c>
      <c r="AL61" s="31" t="s">
        <v>87</v>
      </c>
      <c r="AM61" s="31" t="s">
        <v>99</v>
      </c>
      <c r="AN61" s="31" t="s">
        <v>90</v>
      </c>
      <c r="AO61" s="31" t="s">
        <v>83</v>
      </c>
      <c r="AP61" s="31" t="s">
        <v>85</v>
      </c>
      <c r="AQ61" s="31" t="s">
        <v>101</v>
      </c>
      <c r="AR61" s="31" t="s">
        <v>102</v>
      </c>
      <c r="AS61" s="31" t="s">
        <v>94</v>
      </c>
      <c r="AT61" s="31" t="s">
        <v>93</v>
      </c>
      <c r="AU61" s="31" t="s">
        <v>94</v>
      </c>
      <c r="AV61" s="31" t="s">
        <v>93</v>
      </c>
      <c r="AW61" s="31" t="s">
        <v>93</v>
      </c>
      <c r="AX61" s="31" t="s">
        <v>93</v>
      </c>
      <c r="AY61" s="31" t="s">
        <v>94</v>
      </c>
      <c r="AZ61" s="31" t="s">
        <v>93</v>
      </c>
      <c r="BA61" s="31" t="s">
        <v>103</v>
      </c>
      <c r="BB61" s="31"/>
      <c r="BC61" s="24"/>
      <c r="BD61" s="30">
        <f>Table2[[#This Row],[interviewtime]]/60</f>
        <v>8.940666666666667</v>
      </c>
      <c r="BE61" s="31">
        <v>536.44000000000005</v>
      </c>
      <c r="BF61" s="31">
        <v>13.91</v>
      </c>
      <c r="BG61" s="31"/>
      <c r="BH61" s="31">
        <v>31.42</v>
      </c>
      <c r="BI61" s="31"/>
      <c r="BJ61" s="31"/>
      <c r="BK61" s="31"/>
      <c r="BL61" s="31"/>
      <c r="BM61" s="31">
        <v>173.3</v>
      </c>
      <c r="BN61" s="31"/>
      <c r="BO61" s="31"/>
      <c r="BP61" s="31"/>
      <c r="BQ61" s="31"/>
      <c r="BR61" s="31"/>
      <c r="BS61" s="31"/>
      <c r="BT61" s="31">
        <v>180.89</v>
      </c>
      <c r="BU61" s="31"/>
      <c r="BV61" s="31"/>
      <c r="BW61" s="31"/>
      <c r="BX61" s="31"/>
      <c r="BY61" s="31"/>
      <c r="BZ61" s="31"/>
      <c r="CA61" s="31"/>
      <c r="CB61" s="31"/>
      <c r="CC61" s="31">
        <v>128.05000000000001</v>
      </c>
      <c r="CD61" s="31"/>
      <c r="CE61" s="31"/>
      <c r="CF61" s="31"/>
      <c r="CG61" s="31"/>
      <c r="CH61" s="31"/>
      <c r="CI61" s="31"/>
      <c r="CJ61" s="31"/>
      <c r="CK61" s="31"/>
      <c r="CL61" s="31">
        <v>8.8699999999999992</v>
      </c>
      <c r="CM61" s="24"/>
      <c r="CN61" s="24"/>
      <c r="CO61" s="24"/>
      <c r="CP61" s="24"/>
      <c r="CQ61" s="43">
        <f>Table2[[#This Row],[groupTime22]]/60</f>
        <v>2.8883333333333336</v>
      </c>
      <c r="CR61" s="43">
        <f>Table2[[#This Row],[groupTime23]]/60</f>
        <v>3.0148333333333333</v>
      </c>
      <c r="CS61" s="43">
        <f>Table2[[#This Row],[groupTime24]]/60</f>
        <v>2.1341666666666668</v>
      </c>
    </row>
    <row r="62" spans="1:97" x14ac:dyDescent="0.25">
      <c r="A62" s="47" t="s">
        <v>821</v>
      </c>
      <c r="B62" s="11" t="s">
        <v>115</v>
      </c>
      <c r="C62" s="47">
        <v>72</v>
      </c>
      <c r="D62" s="47" t="s">
        <v>792</v>
      </c>
      <c r="E62" s="47">
        <v>6</v>
      </c>
      <c r="F62" s="47" t="s">
        <v>79</v>
      </c>
      <c r="G62" s="47">
        <v>1109942390</v>
      </c>
      <c r="H62" s="47" t="s">
        <v>793</v>
      </c>
      <c r="I62" s="47" t="s">
        <v>792</v>
      </c>
      <c r="J62" s="47" t="s">
        <v>589</v>
      </c>
      <c r="K62" s="37" t="str">
        <f>IF(Table2[[#This Row],[priorSuccessRatio]]&lt;1,"yes","no")</f>
        <v>no</v>
      </c>
      <c r="L62" s="27">
        <f>VLOOKUP(Table2[[#This Row],[prolific]],'Correct calc'!B$16:$AJ$998,6,FALSE)</f>
        <v>1</v>
      </c>
      <c r="M62" s="27">
        <f>VLOOKUP(Table2[[#This Row],[prolific]],'Correct calc'!B$16:$AJ$998,14,FALSE)</f>
        <v>1</v>
      </c>
      <c r="N62" s="27">
        <f>VLOOKUP(Table2[[#This Row],[prolific]],'Correct calc'!B$16:$AJ1156,24,FALSE)</f>
        <v>0.875</v>
      </c>
      <c r="O62" s="27">
        <f>VLOOKUP(Table2[[#This Row],[prolific]],'Correct calc'!B$16:$AJ1156,34,FALSE)</f>
        <v>0.5</v>
      </c>
      <c r="P62" s="28">
        <f>VLOOKUP(Table2[[#This Row],[comprescore]],Table3[],2,FALSE)</f>
        <v>4</v>
      </c>
      <c r="Q62" s="16">
        <f>VLOOKUP(Table2[[#This Row],[prolific]],'Correct calc'!B$16:$AK$998,36,FALSE)</f>
        <v>17</v>
      </c>
      <c r="R62" s="16">
        <f>Table2[[#This Row],[interviewminutes]]</f>
        <v>22.811166666666669</v>
      </c>
      <c r="S62" s="16">
        <f>Table2[[#This Row],[classifyTime]]+Table2[[#This Row],[explainTime]]+Table2[[#This Row],[validateTime]]</f>
        <v>16.510833333333334</v>
      </c>
      <c r="T62" s="29">
        <f>VLOOKUP(Table2[[#This Row],[prolific]],'Correct calc'!B$16:$AJ$998,35,FALSE)</f>
        <v>0.77272727272727271</v>
      </c>
      <c r="U62" s="15">
        <f>SUM(Table2[[#This Row],[priorKnowledge'[CLUSTERING']]:[priorKnowledge'[ZSCORES']]])/Table2[[#This Row],[priorKnowledgeTechQuestionCount]]</f>
        <v>7.5</v>
      </c>
      <c r="V62" s="16">
        <f>IF(Table2[[#This Row],[visualization]]="Wordcloud",2,3)</f>
        <v>2</v>
      </c>
      <c r="W62" s="31" t="s">
        <v>1076</v>
      </c>
      <c r="X62" s="31">
        <v>8</v>
      </c>
      <c r="Y62" s="31">
        <v>7</v>
      </c>
      <c r="Z62" s="31">
        <v>0</v>
      </c>
      <c r="AA62" s="31">
        <v>7</v>
      </c>
      <c r="AB62" s="31" t="s">
        <v>97</v>
      </c>
      <c r="AC62" s="31" t="s">
        <v>81</v>
      </c>
      <c r="AD62" s="31" t="s">
        <v>82</v>
      </c>
      <c r="AE62" s="31" t="s">
        <v>83</v>
      </c>
      <c r="AF62" s="31" t="s">
        <v>85</v>
      </c>
      <c r="AG62" s="31" t="s">
        <v>86</v>
      </c>
      <c r="AH62" s="31" t="s">
        <v>84</v>
      </c>
      <c r="AI62" s="31" t="s">
        <v>104</v>
      </c>
      <c r="AJ62" s="31" t="s">
        <v>98</v>
      </c>
      <c r="AK62" s="31" t="s">
        <v>88</v>
      </c>
      <c r="AL62" s="31" t="s">
        <v>87</v>
      </c>
      <c r="AM62" s="31" t="s">
        <v>105</v>
      </c>
      <c r="AN62" s="31" t="s">
        <v>90</v>
      </c>
      <c r="AO62" s="31" t="s">
        <v>83</v>
      </c>
      <c r="AP62" s="31" t="s">
        <v>85</v>
      </c>
      <c r="AQ62" s="31" t="s">
        <v>91</v>
      </c>
      <c r="AR62" s="31" t="s">
        <v>92</v>
      </c>
      <c r="AS62" s="31" t="s">
        <v>94</v>
      </c>
      <c r="AT62" s="31" t="s">
        <v>93</v>
      </c>
      <c r="AU62" s="31" t="s">
        <v>94</v>
      </c>
      <c r="AV62" s="31" t="s">
        <v>93</v>
      </c>
      <c r="AW62" s="31" t="s">
        <v>93</v>
      </c>
      <c r="AX62" s="31" t="s">
        <v>94</v>
      </c>
      <c r="AY62" s="31" t="s">
        <v>93</v>
      </c>
      <c r="AZ62" s="31" t="s">
        <v>94</v>
      </c>
      <c r="BA62" s="31" t="s">
        <v>103</v>
      </c>
      <c r="BB62" s="31" t="s">
        <v>817</v>
      </c>
      <c r="BC62" s="24"/>
      <c r="BD62" s="30">
        <f>Table2[[#This Row],[interviewtime]]/60</f>
        <v>22.811166666666669</v>
      </c>
      <c r="BE62" s="31">
        <v>1368.67</v>
      </c>
      <c r="BF62" s="31">
        <v>15.28</v>
      </c>
      <c r="BG62" s="31"/>
      <c r="BH62" s="31">
        <v>42.42</v>
      </c>
      <c r="BI62" s="31"/>
      <c r="BJ62" s="31"/>
      <c r="BK62" s="31"/>
      <c r="BL62" s="31"/>
      <c r="BM62" s="31">
        <v>349.99</v>
      </c>
      <c r="BN62" s="31"/>
      <c r="BO62" s="31"/>
      <c r="BP62" s="31"/>
      <c r="BQ62" s="31"/>
      <c r="BR62" s="31"/>
      <c r="BS62" s="31"/>
      <c r="BT62" s="31">
        <v>378.95</v>
      </c>
      <c r="BU62" s="31"/>
      <c r="BV62" s="31"/>
      <c r="BW62" s="31"/>
      <c r="BX62" s="31"/>
      <c r="BY62" s="31"/>
      <c r="BZ62" s="31"/>
      <c r="CA62" s="31"/>
      <c r="CB62" s="31"/>
      <c r="CC62" s="31">
        <v>261.70999999999998</v>
      </c>
      <c r="CD62" s="31"/>
      <c r="CE62" s="31"/>
      <c r="CF62" s="31"/>
      <c r="CG62" s="31"/>
      <c r="CH62" s="31"/>
      <c r="CI62" s="31"/>
      <c r="CJ62" s="31"/>
      <c r="CK62" s="31"/>
      <c r="CL62" s="31">
        <v>320.32</v>
      </c>
      <c r="CM62" s="24"/>
      <c r="CN62" s="24"/>
      <c r="CO62" s="24"/>
      <c r="CP62" s="24"/>
      <c r="CQ62" s="43">
        <f>Table2[[#This Row],[groupTime22]]/60</f>
        <v>5.8331666666666671</v>
      </c>
      <c r="CR62" s="43">
        <f>Table2[[#This Row],[groupTime23]]/60</f>
        <v>6.315833333333333</v>
      </c>
      <c r="CS62" s="43">
        <f>Table2[[#This Row],[groupTime24]]/60</f>
        <v>4.3618333333333332</v>
      </c>
    </row>
    <row r="63" spans="1:97" x14ac:dyDescent="0.25">
      <c r="A63" s="47" t="s">
        <v>821</v>
      </c>
      <c r="B63" s="11" t="s">
        <v>115</v>
      </c>
      <c r="C63" s="47">
        <v>73</v>
      </c>
      <c r="D63" s="47" t="s">
        <v>764</v>
      </c>
      <c r="E63" s="47">
        <v>6</v>
      </c>
      <c r="F63" s="47" t="s">
        <v>79</v>
      </c>
      <c r="G63" s="47">
        <v>1592908899</v>
      </c>
      <c r="H63" s="47" t="s">
        <v>795</v>
      </c>
      <c r="I63" s="47" t="s">
        <v>764</v>
      </c>
      <c r="J63" s="47" t="s">
        <v>589</v>
      </c>
      <c r="K63" s="37" t="str">
        <f>IF(Table2[[#This Row],[priorSuccessRatio]]&lt;1,"yes","no")</f>
        <v>no</v>
      </c>
      <c r="L63" s="27">
        <f>VLOOKUP(Table2[[#This Row],[prolific]],'Correct calc'!B$16:$AJ$998,6,FALSE)</f>
        <v>1</v>
      </c>
      <c r="M63" s="27">
        <f>VLOOKUP(Table2[[#This Row],[prolific]],'Correct calc'!B$16:$AJ$998,14,FALSE)</f>
        <v>0.5</v>
      </c>
      <c r="N63" s="27">
        <f>VLOOKUP(Table2[[#This Row],[prolific]],'Correct calc'!B$16:$AJ1157,24,FALSE)</f>
        <v>1</v>
      </c>
      <c r="O63" s="27">
        <f>VLOOKUP(Table2[[#This Row],[prolific]],'Correct calc'!B$16:$AJ1157,34,FALSE)</f>
        <v>0.5</v>
      </c>
      <c r="P63" s="28">
        <f>VLOOKUP(Table2[[#This Row],[comprescore]],Table3[],2,FALSE)</f>
        <v>3</v>
      </c>
      <c r="Q63" s="16">
        <f>VLOOKUP(Table2[[#This Row],[prolific]],'Correct calc'!B$16:$AK$998,36,FALSE)</f>
        <v>15</v>
      </c>
      <c r="R63" s="16">
        <f>Table2[[#This Row],[interviewminutes]]</f>
        <v>10.567833333333335</v>
      </c>
      <c r="S63" s="16">
        <f>Table2[[#This Row],[classifyTime]]+Table2[[#This Row],[explainTime]]+Table2[[#This Row],[validateTime]]</f>
        <v>9.0358333333333345</v>
      </c>
      <c r="T63" s="29">
        <f>VLOOKUP(Table2[[#This Row],[prolific]],'Correct calc'!B$16:$AJ$998,35,FALSE)</f>
        <v>0.68181818181818177</v>
      </c>
      <c r="U63" s="15">
        <f>SUM(Table2[[#This Row],[priorKnowledge'[CLUSTERING']]:[priorKnowledge'[ZSCORES']]])/Table2[[#This Row],[priorKnowledgeTechQuestionCount]]</f>
        <v>1</v>
      </c>
      <c r="V63" s="16">
        <f>IF(Table2[[#This Row],[visualization]]="Wordcloud",2,3)</f>
        <v>2</v>
      </c>
      <c r="W63" s="31" t="s">
        <v>1077</v>
      </c>
      <c r="X63" s="31">
        <v>1</v>
      </c>
      <c r="Y63" s="31">
        <v>1</v>
      </c>
      <c r="Z63" s="31">
        <v>0</v>
      </c>
      <c r="AA63" s="31">
        <v>5</v>
      </c>
      <c r="AB63" s="31" t="s">
        <v>97</v>
      </c>
      <c r="AC63" s="31" t="s">
        <v>81</v>
      </c>
      <c r="AD63" s="31" t="s">
        <v>82</v>
      </c>
      <c r="AE63" s="31" t="s">
        <v>83</v>
      </c>
      <c r="AF63" s="31" t="s">
        <v>104</v>
      </c>
      <c r="AG63" s="31" t="s">
        <v>86</v>
      </c>
      <c r="AH63" s="31" t="s">
        <v>85</v>
      </c>
      <c r="AI63" s="31" t="s">
        <v>104</v>
      </c>
      <c r="AJ63" s="31" t="s">
        <v>86</v>
      </c>
      <c r="AK63" s="31" t="s">
        <v>88</v>
      </c>
      <c r="AL63" s="31" t="s">
        <v>87</v>
      </c>
      <c r="AM63" s="31" t="s">
        <v>105</v>
      </c>
      <c r="AN63" s="31" t="s">
        <v>90</v>
      </c>
      <c r="AO63" s="31" t="s">
        <v>83</v>
      </c>
      <c r="AP63" s="31" t="s">
        <v>85</v>
      </c>
      <c r="AQ63" s="31" t="s">
        <v>91</v>
      </c>
      <c r="AR63" s="31" t="s">
        <v>102</v>
      </c>
      <c r="AS63" s="31" t="s">
        <v>94</v>
      </c>
      <c r="AT63" s="31" t="s">
        <v>94</v>
      </c>
      <c r="AU63" s="31" t="s">
        <v>94</v>
      </c>
      <c r="AV63" s="31" t="s">
        <v>93</v>
      </c>
      <c r="AW63" s="31" t="s">
        <v>93</v>
      </c>
      <c r="AX63" s="31" t="s">
        <v>93</v>
      </c>
      <c r="AY63" s="31" t="s">
        <v>93</v>
      </c>
      <c r="AZ63" s="31" t="s">
        <v>94</v>
      </c>
      <c r="BA63" s="31" t="s">
        <v>107</v>
      </c>
      <c r="BB63" s="31" t="s">
        <v>818</v>
      </c>
      <c r="BC63" s="24"/>
      <c r="BD63" s="30">
        <f>Table2[[#This Row],[interviewtime]]/60</f>
        <v>10.567833333333335</v>
      </c>
      <c r="BE63" s="31">
        <v>634.07000000000005</v>
      </c>
      <c r="BF63" s="31">
        <v>11.96</v>
      </c>
      <c r="BG63" s="31"/>
      <c r="BH63" s="31">
        <v>46.11</v>
      </c>
      <c r="BI63" s="31"/>
      <c r="BJ63" s="31"/>
      <c r="BK63" s="31"/>
      <c r="BL63" s="31"/>
      <c r="BM63" s="31">
        <v>280.23</v>
      </c>
      <c r="BN63" s="31"/>
      <c r="BO63" s="31"/>
      <c r="BP63" s="31"/>
      <c r="BQ63" s="31"/>
      <c r="BR63" s="31"/>
      <c r="BS63" s="31"/>
      <c r="BT63" s="31">
        <v>130.99</v>
      </c>
      <c r="BU63" s="31"/>
      <c r="BV63" s="31"/>
      <c r="BW63" s="31"/>
      <c r="BX63" s="31"/>
      <c r="BY63" s="31"/>
      <c r="BZ63" s="31"/>
      <c r="CA63" s="31"/>
      <c r="CB63" s="31"/>
      <c r="CC63" s="31">
        <v>130.93</v>
      </c>
      <c r="CD63" s="31"/>
      <c r="CE63" s="31"/>
      <c r="CF63" s="31"/>
      <c r="CG63" s="31"/>
      <c r="CH63" s="31"/>
      <c r="CI63" s="31"/>
      <c r="CJ63" s="31"/>
      <c r="CK63" s="31"/>
      <c r="CL63" s="31">
        <v>33.85</v>
      </c>
      <c r="CM63" s="24"/>
      <c r="CN63" s="24"/>
      <c r="CO63" s="24"/>
      <c r="CP63" s="24"/>
      <c r="CQ63" s="43">
        <f>Table2[[#This Row],[groupTime22]]/60</f>
        <v>4.6705000000000005</v>
      </c>
      <c r="CR63" s="43">
        <f>Table2[[#This Row],[groupTime23]]/60</f>
        <v>2.1831666666666667</v>
      </c>
      <c r="CS63" s="43">
        <f>Table2[[#This Row],[groupTime24]]/60</f>
        <v>2.1821666666666668</v>
      </c>
    </row>
    <row r="64" spans="1:97" x14ac:dyDescent="0.25">
      <c r="A64" s="47" t="s">
        <v>821</v>
      </c>
      <c r="B64" s="11" t="s">
        <v>115</v>
      </c>
      <c r="C64" s="47">
        <v>75</v>
      </c>
      <c r="D64" s="47" t="s">
        <v>797</v>
      </c>
      <c r="E64" s="47">
        <v>6</v>
      </c>
      <c r="F64" s="47" t="s">
        <v>79</v>
      </c>
      <c r="G64" s="47">
        <v>373167127</v>
      </c>
      <c r="H64" s="47" t="s">
        <v>798</v>
      </c>
      <c r="I64" s="47" t="s">
        <v>797</v>
      </c>
      <c r="J64" s="47" t="s">
        <v>589</v>
      </c>
      <c r="K64" s="37" t="str">
        <f>IF(Table2[[#This Row],[priorSuccessRatio]]&lt;1,"yes","no")</f>
        <v>no</v>
      </c>
      <c r="L64" s="27">
        <f>VLOOKUP(Table2[[#This Row],[prolific]],'Correct calc'!B$16:$AJ$998,6,FALSE)</f>
        <v>1</v>
      </c>
      <c r="M64" s="27">
        <f>VLOOKUP(Table2[[#This Row],[prolific]],'Correct calc'!B$16:$AJ$998,14,FALSE)</f>
        <v>0.66666666666666663</v>
      </c>
      <c r="N64" s="27">
        <f>VLOOKUP(Table2[[#This Row],[prolific]],'Correct calc'!B$16:$AJ1159,24,FALSE)</f>
        <v>0.875</v>
      </c>
      <c r="O64" s="27">
        <f>VLOOKUP(Table2[[#This Row],[prolific]],'Correct calc'!B$16:$AJ1159,34,FALSE)</f>
        <v>0.625</v>
      </c>
      <c r="P64" s="28">
        <f>VLOOKUP(Table2[[#This Row],[comprescore]],Table3[],2,FALSE)</f>
        <v>3</v>
      </c>
      <c r="Q64" s="16">
        <f>VLOOKUP(Table2[[#This Row],[prolific]],'Correct calc'!B$16:$AK$998,36,FALSE)</f>
        <v>16</v>
      </c>
      <c r="R64" s="16">
        <f>Table2[[#This Row],[interviewminutes]]</f>
        <v>13.795166666666667</v>
      </c>
      <c r="S64" s="16">
        <f>Table2[[#This Row],[classifyTime]]+Table2[[#This Row],[explainTime]]+Table2[[#This Row],[validateTime]]</f>
        <v>10.613333333333333</v>
      </c>
      <c r="T64" s="29">
        <f>VLOOKUP(Table2[[#This Row],[prolific]],'Correct calc'!B$16:$AJ$998,35,FALSE)</f>
        <v>0.72727272727272729</v>
      </c>
      <c r="U64" s="15">
        <f>SUM(Table2[[#This Row],[priorKnowledge'[CLUSTERING']]:[priorKnowledge'[ZSCORES']]])/Table2[[#This Row],[priorKnowledgeTechQuestionCount]]</f>
        <v>1</v>
      </c>
      <c r="V64" s="16">
        <f>IF(Table2[[#This Row],[visualization]]="Wordcloud",2,3)</f>
        <v>2</v>
      </c>
      <c r="W64" s="31" t="s">
        <v>1078</v>
      </c>
      <c r="X64" s="31">
        <v>1</v>
      </c>
      <c r="Y64" s="31">
        <v>1</v>
      </c>
      <c r="Z64" s="31">
        <v>0</v>
      </c>
      <c r="AA64" s="31">
        <v>3</v>
      </c>
      <c r="AB64" s="31" t="s">
        <v>97</v>
      </c>
      <c r="AC64" s="31" t="s">
        <v>81</v>
      </c>
      <c r="AD64" s="31" t="s">
        <v>82</v>
      </c>
      <c r="AE64" s="31" t="s">
        <v>83</v>
      </c>
      <c r="AF64" s="31" t="s">
        <v>104</v>
      </c>
      <c r="AG64" s="31" t="s">
        <v>86</v>
      </c>
      <c r="AH64" s="31" t="s">
        <v>84</v>
      </c>
      <c r="AI64" s="31" t="s">
        <v>85</v>
      </c>
      <c r="AJ64" s="31" t="s">
        <v>98</v>
      </c>
      <c r="AK64" s="31" t="s">
        <v>88</v>
      </c>
      <c r="AL64" s="31" t="s">
        <v>87</v>
      </c>
      <c r="AM64" s="31" t="s">
        <v>99</v>
      </c>
      <c r="AN64" s="31" t="s">
        <v>90</v>
      </c>
      <c r="AO64" s="31" t="s">
        <v>83</v>
      </c>
      <c r="AP64" s="31" t="s">
        <v>85</v>
      </c>
      <c r="AQ64" s="31" t="s">
        <v>91</v>
      </c>
      <c r="AR64" s="31" t="s">
        <v>102</v>
      </c>
      <c r="AS64" s="31" t="s">
        <v>94</v>
      </c>
      <c r="AT64" s="31" t="s">
        <v>93</v>
      </c>
      <c r="AU64" s="31" t="s">
        <v>94</v>
      </c>
      <c r="AV64" s="31" t="s">
        <v>93</v>
      </c>
      <c r="AW64" s="31" t="s">
        <v>93</v>
      </c>
      <c r="AX64" s="31" t="s">
        <v>94</v>
      </c>
      <c r="AY64" s="31" t="s">
        <v>93</v>
      </c>
      <c r="AZ64" s="31" t="s">
        <v>93</v>
      </c>
      <c r="BA64" s="31" t="s">
        <v>107</v>
      </c>
      <c r="BB64" s="31" t="s">
        <v>819</v>
      </c>
      <c r="BC64" s="24"/>
      <c r="BD64" s="30">
        <f>Table2[[#This Row],[interviewtime]]/60</f>
        <v>13.795166666666667</v>
      </c>
      <c r="BE64" s="31">
        <v>827.71</v>
      </c>
      <c r="BF64" s="31">
        <v>9.4499999999999993</v>
      </c>
      <c r="BG64" s="31"/>
      <c r="BH64" s="31">
        <v>140.63</v>
      </c>
      <c r="BI64" s="31"/>
      <c r="BJ64" s="31"/>
      <c r="BK64" s="31"/>
      <c r="BL64" s="31"/>
      <c r="BM64" s="31">
        <v>271.39</v>
      </c>
      <c r="BN64" s="31"/>
      <c r="BO64" s="31"/>
      <c r="BP64" s="31"/>
      <c r="BQ64" s="31"/>
      <c r="BR64" s="31"/>
      <c r="BS64" s="31"/>
      <c r="BT64" s="31">
        <v>192.98</v>
      </c>
      <c r="BU64" s="31"/>
      <c r="BV64" s="31"/>
      <c r="BW64" s="31"/>
      <c r="BX64" s="31"/>
      <c r="BY64" s="31"/>
      <c r="BZ64" s="31"/>
      <c r="CA64" s="31"/>
      <c r="CB64" s="31"/>
      <c r="CC64" s="31">
        <v>172.43</v>
      </c>
      <c r="CD64" s="31"/>
      <c r="CE64" s="31"/>
      <c r="CF64" s="31"/>
      <c r="CG64" s="31"/>
      <c r="CH64" s="31"/>
      <c r="CI64" s="31"/>
      <c r="CJ64" s="31"/>
      <c r="CK64" s="31"/>
      <c r="CL64" s="31">
        <v>40.83</v>
      </c>
      <c r="CM64" s="24"/>
      <c r="CN64" s="24"/>
      <c r="CO64" s="24"/>
      <c r="CP64" s="24"/>
      <c r="CQ64" s="43">
        <f>Table2[[#This Row],[groupTime22]]/60</f>
        <v>4.5231666666666666</v>
      </c>
      <c r="CR64" s="43">
        <f>Table2[[#This Row],[groupTime23]]/60</f>
        <v>3.216333333333333</v>
      </c>
      <c r="CS64" s="43">
        <f>Table2[[#This Row],[groupTime24]]/60</f>
        <v>2.8738333333333332</v>
      </c>
    </row>
    <row r="65" spans="1:97" x14ac:dyDescent="0.25">
      <c r="A65" s="47" t="s">
        <v>821</v>
      </c>
      <c r="B65" s="11" t="s">
        <v>115</v>
      </c>
      <c r="C65" s="47">
        <v>76</v>
      </c>
      <c r="D65" s="47" t="s">
        <v>800</v>
      </c>
      <c r="E65" s="47">
        <v>6</v>
      </c>
      <c r="F65" s="47" t="s">
        <v>79</v>
      </c>
      <c r="G65" s="47">
        <v>1927085691</v>
      </c>
      <c r="H65" s="47" t="s">
        <v>801</v>
      </c>
      <c r="I65" s="47" t="s">
        <v>800</v>
      </c>
      <c r="J65" s="47" t="s">
        <v>589</v>
      </c>
      <c r="K65" s="37" t="str">
        <f>IF(Table2[[#This Row],[priorSuccessRatio]]&lt;1,"yes","no")</f>
        <v>no</v>
      </c>
      <c r="L65" s="27">
        <f>VLOOKUP(Table2[[#This Row],[prolific]],'Correct calc'!B$16:$AJ$998,6,FALSE)</f>
        <v>1</v>
      </c>
      <c r="M65" s="27">
        <f>VLOOKUP(Table2[[#This Row],[prolific]],'Correct calc'!B$16:$AJ$998,14,FALSE)</f>
        <v>0.66666666666666663</v>
      </c>
      <c r="N65" s="27">
        <f>VLOOKUP(Table2[[#This Row],[prolific]],'Correct calc'!B$16:$AJ1160,24,FALSE)</f>
        <v>1</v>
      </c>
      <c r="O65" s="27">
        <f>VLOOKUP(Table2[[#This Row],[prolific]],'Correct calc'!B$16:$AJ1160,34,FALSE)</f>
        <v>0.375</v>
      </c>
      <c r="P65" s="28">
        <f>VLOOKUP(Table2[[#This Row],[comprescore]],Table3[],2,FALSE)</f>
        <v>3</v>
      </c>
      <c r="Q65" s="16">
        <f>VLOOKUP(Table2[[#This Row],[prolific]],'Correct calc'!B$16:$AK$998,36,FALSE)</f>
        <v>15</v>
      </c>
      <c r="R65" s="16">
        <f>Table2[[#This Row],[interviewminutes]]</f>
        <v>21.946000000000002</v>
      </c>
      <c r="S65" s="16">
        <f>Table2[[#This Row],[classifyTime]]+Table2[[#This Row],[explainTime]]+Table2[[#This Row],[validateTime]]</f>
        <v>17.531500000000001</v>
      </c>
      <c r="T65" s="29">
        <f>VLOOKUP(Table2[[#This Row],[prolific]],'Correct calc'!B$16:$AJ$998,35,FALSE)</f>
        <v>0.68181818181818177</v>
      </c>
      <c r="U65" s="15">
        <f>SUM(Table2[[#This Row],[priorKnowledge'[CLUSTERING']]:[priorKnowledge'[ZSCORES']]])/Table2[[#This Row],[priorKnowledgeTechQuestionCount]]</f>
        <v>4</v>
      </c>
      <c r="V65" s="16">
        <f>IF(Table2[[#This Row],[visualization]]="Wordcloud",2,3)</f>
        <v>2</v>
      </c>
      <c r="W65" s="31" t="s">
        <v>1079</v>
      </c>
      <c r="X65" s="31">
        <v>4</v>
      </c>
      <c r="Y65" s="31">
        <v>4</v>
      </c>
      <c r="Z65" s="31">
        <v>0</v>
      </c>
      <c r="AA65" s="31">
        <v>8</v>
      </c>
      <c r="AB65" s="31" t="s">
        <v>97</v>
      </c>
      <c r="AC65" s="31" t="s">
        <v>81</v>
      </c>
      <c r="AD65" s="31" t="s">
        <v>82</v>
      </c>
      <c r="AE65" s="31" t="s">
        <v>104</v>
      </c>
      <c r="AF65" s="31" t="s">
        <v>85</v>
      </c>
      <c r="AG65" s="31" t="s">
        <v>86</v>
      </c>
      <c r="AH65" s="31" t="s">
        <v>84</v>
      </c>
      <c r="AI65" s="31" t="s">
        <v>83</v>
      </c>
      <c r="AJ65" s="31" t="s">
        <v>98</v>
      </c>
      <c r="AK65" s="31" t="s">
        <v>88</v>
      </c>
      <c r="AL65" s="31" t="s">
        <v>87</v>
      </c>
      <c r="AM65" s="31" t="s">
        <v>105</v>
      </c>
      <c r="AN65" s="31" t="s">
        <v>90</v>
      </c>
      <c r="AO65" s="31" t="s">
        <v>83</v>
      </c>
      <c r="AP65" s="31" t="s">
        <v>85</v>
      </c>
      <c r="AQ65" s="31" t="s">
        <v>91</v>
      </c>
      <c r="AR65" s="31" t="s">
        <v>102</v>
      </c>
      <c r="AS65" s="31" t="s">
        <v>94</v>
      </c>
      <c r="AT65" s="31" t="s">
        <v>93</v>
      </c>
      <c r="AU65" s="31" t="s">
        <v>93</v>
      </c>
      <c r="AV65" s="31" t="s">
        <v>93</v>
      </c>
      <c r="AW65" s="31" t="s">
        <v>93</v>
      </c>
      <c r="AX65" s="31" t="s">
        <v>94</v>
      </c>
      <c r="AY65" s="31" t="s">
        <v>93</v>
      </c>
      <c r="AZ65" s="31" t="s">
        <v>94</v>
      </c>
      <c r="BA65" s="31" t="s">
        <v>107</v>
      </c>
      <c r="BB65" s="31" t="s">
        <v>820</v>
      </c>
      <c r="BC65" s="24"/>
      <c r="BD65" s="30">
        <f>Table2[[#This Row],[interviewtime]]/60</f>
        <v>21.946000000000002</v>
      </c>
      <c r="BE65" s="31">
        <v>1316.76</v>
      </c>
      <c r="BF65" s="31">
        <v>40.43</v>
      </c>
      <c r="BG65" s="31"/>
      <c r="BH65" s="31">
        <v>32.380000000000003</v>
      </c>
      <c r="BI65" s="31"/>
      <c r="BJ65" s="31"/>
      <c r="BK65" s="31"/>
      <c r="BL65" s="31"/>
      <c r="BM65" s="31">
        <v>384.85</v>
      </c>
      <c r="BN65" s="31"/>
      <c r="BO65" s="31"/>
      <c r="BP65" s="31"/>
      <c r="BQ65" s="31"/>
      <c r="BR65" s="31"/>
      <c r="BS65" s="31"/>
      <c r="BT65" s="31">
        <v>295.72000000000003</v>
      </c>
      <c r="BU65" s="31"/>
      <c r="BV65" s="31"/>
      <c r="BW65" s="31"/>
      <c r="BX65" s="31"/>
      <c r="BY65" s="31"/>
      <c r="BZ65" s="31"/>
      <c r="CA65" s="31"/>
      <c r="CB65" s="31"/>
      <c r="CC65" s="31">
        <v>371.32</v>
      </c>
      <c r="CD65" s="31"/>
      <c r="CE65" s="31"/>
      <c r="CF65" s="31"/>
      <c r="CG65" s="31"/>
      <c r="CH65" s="31"/>
      <c r="CI65" s="31"/>
      <c r="CJ65" s="31"/>
      <c r="CK65" s="31"/>
      <c r="CL65" s="31">
        <v>192.06</v>
      </c>
      <c r="CM65" s="24"/>
      <c r="CN65" s="24"/>
      <c r="CO65" s="24"/>
      <c r="CP65" s="24"/>
      <c r="CQ65" s="43">
        <f>Table2[[#This Row],[groupTime22]]/60</f>
        <v>6.4141666666666675</v>
      </c>
      <c r="CR65" s="43">
        <f>Table2[[#This Row],[groupTime23]]/60</f>
        <v>4.9286666666666674</v>
      </c>
      <c r="CS65" s="43">
        <f>Table2[[#This Row],[groupTime24]]/60</f>
        <v>6.1886666666666663</v>
      </c>
    </row>
    <row r="66" spans="1:97" x14ac:dyDescent="0.25">
      <c r="A66" s="11" t="s">
        <v>352</v>
      </c>
      <c r="B66" s="11" t="s">
        <v>113</v>
      </c>
      <c r="C66" s="11">
        <v>11</v>
      </c>
      <c r="D66" s="11" t="s">
        <v>475</v>
      </c>
      <c r="E66" s="11">
        <v>6</v>
      </c>
      <c r="F66" s="11" t="s">
        <v>79</v>
      </c>
      <c r="G66" s="11">
        <v>684276046</v>
      </c>
      <c r="H66" s="11" t="s">
        <v>476</v>
      </c>
      <c r="I66" s="11" t="s">
        <v>475</v>
      </c>
      <c r="J66" s="11" t="s">
        <v>80</v>
      </c>
      <c r="K66" s="11" t="str">
        <f>IF(Table2[[#This Row],[priorSuccessRatio]]&lt;1,"yes","no")</f>
        <v>no</v>
      </c>
      <c r="L66" s="27">
        <f>VLOOKUP(Table2[[#This Row],[prolific]],'Correct calc'!B$16:$AJ$998,6,FALSE)</f>
        <v>1</v>
      </c>
      <c r="M66" s="27">
        <f>VLOOKUP(Table2[[#This Row],[prolific]],'Correct calc'!B$16:$AJ$998,14,FALSE)</f>
        <v>0.83333333333333337</v>
      </c>
      <c r="N66" s="27">
        <f>VLOOKUP(Table2[[#This Row],[prolific]],'Correct calc'!B$16:$AJ1073,24,FALSE)</f>
        <v>0.75</v>
      </c>
      <c r="O66" s="27">
        <f>VLOOKUP(Table2[[#This Row],[prolific]],'Correct calc'!B$16:$AJ1073,34,FALSE)</f>
        <v>0.75</v>
      </c>
      <c r="P66" s="28">
        <f>VLOOKUP(Table2[[#This Row],[comprescore]],Table3[],2,FALSE)</f>
        <v>2</v>
      </c>
      <c r="Q66" s="16">
        <f>VLOOKUP(Table2[[#This Row],[prolific]],'Correct calc'!B$16:$AK$998,36,FALSE)</f>
        <v>17</v>
      </c>
      <c r="R66" s="16">
        <f>Table2[[#This Row],[interviewminutes]]</f>
        <v>15.816166666666668</v>
      </c>
      <c r="S66" s="16">
        <f>Table2[[#This Row],[classifyTime]]+Table2[[#This Row],[explainTime]]+Table2[[#This Row],[validateTime]]</f>
        <v>14.810333333333332</v>
      </c>
      <c r="T66" s="29">
        <f>VLOOKUP(Table2[[#This Row],[prolific]],'Correct calc'!B$16:$AJ$998,35,FALSE)</f>
        <v>0.77272727272727271</v>
      </c>
      <c r="U66" s="15">
        <f>SUM(Table2[[#This Row],[priorKnowledge'[CLUSTERING']]:[priorKnowledge'[ZSCORES']]])/Table2[[#This Row],[priorKnowledgeTechQuestionCount]]</f>
        <v>1</v>
      </c>
      <c r="V66" s="16">
        <f>IF(Table2[[#This Row],[visualization]]="Wordcloud",2,3)</f>
        <v>3</v>
      </c>
      <c r="W66" s="31" t="s">
        <v>1080</v>
      </c>
      <c r="X66" s="31">
        <v>1</v>
      </c>
      <c r="Y66" s="31">
        <v>1</v>
      </c>
      <c r="Z66" s="31">
        <v>1</v>
      </c>
      <c r="AA66" s="31">
        <v>4</v>
      </c>
      <c r="AB66" s="31" t="s">
        <v>97</v>
      </c>
      <c r="AC66" s="31" t="s">
        <v>81</v>
      </c>
      <c r="AD66" s="31" t="s">
        <v>82</v>
      </c>
      <c r="AE66" s="31" t="s">
        <v>83</v>
      </c>
      <c r="AF66" s="31" t="s">
        <v>85</v>
      </c>
      <c r="AG66" s="31" t="s">
        <v>86</v>
      </c>
      <c r="AH66" s="31" t="s">
        <v>84</v>
      </c>
      <c r="AI66" s="31" t="s">
        <v>85</v>
      </c>
      <c r="AJ66" s="31" t="s">
        <v>98</v>
      </c>
      <c r="AK66" s="31" t="s">
        <v>88</v>
      </c>
      <c r="AL66" s="31" t="s">
        <v>87</v>
      </c>
      <c r="AM66" s="31" t="s">
        <v>105</v>
      </c>
      <c r="AN66" s="31" t="s">
        <v>100</v>
      </c>
      <c r="AO66" s="31" t="s">
        <v>83</v>
      </c>
      <c r="AP66" s="31" t="s">
        <v>85</v>
      </c>
      <c r="AQ66" s="31" t="s">
        <v>101</v>
      </c>
      <c r="AR66" s="31" t="s">
        <v>102</v>
      </c>
      <c r="AS66" s="31" t="s">
        <v>94</v>
      </c>
      <c r="AT66" s="31" t="s">
        <v>93</v>
      </c>
      <c r="AU66" s="31" t="s">
        <v>93</v>
      </c>
      <c r="AV66" s="31" t="s">
        <v>93</v>
      </c>
      <c r="AW66" s="31" t="s">
        <v>93</v>
      </c>
      <c r="AX66" s="31" t="s">
        <v>93</v>
      </c>
      <c r="AY66" s="31" t="s">
        <v>94</v>
      </c>
      <c r="AZ66" s="31" t="s">
        <v>93</v>
      </c>
      <c r="BA66" s="31" t="s">
        <v>106</v>
      </c>
      <c r="BB66" s="31" t="s">
        <v>525</v>
      </c>
      <c r="BC66" s="24"/>
      <c r="BD66" s="30">
        <f>Table2[[#This Row],[interviewtime]]/60</f>
        <v>15.816166666666668</v>
      </c>
      <c r="BE66" s="31">
        <v>948.97</v>
      </c>
      <c r="BF66" s="31">
        <v>11.06</v>
      </c>
      <c r="BG66" s="31"/>
      <c r="BH66" s="31">
        <v>31.25</v>
      </c>
      <c r="BI66" s="31"/>
      <c r="BJ66" s="31"/>
      <c r="BK66" s="31"/>
      <c r="BL66" s="31"/>
      <c r="BM66" s="31">
        <v>558.66</v>
      </c>
      <c r="BN66" s="31"/>
      <c r="BO66" s="31"/>
      <c r="BP66" s="31"/>
      <c r="BQ66" s="31"/>
      <c r="BR66" s="31"/>
      <c r="BS66" s="31"/>
      <c r="BT66" s="31">
        <v>185.47</v>
      </c>
      <c r="BU66" s="31"/>
      <c r="BV66" s="31"/>
      <c r="BW66" s="31"/>
      <c r="BX66" s="31"/>
      <c r="BY66" s="31"/>
      <c r="BZ66" s="31"/>
      <c r="CA66" s="31"/>
      <c r="CB66" s="31"/>
      <c r="CC66" s="31">
        <v>144.49</v>
      </c>
      <c r="CD66" s="31"/>
      <c r="CE66" s="31"/>
      <c r="CF66" s="31"/>
      <c r="CG66" s="31"/>
      <c r="CH66" s="31"/>
      <c r="CI66" s="31"/>
      <c r="CJ66" s="31"/>
      <c r="CK66" s="31"/>
      <c r="CL66" s="31">
        <v>18.04</v>
      </c>
      <c r="CM66" s="31"/>
      <c r="CN66" s="31"/>
      <c r="CO66" s="24"/>
      <c r="CP66" s="24"/>
      <c r="CQ66" s="43">
        <f>Table2[[#This Row],[groupTime22]]/60</f>
        <v>9.3109999999999999</v>
      </c>
      <c r="CR66" s="43">
        <f>Table2[[#This Row],[groupTime23]]/60</f>
        <v>3.0911666666666666</v>
      </c>
      <c r="CS66" s="43">
        <f>Table2[[#This Row],[groupTime24]]/60</f>
        <v>2.4081666666666668</v>
      </c>
    </row>
    <row r="67" spans="1:97" x14ac:dyDescent="0.25">
      <c r="A67" s="11" t="s">
        <v>352</v>
      </c>
      <c r="B67" s="11" t="s">
        <v>113</v>
      </c>
      <c r="C67" s="11">
        <v>12</v>
      </c>
      <c r="D67" s="11" t="s">
        <v>477</v>
      </c>
      <c r="E67" s="11">
        <v>6</v>
      </c>
      <c r="F67" s="11" t="s">
        <v>79</v>
      </c>
      <c r="G67" s="11">
        <v>543793034</v>
      </c>
      <c r="H67" s="11" t="s">
        <v>478</v>
      </c>
      <c r="I67" s="11" t="s">
        <v>477</v>
      </c>
      <c r="J67" s="11" t="s">
        <v>80</v>
      </c>
      <c r="K67" s="11" t="str">
        <f>IF(Table2[[#This Row],[priorSuccessRatio]]&lt;1,"yes","no")</f>
        <v>no</v>
      </c>
      <c r="L67" s="27">
        <f>VLOOKUP(Table2[[#This Row],[prolific]],'Correct calc'!B$16:$AJ$998,6,FALSE)</f>
        <v>1</v>
      </c>
      <c r="M67" s="27">
        <f>VLOOKUP(Table2[[#This Row],[prolific]],'Correct calc'!B$16:$AJ$998,14,FALSE)</f>
        <v>0.33333333333333331</v>
      </c>
      <c r="N67" s="27">
        <f>VLOOKUP(Table2[[#This Row],[prolific]],'Correct calc'!B$16:$AJ1074,24,FALSE)</f>
        <v>0.875</v>
      </c>
      <c r="O67" s="27">
        <f>VLOOKUP(Table2[[#This Row],[prolific]],'Correct calc'!B$16:$AJ1074,34,FALSE)</f>
        <v>0.625</v>
      </c>
      <c r="P67" s="28">
        <f>VLOOKUP(Table2[[#This Row],[comprescore]],Table3[],2,FALSE)</f>
        <v>5</v>
      </c>
      <c r="Q67" s="16">
        <f>VLOOKUP(Table2[[#This Row],[prolific]],'Correct calc'!B$16:$AK$998,36,FALSE)</f>
        <v>14</v>
      </c>
      <c r="R67" s="16">
        <f>Table2[[#This Row],[interviewminutes]]</f>
        <v>9.1529999999999987</v>
      </c>
      <c r="S67" s="16">
        <f>Table2[[#This Row],[classifyTime]]+Table2[[#This Row],[explainTime]]+Table2[[#This Row],[validateTime]]</f>
        <v>8.3481666666666658</v>
      </c>
      <c r="T67" s="29">
        <f>VLOOKUP(Table2[[#This Row],[prolific]],'Correct calc'!B$16:$AJ$998,35,FALSE)</f>
        <v>0.63636363636363635</v>
      </c>
      <c r="U67" s="15">
        <f>SUM(Table2[[#This Row],[priorKnowledge'[CLUSTERING']]:[priorKnowledge'[ZSCORES']]])/Table2[[#This Row],[priorKnowledgeTechQuestionCount]]</f>
        <v>2.3333333333333335</v>
      </c>
      <c r="V67" s="16">
        <f>IF(Table2[[#This Row],[visualization]]="Wordcloud",2,3)</f>
        <v>3</v>
      </c>
      <c r="W67" s="31" t="s">
        <v>1081</v>
      </c>
      <c r="X67" s="31">
        <v>3</v>
      </c>
      <c r="Y67" s="31">
        <v>2</v>
      </c>
      <c r="Z67" s="31">
        <v>2</v>
      </c>
      <c r="AA67" s="31">
        <v>5</v>
      </c>
      <c r="AB67" s="31" t="s">
        <v>97</v>
      </c>
      <c r="AC67" s="31" t="s">
        <v>81</v>
      </c>
      <c r="AD67" s="31" t="s">
        <v>82</v>
      </c>
      <c r="AE67" s="31" t="s">
        <v>86</v>
      </c>
      <c r="AF67" s="31" t="s">
        <v>85</v>
      </c>
      <c r="AG67" s="31" t="s">
        <v>98</v>
      </c>
      <c r="AH67" s="31" t="s">
        <v>84</v>
      </c>
      <c r="AI67" s="31" t="s">
        <v>85</v>
      </c>
      <c r="AJ67" s="31" t="s">
        <v>85</v>
      </c>
      <c r="AK67" s="31" t="s">
        <v>88</v>
      </c>
      <c r="AL67" s="31" t="s">
        <v>87</v>
      </c>
      <c r="AM67" s="31" t="s">
        <v>105</v>
      </c>
      <c r="AN67" s="31" t="s">
        <v>90</v>
      </c>
      <c r="AO67" s="31" t="s">
        <v>83</v>
      </c>
      <c r="AP67" s="31" t="s">
        <v>85</v>
      </c>
      <c r="AQ67" s="31" t="s">
        <v>101</v>
      </c>
      <c r="AR67" s="31" t="s">
        <v>102</v>
      </c>
      <c r="AS67" s="31" t="s">
        <v>94</v>
      </c>
      <c r="AT67" s="31" t="s">
        <v>94</v>
      </c>
      <c r="AU67" s="31" t="s">
        <v>94</v>
      </c>
      <c r="AV67" s="31" t="s">
        <v>93</v>
      </c>
      <c r="AW67" s="31" t="s">
        <v>93</v>
      </c>
      <c r="AX67" s="31" t="s">
        <v>94</v>
      </c>
      <c r="AY67" s="31" t="s">
        <v>94</v>
      </c>
      <c r="AZ67" s="31" t="s">
        <v>93</v>
      </c>
      <c r="BA67" s="31" t="s">
        <v>110</v>
      </c>
      <c r="BB67" s="31" t="s">
        <v>527</v>
      </c>
      <c r="BC67" s="24"/>
      <c r="BD67" s="30">
        <f>Table2[[#This Row],[interviewtime]]/60</f>
        <v>9.1529999999999987</v>
      </c>
      <c r="BE67" s="31">
        <v>549.17999999999995</v>
      </c>
      <c r="BF67" s="31">
        <v>7.1</v>
      </c>
      <c r="BG67" s="31"/>
      <c r="BH67" s="31">
        <v>21.68</v>
      </c>
      <c r="BI67" s="31"/>
      <c r="BJ67" s="31"/>
      <c r="BK67" s="31"/>
      <c r="BL67" s="31"/>
      <c r="BM67" s="31">
        <v>223.52</v>
      </c>
      <c r="BN67" s="31"/>
      <c r="BO67" s="31"/>
      <c r="BP67" s="31"/>
      <c r="BQ67" s="31"/>
      <c r="BR67" s="31"/>
      <c r="BS67" s="31"/>
      <c r="BT67" s="31">
        <v>165.42</v>
      </c>
      <c r="BU67" s="31"/>
      <c r="BV67" s="31"/>
      <c r="BW67" s="31"/>
      <c r="BX67" s="31"/>
      <c r="BY67" s="31"/>
      <c r="BZ67" s="31"/>
      <c r="CA67" s="31"/>
      <c r="CB67" s="31"/>
      <c r="CC67" s="31">
        <v>111.95</v>
      </c>
      <c r="CD67" s="31"/>
      <c r="CE67" s="31"/>
      <c r="CF67" s="31"/>
      <c r="CG67" s="31"/>
      <c r="CH67" s="31"/>
      <c r="CI67" s="31"/>
      <c r="CJ67" s="31"/>
      <c r="CK67" s="31"/>
      <c r="CL67" s="31">
        <v>19.510000000000002</v>
      </c>
      <c r="CM67" s="31"/>
      <c r="CN67" s="31"/>
      <c r="CO67" s="24"/>
      <c r="CP67" s="24"/>
      <c r="CQ67" s="43">
        <f>Table2[[#This Row],[groupTime22]]/60</f>
        <v>3.7253333333333334</v>
      </c>
      <c r="CR67" s="43">
        <f>Table2[[#This Row],[groupTime23]]/60</f>
        <v>2.7569999999999997</v>
      </c>
      <c r="CS67" s="43">
        <f>Table2[[#This Row],[groupTime24]]/60</f>
        <v>1.8658333333333335</v>
      </c>
    </row>
    <row r="68" spans="1:97" x14ac:dyDescent="0.25">
      <c r="A68" s="11" t="s">
        <v>352</v>
      </c>
      <c r="B68" s="11" t="s">
        <v>113</v>
      </c>
      <c r="C68" s="11">
        <v>13</v>
      </c>
      <c r="D68" s="11" t="s">
        <v>479</v>
      </c>
      <c r="E68" s="11">
        <v>6</v>
      </c>
      <c r="F68" s="11" t="s">
        <v>79</v>
      </c>
      <c r="G68" s="11">
        <v>1435843182</v>
      </c>
      <c r="H68" s="11" t="s">
        <v>480</v>
      </c>
      <c r="I68" s="11" t="s">
        <v>479</v>
      </c>
      <c r="J68" s="11" t="s">
        <v>80</v>
      </c>
      <c r="K68" s="11" t="str">
        <f>IF(Table2[[#This Row],[priorSuccessRatio]]&lt;1,"yes","no")</f>
        <v>no</v>
      </c>
      <c r="L68" s="27">
        <f>VLOOKUP(Table2[[#This Row],[prolific]],'Correct calc'!B$16:$AJ$998,6,FALSE)</f>
        <v>1</v>
      </c>
      <c r="M68" s="27">
        <f>VLOOKUP(Table2[[#This Row],[prolific]],'Correct calc'!B$16:$AJ$998,14,FALSE)</f>
        <v>0.33333333333333331</v>
      </c>
      <c r="N68" s="27">
        <f>VLOOKUP(Table2[[#This Row],[prolific]],'Correct calc'!B$16:$AJ1075,24,FALSE)</f>
        <v>0.75</v>
      </c>
      <c r="O68" s="27">
        <f>VLOOKUP(Table2[[#This Row],[prolific]],'Correct calc'!B$16:$AJ1075,34,FALSE)</f>
        <v>0.75</v>
      </c>
      <c r="P68" s="28">
        <f>VLOOKUP(Table2[[#This Row],[comprescore]],Table3[],2,FALSE)</f>
        <v>2</v>
      </c>
      <c r="Q68" s="16">
        <f>VLOOKUP(Table2[[#This Row],[prolific]],'Correct calc'!B$16:$AK$998,36,FALSE)</f>
        <v>14</v>
      </c>
      <c r="R68" s="16">
        <f>Table2[[#This Row],[interviewminutes]]</f>
        <v>11.562000000000001</v>
      </c>
      <c r="S68" s="16">
        <f>Table2[[#This Row],[classifyTime]]+Table2[[#This Row],[explainTime]]+Table2[[#This Row],[validateTime]]</f>
        <v>10.411166666666668</v>
      </c>
      <c r="T68" s="29">
        <f>VLOOKUP(Table2[[#This Row],[prolific]],'Correct calc'!B$16:$AJ$998,35,FALSE)</f>
        <v>0.63636363636363635</v>
      </c>
      <c r="U68" s="15">
        <f>SUM(Table2[[#This Row],[priorKnowledge'[CLUSTERING']]:[priorKnowledge'[ZSCORES']]])/Table2[[#This Row],[priorKnowledgeTechQuestionCount]]</f>
        <v>1</v>
      </c>
      <c r="V68" s="16">
        <f>IF(Table2[[#This Row],[visualization]]="Wordcloud",2,3)</f>
        <v>3</v>
      </c>
      <c r="W68" s="31" t="s">
        <v>1082</v>
      </c>
      <c r="X68" s="31">
        <v>1</v>
      </c>
      <c r="Y68" s="31">
        <v>1</v>
      </c>
      <c r="Z68" s="31">
        <v>1</v>
      </c>
      <c r="AA68" s="31">
        <v>7</v>
      </c>
      <c r="AB68" s="31" t="s">
        <v>97</v>
      </c>
      <c r="AC68" s="31" t="s">
        <v>81</v>
      </c>
      <c r="AD68" s="31" t="s">
        <v>82</v>
      </c>
      <c r="AE68" s="31" t="s">
        <v>86</v>
      </c>
      <c r="AF68" s="31" t="s">
        <v>85</v>
      </c>
      <c r="AG68" s="31" t="s">
        <v>98</v>
      </c>
      <c r="AH68" s="31" t="s">
        <v>84</v>
      </c>
      <c r="AI68" s="31" t="s">
        <v>85</v>
      </c>
      <c r="AJ68" s="31" t="s">
        <v>86</v>
      </c>
      <c r="AK68" s="31" t="s">
        <v>108</v>
      </c>
      <c r="AL68" s="31" t="s">
        <v>87</v>
      </c>
      <c r="AM68" s="31" t="s">
        <v>105</v>
      </c>
      <c r="AN68" s="31" t="s">
        <v>90</v>
      </c>
      <c r="AO68" s="31" t="s">
        <v>83</v>
      </c>
      <c r="AP68" s="31" t="s">
        <v>85</v>
      </c>
      <c r="AQ68" s="31" t="s">
        <v>111</v>
      </c>
      <c r="AR68" s="31" t="s">
        <v>102</v>
      </c>
      <c r="AS68" s="31" t="s">
        <v>94</v>
      </c>
      <c r="AT68" s="31" t="s">
        <v>94</v>
      </c>
      <c r="AU68" s="31" t="s">
        <v>94</v>
      </c>
      <c r="AV68" s="31" t="s">
        <v>93</v>
      </c>
      <c r="AW68" s="31" t="s">
        <v>93</v>
      </c>
      <c r="AX68" s="31" t="s">
        <v>93</v>
      </c>
      <c r="AY68" s="31" t="s">
        <v>94</v>
      </c>
      <c r="AZ68" s="31" t="s">
        <v>93</v>
      </c>
      <c r="BA68" s="31" t="s">
        <v>106</v>
      </c>
      <c r="BB68" s="31" t="s">
        <v>529</v>
      </c>
      <c r="BC68" s="24"/>
      <c r="BD68" s="30">
        <f>Table2[[#This Row],[interviewtime]]/60</f>
        <v>11.562000000000001</v>
      </c>
      <c r="BE68" s="31">
        <v>693.72</v>
      </c>
      <c r="BF68" s="31">
        <v>8.18</v>
      </c>
      <c r="BG68" s="31"/>
      <c r="BH68" s="31">
        <v>18.47</v>
      </c>
      <c r="BI68" s="31"/>
      <c r="BJ68" s="31"/>
      <c r="BK68" s="31"/>
      <c r="BL68" s="31"/>
      <c r="BM68" s="31">
        <v>370.98</v>
      </c>
      <c r="BN68" s="31"/>
      <c r="BO68" s="31"/>
      <c r="BP68" s="31"/>
      <c r="BQ68" s="31"/>
      <c r="BR68" s="31"/>
      <c r="BS68" s="31"/>
      <c r="BT68" s="31">
        <v>144.47999999999999</v>
      </c>
      <c r="BU68" s="31"/>
      <c r="BV68" s="31"/>
      <c r="BW68" s="31"/>
      <c r="BX68" s="31"/>
      <c r="BY68" s="31"/>
      <c r="BZ68" s="31"/>
      <c r="CA68" s="31"/>
      <c r="CB68" s="31"/>
      <c r="CC68" s="31">
        <v>109.21</v>
      </c>
      <c r="CD68" s="31"/>
      <c r="CE68" s="31"/>
      <c r="CF68" s="31"/>
      <c r="CG68" s="31"/>
      <c r="CH68" s="31"/>
      <c r="CI68" s="31"/>
      <c r="CJ68" s="31"/>
      <c r="CK68" s="31"/>
      <c r="CL68" s="31">
        <v>42.4</v>
      </c>
      <c r="CM68" s="31"/>
      <c r="CN68" s="31"/>
      <c r="CO68" s="24"/>
      <c r="CP68" s="24"/>
      <c r="CQ68" s="43">
        <f>Table2[[#This Row],[groupTime22]]/60</f>
        <v>6.1830000000000007</v>
      </c>
      <c r="CR68" s="43">
        <f>Table2[[#This Row],[groupTime23]]/60</f>
        <v>2.4079999999999999</v>
      </c>
      <c r="CS68" s="43">
        <f>Table2[[#This Row],[groupTime24]]/60</f>
        <v>1.8201666666666665</v>
      </c>
    </row>
    <row r="69" spans="1:97" x14ac:dyDescent="0.25">
      <c r="A69" s="11" t="s">
        <v>352</v>
      </c>
      <c r="B69" s="11" t="s">
        <v>113</v>
      </c>
      <c r="C69" s="11">
        <v>14</v>
      </c>
      <c r="D69" s="11" t="s">
        <v>481</v>
      </c>
      <c r="E69" s="11">
        <v>6</v>
      </c>
      <c r="F69" s="11" t="s">
        <v>79</v>
      </c>
      <c r="G69" s="11">
        <v>955544763</v>
      </c>
      <c r="H69" s="11" t="s">
        <v>482</v>
      </c>
      <c r="I69" s="11" t="s">
        <v>481</v>
      </c>
      <c r="J69" s="11" t="s">
        <v>96</v>
      </c>
      <c r="K69" s="11" t="str">
        <f>IF(Table2[[#This Row],[priorSuccessRatio]]&lt;1,"yes","no")</f>
        <v>no</v>
      </c>
      <c r="L69" s="27">
        <f>VLOOKUP(Table2[[#This Row],[prolific]],'Correct calc'!B$16:$AJ$998,6,FALSE)</f>
        <v>1</v>
      </c>
      <c r="M69" s="27">
        <f>VLOOKUP(Table2[[#This Row],[prolific]],'Correct calc'!B$16:$AJ$998,14,FALSE)</f>
        <v>0.83333333333333337</v>
      </c>
      <c r="N69" s="27">
        <f>VLOOKUP(Table2[[#This Row],[prolific]],'Correct calc'!B$16:$AJ1076,24,FALSE)</f>
        <v>0.75</v>
      </c>
      <c r="O69" s="27">
        <f>VLOOKUP(Table2[[#This Row],[prolific]],'Correct calc'!B$16:$AJ1076,34,FALSE)</f>
        <v>0.875</v>
      </c>
      <c r="P69" s="28">
        <f>VLOOKUP(Table2[[#This Row],[comprescore]],Table3[],2,FALSE)</f>
        <v>2</v>
      </c>
      <c r="Q69" s="16">
        <f>VLOOKUP(Table2[[#This Row],[prolific]],'Correct calc'!B$16:$AK$998,36,FALSE)</f>
        <v>18</v>
      </c>
      <c r="R69" s="16">
        <f>Table2[[#This Row],[interviewminutes]]</f>
        <v>15.004833333333332</v>
      </c>
      <c r="S69" s="16">
        <f>Table2[[#This Row],[classifyTime]]+Table2[[#This Row],[explainTime]]+Table2[[#This Row],[validateTime]]</f>
        <v>12.104999999999999</v>
      </c>
      <c r="T69" s="29">
        <f>VLOOKUP(Table2[[#This Row],[prolific]],'Correct calc'!B$16:$AJ$998,35,FALSE)</f>
        <v>0.81818181818181823</v>
      </c>
      <c r="U69" s="15">
        <f>SUM(Table2[[#This Row],[priorKnowledge'[CLUSTERING']]:[priorKnowledge'[ZSCORES']]])/Table2[[#This Row],[priorKnowledgeTechQuestionCount]]</f>
        <v>2.6666666666666665</v>
      </c>
      <c r="V69" s="16">
        <f>IF(Table2[[#This Row],[visualization]]="Wordcloud",2,3)</f>
        <v>3</v>
      </c>
      <c r="W69" s="31" t="s">
        <v>1083</v>
      </c>
      <c r="X69" s="31">
        <v>3</v>
      </c>
      <c r="Y69" s="31">
        <v>3</v>
      </c>
      <c r="Z69" s="31">
        <v>2</v>
      </c>
      <c r="AA69" s="31">
        <v>4</v>
      </c>
      <c r="AB69" s="31" t="s">
        <v>97</v>
      </c>
      <c r="AC69" s="31" t="s">
        <v>81</v>
      </c>
      <c r="AD69" s="31" t="s">
        <v>82</v>
      </c>
      <c r="AE69" s="31" t="s">
        <v>83</v>
      </c>
      <c r="AF69" s="31" t="s">
        <v>85</v>
      </c>
      <c r="AG69" s="31" t="s">
        <v>86</v>
      </c>
      <c r="AH69" s="31" t="s">
        <v>84</v>
      </c>
      <c r="AI69" s="31" t="s">
        <v>85</v>
      </c>
      <c r="AJ69" s="31" t="s">
        <v>98</v>
      </c>
      <c r="AK69" s="31" t="s">
        <v>88</v>
      </c>
      <c r="AL69" s="31" t="s">
        <v>87</v>
      </c>
      <c r="AM69" s="31" t="s">
        <v>105</v>
      </c>
      <c r="AN69" s="31" t="s">
        <v>90</v>
      </c>
      <c r="AO69" s="31" t="s">
        <v>83</v>
      </c>
      <c r="AP69" s="31" t="s">
        <v>85</v>
      </c>
      <c r="AQ69" s="31" t="s">
        <v>101</v>
      </c>
      <c r="AR69" s="31" t="s">
        <v>101</v>
      </c>
      <c r="AS69" s="31" t="s">
        <v>94</v>
      </c>
      <c r="AT69" s="31" t="s">
        <v>94</v>
      </c>
      <c r="AU69" s="31" t="s">
        <v>94</v>
      </c>
      <c r="AV69" s="31" t="s">
        <v>93</v>
      </c>
      <c r="AW69" s="31" t="s">
        <v>94</v>
      </c>
      <c r="AX69" s="31" t="s">
        <v>93</v>
      </c>
      <c r="AY69" s="31" t="s">
        <v>94</v>
      </c>
      <c r="AZ69" s="31" t="s">
        <v>93</v>
      </c>
      <c r="BA69" s="31" t="s">
        <v>106</v>
      </c>
      <c r="BB69" s="31" t="s">
        <v>531</v>
      </c>
      <c r="BC69" s="24"/>
      <c r="BD69" s="30">
        <f>Table2[[#This Row],[interviewtime]]/60</f>
        <v>15.004833333333332</v>
      </c>
      <c r="BE69" s="31">
        <v>900.29</v>
      </c>
      <c r="BF69" s="31">
        <v>16.72</v>
      </c>
      <c r="BG69" s="31"/>
      <c r="BH69" s="31">
        <v>103.7</v>
      </c>
      <c r="BI69" s="31"/>
      <c r="BJ69" s="31"/>
      <c r="BK69" s="31"/>
      <c r="BL69" s="31"/>
      <c r="BM69" s="31">
        <v>321.89999999999998</v>
      </c>
      <c r="BN69" s="31"/>
      <c r="BO69" s="31"/>
      <c r="BP69" s="31"/>
      <c r="BQ69" s="31"/>
      <c r="BR69" s="31"/>
      <c r="BS69" s="31"/>
      <c r="BT69" s="31">
        <v>267.85000000000002</v>
      </c>
      <c r="BU69" s="31"/>
      <c r="BV69" s="31"/>
      <c r="BW69" s="31"/>
      <c r="BX69" s="31"/>
      <c r="BY69" s="31"/>
      <c r="BZ69" s="31"/>
      <c r="CA69" s="31"/>
      <c r="CB69" s="31"/>
      <c r="CC69" s="31">
        <v>136.55000000000001</v>
      </c>
      <c r="CD69" s="31"/>
      <c r="CE69" s="31"/>
      <c r="CF69" s="31"/>
      <c r="CG69" s="31"/>
      <c r="CH69" s="31"/>
      <c r="CI69" s="31"/>
      <c r="CJ69" s="31"/>
      <c r="CK69" s="31"/>
      <c r="CL69" s="31">
        <v>53.57</v>
      </c>
      <c r="CM69" s="31"/>
      <c r="CN69" s="31"/>
      <c r="CO69" s="24"/>
      <c r="CP69" s="24"/>
      <c r="CQ69" s="43">
        <f>Table2[[#This Row],[groupTime22]]/60</f>
        <v>5.3649999999999993</v>
      </c>
      <c r="CR69" s="43">
        <f>Table2[[#This Row],[groupTime23]]/60</f>
        <v>4.4641666666666673</v>
      </c>
      <c r="CS69" s="43">
        <f>Table2[[#This Row],[groupTime24]]/60</f>
        <v>2.2758333333333334</v>
      </c>
    </row>
    <row r="70" spans="1:97" x14ac:dyDescent="0.25">
      <c r="A70" s="11" t="s">
        <v>352</v>
      </c>
      <c r="B70" s="11" t="s">
        <v>113</v>
      </c>
      <c r="C70" s="11">
        <v>17</v>
      </c>
      <c r="D70" s="11" t="s">
        <v>483</v>
      </c>
      <c r="E70" s="11">
        <v>6</v>
      </c>
      <c r="F70" s="11" t="s">
        <v>79</v>
      </c>
      <c r="G70" s="11">
        <v>1486311307</v>
      </c>
      <c r="H70" s="11" t="s">
        <v>484</v>
      </c>
      <c r="I70" s="11" t="s">
        <v>483</v>
      </c>
      <c r="J70" s="11" t="s">
        <v>80</v>
      </c>
      <c r="K70" s="11" t="str">
        <f>IF(Table2[[#This Row],[priorSuccessRatio]]&lt;1,"yes","no")</f>
        <v>no</v>
      </c>
      <c r="L70" s="27">
        <f>VLOOKUP(Table2[[#This Row],[prolific]],'Correct calc'!B$16:$AJ$998,6,FALSE)</f>
        <v>1</v>
      </c>
      <c r="M70" s="27">
        <f>VLOOKUP(Table2[[#This Row],[prolific]],'Correct calc'!B$16:$AJ$998,14,FALSE)</f>
        <v>0.5</v>
      </c>
      <c r="N70" s="27">
        <f>VLOOKUP(Table2[[#This Row],[prolific]],'Correct calc'!B$16:$AJ1077,24,FALSE)</f>
        <v>0.875</v>
      </c>
      <c r="O70" s="27">
        <f>VLOOKUP(Table2[[#This Row],[prolific]],'Correct calc'!B$16:$AJ1077,34,FALSE)</f>
        <v>0.5</v>
      </c>
      <c r="P70" s="28">
        <f>VLOOKUP(Table2[[#This Row],[comprescore]],Table3[],2,FALSE)</f>
        <v>2</v>
      </c>
      <c r="Q70" s="16">
        <f>VLOOKUP(Table2[[#This Row],[prolific]],'Correct calc'!B$16:$AK$998,36,FALSE)</f>
        <v>14</v>
      </c>
      <c r="R70" s="16">
        <f>Table2[[#This Row],[interviewminutes]]</f>
        <v>14.365833333333335</v>
      </c>
      <c r="S70" s="16">
        <f>Table2[[#This Row],[classifyTime]]+Table2[[#This Row],[explainTime]]+Table2[[#This Row],[validateTime]]</f>
        <v>13.229166666666668</v>
      </c>
      <c r="T70" s="29">
        <f>VLOOKUP(Table2[[#This Row],[prolific]],'Correct calc'!B$16:$AJ$998,35,FALSE)</f>
        <v>0.63636363636363635</v>
      </c>
      <c r="U70" s="15">
        <f>SUM(Table2[[#This Row],[priorKnowledge'[CLUSTERING']]:[priorKnowledge'[ZSCORES']]])/Table2[[#This Row],[priorKnowledgeTechQuestionCount]]</f>
        <v>5</v>
      </c>
      <c r="V70" s="16">
        <f>IF(Table2[[#This Row],[visualization]]="Wordcloud",2,3)</f>
        <v>3</v>
      </c>
      <c r="W70" s="31" t="s">
        <v>1084</v>
      </c>
      <c r="X70" s="31">
        <v>4</v>
      </c>
      <c r="Y70" s="31">
        <v>5</v>
      </c>
      <c r="Z70" s="31">
        <v>6</v>
      </c>
      <c r="AA70" s="31">
        <v>6</v>
      </c>
      <c r="AB70" s="31" t="s">
        <v>97</v>
      </c>
      <c r="AC70" s="31" t="s">
        <v>81</v>
      </c>
      <c r="AD70" s="31" t="s">
        <v>82</v>
      </c>
      <c r="AE70" s="31" t="s">
        <v>83</v>
      </c>
      <c r="AF70" s="31" t="s">
        <v>86</v>
      </c>
      <c r="AG70" s="31" t="s">
        <v>98</v>
      </c>
      <c r="AH70" s="31" t="s">
        <v>84</v>
      </c>
      <c r="AI70" s="31" t="s">
        <v>85</v>
      </c>
      <c r="AJ70" s="31" t="s">
        <v>98</v>
      </c>
      <c r="AK70" s="31" t="s">
        <v>88</v>
      </c>
      <c r="AL70" s="31" t="s">
        <v>87</v>
      </c>
      <c r="AM70" s="31" t="s">
        <v>105</v>
      </c>
      <c r="AN70" s="31" t="s">
        <v>90</v>
      </c>
      <c r="AO70" s="31" t="s">
        <v>83</v>
      </c>
      <c r="AP70" s="31" t="s">
        <v>85</v>
      </c>
      <c r="AQ70" s="31" t="s">
        <v>101</v>
      </c>
      <c r="AR70" s="31" t="s">
        <v>102</v>
      </c>
      <c r="AS70" s="31" t="s">
        <v>94</v>
      </c>
      <c r="AT70" s="31" t="s">
        <v>94</v>
      </c>
      <c r="AU70" s="31" t="s">
        <v>93</v>
      </c>
      <c r="AV70" s="31" t="s">
        <v>93</v>
      </c>
      <c r="AW70" s="31" t="s">
        <v>93</v>
      </c>
      <c r="AX70" s="31" t="s">
        <v>94</v>
      </c>
      <c r="AY70" s="31" t="s">
        <v>94</v>
      </c>
      <c r="AZ70" s="31" t="s">
        <v>93</v>
      </c>
      <c r="BA70" s="31" t="s">
        <v>106</v>
      </c>
      <c r="BB70" s="31" t="s">
        <v>534</v>
      </c>
      <c r="BC70" s="24"/>
      <c r="BD70" s="30">
        <f>Table2[[#This Row],[interviewtime]]/60</f>
        <v>14.365833333333335</v>
      </c>
      <c r="BE70" s="31">
        <v>861.95</v>
      </c>
      <c r="BF70" s="31">
        <v>8.84</v>
      </c>
      <c r="BG70" s="31"/>
      <c r="BH70" s="31">
        <v>29.47</v>
      </c>
      <c r="BI70" s="31"/>
      <c r="BJ70" s="31"/>
      <c r="BK70" s="31"/>
      <c r="BL70" s="31"/>
      <c r="BM70" s="31">
        <v>448.19</v>
      </c>
      <c r="BN70" s="31"/>
      <c r="BO70" s="31"/>
      <c r="BP70" s="31"/>
      <c r="BQ70" s="31"/>
      <c r="BR70" s="31"/>
      <c r="BS70" s="31"/>
      <c r="BT70" s="31">
        <v>238.87</v>
      </c>
      <c r="BU70" s="31"/>
      <c r="BV70" s="31"/>
      <c r="BW70" s="31"/>
      <c r="BX70" s="31"/>
      <c r="BY70" s="31"/>
      <c r="BZ70" s="31"/>
      <c r="CA70" s="31"/>
      <c r="CB70" s="31"/>
      <c r="CC70" s="31">
        <v>106.69</v>
      </c>
      <c r="CD70" s="31"/>
      <c r="CE70" s="31"/>
      <c r="CF70" s="31"/>
      <c r="CG70" s="31"/>
      <c r="CH70" s="31"/>
      <c r="CI70" s="31"/>
      <c r="CJ70" s="31"/>
      <c r="CK70" s="31"/>
      <c r="CL70" s="31">
        <v>29.89</v>
      </c>
      <c r="CM70" s="31"/>
      <c r="CN70" s="31"/>
      <c r="CO70" s="24"/>
      <c r="CP70" s="24"/>
      <c r="CQ70" s="43">
        <f>Table2[[#This Row],[groupTime22]]/60</f>
        <v>7.4698333333333329</v>
      </c>
      <c r="CR70" s="43">
        <f>Table2[[#This Row],[groupTime23]]/60</f>
        <v>3.9811666666666667</v>
      </c>
      <c r="CS70" s="43">
        <f>Table2[[#This Row],[groupTime24]]/60</f>
        <v>1.7781666666666667</v>
      </c>
    </row>
    <row r="71" spans="1:97" x14ac:dyDescent="0.25">
      <c r="A71" s="11" t="s">
        <v>352</v>
      </c>
      <c r="B71" s="11" t="s">
        <v>113</v>
      </c>
      <c r="C71" s="11">
        <v>18</v>
      </c>
      <c r="D71" s="11" t="s">
        <v>485</v>
      </c>
      <c r="E71" s="11">
        <v>6</v>
      </c>
      <c r="F71" s="11" t="s">
        <v>79</v>
      </c>
      <c r="G71" s="11">
        <v>1332334474</v>
      </c>
      <c r="H71" s="11" t="s">
        <v>486</v>
      </c>
      <c r="I71" s="11" t="s">
        <v>485</v>
      </c>
      <c r="J71" s="11" t="s">
        <v>80</v>
      </c>
      <c r="K71" s="11" t="str">
        <f>IF(Table2[[#This Row],[priorSuccessRatio]]&lt;1,"yes","no")</f>
        <v>no</v>
      </c>
      <c r="L71" s="27">
        <f>VLOOKUP(Table2[[#This Row],[prolific]],'Correct calc'!B$16:$AJ$998,6,FALSE)</f>
        <v>1</v>
      </c>
      <c r="M71" s="27">
        <f>VLOOKUP(Table2[[#This Row],[prolific]],'Correct calc'!B$16:$AJ$998,14,FALSE)</f>
        <v>0.83333333333333337</v>
      </c>
      <c r="N71" s="27">
        <f>VLOOKUP(Table2[[#This Row],[prolific]],'Correct calc'!B$16:$AJ1078,24,FALSE)</f>
        <v>0.75</v>
      </c>
      <c r="O71" s="27">
        <f>VLOOKUP(Table2[[#This Row],[prolific]],'Correct calc'!B$16:$AJ1078,34,FALSE)</f>
        <v>0.625</v>
      </c>
      <c r="P71" s="28">
        <f>VLOOKUP(Table2[[#This Row],[comprescore]],Table3[],2,FALSE)</f>
        <v>2</v>
      </c>
      <c r="Q71" s="16">
        <f>VLOOKUP(Table2[[#This Row],[prolific]],'Correct calc'!B$16:$AK$998,36,FALSE)</f>
        <v>16</v>
      </c>
      <c r="R71" s="16">
        <f>Table2[[#This Row],[interviewminutes]]</f>
        <v>10.516833333333333</v>
      </c>
      <c r="S71" s="16">
        <f>Table2[[#This Row],[classifyTime]]+Table2[[#This Row],[explainTime]]+Table2[[#This Row],[validateTime]]</f>
        <v>8.684333333333333</v>
      </c>
      <c r="T71" s="29">
        <f>VLOOKUP(Table2[[#This Row],[prolific]],'Correct calc'!B$16:$AJ$998,35,FALSE)</f>
        <v>0.72727272727272729</v>
      </c>
      <c r="U71" s="15">
        <f>SUM(Table2[[#This Row],[priorKnowledge'[CLUSTERING']]:[priorKnowledge'[ZSCORES']]])/Table2[[#This Row],[priorKnowledgeTechQuestionCount]]</f>
        <v>1.3333333333333333</v>
      </c>
      <c r="V71" s="16">
        <f>IF(Table2[[#This Row],[visualization]]="Wordcloud",2,3)</f>
        <v>3</v>
      </c>
      <c r="W71" s="31" t="s">
        <v>1085</v>
      </c>
      <c r="X71" s="31">
        <v>1</v>
      </c>
      <c r="Y71" s="31">
        <v>2</v>
      </c>
      <c r="Z71" s="31">
        <v>1</v>
      </c>
      <c r="AA71" s="31">
        <v>5</v>
      </c>
      <c r="AB71" s="31" t="s">
        <v>97</v>
      </c>
      <c r="AC71" s="31" t="s">
        <v>81</v>
      </c>
      <c r="AD71" s="31" t="s">
        <v>82</v>
      </c>
      <c r="AE71" s="31" t="s">
        <v>83</v>
      </c>
      <c r="AF71" s="31" t="s">
        <v>85</v>
      </c>
      <c r="AG71" s="31" t="s">
        <v>86</v>
      </c>
      <c r="AH71" s="31" t="s">
        <v>84</v>
      </c>
      <c r="AI71" s="31" t="s">
        <v>85</v>
      </c>
      <c r="AJ71" s="31" t="s">
        <v>98</v>
      </c>
      <c r="AK71" s="31" t="s">
        <v>88</v>
      </c>
      <c r="AL71" s="31" t="s">
        <v>87</v>
      </c>
      <c r="AM71" s="31" t="s">
        <v>105</v>
      </c>
      <c r="AN71" s="31" t="s">
        <v>100</v>
      </c>
      <c r="AO71" s="31" t="s">
        <v>83</v>
      </c>
      <c r="AP71" s="31" t="s">
        <v>85</v>
      </c>
      <c r="AQ71" s="31" t="s">
        <v>101</v>
      </c>
      <c r="AR71" s="31" t="s">
        <v>102</v>
      </c>
      <c r="AS71" s="31" t="s">
        <v>94</v>
      </c>
      <c r="AT71" s="31" t="s">
        <v>94</v>
      </c>
      <c r="AU71" s="31" t="s">
        <v>93</v>
      </c>
      <c r="AV71" s="31" t="s">
        <v>93</v>
      </c>
      <c r="AW71" s="31" t="s">
        <v>93</v>
      </c>
      <c r="AX71" s="31" t="s">
        <v>93</v>
      </c>
      <c r="AY71" s="31" t="s">
        <v>94</v>
      </c>
      <c r="AZ71" s="31" t="s">
        <v>93</v>
      </c>
      <c r="BA71" s="31" t="s">
        <v>106</v>
      </c>
      <c r="BB71" s="31" t="s">
        <v>536</v>
      </c>
      <c r="BC71" s="24"/>
      <c r="BD71" s="30">
        <f>Table2[[#This Row],[interviewtime]]/60</f>
        <v>10.516833333333333</v>
      </c>
      <c r="BE71" s="31">
        <v>631.01</v>
      </c>
      <c r="BF71" s="31">
        <v>6.83</v>
      </c>
      <c r="BG71" s="31"/>
      <c r="BH71" s="31">
        <v>71.319999999999993</v>
      </c>
      <c r="BI71" s="31"/>
      <c r="BJ71" s="31"/>
      <c r="BK71" s="31"/>
      <c r="BL71" s="31"/>
      <c r="BM71" s="31">
        <v>247.82</v>
      </c>
      <c r="BN71" s="31"/>
      <c r="BO71" s="31"/>
      <c r="BP71" s="31"/>
      <c r="BQ71" s="31"/>
      <c r="BR71" s="31"/>
      <c r="BS71" s="31"/>
      <c r="BT71" s="31">
        <v>175.68</v>
      </c>
      <c r="BU71" s="31"/>
      <c r="BV71" s="31"/>
      <c r="BW71" s="31"/>
      <c r="BX71" s="31"/>
      <c r="BY71" s="31"/>
      <c r="BZ71" s="31"/>
      <c r="CA71" s="31"/>
      <c r="CB71" s="31"/>
      <c r="CC71" s="31">
        <v>97.56</v>
      </c>
      <c r="CD71" s="31"/>
      <c r="CE71" s="31"/>
      <c r="CF71" s="31"/>
      <c r="CG71" s="31"/>
      <c r="CH71" s="31"/>
      <c r="CI71" s="31"/>
      <c r="CJ71" s="31"/>
      <c r="CK71" s="31"/>
      <c r="CL71" s="31">
        <v>31.8</v>
      </c>
      <c r="CM71" s="31"/>
      <c r="CN71" s="31"/>
      <c r="CO71" s="24"/>
      <c r="CP71" s="24"/>
      <c r="CQ71" s="43">
        <f>Table2[[#This Row],[groupTime22]]/60</f>
        <v>4.1303333333333336</v>
      </c>
      <c r="CR71" s="43">
        <f>Table2[[#This Row],[groupTime23]]/60</f>
        <v>2.9279999999999999</v>
      </c>
      <c r="CS71" s="43">
        <f>Table2[[#This Row],[groupTime24]]/60</f>
        <v>1.6260000000000001</v>
      </c>
    </row>
    <row r="72" spans="1:97" x14ac:dyDescent="0.25">
      <c r="A72" s="11" t="s">
        <v>352</v>
      </c>
      <c r="B72" s="11" t="s">
        <v>113</v>
      </c>
      <c r="C72" s="11">
        <v>19</v>
      </c>
      <c r="D72" s="11" t="s">
        <v>487</v>
      </c>
      <c r="E72" s="11">
        <v>6</v>
      </c>
      <c r="F72" s="11" t="s">
        <v>79</v>
      </c>
      <c r="G72" s="11">
        <v>1371374971</v>
      </c>
      <c r="H72" s="11" t="s">
        <v>488</v>
      </c>
      <c r="I72" s="11" t="s">
        <v>487</v>
      </c>
      <c r="J72" s="11" t="s">
        <v>80</v>
      </c>
      <c r="K72" s="11" t="str">
        <f>IF(Table2[[#This Row],[priorSuccessRatio]]&lt;1,"yes","no")</f>
        <v>no</v>
      </c>
      <c r="L72" s="27">
        <f>VLOOKUP(Table2[[#This Row],[prolific]],'Correct calc'!B$16:$AJ$998,6,FALSE)</f>
        <v>1</v>
      </c>
      <c r="M72" s="27">
        <f>VLOOKUP(Table2[[#This Row],[prolific]],'Correct calc'!B$16:$AJ$998,14,FALSE)</f>
        <v>0.66666666666666663</v>
      </c>
      <c r="N72" s="27">
        <f>VLOOKUP(Table2[[#This Row],[prolific]],'Correct calc'!B$16:$AJ1079,24,FALSE)</f>
        <v>0.875</v>
      </c>
      <c r="O72" s="27">
        <f>VLOOKUP(Table2[[#This Row],[prolific]],'Correct calc'!B$16:$AJ1079,34,FALSE)</f>
        <v>0.75</v>
      </c>
      <c r="P72" s="28">
        <f>VLOOKUP(Table2[[#This Row],[comprescore]],Table3[],2,FALSE)</f>
        <v>3</v>
      </c>
      <c r="Q72" s="16">
        <f>VLOOKUP(Table2[[#This Row],[prolific]],'Correct calc'!B$16:$AK$998,36,FALSE)</f>
        <v>17</v>
      </c>
      <c r="R72" s="16">
        <f>Table2[[#This Row],[interviewminutes]]</f>
        <v>19.879833333333334</v>
      </c>
      <c r="S72" s="16">
        <f>Table2[[#This Row],[classifyTime]]+Table2[[#This Row],[explainTime]]+Table2[[#This Row],[validateTime]]</f>
        <v>18.388000000000002</v>
      </c>
      <c r="T72" s="29">
        <f>VLOOKUP(Table2[[#This Row],[prolific]],'Correct calc'!B$16:$AJ$998,35,FALSE)</f>
        <v>0.77272727272727271</v>
      </c>
      <c r="U72" s="15">
        <f>SUM(Table2[[#This Row],[priorKnowledge'[CLUSTERING']]:[priorKnowledge'[ZSCORES']]])/Table2[[#This Row],[priorKnowledgeTechQuestionCount]]</f>
        <v>3.3333333333333335</v>
      </c>
      <c r="V72" s="16">
        <f>IF(Table2[[#This Row],[visualization]]="Wordcloud",2,3)</f>
        <v>3</v>
      </c>
      <c r="W72" s="31" t="s">
        <v>1086</v>
      </c>
      <c r="X72" s="31">
        <v>4</v>
      </c>
      <c r="Y72" s="31">
        <v>3</v>
      </c>
      <c r="Z72" s="31">
        <v>3</v>
      </c>
      <c r="AA72" s="31">
        <v>2</v>
      </c>
      <c r="AB72" s="31" t="s">
        <v>97</v>
      </c>
      <c r="AC72" s="31" t="s">
        <v>81</v>
      </c>
      <c r="AD72" s="31" t="s">
        <v>82</v>
      </c>
      <c r="AE72" s="31" t="s">
        <v>83</v>
      </c>
      <c r="AF72" s="31" t="s">
        <v>85</v>
      </c>
      <c r="AG72" s="31" t="s">
        <v>104</v>
      </c>
      <c r="AH72" s="31" t="s">
        <v>84</v>
      </c>
      <c r="AI72" s="31" t="s">
        <v>85</v>
      </c>
      <c r="AJ72" s="31" t="s">
        <v>98</v>
      </c>
      <c r="AK72" s="31" t="s">
        <v>88</v>
      </c>
      <c r="AL72" s="31" t="s">
        <v>87</v>
      </c>
      <c r="AM72" s="31" t="s">
        <v>105</v>
      </c>
      <c r="AN72" s="31" t="s">
        <v>90</v>
      </c>
      <c r="AO72" s="31" t="s">
        <v>83</v>
      </c>
      <c r="AP72" s="31" t="s">
        <v>85</v>
      </c>
      <c r="AQ72" s="31" t="s">
        <v>111</v>
      </c>
      <c r="AR72" s="31" t="s">
        <v>102</v>
      </c>
      <c r="AS72" s="31" t="s">
        <v>94</v>
      </c>
      <c r="AT72" s="31" t="s">
        <v>94</v>
      </c>
      <c r="AU72" s="31" t="s">
        <v>94</v>
      </c>
      <c r="AV72" s="31" t="s">
        <v>93</v>
      </c>
      <c r="AW72" s="31" t="s">
        <v>93</v>
      </c>
      <c r="AX72" s="31" t="s">
        <v>93</v>
      </c>
      <c r="AY72" s="31" t="s">
        <v>94</v>
      </c>
      <c r="AZ72" s="31" t="s">
        <v>93</v>
      </c>
      <c r="BA72" s="31" t="s">
        <v>107</v>
      </c>
      <c r="BB72" s="31" t="s">
        <v>538</v>
      </c>
      <c r="BC72" s="24"/>
      <c r="BD72" s="30">
        <f>Table2[[#This Row],[interviewtime]]/60</f>
        <v>19.879833333333334</v>
      </c>
      <c r="BE72" s="31">
        <v>1192.79</v>
      </c>
      <c r="BF72" s="31">
        <v>8.9</v>
      </c>
      <c r="BG72" s="31"/>
      <c r="BH72" s="31">
        <v>35.56</v>
      </c>
      <c r="BI72" s="31"/>
      <c r="BJ72" s="31"/>
      <c r="BK72" s="31"/>
      <c r="BL72" s="31"/>
      <c r="BM72" s="31">
        <v>523.95000000000005</v>
      </c>
      <c r="BN72" s="31"/>
      <c r="BO72" s="31"/>
      <c r="BP72" s="31"/>
      <c r="BQ72" s="31"/>
      <c r="BR72" s="31"/>
      <c r="BS72" s="31"/>
      <c r="BT72" s="31">
        <v>444.72</v>
      </c>
      <c r="BU72" s="31"/>
      <c r="BV72" s="31"/>
      <c r="BW72" s="31"/>
      <c r="BX72" s="31"/>
      <c r="BY72" s="31"/>
      <c r="BZ72" s="31"/>
      <c r="CA72" s="31"/>
      <c r="CB72" s="31"/>
      <c r="CC72" s="31">
        <v>134.61000000000001</v>
      </c>
      <c r="CD72" s="31"/>
      <c r="CE72" s="31"/>
      <c r="CF72" s="31"/>
      <c r="CG72" s="31"/>
      <c r="CH72" s="31"/>
      <c r="CI72" s="31"/>
      <c r="CJ72" s="31"/>
      <c r="CK72" s="31"/>
      <c r="CL72" s="31">
        <v>45.05</v>
      </c>
      <c r="CM72" s="31"/>
      <c r="CN72" s="31"/>
      <c r="CO72" s="24"/>
      <c r="CP72" s="24"/>
      <c r="CQ72" s="43">
        <f>Table2[[#This Row],[groupTime22]]/60</f>
        <v>8.7324999999999999</v>
      </c>
      <c r="CR72" s="43">
        <f>Table2[[#This Row],[groupTime23]]/60</f>
        <v>7.4120000000000008</v>
      </c>
      <c r="CS72" s="43">
        <f>Table2[[#This Row],[groupTime24]]/60</f>
        <v>2.2435</v>
      </c>
    </row>
    <row r="73" spans="1:97" x14ac:dyDescent="0.25">
      <c r="A73" s="11" t="s">
        <v>352</v>
      </c>
      <c r="B73" s="11" t="s">
        <v>113</v>
      </c>
      <c r="C73" s="11">
        <v>21</v>
      </c>
      <c r="D73" s="11" t="s">
        <v>489</v>
      </c>
      <c r="E73" s="11">
        <v>6</v>
      </c>
      <c r="F73" s="11" t="s">
        <v>79</v>
      </c>
      <c r="G73" s="11">
        <v>1574972762</v>
      </c>
      <c r="H73" s="11" t="s">
        <v>490</v>
      </c>
      <c r="I73" s="11" t="s">
        <v>489</v>
      </c>
      <c r="J73" s="11" t="s">
        <v>80</v>
      </c>
      <c r="K73" s="11" t="str">
        <f>IF(Table2[[#This Row],[priorSuccessRatio]]&lt;1,"yes","no")</f>
        <v>no</v>
      </c>
      <c r="L73" s="27">
        <f>VLOOKUP(Table2[[#This Row],[prolific]],'Correct calc'!B$16:$AJ$998,6,FALSE)</f>
        <v>1</v>
      </c>
      <c r="M73" s="27">
        <f>VLOOKUP(Table2[[#This Row],[prolific]],'Correct calc'!B$16:$AJ$998,14,FALSE)</f>
        <v>0.33333333333333331</v>
      </c>
      <c r="N73" s="27">
        <f>VLOOKUP(Table2[[#This Row],[prolific]],'Correct calc'!B$16:$AJ1080,24,FALSE)</f>
        <v>0.5</v>
      </c>
      <c r="O73" s="27">
        <f>VLOOKUP(Table2[[#This Row],[prolific]],'Correct calc'!B$16:$AJ1080,34,FALSE)</f>
        <v>0.75</v>
      </c>
      <c r="P73" s="28">
        <f>VLOOKUP(Table2[[#This Row],[comprescore]],Table3[],2,FALSE)</f>
        <v>3</v>
      </c>
      <c r="Q73" s="16">
        <f>VLOOKUP(Table2[[#This Row],[prolific]],'Correct calc'!B$16:$AK$998,36,FALSE)</f>
        <v>12</v>
      </c>
      <c r="R73" s="16">
        <f>Table2[[#This Row],[interviewminutes]]</f>
        <v>17.205166666666667</v>
      </c>
      <c r="S73" s="16">
        <f>Table2[[#This Row],[classifyTime]]+Table2[[#This Row],[explainTime]]+Table2[[#This Row],[validateTime]]</f>
        <v>14.614999999999998</v>
      </c>
      <c r="T73" s="29">
        <f>VLOOKUP(Table2[[#This Row],[prolific]],'Correct calc'!B$16:$AJ$998,35,FALSE)</f>
        <v>0.54545454545454541</v>
      </c>
      <c r="U73" s="15">
        <f>SUM(Table2[[#This Row],[priorKnowledge'[CLUSTERING']]:[priorKnowledge'[ZSCORES']]])/Table2[[#This Row],[priorKnowledgeTechQuestionCount]]</f>
        <v>6</v>
      </c>
      <c r="V73" s="16">
        <f>IF(Table2[[#This Row],[visualization]]="Wordcloud",2,3)</f>
        <v>3</v>
      </c>
      <c r="W73" s="31" t="s">
        <v>1087</v>
      </c>
      <c r="X73" s="31">
        <v>6</v>
      </c>
      <c r="Y73" s="31">
        <v>6</v>
      </c>
      <c r="Z73" s="31">
        <v>6</v>
      </c>
      <c r="AA73" s="31">
        <v>9</v>
      </c>
      <c r="AB73" s="31" t="s">
        <v>97</v>
      </c>
      <c r="AC73" s="31" t="s">
        <v>81</v>
      </c>
      <c r="AD73" s="31" t="s">
        <v>82</v>
      </c>
      <c r="AE73" s="31" t="s">
        <v>86</v>
      </c>
      <c r="AF73" s="31" t="s">
        <v>104</v>
      </c>
      <c r="AG73" s="31" t="s">
        <v>86</v>
      </c>
      <c r="AH73" s="31" t="s">
        <v>84</v>
      </c>
      <c r="AI73" s="31" t="s">
        <v>83</v>
      </c>
      <c r="AJ73" s="31" t="s">
        <v>84</v>
      </c>
      <c r="AK73" s="31" t="s">
        <v>88</v>
      </c>
      <c r="AL73" s="31" t="s">
        <v>87</v>
      </c>
      <c r="AM73" s="31" t="s">
        <v>285</v>
      </c>
      <c r="AN73" s="31" t="s">
        <v>90</v>
      </c>
      <c r="AO73" s="31" t="s">
        <v>85</v>
      </c>
      <c r="AP73" s="31" t="s">
        <v>98</v>
      </c>
      <c r="AQ73" s="31" t="s">
        <v>101</v>
      </c>
      <c r="AR73" s="31" t="s">
        <v>102</v>
      </c>
      <c r="AS73" s="31" t="s">
        <v>94</v>
      </c>
      <c r="AT73" s="31" t="s">
        <v>94</v>
      </c>
      <c r="AU73" s="31" t="s">
        <v>94</v>
      </c>
      <c r="AV73" s="31" t="s">
        <v>93</v>
      </c>
      <c r="AW73" s="31" t="s">
        <v>94</v>
      </c>
      <c r="AX73" s="31" t="s">
        <v>94</v>
      </c>
      <c r="AY73" s="31" t="s">
        <v>94</v>
      </c>
      <c r="AZ73" s="31" t="s">
        <v>93</v>
      </c>
      <c r="BA73" s="31" t="s">
        <v>107</v>
      </c>
      <c r="BB73" s="31" t="s">
        <v>541</v>
      </c>
      <c r="BC73" s="24"/>
      <c r="BD73" s="30">
        <f>Table2[[#This Row],[interviewtime]]/60</f>
        <v>17.205166666666667</v>
      </c>
      <c r="BE73" s="31">
        <v>1032.31</v>
      </c>
      <c r="BF73" s="31">
        <v>6.44</v>
      </c>
      <c r="BG73" s="31"/>
      <c r="BH73" s="31">
        <v>96.56</v>
      </c>
      <c r="BI73" s="31"/>
      <c r="BJ73" s="31"/>
      <c r="BK73" s="31"/>
      <c r="BL73" s="31"/>
      <c r="BM73" s="31">
        <v>363.58</v>
      </c>
      <c r="BN73" s="31"/>
      <c r="BO73" s="31"/>
      <c r="BP73" s="31"/>
      <c r="BQ73" s="31"/>
      <c r="BR73" s="31"/>
      <c r="BS73" s="31"/>
      <c r="BT73" s="31">
        <v>329.61</v>
      </c>
      <c r="BU73" s="31"/>
      <c r="BV73" s="31"/>
      <c r="BW73" s="31"/>
      <c r="BX73" s="31"/>
      <c r="BY73" s="31"/>
      <c r="BZ73" s="31"/>
      <c r="CA73" s="31"/>
      <c r="CB73" s="31"/>
      <c r="CC73" s="31">
        <v>183.71</v>
      </c>
      <c r="CD73" s="31"/>
      <c r="CE73" s="31"/>
      <c r="CF73" s="31"/>
      <c r="CG73" s="31"/>
      <c r="CH73" s="31"/>
      <c r="CI73" s="31"/>
      <c r="CJ73" s="31"/>
      <c r="CK73" s="31"/>
      <c r="CL73" s="31">
        <v>52.41</v>
      </c>
      <c r="CM73" s="31"/>
      <c r="CN73" s="31"/>
      <c r="CO73" s="24"/>
      <c r="CP73" s="24"/>
      <c r="CQ73" s="43">
        <f>Table2[[#This Row],[groupTime22]]/60</f>
        <v>6.0596666666666668</v>
      </c>
      <c r="CR73" s="43">
        <f>Table2[[#This Row],[groupTime23]]/60</f>
        <v>5.4935</v>
      </c>
      <c r="CS73" s="43">
        <f>Table2[[#This Row],[groupTime24]]/60</f>
        <v>3.0618333333333334</v>
      </c>
    </row>
    <row r="74" spans="1:97" x14ac:dyDescent="0.25">
      <c r="A74" s="11" t="s">
        <v>352</v>
      </c>
      <c r="B74" s="11" t="s">
        <v>113</v>
      </c>
      <c r="C74" s="11">
        <v>22</v>
      </c>
      <c r="D74" s="11" t="s">
        <v>491</v>
      </c>
      <c r="E74" s="11">
        <v>6</v>
      </c>
      <c r="F74" s="11" t="s">
        <v>79</v>
      </c>
      <c r="G74" s="11">
        <v>1459086616</v>
      </c>
      <c r="H74" s="11" t="s">
        <v>492</v>
      </c>
      <c r="I74" s="11" t="s">
        <v>491</v>
      </c>
      <c r="J74" s="11" t="s">
        <v>80</v>
      </c>
      <c r="K74" s="11" t="str">
        <f>IF(Table2[[#This Row],[priorSuccessRatio]]&lt;1,"yes","no")</f>
        <v>no</v>
      </c>
      <c r="L74" s="27">
        <f>VLOOKUP(Table2[[#This Row],[prolific]],'Correct calc'!B$16:$AJ$998,6,FALSE)</f>
        <v>1</v>
      </c>
      <c r="M74" s="27">
        <f>VLOOKUP(Table2[[#This Row],[prolific]],'Correct calc'!B$16:$AJ$998,14,FALSE)</f>
        <v>0.5</v>
      </c>
      <c r="N74" s="27">
        <f>VLOOKUP(Table2[[#This Row],[prolific]],'Correct calc'!B$16:$AJ1081,24,FALSE)</f>
        <v>0.625</v>
      </c>
      <c r="O74" s="27">
        <f>VLOOKUP(Table2[[#This Row],[prolific]],'Correct calc'!B$16:$AJ1081,34,FALSE)</f>
        <v>0.625</v>
      </c>
      <c r="P74" s="28">
        <f>VLOOKUP(Table2[[#This Row],[comprescore]],Table3[],2,FALSE)</f>
        <v>1</v>
      </c>
      <c r="Q74" s="16">
        <f>VLOOKUP(Table2[[#This Row],[prolific]],'Correct calc'!B$16:$AK$998,36,FALSE)</f>
        <v>13</v>
      </c>
      <c r="R74" s="16">
        <f>Table2[[#This Row],[interviewminutes]]</f>
        <v>14.249500000000001</v>
      </c>
      <c r="S74" s="16">
        <f>Table2[[#This Row],[classifyTime]]+Table2[[#This Row],[explainTime]]+Table2[[#This Row],[validateTime]]</f>
        <v>12.975833333333334</v>
      </c>
      <c r="T74" s="29">
        <f>VLOOKUP(Table2[[#This Row],[prolific]],'Correct calc'!B$16:$AJ$998,35,FALSE)</f>
        <v>0.59090909090909094</v>
      </c>
      <c r="U74" s="15">
        <f>SUM(Table2[[#This Row],[priorKnowledge'[CLUSTERING']]:[priorKnowledge'[ZSCORES']]])/Table2[[#This Row],[priorKnowledgeTechQuestionCount]]</f>
        <v>1.3333333333333333</v>
      </c>
      <c r="V74" s="16">
        <f>IF(Table2[[#This Row],[visualization]]="Wordcloud",2,3)</f>
        <v>3</v>
      </c>
      <c r="W74" s="31" t="s">
        <v>1088</v>
      </c>
      <c r="X74" s="31">
        <v>1</v>
      </c>
      <c r="Y74" s="31">
        <v>2</v>
      </c>
      <c r="Z74" s="31">
        <v>1</v>
      </c>
      <c r="AA74" s="31">
        <v>1</v>
      </c>
      <c r="AB74" s="31" t="s">
        <v>97</v>
      </c>
      <c r="AC74" s="31" t="s">
        <v>81</v>
      </c>
      <c r="AD74" s="31" t="s">
        <v>82</v>
      </c>
      <c r="AE74" s="31" t="s">
        <v>86</v>
      </c>
      <c r="AF74" s="31" t="s">
        <v>85</v>
      </c>
      <c r="AG74" s="31" t="s">
        <v>104</v>
      </c>
      <c r="AH74" s="31" t="s">
        <v>84</v>
      </c>
      <c r="AI74" s="31" t="s">
        <v>85</v>
      </c>
      <c r="AJ74" s="31" t="s">
        <v>98</v>
      </c>
      <c r="AK74" s="31" t="s">
        <v>88</v>
      </c>
      <c r="AL74" s="31" t="s">
        <v>87</v>
      </c>
      <c r="AM74" s="31" t="s">
        <v>285</v>
      </c>
      <c r="AN74" s="31" t="s">
        <v>90</v>
      </c>
      <c r="AO74" s="31" t="s">
        <v>83</v>
      </c>
      <c r="AP74" s="31" t="s">
        <v>85</v>
      </c>
      <c r="AQ74" s="31" t="s">
        <v>101</v>
      </c>
      <c r="AR74" s="31" t="s">
        <v>101</v>
      </c>
      <c r="AS74" s="31" t="s">
        <v>94</v>
      </c>
      <c r="AT74" s="31" t="s">
        <v>94</v>
      </c>
      <c r="AU74" s="31" t="s">
        <v>93</v>
      </c>
      <c r="AV74" s="31" t="s">
        <v>94</v>
      </c>
      <c r="AW74" s="31" t="s">
        <v>94</v>
      </c>
      <c r="AX74" s="31" t="s">
        <v>93</v>
      </c>
      <c r="AY74" s="31" t="s">
        <v>94</v>
      </c>
      <c r="AZ74" s="31" t="s">
        <v>93</v>
      </c>
      <c r="BA74" s="31" t="s">
        <v>95</v>
      </c>
      <c r="BB74" s="31" t="s">
        <v>543</v>
      </c>
      <c r="BC74" s="24"/>
      <c r="BD74" s="30">
        <f>Table2[[#This Row],[interviewtime]]/60</f>
        <v>14.249500000000001</v>
      </c>
      <c r="BE74" s="31">
        <v>854.97</v>
      </c>
      <c r="BF74" s="31">
        <v>5.45</v>
      </c>
      <c r="BG74" s="31"/>
      <c r="BH74" s="31">
        <v>38.01</v>
      </c>
      <c r="BI74" s="31"/>
      <c r="BJ74" s="31"/>
      <c r="BK74" s="31"/>
      <c r="BL74" s="31"/>
      <c r="BM74" s="31">
        <v>342.05</v>
      </c>
      <c r="BN74" s="31"/>
      <c r="BO74" s="31"/>
      <c r="BP74" s="31"/>
      <c r="BQ74" s="31"/>
      <c r="BR74" s="31"/>
      <c r="BS74" s="31"/>
      <c r="BT74" s="31">
        <v>283.31</v>
      </c>
      <c r="BU74" s="31"/>
      <c r="BV74" s="31"/>
      <c r="BW74" s="31"/>
      <c r="BX74" s="31"/>
      <c r="BY74" s="31"/>
      <c r="BZ74" s="31"/>
      <c r="CA74" s="31"/>
      <c r="CB74" s="31"/>
      <c r="CC74" s="31">
        <v>153.19</v>
      </c>
      <c r="CD74" s="31"/>
      <c r="CE74" s="31"/>
      <c r="CF74" s="31"/>
      <c r="CG74" s="31"/>
      <c r="CH74" s="31"/>
      <c r="CI74" s="31"/>
      <c r="CJ74" s="31"/>
      <c r="CK74" s="31"/>
      <c r="CL74" s="31">
        <v>32.96</v>
      </c>
      <c r="CM74" s="31"/>
      <c r="CN74" s="31"/>
      <c r="CO74" s="24"/>
      <c r="CP74" s="24"/>
      <c r="CQ74" s="43">
        <f>Table2[[#This Row],[groupTime22]]/60</f>
        <v>5.7008333333333336</v>
      </c>
      <c r="CR74" s="43">
        <f>Table2[[#This Row],[groupTime23]]/60</f>
        <v>4.7218333333333335</v>
      </c>
      <c r="CS74" s="43">
        <f>Table2[[#This Row],[groupTime24]]/60</f>
        <v>2.5531666666666668</v>
      </c>
    </row>
    <row r="75" spans="1:97" x14ac:dyDescent="0.25">
      <c r="A75" s="11" t="s">
        <v>352</v>
      </c>
      <c r="B75" s="11" t="s">
        <v>113</v>
      </c>
      <c r="C75" s="11">
        <v>23</v>
      </c>
      <c r="D75" s="11" t="s">
        <v>493</v>
      </c>
      <c r="E75" s="11">
        <v>6</v>
      </c>
      <c r="F75" s="11" t="s">
        <v>79</v>
      </c>
      <c r="G75" s="11">
        <v>1300128820</v>
      </c>
      <c r="H75" s="11" t="s">
        <v>494</v>
      </c>
      <c r="I75" s="11" t="s">
        <v>493</v>
      </c>
      <c r="J75" s="11" t="s">
        <v>80</v>
      </c>
      <c r="K75" s="11" t="str">
        <f>IF(Table2[[#This Row],[priorSuccessRatio]]&lt;1,"yes","no")</f>
        <v>no</v>
      </c>
      <c r="L75" s="27">
        <f>VLOOKUP(Table2[[#This Row],[prolific]],'Correct calc'!B$16:$AJ$998,6,FALSE)</f>
        <v>1</v>
      </c>
      <c r="M75" s="27">
        <f>VLOOKUP(Table2[[#This Row],[prolific]],'Correct calc'!B$16:$AJ$998,14,FALSE)</f>
        <v>0.83333333333333337</v>
      </c>
      <c r="N75" s="27">
        <f>VLOOKUP(Table2[[#This Row],[prolific]],'Correct calc'!B$16:$AJ1082,24,FALSE)</f>
        <v>0.75</v>
      </c>
      <c r="O75" s="27">
        <f>VLOOKUP(Table2[[#This Row],[prolific]],'Correct calc'!B$16:$AJ1082,34,FALSE)</f>
        <v>0.625</v>
      </c>
      <c r="P75" s="28">
        <f>VLOOKUP(Table2[[#This Row],[comprescore]],Table3[],2,FALSE)</f>
        <v>3</v>
      </c>
      <c r="Q75" s="16">
        <f>VLOOKUP(Table2[[#This Row],[prolific]],'Correct calc'!B$16:$AK$998,36,FALSE)</f>
        <v>16</v>
      </c>
      <c r="R75" s="16">
        <f>Table2[[#This Row],[interviewminutes]]</f>
        <v>29.325333333333333</v>
      </c>
      <c r="S75" s="16">
        <f>Table2[[#This Row],[classifyTime]]+Table2[[#This Row],[explainTime]]+Table2[[#This Row],[validateTime]]</f>
        <v>26.131166666666669</v>
      </c>
      <c r="T75" s="29">
        <f>VLOOKUP(Table2[[#This Row],[prolific]],'Correct calc'!B$16:$AJ$998,35,FALSE)</f>
        <v>0.72727272727272729</v>
      </c>
      <c r="U75" s="15">
        <f>SUM(Table2[[#This Row],[priorKnowledge'[CLUSTERING']]:[priorKnowledge'[ZSCORES']]])/Table2[[#This Row],[priorKnowledgeTechQuestionCount]]</f>
        <v>1</v>
      </c>
      <c r="V75" s="16">
        <f>IF(Table2[[#This Row],[visualization]]="Wordcloud",2,3)</f>
        <v>3</v>
      </c>
      <c r="W75" s="31" t="s">
        <v>1089</v>
      </c>
      <c r="X75" s="31">
        <v>1</v>
      </c>
      <c r="Y75" s="31">
        <v>1</v>
      </c>
      <c r="Z75" s="31">
        <v>1</v>
      </c>
      <c r="AA75" s="31">
        <v>5</v>
      </c>
      <c r="AB75" s="31" t="s">
        <v>97</v>
      </c>
      <c r="AC75" s="31" t="s">
        <v>81</v>
      </c>
      <c r="AD75" s="31" t="s">
        <v>82</v>
      </c>
      <c r="AE75" s="31" t="s">
        <v>83</v>
      </c>
      <c r="AF75" s="31" t="s">
        <v>85</v>
      </c>
      <c r="AG75" s="31" t="s">
        <v>86</v>
      </c>
      <c r="AH75" s="31" t="s">
        <v>84</v>
      </c>
      <c r="AI75" s="31" t="s">
        <v>85</v>
      </c>
      <c r="AJ75" s="31" t="s">
        <v>98</v>
      </c>
      <c r="AK75" s="31" t="s">
        <v>88</v>
      </c>
      <c r="AL75" s="31" t="s">
        <v>87</v>
      </c>
      <c r="AM75" s="31" t="s">
        <v>105</v>
      </c>
      <c r="AN75" s="31" t="s">
        <v>90</v>
      </c>
      <c r="AO75" s="31" t="s">
        <v>83</v>
      </c>
      <c r="AP75" s="31" t="s">
        <v>85</v>
      </c>
      <c r="AQ75" s="31" t="s">
        <v>101</v>
      </c>
      <c r="AR75" s="31" t="s">
        <v>91</v>
      </c>
      <c r="AS75" s="31" t="s">
        <v>94</v>
      </c>
      <c r="AT75" s="31" t="s">
        <v>94</v>
      </c>
      <c r="AU75" s="31" t="s">
        <v>94</v>
      </c>
      <c r="AV75" s="31" t="s">
        <v>93</v>
      </c>
      <c r="AW75" s="31" t="s">
        <v>93</v>
      </c>
      <c r="AX75" s="31" t="s">
        <v>94</v>
      </c>
      <c r="AY75" s="31" t="s">
        <v>94</v>
      </c>
      <c r="AZ75" s="31" t="s">
        <v>93</v>
      </c>
      <c r="BA75" s="31" t="s">
        <v>107</v>
      </c>
      <c r="BB75" s="31" t="s">
        <v>545</v>
      </c>
      <c r="BC75" s="24"/>
      <c r="BD75" s="30">
        <f>Table2[[#This Row],[interviewtime]]/60</f>
        <v>29.325333333333333</v>
      </c>
      <c r="BE75" s="31">
        <v>1759.52</v>
      </c>
      <c r="BF75" s="31">
        <v>9.68</v>
      </c>
      <c r="BG75" s="31"/>
      <c r="BH75" s="31">
        <v>43.74</v>
      </c>
      <c r="BI75" s="31"/>
      <c r="BJ75" s="31"/>
      <c r="BK75" s="31"/>
      <c r="BL75" s="31"/>
      <c r="BM75" s="31">
        <v>953.21</v>
      </c>
      <c r="BN75" s="31"/>
      <c r="BO75" s="31"/>
      <c r="BP75" s="31"/>
      <c r="BQ75" s="31"/>
      <c r="BR75" s="31"/>
      <c r="BS75" s="31"/>
      <c r="BT75" s="31">
        <v>433.04</v>
      </c>
      <c r="BU75" s="31"/>
      <c r="BV75" s="31"/>
      <c r="BW75" s="31"/>
      <c r="BX75" s="31"/>
      <c r="BY75" s="31"/>
      <c r="BZ75" s="31"/>
      <c r="CA75" s="31"/>
      <c r="CB75" s="31"/>
      <c r="CC75" s="31">
        <v>181.62</v>
      </c>
      <c r="CD75" s="31"/>
      <c r="CE75" s="31"/>
      <c r="CF75" s="31"/>
      <c r="CG75" s="31"/>
      <c r="CH75" s="31"/>
      <c r="CI75" s="31"/>
      <c r="CJ75" s="31"/>
      <c r="CK75" s="31"/>
      <c r="CL75" s="31">
        <v>138.22999999999999</v>
      </c>
      <c r="CM75" s="31"/>
      <c r="CN75" s="31"/>
      <c r="CO75" s="24"/>
      <c r="CP75" s="24"/>
      <c r="CQ75" s="43">
        <f>Table2[[#This Row],[groupTime22]]/60</f>
        <v>15.886833333333334</v>
      </c>
      <c r="CR75" s="43">
        <f>Table2[[#This Row],[groupTime23]]/60</f>
        <v>7.2173333333333334</v>
      </c>
      <c r="CS75" s="43">
        <f>Table2[[#This Row],[groupTime24]]/60</f>
        <v>3.0270000000000001</v>
      </c>
    </row>
    <row r="76" spans="1:97" x14ac:dyDescent="0.25">
      <c r="A76" s="11" t="s">
        <v>352</v>
      </c>
      <c r="B76" s="11" t="s">
        <v>113</v>
      </c>
      <c r="C76" s="11">
        <v>24</v>
      </c>
      <c r="D76" s="11" t="s">
        <v>495</v>
      </c>
      <c r="E76" s="11">
        <v>6</v>
      </c>
      <c r="F76" s="11" t="s">
        <v>79</v>
      </c>
      <c r="G76" s="11">
        <v>1392473612</v>
      </c>
      <c r="H76" s="11" t="s">
        <v>216</v>
      </c>
      <c r="I76" s="11" t="s">
        <v>495</v>
      </c>
      <c r="J76" s="11" t="s">
        <v>96</v>
      </c>
      <c r="K76" s="11" t="str">
        <f>IF(Table2[[#This Row],[priorSuccessRatio]]&lt;1,"yes","no")</f>
        <v>no</v>
      </c>
      <c r="L76" s="27">
        <f>VLOOKUP(Table2[[#This Row],[prolific]],'Correct calc'!B$16:$AJ$998,6,FALSE)</f>
        <v>1</v>
      </c>
      <c r="M76" s="27">
        <f>VLOOKUP(Table2[[#This Row],[prolific]],'Correct calc'!B$16:$AJ$998,14,FALSE)</f>
        <v>0.66666666666666663</v>
      </c>
      <c r="N76" s="27">
        <f>VLOOKUP(Table2[[#This Row],[prolific]],'Correct calc'!B$16:$AJ1083,24,FALSE)</f>
        <v>0.875</v>
      </c>
      <c r="O76" s="27">
        <f>VLOOKUP(Table2[[#This Row],[prolific]],'Correct calc'!B$16:$AJ1083,34,FALSE)</f>
        <v>0.75</v>
      </c>
      <c r="P76" s="28">
        <f>VLOOKUP(Table2[[#This Row],[comprescore]],Table3[],2,FALSE)</f>
        <v>2</v>
      </c>
      <c r="Q76" s="16">
        <f>VLOOKUP(Table2[[#This Row],[prolific]],'Correct calc'!B$16:$AK$998,36,FALSE)</f>
        <v>17</v>
      </c>
      <c r="R76" s="16">
        <f>Table2[[#This Row],[interviewminutes]]</f>
        <v>10.688499999999999</v>
      </c>
      <c r="S76" s="16">
        <f>Table2[[#This Row],[classifyTime]]+Table2[[#This Row],[explainTime]]+Table2[[#This Row],[validateTime]]</f>
        <v>9.096166666666667</v>
      </c>
      <c r="T76" s="29">
        <f>VLOOKUP(Table2[[#This Row],[prolific]],'Correct calc'!B$16:$AJ$998,35,FALSE)</f>
        <v>0.77272727272727271</v>
      </c>
      <c r="U76" s="15">
        <f>SUM(Table2[[#This Row],[priorKnowledge'[CLUSTERING']]:[priorKnowledge'[ZSCORES']]])/Table2[[#This Row],[priorKnowledgeTechQuestionCount]]</f>
        <v>1</v>
      </c>
      <c r="V76" s="16">
        <f>IF(Table2[[#This Row],[visualization]]="Wordcloud",2,3)</f>
        <v>3</v>
      </c>
      <c r="W76" s="31" t="s">
        <v>1090</v>
      </c>
      <c r="X76" s="31">
        <v>1</v>
      </c>
      <c r="Y76" s="31">
        <v>1</v>
      </c>
      <c r="Z76" s="31">
        <v>1</v>
      </c>
      <c r="AA76" s="31">
        <v>4</v>
      </c>
      <c r="AB76" s="31" t="s">
        <v>97</v>
      </c>
      <c r="AC76" s="31" t="s">
        <v>81</v>
      </c>
      <c r="AD76" s="31" t="s">
        <v>82</v>
      </c>
      <c r="AE76" s="31" t="s">
        <v>83</v>
      </c>
      <c r="AF76" s="31" t="s">
        <v>85</v>
      </c>
      <c r="AG76" s="31" t="s">
        <v>98</v>
      </c>
      <c r="AH76" s="31" t="s">
        <v>84</v>
      </c>
      <c r="AI76" s="31" t="s">
        <v>104</v>
      </c>
      <c r="AJ76" s="31" t="s">
        <v>86</v>
      </c>
      <c r="AK76" s="31" t="s">
        <v>88</v>
      </c>
      <c r="AL76" s="31" t="s">
        <v>87</v>
      </c>
      <c r="AM76" s="31" t="s">
        <v>105</v>
      </c>
      <c r="AN76" s="31" t="s">
        <v>90</v>
      </c>
      <c r="AO76" s="31" t="s">
        <v>83</v>
      </c>
      <c r="AP76" s="31" t="s">
        <v>85</v>
      </c>
      <c r="AQ76" s="31" t="s">
        <v>101</v>
      </c>
      <c r="AR76" s="31" t="s">
        <v>102</v>
      </c>
      <c r="AS76" s="31" t="s">
        <v>94</v>
      </c>
      <c r="AT76" s="31" t="s">
        <v>94</v>
      </c>
      <c r="AU76" s="31" t="s">
        <v>94</v>
      </c>
      <c r="AV76" s="31" t="s">
        <v>93</v>
      </c>
      <c r="AW76" s="31" t="s">
        <v>93</v>
      </c>
      <c r="AX76" s="31" t="s">
        <v>93</v>
      </c>
      <c r="AY76" s="31" t="s">
        <v>94</v>
      </c>
      <c r="AZ76" s="31" t="s">
        <v>93</v>
      </c>
      <c r="BA76" s="31" t="s">
        <v>106</v>
      </c>
      <c r="BB76" s="31" t="s">
        <v>547</v>
      </c>
      <c r="BC76" s="24"/>
      <c r="BD76" s="30">
        <f>Table2[[#This Row],[interviewtime]]/60</f>
        <v>10.688499999999999</v>
      </c>
      <c r="BE76" s="31">
        <v>641.30999999999995</v>
      </c>
      <c r="BF76" s="31">
        <v>12.01</v>
      </c>
      <c r="BG76" s="31"/>
      <c r="BH76" s="31">
        <v>28.55</v>
      </c>
      <c r="BI76" s="31"/>
      <c r="BJ76" s="31"/>
      <c r="BK76" s="31"/>
      <c r="BL76" s="31"/>
      <c r="BM76" s="31">
        <v>243.56</v>
      </c>
      <c r="BN76" s="31"/>
      <c r="BO76" s="31"/>
      <c r="BP76" s="31"/>
      <c r="BQ76" s="31"/>
      <c r="BR76" s="31"/>
      <c r="BS76" s="31"/>
      <c r="BT76" s="31">
        <v>194.03</v>
      </c>
      <c r="BU76" s="31"/>
      <c r="BV76" s="31"/>
      <c r="BW76" s="31"/>
      <c r="BX76" s="31"/>
      <c r="BY76" s="31"/>
      <c r="BZ76" s="31"/>
      <c r="CA76" s="31"/>
      <c r="CB76" s="31"/>
      <c r="CC76" s="31">
        <v>108.18</v>
      </c>
      <c r="CD76" s="31"/>
      <c r="CE76" s="31"/>
      <c r="CF76" s="31"/>
      <c r="CG76" s="31"/>
      <c r="CH76" s="31"/>
      <c r="CI76" s="31"/>
      <c r="CJ76" s="31"/>
      <c r="CK76" s="31"/>
      <c r="CL76" s="31">
        <v>54.98</v>
      </c>
      <c r="CM76" s="31"/>
      <c r="CN76" s="31"/>
      <c r="CO76" s="24"/>
      <c r="CP76" s="24"/>
      <c r="CQ76" s="43">
        <f>Table2[[#This Row],[groupTime22]]/60</f>
        <v>4.059333333333333</v>
      </c>
      <c r="CR76" s="43">
        <f>Table2[[#This Row],[groupTime23]]/60</f>
        <v>3.2338333333333336</v>
      </c>
      <c r="CS76" s="43">
        <f>Table2[[#This Row],[groupTime24]]/60</f>
        <v>1.8030000000000002</v>
      </c>
    </row>
    <row r="77" spans="1:97" x14ac:dyDescent="0.25">
      <c r="A77" s="11" t="s">
        <v>352</v>
      </c>
      <c r="B77" s="11" t="s">
        <v>113</v>
      </c>
      <c r="C77" s="11">
        <v>25</v>
      </c>
      <c r="D77" s="11" t="s">
        <v>496</v>
      </c>
      <c r="E77" s="11">
        <v>6</v>
      </c>
      <c r="F77" s="11" t="s">
        <v>79</v>
      </c>
      <c r="G77" s="11">
        <v>459759670</v>
      </c>
      <c r="H77" s="11" t="s">
        <v>497</v>
      </c>
      <c r="I77" s="11" t="s">
        <v>496</v>
      </c>
      <c r="J77" s="11" t="s">
        <v>371</v>
      </c>
      <c r="K77" s="11" t="str">
        <f>IF(Table2[[#This Row],[priorSuccessRatio]]&lt;1,"yes","no")</f>
        <v>no</v>
      </c>
      <c r="L77" s="27">
        <f>VLOOKUP(Table2[[#This Row],[prolific]],'Correct calc'!B$16:$AJ$998,6,FALSE)</f>
        <v>1</v>
      </c>
      <c r="M77" s="27">
        <f>VLOOKUP(Table2[[#This Row],[prolific]],'Correct calc'!B$16:$AJ$998,14,FALSE)</f>
        <v>0.83333333333333337</v>
      </c>
      <c r="N77" s="27">
        <f>VLOOKUP(Table2[[#This Row],[prolific]],'Correct calc'!B$16:$AJ1084,24,FALSE)</f>
        <v>0.75</v>
      </c>
      <c r="O77" s="27">
        <f>VLOOKUP(Table2[[#This Row],[prolific]],'Correct calc'!B$16:$AJ1084,34,FALSE)</f>
        <v>0.75</v>
      </c>
      <c r="P77" s="28">
        <f>VLOOKUP(Table2[[#This Row],[comprescore]],Table3[],2,FALSE)</f>
        <v>2</v>
      </c>
      <c r="Q77" s="16">
        <f>VLOOKUP(Table2[[#This Row],[prolific]],'Correct calc'!B$16:$AK$998,36,FALSE)</f>
        <v>17</v>
      </c>
      <c r="R77" s="16">
        <f>Table2[[#This Row],[interviewminutes]]</f>
        <v>18.839833333333335</v>
      </c>
      <c r="S77" s="16">
        <f>Table2[[#This Row],[classifyTime]]+Table2[[#This Row],[explainTime]]+Table2[[#This Row],[validateTime]]</f>
        <v>15.997833333333334</v>
      </c>
      <c r="T77" s="29">
        <f>VLOOKUP(Table2[[#This Row],[prolific]],'Correct calc'!B$16:$AJ$998,35,FALSE)</f>
        <v>0.77272727272727271</v>
      </c>
      <c r="U77" s="15">
        <f>SUM(Table2[[#This Row],[priorKnowledge'[CLUSTERING']]:[priorKnowledge'[ZSCORES']]])/Table2[[#This Row],[priorKnowledgeTechQuestionCount]]</f>
        <v>4</v>
      </c>
      <c r="V77" s="16">
        <f>IF(Table2[[#This Row],[visualization]]="Wordcloud",2,3)</f>
        <v>3</v>
      </c>
      <c r="W77" s="31" t="s">
        <v>1091</v>
      </c>
      <c r="X77" s="31">
        <v>1</v>
      </c>
      <c r="Y77" s="31">
        <v>1</v>
      </c>
      <c r="Z77" s="31">
        <v>10</v>
      </c>
      <c r="AA77" s="31">
        <v>2</v>
      </c>
      <c r="AB77" s="31" t="s">
        <v>97</v>
      </c>
      <c r="AC77" s="31" t="s">
        <v>81</v>
      </c>
      <c r="AD77" s="31" t="s">
        <v>82</v>
      </c>
      <c r="AE77" s="31" t="s">
        <v>83</v>
      </c>
      <c r="AF77" s="31" t="s">
        <v>85</v>
      </c>
      <c r="AG77" s="31" t="s">
        <v>86</v>
      </c>
      <c r="AH77" s="31" t="s">
        <v>84</v>
      </c>
      <c r="AI77" s="31" t="s">
        <v>86</v>
      </c>
      <c r="AJ77" s="31" t="s">
        <v>98</v>
      </c>
      <c r="AK77" s="31" t="s">
        <v>88</v>
      </c>
      <c r="AL77" s="31" t="s">
        <v>87</v>
      </c>
      <c r="AM77" s="31" t="s">
        <v>105</v>
      </c>
      <c r="AN77" s="31" t="s">
        <v>90</v>
      </c>
      <c r="AO77" s="31" t="s">
        <v>85</v>
      </c>
      <c r="AP77" s="31" t="s">
        <v>85</v>
      </c>
      <c r="AQ77" s="31" t="s">
        <v>101</v>
      </c>
      <c r="AR77" s="31" t="s">
        <v>102</v>
      </c>
      <c r="AS77" s="31" t="s">
        <v>94</v>
      </c>
      <c r="AT77" s="31" t="s">
        <v>93</v>
      </c>
      <c r="AU77" s="31" t="s">
        <v>93</v>
      </c>
      <c r="AV77" s="31" t="s">
        <v>93</v>
      </c>
      <c r="AW77" s="31" t="s">
        <v>93</v>
      </c>
      <c r="AX77" s="31" t="s">
        <v>93</v>
      </c>
      <c r="AY77" s="31" t="s">
        <v>94</v>
      </c>
      <c r="AZ77" s="31" t="s">
        <v>93</v>
      </c>
      <c r="BA77" s="31" t="s">
        <v>106</v>
      </c>
      <c r="BB77" s="31" t="s">
        <v>549</v>
      </c>
      <c r="BC77" s="24"/>
      <c r="BD77" s="30">
        <f>Table2[[#This Row],[interviewtime]]/60</f>
        <v>18.839833333333335</v>
      </c>
      <c r="BE77" s="31">
        <v>1130.3900000000001</v>
      </c>
      <c r="BF77" s="31">
        <v>4</v>
      </c>
      <c r="BG77" s="31"/>
      <c r="BH77" s="31">
        <v>116.95</v>
      </c>
      <c r="BI77" s="31"/>
      <c r="BJ77" s="31"/>
      <c r="BK77" s="31"/>
      <c r="BL77" s="31"/>
      <c r="BM77" s="31">
        <v>503.65</v>
      </c>
      <c r="BN77" s="31"/>
      <c r="BO77" s="31"/>
      <c r="BP77" s="31"/>
      <c r="BQ77" s="31"/>
      <c r="BR77" s="31"/>
      <c r="BS77" s="31"/>
      <c r="BT77" s="31">
        <v>309.3</v>
      </c>
      <c r="BU77" s="31"/>
      <c r="BV77" s="31"/>
      <c r="BW77" s="31"/>
      <c r="BX77" s="31"/>
      <c r="BY77" s="31"/>
      <c r="BZ77" s="31"/>
      <c r="CA77" s="31"/>
      <c r="CB77" s="31"/>
      <c r="CC77" s="31">
        <v>146.91999999999999</v>
      </c>
      <c r="CD77" s="31"/>
      <c r="CE77" s="31"/>
      <c r="CF77" s="31"/>
      <c r="CG77" s="31"/>
      <c r="CH77" s="31"/>
      <c r="CI77" s="31"/>
      <c r="CJ77" s="31"/>
      <c r="CK77" s="31"/>
      <c r="CL77" s="31">
        <v>49.57</v>
      </c>
      <c r="CM77" s="31"/>
      <c r="CN77" s="31"/>
      <c r="CO77" s="24"/>
      <c r="CP77" s="24"/>
      <c r="CQ77" s="43">
        <f>Table2[[#This Row],[groupTime22]]/60</f>
        <v>8.394166666666667</v>
      </c>
      <c r="CR77" s="43">
        <f>Table2[[#This Row],[groupTime23]]/60</f>
        <v>5.1550000000000002</v>
      </c>
      <c r="CS77" s="43">
        <f>Table2[[#This Row],[groupTime24]]/60</f>
        <v>2.4486666666666665</v>
      </c>
    </row>
    <row r="78" spans="1:97" x14ac:dyDescent="0.25">
      <c r="A78" s="11" t="s">
        <v>352</v>
      </c>
      <c r="B78" s="11" t="s">
        <v>113</v>
      </c>
      <c r="C78" s="11">
        <v>27</v>
      </c>
      <c r="D78" s="11" t="s">
        <v>499</v>
      </c>
      <c r="E78" s="11">
        <v>6</v>
      </c>
      <c r="F78" s="11" t="s">
        <v>79</v>
      </c>
      <c r="G78" s="11">
        <v>1662764537</v>
      </c>
      <c r="H78" s="11" t="s">
        <v>500</v>
      </c>
      <c r="I78" s="11" t="s">
        <v>499</v>
      </c>
      <c r="J78" s="11" t="s">
        <v>80</v>
      </c>
      <c r="K78" s="11" t="str">
        <f>IF(Table2[[#This Row],[priorSuccessRatio]]&lt;1,"yes","no")</f>
        <v>no</v>
      </c>
      <c r="L78" s="27">
        <f>VLOOKUP(Table2[[#This Row],[prolific]],'Correct calc'!B$16:$AJ$998,6,FALSE)</f>
        <v>1</v>
      </c>
      <c r="M78" s="27">
        <f>VLOOKUP(Table2[[#This Row],[prolific]],'Correct calc'!B$16:$AJ$998,14,FALSE)</f>
        <v>0.66666666666666663</v>
      </c>
      <c r="N78" s="27">
        <f>VLOOKUP(Table2[[#This Row],[prolific]],'Correct calc'!B$16:$AJ1086,24,FALSE)</f>
        <v>0.75</v>
      </c>
      <c r="O78" s="27">
        <f>VLOOKUP(Table2[[#This Row],[prolific]],'Correct calc'!B$16:$AJ1086,34,FALSE)</f>
        <v>0.75</v>
      </c>
      <c r="P78" s="28">
        <f>VLOOKUP(Table2[[#This Row],[comprescore]],Table3[],2,FALSE)</f>
        <v>2</v>
      </c>
      <c r="Q78" s="16">
        <f>VLOOKUP(Table2[[#This Row],[prolific]],'Correct calc'!B$16:$AK$998,36,FALSE)</f>
        <v>16</v>
      </c>
      <c r="R78" s="16">
        <f>Table2[[#This Row],[interviewminutes]]</f>
        <v>10.782833333333334</v>
      </c>
      <c r="S78" s="16">
        <f>Table2[[#This Row],[classifyTime]]+Table2[[#This Row],[explainTime]]+Table2[[#This Row],[validateTime]]</f>
        <v>9.0591666666666661</v>
      </c>
      <c r="T78" s="29">
        <f>VLOOKUP(Table2[[#This Row],[prolific]],'Correct calc'!B$16:$AJ$998,35,FALSE)</f>
        <v>0.72727272727272729</v>
      </c>
      <c r="U78" s="15">
        <f>SUM(Table2[[#This Row],[priorKnowledge'[CLUSTERING']]:[priorKnowledge'[ZSCORES']]])/Table2[[#This Row],[priorKnowledgeTechQuestionCount]]</f>
        <v>2.6666666666666665</v>
      </c>
      <c r="V78" s="16">
        <f>IF(Table2[[#This Row],[visualization]]="Wordcloud",2,3)</f>
        <v>3</v>
      </c>
      <c r="W78" s="31" t="s">
        <v>1092</v>
      </c>
      <c r="X78" s="31">
        <v>3</v>
      </c>
      <c r="Y78" s="31">
        <v>4</v>
      </c>
      <c r="Z78" s="31">
        <v>1</v>
      </c>
      <c r="AA78" s="31">
        <v>5</v>
      </c>
      <c r="AB78" s="31" t="s">
        <v>97</v>
      </c>
      <c r="AC78" s="31" t="s">
        <v>81</v>
      </c>
      <c r="AD78" s="31" t="s">
        <v>82</v>
      </c>
      <c r="AE78" s="31" t="s">
        <v>83</v>
      </c>
      <c r="AF78" s="31" t="s">
        <v>98</v>
      </c>
      <c r="AG78" s="31" t="s">
        <v>86</v>
      </c>
      <c r="AH78" s="31" t="s">
        <v>84</v>
      </c>
      <c r="AI78" s="31" t="s">
        <v>85</v>
      </c>
      <c r="AJ78" s="31" t="s">
        <v>98</v>
      </c>
      <c r="AK78" s="31" t="s">
        <v>88</v>
      </c>
      <c r="AL78" s="31" t="s">
        <v>87</v>
      </c>
      <c r="AM78" s="31" t="s">
        <v>105</v>
      </c>
      <c r="AN78" s="31" t="s">
        <v>90</v>
      </c>
      <c r="AO78" s="31" t="s">
        <v>83</v>
      </c>
      <c r="AP78" s="31" t="s">
        <v>85</v>
      </c>
      <c r="AQ78" s="31" t="s">
        <v>101</v>
      </c>
      <c r="AR78" s="31" t="s">
        <v>92</v>
      </c>
      <c r="AS78" s="31" t="s">
        <v>94</v>
      </c>
      <c r="AT78" s="31" t="s">
        <v>94</v>
      </c>
      <c r="AU78" s="31" t="s">
        <v>94</v>
      </c>
      <c r="AV78" s="31" t="s">
        <v>93</v>
      </c>
      <c r="AW78" s="31" t="s">
        <v>93</v>
      </c>
      <c r="AX78" s="31" t="s">
        <v>93</v>
      </c>
      <c r="AY78" s="31" t="s">
        <v>94</v>
      </c>
      <c r="AZ78" s="31" t="s">
        <v>93</v>
      </c>
      <c r="BA78" s="31" t="s">
        <v>106</v>
      </c>
      <c r="BB78" s="31" t="s">
        <v>552</v>
      </c>
      <c r="BC78" s="24"/>
      <c r="BD78" s="30">
        <f>Table2[[#This Row],[interviewtime]]/60</f>
        <v>10.782833333333334</v>
      </c>
      <c r="BE78" s="31">
        <v>646.97</v>
      </c>
      <c r="BF78" s="31">
        <v>14.78</v>
      </c>
      <c r="BG78" s="31"/>
      <c r="BH78" s="31">
        <v>39.71</v>
      </c>
      <c r="BI78" s="31"/>
      <c r="BJ78" s="31"/>
      <c r="BK78" s="31"/>
      <c r="BL78" s="31"/>
      <c r="BM78" s="31">
        <v>305.7</v>
      </c>
      <c r="BN78" s="31"/>
      <c r="BO78" s="31"/>
      <c r="BP78" s="31"/>
      <c r="BQ78" s="31"/>
      <c r="BR78" s="31"/>
      <c r="BS78" s="31"/>
      <c r="BT78" s="31">
        <v>121.9</v>
      </c>
      <c r="BU78" s="31"/>
      <c r="BV78" s="31"/>
      <c r="BW78" s="31"/>
      <c r="BX78" s="31"/>
      <c r="BY78" s="31"/>
      <c r="BZ78" s="31"/>
      <c r="CA78" s="31"/>
      <c r="CB78" s="31"/>
      <c r="CC78" s="31">
        <v>115.95</v>
      </c>
      <c r="CD78" s="31"/>
      <c r="CE78" s="31"/>
      <c r="CF78" s="31"/>
      <c r="CG78" s="31"/>
      <c r="CH78" s="31"/>
      <c r="CI78" s="31"/>
      <c r="CJ78" s="31"/>
      <c r="CK78" s="31"/>
      <c r="CL78" s="31">
        <v>48.93</v>
      </c>
      <c r="CM78" s="31"/>
      <c r="CN78" s="31"/>
      <c r="CO78" s="24"/>
      <c r="CP78" s="24"/>
      <c r="CQ78" s="43">
        <f>Table2[[#This Row],[groupTime22]]/60</f>
        <v>5.0949999999999998</v>
      </c>
      <c r="CR78" s="43">
        <f>Table2[[#This Row],[groupTime23]]/60</f>
        <v>2.0316666666666667</v>
      </c>
      <c r="CS78" s="43">
        <f>Table2[[#This Row],[groupTime24]]/60</f>
        <v>1.9325000000000001</v>
      </c>
    </row>
    <row r="79" spans="1:97" x14ac:dyDescent="0.25">
      <c r="A79" s="11" t="s">
        <v>352</v>
      </c>
      <c r="B79" s="11" t="s">
        <v>113</v>
      </c>
      <c r="C79" s="11">
        <v>29</v>
      </c>
      <c r="D79" s="11" t="s">
        <v>501</v>
      </c>
      <c r="E79" s="11">
        <v>6</v>
      </c>
      <c r="F79" s="11" t="s">
        <v>79</v>
      </c>
      <c r="G79" s="11">
        <v>1908438182</v>
      </c>
      <c r="H79" s="11" t="s">
        <v>502</v>
      </c>
      <c r="I79" s="11" t="s">
        <v>501</v>
      </c>
      <c r="J79" s="11" t="s">
        <v>80</v>
      </c>
      <c r="K79" s="11" t="str">
        <f>IF(Table2[[#This Row],[priorSuccessRatio]]&lt;1,"yes","no")</f>
        <v>no</v>
      </c>
      <c r="L79" s="27">
        <f>VLOOKUP(Table2[[#This Row],[prolific]],'Correct calc'!B$16:$AJ$998,6,FALSE)</f>
        <v>1</v>
      </c>
      <c r="M79" s="27">
        <f>VLOOKUP(Table2[[#This Row],[prolific]],'Correct calc'!B$16:$AJ$998,14,FALSE)</f>
        <v>0.66666666666666663</v>
      </c>
      <c r="N79" s="27">
        <f>VLOOKUP(Table2[[#This Row],[prolific]],'Correct calc'!B$16:$AJ1087,24,FALSE)</f>
        <v>0.875</v>
      </c>
      <c r="O79" s="27">
        <f>VLOOKUP(Table2[[#This Row],[prolific]],'Correct calc'!B$16:$AJ1087,34,FALSE)</f>
        <v>0.75</v>
      </c>
      <c r="P79" s="28">
        <f>VLOOKUP(Table2[[#This Row],[comprescore]],Table3[],2,FALSE)</f>
        <v>3</v>
      </c>
      <c r="Q79" s="16">
        <f>VLOOKUP(Table2[[#This Row],[prolific]],'Correct calc'!B$16:$AK$998,36,FALSE)</f>
        <v>17</v>
      </c>
      <c r="R79" s="16">
        <f>Table2[[#This Row],[interviewminutes]]</f>
        <v>14.4595</v>
      </c>
      <c r="S79" s="16">
        <f>Table2[[#This Row],[classifyTime]]+Table2[[#This Row],[explainTime]]+Table2[[#This Row],[validateTime]]</f>
        <v>13.668833333333334</v>
      </c>
      <c r="T79" s="29">
        <f>VLOOKUP(Table2[[#This Row],[prolific]],'Correct calc'!B$16:$AJ$998,35,FALSE)</f>
        <v>0.77272727272727271</v>
      </c>
      <c r="U79" s="15">
        <f>SUM(Table2[[#This Row],[priorKnowledge'[CLUSTERING']]:[priorKnowledge'[ZSCORES']]])/Table2[[#This Row],[priorKnowledgeTechQuestionCount]]</f>
        <v>1</v>
      </c>
      <c r="V79" s="16">
        <f>IF(Table2[[#This Row],[visualization]]="Wordcloud",2,3)</f>
        <v>3</v>
      </c>
      <c r="W79" s="31" t="s">
        <v>1093</v>
      </c>
      <c r="X79" s="31">
        <v>1</v>
      </c>
      <c r="Y79" s="31">
        <v>1</v>
      </c>
      <c r="Z79" s="31">
        <v>1</v>
      </c>
      <c r="AA79" s="31">
        <v>8</v>
      </c>
      <c r="AB79" s="31" t="s">
        <v>97</v>
      </c>
      <c r="AC79" s="31" t="s">
        <v>81</v>
      </c>
      <c r="AD79" s="31" t="s">
        <v>82</v>
      </c>
      <c r="AE79" s="31" t="s">
        <v>83</v>
      </c>
      <c r="AF79" s="31" t="s">
        <v>85</v>
      </c>
      <c r="AG79" s="31" t="s">
        <v>86</v>
      </c>
      <c r="AH79" s="31" t="s">
        <v>84</v>
      </c>
      <c r="AI79" s="31" t="s">
        <v>85</v>
      </c>
      <c r="AJ79" s="31" t="s">
        <v>85</v>
      </c>
      <c r="AK79" s="31" t="s">
        <v>88</v>
      </c>
      <c r="AL79" s="31" t="s">
        <v>87</v>
      </c>
      <c r="AM79" s="31" t="s">
        <v>105</v>
      </c>
      <c r="AN79" s="31" t="s">
        <v>90</v>
      </c>
      <c r="AO79" s="31" t="s">
        <v>83</v>
      </c>
      <c r="AP79" s="31" t="s">
        <v>85</v>
      </c>
      <c r="AQ79" s="31" t="s">
        <v>101</v>
      </c>
      <c r="AR79" s="31" t="s">
        <v>102</v>
      </c>
      <c r="AS79" s="31" t="s">
        <v>94</v>
      </c>
      <c r="AT79" s="31" t="s">
        <v>93</v>
      </c>
      <c r="AU79" s="31" t="s">
        <v>93</v>
      </c>
      <c r="AV79" s="31" t="s">
        <v>93</v>
      </c>
      <c r="AW79" s="31" t="s">
        <v>93</v>
      </c>
      <c r="AX79" s="31" t="s">
        <v>93</v>
      </c>
      <c r="AY79" s="31" t="s">
        <v>94</v>
      </c>
      <c r="AZ79" s="31" t="s">
        <v>93</v>
      </c>
      <c r="BA79" s="31" t="s">
        <v>107</v>
      </c>
      <c r="BB79" s="31"/>
      <c r="BC79" s="24"/>
      <c r="BD79" s="30">
        <f>Table2[[#This Row],[interviewtime]]/60</f>
        <v>14.4595</v>
      </c>
      <c r="BE79" s="31">
        <v>867.57</v>
      </c>
      <c r="BF79" s="31">
        <v>3.61</v>
      </c>
      <c r="BG79" s="31"/>
      <c r="BH79" s="31">
        <v>33.51</v>
      </c>
      <c r="BI79" s="31"/>
      <c r="BJ79" s="31"/>
      <c r="BK79" s="31"/>
      <c r="BL79" s="31"/>
      <c r="BM79" s="31">
        <v>444.7</v>
      </c>
      <c r="BN79" s="31"/>
      <c r="BO79" s="31"/>
      <c r="BP79" s="31"/>
      <c r="BQ79" s="31"/>
      <c r="BR79" s="31"/>
      <c r="BS79" s="31"/>
      <c r="BT79" s="31">
        <v>257.68</v>
      </c>
      <c r="BU79" s="31"/>
      <c r="BV79" s="31"/>
      <c r="BW79" s="31"/>
      <c r="BX79" s="31"/>
      <c r="BY79" s="31"/>
      <c r="BZ79" s="31"/>
      <c r="CA79" s="31"/>
      <c r="CB79" s="31"/>
      <c r="CC79" s="31">
        <v>117.75</v>
      </c>
      <c r="CD79" s="31"/>
      <c r="CE79" s="31"/>
      <c r="CF79" s="31"/>
      <c r="CG79" s="31"/>
      <c r="CH79" s="31"/>
      <c r="CI79" s="31"/>
      <c r="CJ79" s="31"/>
      <c r="CK79" s="31"/>
      <c r="CL79" s="31">
        <v>10.32</v>
      </c>
      <c r="CM79" s="31"/>
      <c r="CN79" s="31"/>
      <c r="CO79" s="24"/>
      <c r="CP79" s="24"/>
      <c r="CQ79" s="43">
        <f>Table2[[#This Row],[groupTime22]]/60</f>
        <v>7.4116666666666662</v>
      </c>
      <c r="CR79" s="43">
        <f>Table2[[#This Row],[groupTime23]]/60</f>
        <v>4.2946666666666671</v>
      </c>
      <c r="CS79" s="43">
        <f>Table2[[#This Row],[groupTime24]]/60</f>
        <v>1.9624999999999999</v>
      </c>
    </row>
    <row r="80" spans="1:97" x14ac:dyDescent="0.25">
      <c r="A80" s="11" t="s">
        <v>352</v>
      </c>
      <c r="B80" s="11" t="s">
        <v>113</v>
      </c>
      <c r="C80" s="11">
        <v>30</v>
      </c>
      <c r="D80" s="11" t="s">
        <v>503</v>
      </c>
      <c r="E80" s="11">
        <v>6</v>
      </c>
      <c r="F80" s="11" t="s">
        <v>79</v>
      </c>
      <c r="G80" s="11">
        <v>1373824731</v>
      </c>
      <c r="H80" s="11" t="s">
        <v>504</v>
      </c>
      <c r="I80" s="11" t="s">
        <v>503</v>
      </c>
      <c r="J80" s="11" t="s">
        <v>80</v>
      </c>
      <c r="K80" s="11" t="str">
        <f>IF(Table2[[#This Row],[priorSuccessRatio]]&lt;1,"yes","no")</f>
        <v>no</v>
      </c>
      <c r="L80" s="27">
        <f>VLOOKUP(Table2[[#This Row],[prolific]],'Correct calc'!B$16:$AJ$998,6,FALSE)</f>
        <v>1</v>
      </c>
      <c r="M80" s="27">
        <f>VLOOKUP(Table2[[#This Row],[prolific]],'Correct calc'!B$16:$AJ$998,14,FALSE)</f>
        <v>0.5</v>
      </c>
      <c r="N80" s="27">
        <f>VLOOKUP(Table2[[#This Row],[prolific]],'Correct calc'!B$16:$AJ1088,24,FALSE)</f>
        <v>0.625</v>
      </c>
      <c r="O80" s="27">
        <f>VLOOKUP(Table2[[#This Row],[prolific]],'Correct calc'!B$16:$AJ1088,34,FALSE)</f>
        <v>0.625</v>
      </c>
      <c r="P80" s="28">
        <f>VLOOKUP(Table2[[#This Row],[comprescore]],Table3[],2,FALSE)</f>
        <v>4</v>
      </c>
      <c r="Q80" s="16">
        <f>VLOOKUP(Table2[[#This Row],[prolific]],'Correct calc'!B$16:$AK$998,36,FALSE)</f>
        <v>13</v>
      </c>
      <c r="R80" s="16">
        <f>Table2[[#This Row],[interviewminutes]]</f>
        <v>13.840833333333334</v>
      </c>
      <c r="S80" s="16">
        <f>Table2[[#This Row],[classifyTime]]+Table2[[#This Row],[explainTime]]+Table2[[#This Row],[validateTime]]</f>
        <v>11.621500000000001</v>
      </c>
      <c r="T80" s="29">
        <f>VLOOKUP(Table2[[#This Row],[prolific]],'Correct calc'!B$16:$AJ$998,35,FALSE)</f>
        <v>0.59090909090909094</v>
      </c>
      <c r="U80" s="15">
        <f>SUM(Table2[[#This Row],[priorKnowledge'[CLUSTERING']]:[priorKnowledge'[ZSCORES']]])/Table2[[#This Row],[priorKnowledgeTechQuestionCount]]</f>
        <v>1</v>
      </c>
      <c r="V80" s="16">
        <f>IF(Table2[[#This Row],[visualization]]="Wordcloud",2,3)</f>
        <v>3</v>
      </c>
      <c r="W80" s="31" t="s">
        <v>1094</v>
      </c>
      <c r="X80" s="31">
        <v>1</v>
      </c>
      <c r="Y80" s="31">
        <v>1</v>
      </c>
      <c r="Z80" s="31">
        <v>1</v>
      </c>
      <c r="AA80" s="31">
        <v>8</v>
      </c>
      <c r="AB80" s="31" t="s">
        <v>97</v>
      </c>
      <c r="AC80" s="31" t="s">
        <v>81</v>
      </c>
      <c r="AD80" s="31" t="s">
        <v>82</v>
      </c>
      <c r="AE80" s="31" t="s">
        <v>104</v>
      </c>
      <c r="AF80" s="31" t="s">
        <v>85</v>
      </c>
      <c r="AG80" s="31" t="s">
        <v>86</v>
      </c>
      <c r="AH80" s="31" t="s">
        <v>84</v>
      </c>
      <c r="AI80" s="31" t="s">
        <v>86</v>
      </c>
      <c r="AJ80" s="31" t="s">
        <v>85</v>
      </c>
      <c r="AK80" s="31" t="s">
        <v>88</v>
      </c>
      <c r="AL80" s="31" t="s">
        <v>87</v>
      </c>
      <c r="AM80" s="31" t="s">
        <v>99</v>
      </c>
      <c r="AN80" s="31" t="s">
        <v>109</v>
      </c>
      <c r="AO80" s="31" t="s">
        <v>83</v>
      </c>
      <c r="AP80" s="31" t="s">
        <v>85</v>
      </c>
      <c r="AQ80" s="31" t="s">
        <v>92</v>
      </c>
      <c r="AR80" s="31" t="s">
        <v>102</v>
      </c>
      <c r="AS80" s="31" t="s">
        <v>94</v>
      </c>
      <c r="AT80" s="31" t="s">
        <v>94</v>
      </c>
      <c r="AU80" s="31" t="s">
        <v>94</v>
      </c>
      <c r="AV80" s="31" t="s">
        <v>94</v>
      </c>
      <c r="AW80" s="31" t="s">
        <v>94</v>
      </c>
      <c r="AX80" s="31" t="s">
        <v>94</v>
      </c>
      <c r="AY80" s="31" t="s">
        <v>94</v>
      </c>
      <c r="AZ80" s="31" t="s">
        <v>93</v>
      </c>
      <c r="BA80" s="31" t="s">
        <v>103</v>
      </c>
      <c r="BB80" s="31" t="s">
        <v>556</v>
      </c>
      <c r="BC80" s="24"/>
      <c r="BD80" s="30">
        <f>Table2[[#This Row],[interviewtime]]/60</f>
        <v>13.840833333333334</v>
      </c>
      <c r="BE80" s="31">
        <v>830.45</v>
      </c>
      <c r="BF80" s="31">
        <v>5.35</v>
      </c>
      <c r="BG80" s="31"/>
      <c r="BH80" s="31">
        <v>29.95</v>
      </c>
      <c r="BI80" s="31"/>
      <c r="BJ80" s="31"/>
      <c r="BK80" s="31"/>
      <c r="BL80" s="31"/>
      <c r="BM80" s="31">
        <v>236.38</v>
      </c>
      <c r="BN80" s="31"/>
      <c r="BO80" s="31"/>
      <c r="BP80" s="31"/>
      <c r="BQ80" s="31"/>
      <c r="BR80" s="31"/>
      <c r="BS80" s="31"/>
      <c r="BT80" s="31">
        <v>311.92</v>
      </c>
      <c r="BU80" s="31"/>
      <c r="BV80" s="31"/>
      <c r="BW80" s="31"/>
      <c r="BX80" s="31"/>
      <c r="BY80" s="31"/>
      <c r="BZ80" s="31"/>
      <c r="CA80" s="31"/>
      <c r="CB80" s="31"/>
      <c r="CC80" s="31">
        <v>148.99</v>
      </c>
      <c r="CD80" s="31"/>
      <c r="CE80" s="31"/>
      <c r="CF80" s="31"/>
      <c r="CG80" s="31"/>
      <c r="CH80" s="31"/>
      <c r="CI80" s="31"/>
      <c r="CJ80" s="31"/>
      <c r="CK80" s="31"/>
      <c r="CL80" s="31">
        <v>97.86</v>
      </c>
      <c r="CM80" s="31"/>
      <c r="CN80" s="31"/>
      <c r="CO80" s="24"/>
      <c r="CP80" s="24"/>
      <c r="CQ80" s="43">
        <f>Table2[[#This Row],[groupTime22]]/60</f>
        <v>3.9396666666666667</v>
      </c>
      <c r="CR80" s="43">
        <f>Table2[[#This Row],[groupTime23]]/60</f>
        <v>5.198666666666667</v>
      </c>
      <c r="CS80" s="43">
        <f>Table2[[#This Row],[groupTime24]]/60</f>
        <v>2.483166666666667</v>
      </c>
    </row>
    <row r="81" spans="1:97" x14ac:dyDescent="0.25">
      <c r="A81" s="11" t="s">
        <v>352</v>
      </c>
      <c r="B81" s="11" t="s">
        <v>113</v>
      </c>
      <c r="C81" s="11">
        <v>31</v>
      </c>
      <c r="D81" s="11" t="s">
        <v>505</v>
      </c>
      <c r="E81" s="11">
        <v>6</v>
      </c>
      <c r="F81" s="11" t="s">
        <v>79</v>
      </c>
      <c r="G81" s="11">
        <v>1642941793</v>
      </c>
      <c r="H81" s="11" t="s">
        <v>506</v>
      </c>
      <c r="I81" s="11" t="s">
        <v>505</v>
      </c>
      <c r="J81" s="11" t="s">
        <v>80</v>
      </c>
      <c r="K81" s="11" t="str">
        <f>IF(Table2[[#This Row],[priorSuccessRatio]]&lt;1,"yes","no")</f>
        <v>no</v>
      </c>
      <c r="L81" s="27">
        <f>VLOOKUP(Table2[[#This Row],[prolific]],'Correct calc'!B$16:$AJ$998,6,FALSE)</f>
        <v>1</v>
      </c>
      <c r="M81" s="27">
        <f>VLOOKUP(Table2[[#This Row],[prolific]],'Correct calc'!B$16:$AJ$998,14,FALSE)</f>
        <v>1</v>
      </c>
      <c r="N81" s="27">
        <f>VLOOKUP(Table2[[#This Row],[prolific]],'Correct calc'!B$16:$AJ1089,24,FALSE)</f>
        <v>0.625</v>
      </c>
      <c r="O81" s="27">
        <f>VLOOKUP(Table2[[#This Row],[prolific]],'Correct calc'!B$16:$AJ1089,34,FALSE)</f>
        <v>0.75</v>
      </c>
      <c r="P81" s="28">
        <f>VLOOKUP(Table2[[#This Row],[comprescore]],Table3[],2,FALSE)</f>
        <v>3</v>
      </c>
      <c r="Q81" s="16">
        <f>VLOOKUP(Table2[[#This Row],[prolific]],'Correct calc'!B$16:$AK$998,36,FALSE)</f>
        <v>17</v>
      </c>
      <c r="R81" s="16">
        <f>Table2[[#This Row],[interviewminutes]]</f>
        <v>29.904166666666665</v>
      </c>
      <c r="S81" s="16">
        <f>Table2[[#This Row],[classifyTime]]+Table2[[#This Row],[explainTime]]+Table2[[#This Row],[validateTime]]</f>
        <v>27.094666666666665</v>
      </c>
      <c r="T81" s="29">
        <f>VLOOKUP(Table2[[#This Row],[prolific]],'Correct calc'!B$16:$AJ$998,35,FALSE)</f>
        <v>0.77272727272727271</v>
      </c>
      <c r="U81" s="15">
        <f>SUM(Table2[[#This Row],[priorKnowledge'[CLUSTERING']]:[priorKnowledge'[ZSCORES']]])/Table2[[#This Row],[priorKnowledgeTechQuestionCount]]</f>
        <v>1.3333333333333333</v>
      </c>
      <c r="V81" s="16">
        <f>IF(Table2[[#This Row],[visualization]]="Wordcloud",2,3)</f>
        <v>3</v>
      </c>
      <c r="W81" s="31" t="s">
        <v>1095</v>
      </c>
      <c r="X81" s="31">
        <v>2</v>
      </c>
      <c r="Y81" s="31">
        <v>1</v>
      </c>
      <c r="Z81" s="31">
        <v>1</v>
      </c>
      <c r="AA81" s="31">
        <v>2</v>
      </c>
      <c r="AB81" s="31" t="s">
        <v>97</v>
      </c>
      <c r="AC81" s="31" t="s">
        <v>81</v>
      </c>
      <c r="AD81" s="31" t="s">
        <v>82</v>
      </c>
      <c r="AE81" s="31" t="s">
        <v>83</v>
      </c>
      <c r="AF81" s="31" t="s">
        <v>85</v>
      </c>
      <c r="AG81" s="31" t="s">
        <v>86</v>
      </c>
      <c r="AH81" s="31" t="s">
        <v>84</v>
      </c>
      <c r="AI81" s="31" t="s">
        <v>104</v>
      </c>
      <c r="AJ81" s="31" t="s">
        <v>98</v>
      </c>
      <c r="AK81" s="31" t="s">
        <v>88</v>
      </c>
      <c r="AL81" s="31" t="s">
        <v>87</v>
      </c>
      <c r="AM81" s="31" t="s">
        <v>285</v>
      </c>
      <c r="AN81" s="31" t="s">
        <v>100</v>
      </c>
      <c r="AO81" s="31" t="s">
        <v>83</v>
      </c>
      <c r="AP81" s="31" t="s">
        <v>85</v>
      </c>
      <c r="AQ81" s="31" t="s">
        <v>101</v>
      </c>
      <c r="AR81" s="31" t="s">
        <v>102</v>
      </c>
      <c r="AS81" s="31" t="s">
        <v>94</v>
      </c>
      <c r="AT81" s="31" t="s">
        <v>93</v>
      </c>
      <c r="AU81" s="31" t="s">
        <v>94</v>
      </c>
      <c r="AV81" s="31" t="s">
        <v>94</v>
      </c>
      <c r="AW81" s="31" t="s">
        <v>93</v>
      </c>
      <c r="AX81" s="31" t="s">
        <v>93</v>
      </c>
      <c r="AY81" s="31" t="s">
        <v>94</v>
      </c>
      <c r="AZ81" s="31" t="s">
        <v>93</v>
      </c>
      <c r="BA81" s="31" t="s">
        <v>107</v>
      </c>
      <c r="BB81" s="31"/>
      <c r="BC81" s="24"/>
      <c r="BD81" s="30">
        <f>Table2[[#This Row],[interviewtime]]/60</f>
        <v>29.904166666666665</v>
      </c>
      <c r="BE81" s="31">
        <v>1794.25</v>
      </c>
      <c r="BF81" s="31">
        <v>21.93</v>
      </c>
      <c r="BG81" s="31"/>
      <c r="BH81" s="31">
        <v>74.099999999999994</v>
      </c>
      <c r="BI81" s="31"/>
      <c r="BJ81" s="31"/>
      <c r="BK81" s="31"/>
      <c r="BL81" s="31"/>
      <c r="BM81" s="31">
        <v>939.72</v>
      </c>
      <c r="BN81" s="31"/>
      <c r="BO81" s="31"/>
      <c r="BP81" s="31"/>
      <c r="BQ81" s="31"/>
      <c r="BR81" s="31"/>
      <c r="BS81" s="31"/>
      <c r="BT81" s="31">
        <v>493.6</v>
      </c>
      <c r="BU81" s="31"/>
      <c r="BV81" s="31"/>
      <c r="BW81" s="31"/>
      <c r="BX81" s="31"/>
      <c r="BY81" s="31"/>
      <c r="BZ81" s="31"/>
      <c r="CA81" s="31"/>
      <c r="CB81" s="31"/>
      <c r="CC81" s="31">
        <v>192.36</v>
      </c>
      <c r="CD81" s="31"/>
      <c r="CE81" s="31"/>
      <c r="CF81" s="31"/>
      <c r="CG81" s="31"/>
      <c r="CH81" s="31"/>
      <c r="CI81" s="31"/>
      <c r="CJ81" s="31"/>
      <c r="CK81" s="31"/>
      <c r="CL81" s="31">
        <v>72.540000000000006</v>
      </c>
      <c r="CM81" s="31"/>
      <c r="CN81" s="31"/>
      <c r="CO81" s="24"/>
      <c r="CP81" s="24"/>
      <c r="CQ81" s="43">
        <f>Table2[[#This Row],[groupTime22]]/60</f>
        <v>15.662000000000001</v>
      </c>
      <c r="CR81" s="43">
        <f>Table2[[#This Row],[groupTime23]]/60</f>
        <v>8.2266666666666666</v>
      </c>
      <c r="CS81" s="43">
        <f>Table2[[#This Row],[groupTime24]]/60</f>
        <v>3.2060000000000004</v>
      </c>
    </row>
    <row r="82" spans="1:97" x14ac:dyDescent="0.25">
      <c r="A82" s="11" t="s">
        <v>352</v>
      </c>
      <c r="B82" s="11" t="s">
        <v>113</v>
      </c>
      <c r="C82" s="11">
        <v>33</v>
      </c>
      <c r="D82" s="11" t="s">
        <v>507</v>
      </c>
      <c r="E82" s="11">
        <v>6</v>
      </c>
      <c r="F82" s="11" t="s">
        <v>79</v>
      </c>
      <c r="G82" s="11">
        <v>2044126485</v>
      </c>
      <c r="H82" s="11" t="s">
        <v>508</v>
      </c>
      <c r="I82" s="11" t="s">
        <v>507</v>
      </c>
      <c r="J82" s="11" t="s">
        <v>96</v>
      </c>
      <c r="K82" s="11" t="str">
        <f>IF(Table2[[#This Row],[priorSuccessRatio]]&lt;1,"yes","no")</f>
        <v>no</v>
      </c>
      <c r="L82" s="27">
        <f>VLOOKUP(Table2[[#This Row],[prolific]],'Correct calc'!B$16:$AJ$998,6,FALSE)</f>
        <v>1</v>
      </c>
      <c r="M82" s="27">
        <f>VLOOKUP(Table2[[#This Row],[prolific]],'Correct calc'!B$16:$AJ$998,14,FALSE)</f>
        <v>0.33333333333333331</v>
      </c>
      <c r="N82" s="27">
        <f>VLOOKUP(Table2[[#This Row],[prolific]],'Correct calc'!B$16:$AJ1090,24,FALSE)</f>
        <v>0.75</v>
      </c>
      <c r="O82" s="27">
        <f>VLOOKUP(Table2[[#This Row],[prolific]],'Correct calc'!B$16:$AJ1090,34,FALSE)</f>
        <v>0.75</v>
      </c>
      <c r="P82" s="28">
        <f>VLOOKUP(Table2[[#This Row],[comprescore]],Table3[],2,FALSE)</f>
        <v>2</v>
      </c>
      <c r="Q82" s="16">
        <f>VLOOKUP(Table2[[#This Row],[prolific]],'Correct calc'!B$16:$AK$998,36,FALSE)</f>
        <v>14</v>
      </c>
      <c r="R82" s="16">
        <f>Table2[[#This Row],[interviewminutes]]</f>
        <v>9.5358333333333327</v>
      </c>
      <c r="S82" s="16">
        <f>Table2[[#This Row],[classifyTime]]+Table2[[#This Row],[explainTime]]+Table2[[#This Row],[validateTime]]</f>
        <v>7.8901666666666666</v>
      </c>
      <c r="T82" s="29">
        <f>VLOOKUP(Table2[[#This Row],[prolific]],'Correct calc'!B$16:$AJ$998,35,FALSE)</f>
        <v>0.63636363636363635</v>
      </c>
      <c r="U82" s="15">
        <f>SUM(Table2[[#This Row],[priorKnowledge'[CLUSTERING']]:[priorKnowledge'[ZSCORES']]])/Table2[[#This Row],[priorKnowledgeTechQuestionCount]]</f>
        <v>1</v>
      </c>
      <c r="V82" s="16">
        <f>IF(Table2[[#This Row],[visualization]]="Wordcloud",2,3)</f>
        <v>3</v>
      </c>
      <c r="W82" s="31" t="s">
        <v>1096</v>
      </c>
      <c r="X82" s="31">
        <v>1</v>
      </c>
      <c r="Y82" s="31">
        <v>1</v>
      </c>
      <c r="Z82" s="31">
        <v>1</v>
      </c>
      <c r="AA82" s="31">
        <v>3</v>
      </c>
      <c r="AB82" s="31" t="s">
        <v>97</v>
      </c>
      <c r="AC82" s="31" t="s">
        <v>81</v>
      </c>
      <c r="AD82" s="31" t="s">
        <v>82</v>
      </c>
      <c r="AE82" s="31" t="s">
        <v>83</v>
      </c>
      <c r="AF82" s="31" t="s">
        <v>86</v>
      </c>
      <c r="AG82" s="31" t="s">
        <v>98</v>
      </c>
      <c r="AH82" s="31" t="s">
        <v>84</v>
      </c>
      <c r="AI82" s="31" t="s">
        <v>84</v>
      </c>
      <c r="AJ82" s="31" t="s">
        <v>104</v>
      </c>
      <c r="AK82" s="31" t="s">
        <v>88</v>
      </c>
      <c r="AL82" s="31" t="s">
        <v>87</v>
      </c>
      <c r="AM82" s="31" t="s">
        <v>105</v>
      </c>
      <c r="AN82" s="31" t="s">
        <v>90</v>
      </c>
      <c r="AO82" s="31" t="s">
        <v>83</v>
      </c>
      <c r="AP82" s="31" t="s">
        <v>85</v>
      </c>
      <c r="AQ82" s="31" t="s">
        <v>92</v>
      </c>
      <c r="AR82" s="31" t="s">
        <v>101</v>
      </c>
      <c r="AS82" s="31" t="s">
        <v>94</v>
      </c>
      <c r="AT82" s="31" t="s">
        <v>94</v>
      </c>
      <c r="AU82" s="31" t="s">
        <v>94</v>
      </c>
      <c r="AV82" s="31" t="s">
        <v>93</v>
      </c>
      <c r="AW82" s="31" t="s">
        <v>93</v>
      </c>
      <c r="AX82" s="31" t="s">
        <v>93</v>
      </c>
      <c r="AY82" s="31" t="s">
        <v>94</v>
      </c>
      <c r="AZ82" s="31" t="s">
        <v>93</v>
      </c>
      <c r="BA82" s="31" t="s">
        <v>106</v>
      </c>
      <c r="BB82" s="31" t="s">
        <v>560</v>
      </c>
      <c r="BC82" s="24"/>
      <c r="BD82" s="30">
        <f>Table2[[#This Row],[interviewtime]]/60</f>
        <v>9.5358333333333327</v>
      </c>
      <c r="BE82" s="31">
        <v>572.15</v>
      </c>
      <c r="BF82" s="31">
        <v>3.9</v>
      </c>
      <c r="BG82" s="31"/>
      <c r="BH82" s="31">
        <v>61.85</v>
      </c>
      <c r="BI82" s="31"/>
      <c r="BJ82" s="31"/>
      <c r="BK82" s="31"/>
      <c r="BL82" s="31"/>
      <c r="BM82" s="31">
        <v>275.11</v>
      </c>
      <c r="BN82" s="31"/>
      <c r="BO82" s="31"/>
      <c r="BP82" s="31"/>
      <c r="BQ82" s="31"/>
      <c r="BR82" s="31"/>
      <c r="BS82" s="31"/>
      <c r="BT82" s="31">
        <v>137.65</v>
      </c>
      <c r="BU82" s="31"/>
      <c r="BV82" s="31"/>
      <c r="BW82" s="31"/>
      <c r="BX82" s="31"/>
      <c r="BY82" s="31"/>
      <c r="BZ82" s="31"/>
      <c r="CA82" s="31"/>
      <c r="CB82" s="31"/>
      <c r="CC82" s="31">
        <v>60.65</v>
      </c>
      <c r="CD82" s="31"/>
      <c r="CE82" s="31"/>
      <c r="CF82" s="31"/>
      <c r="CG82" s="31"/>
      <c r="CH82" s="31"/>
      <c r="CI82" s="31"/>
      <c r="CJ82" s="31"/>
      <c r="CK82" s="31"/>
      <c r="CL82" s="31">
        <v>32.99</v>
      </c>
      <c r="CM82" s="31"/>
      <c r="CN82" s="31"/>
      <c r="CO82" s="24"/>
      <c r="CP82" s="24"/>
      <c r="CQ82" s="43">
        <f>Table2[[#This Row],[groupTime22]]/60</f>
        <v>4.5851666666666668</v>
      </c>
      <c r="CR82" s="43">
        <f>Table2[[#This Row],[groupTime23]]/60</f>
        <v>2.2941666666666669</v>
      </c>
      <c r="CS82" s="43">
        <f>Table2[[#This Row],[groupTime24]]/60</f>
        <v>1.0108333333333333</v>
      </c>
    </row>
    <row r="83" spans="1:97" x14ac:dyDescent="0.25">
      <c r="A83" s="11" t="s">
        <v>352</v>
      </c>
      <c r="B83" s="11" t="s">
        <v>113</v>
      </c>
      <c r="C83" s="11">
        <v>34</v>
      </c>
      <c r="D83" s="11" t="s">
        <v>509</v>
      </c>
      <c r="E83" s="11">
        <v>6</v>
      </c>
      <c r="F83" s="11" t="s">
        <v>79</v>
      </c>
      <c r="G83" s="11">
        <v>832404609</v>
      </c>
      <c r="H83" s="11" t="s">
        <v>510</v>
      </c>
      <c r="I83" s="11" t="s">
        <v>509</v>
      </c>
      <c r="J83" s="11" t="s">
        <v>80</v>
      </c>
      <c r="K83" s="11" t="str">
        <f>IF(Table2[[#This Row],[priorSuccessRatio]]&lt;1,"yes","no")</f>
        <v>no</v>
      </c>
      <c r="L83" s="27">
        <f>VLOOKUP(Table2[[#This Row],[prolific]],'Correct calc'!B$16:$AJ$998,6,FALSE)</f>
        <v>1</v>
      </c>
      <c r="M83" s="27">
        <f>VLOOKUP(Table2[[#This Row],[prolific]],'Correct calc'!B$16:$AJ$998,14,FALSE)</f>
        <v>1</v>
      </c>
      <c r="N83" s="27">
        <f>VLOOKUP(Table2[[#This Row],[prolific]],'Correct calc'!B$16:$AJ1091,24,FALSE)</f>
        <v>0.875</v>
      </c>
      <c r="O83" s="27">
        <f>VLOOKUP(Table2[[#This Row],[prolific]],'Correct calc'!B$16:$AJ1091,34,FALSE)</f>
        <v>0.625</v>
      </c>
      <c r="P83" s="28">
        <f>VLOOKUP(Table2[[#This Row],[comprescore]],Table3[],2,FALSE)</f>
        <v>2</v>
      </c>
      <c r="Q83" s="16">
        <f>VLOOKUP(Table2[[#This Row],[prolific]],'Correct calc'!B$16:$AK$998,36,FALSE)</f>
        <v>18</v>
      </c>
      <c r="R83" s="16">
        <f>Table2[[#This Row],[interviewminutes]]</f>
        <v>7.509666666666666</v>
      </c>
      <c r="S83" s="16">
        <f>Table2[[#This Row],[classifyTime]]+Table2[[#This Row],[explainTime]]+Table2[[#This Row],[validateTime]]</f>
        <v>6.5274999999999999</v>
      </c>
      <c r="T83" s="29">
        <f>VLOOKUP(Table2[[#This Row],[prolific]],'Correct calc'!B$16:$AJ$998,35,FALSE)</f>
        <v>0.81818181818181823</v>
      </c>
      <c r="U83" s="15">
        <f>SUM(Table2[[#This Row],[priorKnowledge'[CLUSTERING']]:[priorKnowledge'[ZSCORES']]])/Table2[[#This Row],[priorKnowledgeTechQuestionCount]]</f>
        <v>1</v>
      </c>
      <c r="V83" s="16">
        <f>IF(Table2[[#This Row],[visualization]]="Wordcloud",2,3)</f>
        <v>3</v>
      </c>
      <c r="W83" s="31" t="s">
        <v>1097</v>
      </c>
      <c r="X83" s="31">
        <v>1</v>
      </c>
      <c r="Y83" s="31">
        <v>1</v>
      </c>
      <c r="Z83" s="31">
        <v>1</v>
      </c>
      <c r="AA83" s="31">
        <v>6</v>
      </c>
      <c r="AB83" s="31" t="s">
        <v>97</v>
      </c>
      <c r="AC83" s="31" t="s">
        <v>81</v>
      </c>
      <c r="AD83" s="31" t="s">
        <v>82</v>
      </c>
      <c r="AE83" s="31" t="s">
        <v>83</v>
      </c>
      <c r="AF83" s="31" t="s">
        <v>85</v>
      </c>
      <c r="AG83" s="31" t="s">
        <v>86</v>
      </c>
      <c r="AH83" s="31" t="s">
        <v>84</v>
      </c>
      <c r="AI83" s="31" t="s">
        <v>104</v>
      </c>
      <c r="AJ83" s="31" t="s">
        <v>98</v>
      </c>
      <c r="AK83" s="31" t="s">
        <v>88</v>
      </c>
      <c r="AL83" s="31" t="s">
        <v>87</v>
      </c>
      <c r="AM83" s="31" t="s">
        <v>105</v>
      </c>
      <c r="AN83" s="31" t="s">
        <v>90</v>
      </c>
      <c r="AO83" s="31" t="s">
        <v>83</v>
      </c>
      <c r="AP83" s="31" t="s">
        <v>85</v>
      </c>
      <c r="AQ83" s="31" t="s">
        <v>101</v>
      </c>
      <c r="AR83" s="31" t="s">
        <v>102</v>
      </c>
      <c r="AS83" s="31" t="s">
        <v>94</v>
      </c>
      <c r="AT83" s="31" t="s">
        <v>94</v>
      </c>
      <c r="AU83" s="31" t="s">
        <v>94</v>
      </c>
      <c r="AV83" s="31" t="s">
        <v>93</v>
      </c>
      <c r="AW83" s="31" t="s">
        <v>93</v>
      </c>
      <c r="AX83" s="31" t="s">
        <v>94</v>
      </c>
      <c r="AY83" s="31" t="s">
        <v>94</v>
      </c>
      <c r="AZ83" s="31" t="s">
        <v>93</v>
      </c>
      <c r="BA83" s="31" t="s">
        <v>106</v>
      </c>
      <c r="BB83" s="31" t="s">
        <v>562</v>
      </c>
      <c r="BC83" s="24"/>
      <c r="BD83" s="30">
        <f>Table2[[#This Row],[interviewtime]]/60</f>
        <v>7.509666666666666</v>
      </c>
      <c r="BE83" s="31">
        <v>450.58</v>
      </c>
      <c r="BF83" s="31">
        <v>8.11</v>
      </c>
      <c r="BG83" s="31"/>
      <c r="BH83" s="31">
        <v>24.44</v>
      </c>
      <c r="BI83" s="31"/>
      <c r="BJ83" s="31"/>
      <c r="BK83" s="31"/>
      <c r="BL83" s="31"/>
      <c r="BM83" s="31">
        <v>239.65</v>
      </c>
      <c r="BN83" s="31"/>
      <c r="BO83" s="31"/>
      <c r="BP83" s="31"/>
      <c r="BQ83" s="31"/>
      <c r="BR83" s="31"/>
      <c r="BS83" s="31"/>
      <c r="BT83" s="31">
        <v>91.88</v>
      </c>
      <c r="BU83" s="31"/>
      <c r="BV83" s="31"/>
      <c r="BW83" s="31"/>
      <c r="BX83" s="31"/>
      <c r="BY83" s="31"/>
      <c r="BZ83" s="31"/>
      <c r="CA83" s="31"/>
      <c r="CB83" s="31"/>
      <c r="CC83" s="31">
        <v>60.12</v>
      </c>
      <c r="CD83" s="31"/>
      <c r="CE83" s="31"/>
      <c r="CF83" s="31"/>
      <c r="CG83" s="31"/>
      <c r="CH83" s="31"/>
      <c r="CI83" s="31"/>
      <c r="CJ83" s="31"/>
      <c r="CK83" s="31"/>
      <c r="CL83" s="31">
        <v>26.38</v>
      </c>
      <c r="CM83" s="31"/>
      <c r="CN83" s="31"/>
      <c r="CO83" s="24"/>
      <c r="CP83" s="24"/>
      <c r="CQ83" s="43">
        <f>Table2[[#This Row],[groupTime22]]/60</f>
        <v>3.9941666666666666</v>
      </c>
      <c r="CR83" s="43">
        <f>Table2[[#This Row],[groupTime23]]/60</f>
        <v>1.5313333333333332</v>
      </c>
      <c r="CS83" s="43">
        <f>Table2[[#This Row],[groupTime24]]/60</f>
        <v>1.002</v>
      </c>
    </row>
    <row r="84" spans="1:97" x14ac:dyDescent="0.25">
      <c r="A84" s="11" t="s">
        <v>352</v>
      </c>
      <c r="B84" s="11" t="s">
        <v>113</v>
      </c>
      <c r="C84" s="11">
        <v>35</v>
      </c>
      <c r="D84" s="11" t="s">
        <v>511</v>
      </c>
      <c r="E84" s="11">
        <v>6</v>
      </c>
      <c r="F84" s="11" t="s">
        <v>79</v>
      </c>
      <c r="G84" s="11">
        <v>893490052</v>
      </c>
      <c r="H84" s="11" t="s">
        <v>512</v>
      </c>
      <c r="I84" s="11" t="s">
        <v>511</v>
      </c>
      <c r="J84" s="11" t="s">
        <v>80</v>
      </c>
      <c r="K84" s="11" t="str">
        <f>IF(Table2[[#This Row],[priorSuccessRatio]]&lt;1,"yes","no")</f>
        <v>no</v>
      </c>
      <c r="L84" s="27">
        <f>VLOOKUP(Table2[[#This Row],[prolific]],'Correct calc'!B$16:$AJ$998,6,FALSE)</f>
        <v>1</v>
      </c>
      <c r="M84" s="27">
        <f>VLOOKUP(Table2[[#This Row],[prolific]],'Correct calc'!B$16:$AJ$998,14,FALSE)</f>
        <v>0.66666666666666663</v>
      </c>
      <c r="N84" s="27">
        <f>VLOOKUP(Table2[[#This Row],[prolific]],'Correct calc'!B$16:$AJ1092,24,FALSE)</f>
        <v>0.875</v>
      </c>
      <c r="O84" s="27">
        <f>VLOOKUP(Table2[[#This Row],[prolific]],'Correct calc'!B$16:$AJ1092,34,FALSE)</f>
        <v>0.75</v>
      </c>
      <c r="P84" s="28">
        <f>VLOOKUP(Table2[[#This Row],[comprescore]],Table3[],2,FALSE)</f>
        <v>3</v>
      </c>
      <c r="Q84" s="16">
        <f>VLOOKUP(Table2[[#This Row],[prolific]],'Correct calc'!B$16:$AK$998,36,FALSE)</f>
        <v>17</v>
      </c>
      <c r="R84" s="16">
        <f>Table2[[#This Row],[interviewminutes]]</f>
        <v>20.469000000000001</v>
      </c>
      <c r="S84" s="16">
        <f>Table2[[#This Row],[classifyTime]]+Table2[[#This Row],[explainTime]]+Table2[[#This Row],[validateTime]]</f>
        <v>15.956833333333332</v>
      </c>
      <c r="T84" s="29">
        <f>VLOOKUP(Table2[[#This Row],[prolific]],'Correct calc'!B$16:$AJ$998,35,FALSE)</f>
        <v>0.77272727272727271</v>
      </c>
      <c r="U84" s="15">
        <f>SUM(Table2[[#This Row],[priorKnowledge'[CLUSTERING']]:[priorKnowledge'[ZSCORES']]])/Table2[[#This Row],[priorKnowledgeTechQuestionCount]]</f>
        <v>4.333333333333333</v>
      </c>
      <c r="V84" s="16">
        <f>IF(Table2[[#This Row],[visualization]]="Wordcloud",2,3)</f>
        <v>3</v>
      </c>
      <c r="W84" s="31" t="s">
        <v>1098</v>
      </c>
      <c r="X84" s="31">
        <v>6</v>
      </c>
      <c r="Y84" s="31">
        <v>5</v>
      </c>
      <c r="Z84" s="31">
        <v>2</v>
      </c>
      <c r="AA84" s="31">
        <v>6</v>
      </c>
      <c r="AB84" s="31" t="s">
        <v>97</v>
      </c>
      <c r="AC84" s="31" t="s">
        <v>81</v>
      </c>
      <c r="AD84" s="31" t="s">
        <v>82</v>
      </c>
      <c r="AE84" s="31" t="s">
        <v>83</v>
      </c>
      <c r="AF84" s="31" t="s">
        <v>85</v>
      </c>
      <c r="AG84" s="31" t="s">
        <v>86</v>
      </c>
      <c r="AH84" s="31" t="s">
        <v>84</v>
      </c>
      <c r="AI84" s="31" t="s">
        <v>85</v>
      </c>
      <c r="AJ84" s="31" t="s">
        <v>85</v>
      </c>
      <c r="AK84" s="31" t="s">
        <v>88</v>
      </c>
      <c r="AL84" s="31" t="s">
        <v>87</v>
      </c>
      <c r="AM84" s="31" t="s">
        <v>105</v>
      </c>
      <c r="AN84" s="31" t="s">
        <v>90</v>
      </c>
      <c r="AO84" s="31" t="s">
        <v>83</v>
      </c>
      <c r="AP84" s="31" t="s">
        <v>85</v>
      </c>
      <c r="AQ84" s="31" t="s">
        <v>101</v>
      </c>
      <c r="AR84" s="31" t="s">
        <v>102</v>
      </c>
      <c r="AS84" s="31" t="s">
        <v>94</v>
      </c>
      <c r="AT84" s="31" t="s">
        <v>94</v>
      </c>
      <c r="AU84" s="31" t="s">
        <v>94</v>
      </c>
      <c r="AV84" s="31" t="s">
        <v>93</v>
      </c>
      <c r="AW84" s="31" t="s">
        <v>93</v>
      </c>
      <c r="AX84" s="31" t="s">
        <v>93</v>
      </c>
      <c r="AY84" s="31" t="s">
        <v>94</v>
      </c>
      <c r="AZ84" s="31" t="s">
        <v>93</v>
      </c>
      <c r="BA84" s="31" t="s">
        <v>107</v>
      </c>
      <c r="BB84" s="31" t="s">
        <v>564</v>
      </c>
      <c r="BC84" s="24"/>
      <c r="BD84" s="30">
        <f>Table2[[#This Row],[interviewtime]]/60</f>
        <v>20.469000000000001</v>
      </c>
      <c r="BE84" s="31">
        <v>1228.1400000000001</v>
      </c>
      <c r="BF84" s="31">
        <v>3.39</v>
      </c>
      <c r="BG84" s="31"/>
      <c r="BH84" s="31">
        <v>175.4</v>
      </c>
      <c r="BI84" s="31"/>
      <c r="BJ84" s="31"/>
      <c r="BK84" s="31"/>
      <c r="BL84" s="31"/>
      <c r="BM84" s="31">
        <v>529.91999999999996</v>
      </c>
      <c r="BN84" s="31"/>
      <c r="BO84" s="31"/>
      <c r="BP84" s="31"/>
      <c r="BQ84" s="31"/>
      <c r="BR84" s="31"/>
      <c r="BS84" s="31"/>
      <c r="BT84" s="31">
        <v>160.53</v>
      </c>
      <c r="BU84" s="31"/>
      <c r="BV84" s="31"/>
      <c r="BW84" s="31"/>
      <c r="BX84" s="31"/>
      <c r="BY84" s="31"/>
      <c r="BZ84" s="31"/>
      <c r="CA84" s="31"/>
      <c r="CB84" s="31"/>
      <c r="CC84" s="31">
        <v>266.95999999999998</v>
      </c>
      <c r="CD84" s="31"/>
      <c r="CE84" s="31"/>
      <c r="CF84" s="31"/>
      <c r="CG84" s="31"/>
      <c r="CH84" s="31"/>
      <c r="CI84" s="31"/>
      <c r="CJ84" s="31"/>
      <c r="CK84" s="31"/>
      <c r="CL84" s="31">
        <v>91.94</v>
      </c>
      <c r="CM84" s="31"/>
      <c r="CN84" s="31"/>
      <c r="CO84" s="24"/>
      <c r="CP84" s="24"/>
      <c r="CQ84" s="43">
        <f>Table2[[#This Row],[groupTime22]]/60</f>
        <v>8.831999999999999</v>
      </c>
      <c r="CR84" s="43">
        <f>Table2[[#This Row],[groupTime23]]/60</f>
        <v>2.6755</v>
      </c>
      <c r="CS84" s="43">
        <f>Table2[[#This Row],[groupTime24]]/60</f>
        <v>4.4493333333333327</v>
      </c>
    </row>
    <row r="85" spans="1:97" x14ac:dyDescent="0.25">
      <c r="A85" s="11" t="s">
        <v>352</v>
      </c>
      <c r="B85" s="11" t="s">
        <v>113</v>
      </c>
      <c r="C85" s="11">
        <v>37</v>
      </c>
      <c r="D85" s="11" t="s">
        <v>513</v>
      </c>
      <c r="E85" s="11">
        <v>6</v>
      </c>
      <c r="F85" s="11" t="s">
        <v>79</v>
      </c>
      <c r="G85" s="11">
        <v>344315361</v>
      </c>
      <c r="H85" s="11" t="s">
        <v>514</v>
      </c>
      <c r="I85" s="11" t="s">
        <v>513</v>
      </c>
      <c r="J85" s="11" t="s">
        <v>80</v>
      </c>
      <c r="K85" s="11" t="str">
        <f>IF(Table2[[#This Row],[priorSuccessRatio]]&lt;1,"yes","no")</f>
        <v>no</v>
      </c>
      <c r="L85" s="27">
        <f>VLOOKUP(Table2[[#This Row],[prolific]],'Correct calc'!B$16:$AJ$998,6,FALSE)</f>
        <v>1</v>
      </c>
      <c r="M85" s="27">
        <f>VLOOKUP(Table2[[#This Row],[prolific]],'Correct calc'!B$16:$AJ$998,14,FALSE)</f>
        <v>0.5</v>
      </c>
      <c r="N85" s="27">
        <f>VLOOKUP(Table2[[#This Row],[prolific]],'Correct calc'!B$16:$AJ1093,24,FALSE)</f>
        <v>0.125</v>
      </c>
      <c r="O85" s="27">
        <f>VLOOKUP(Table2[[#This Row],[prolific]],'Correct calc'!B$16:$AJ1093,34,FALSE)</f>
        <v>0.125</v>
      </c>
      <c r="P85" s="28">
        <f>VLOOKUP(Table2[[#This Row],[comprescore]],Table3[],2,FALSE)</f>
        <v>4</v>
      </c>
      <c r="Q85" s="16">
        <f>VLOOKUP(Table2[[#This Row],[prolific]],'Correct calc'!B$16:$AK$998,36,FALSE)</f>
        <v>5</v>
      </c>
      <c r="R85" s="16">
        <f>Table2[[#This Row],[interviewminutes]]</f>
        <v>13.827833333333333</v>
      </c>
      <c r="S85" s="16">
        <f>Table2[[#This Row],[classifyTime]]+Table2[[#This Row],[explainTime]]+Table2[[#This Row],[validateTime]]</f>
        <v>12.952333333333332</v>
      </c>
      <c r="T85" s="29">
        <f>VLOOKUP(Table2[[#This Row],[prolific]],'Correct calc'!B$16:$AJ$998,35,FALSE)</f>
        <v>0.22727272727272727</v>
      </c>
      <c r="U85" s="15">
        <f>SUM(Table2[[#This Row],[priorKnowledge'[CLUSTERING']]:[priorKnowledge'[ZSCORES']]])/Table2[[#This Row],[priorKnowledgeTechQuestionCount]]</f>
        <v>1</v>
      </c>
      <c r="V85" s="16">
        <f>IF(Table2[[#This Row],[visualization]]="Wordcloud",2,3)</f>
        <v>3</v>
      </c>
      <c r="W85" s="31" t="s">
        <v>1099</v>
      </c>
      <c r="X85" s="31">
        <v>1</v>
      </c>
      <c r="Y85" s="31">
        <v>1</v>
      </c>
      <c r="Z85" s="31">
        <v>1</v>
      </c>
      <c r="AA85" s="31">
        <v>4</v>
      </c>
      <c r="AB85" s="31" t="s">
        <v>97</v>
      </c>
      <c r="AC85" s="31" t="s">
        <v>81</v>
      </c>
      <c r="AD85" s="31" t="s">
        <v>82</v>
      </c>
      <c r="AE85" s="31" t="s">
        <v>85</v>
      </c>
      <c r="AF85" s="31" t="s">
        <v>85</v>
      </c>
      <c r="AG85" s="31" t="s">
        <v>86</v>
      </c>
      <c r="AH85" s="31" t="s">
        <v>84</v>
      </c>
      <c r="AI85" s="31" t="s">
        <v>86</v>
      </c>
      <c r="AJ85" s="31" t="s">
        <v>85</v>
      </c>
      <c r="AK85" s="31" t="s">
        <v>88</v>
      </c>
      <c r="AL85" s="31" t="s">
        <v>108</v>
      </c>
      <c r="AM85" s="31" t="s">
        <v>285</v>
      </c>
      <c r="AN85" s="31" t="s">
        <v>109</v>
      </c>
      <c r="AO85" s="31" t="s">
        <v>104</v>
      </c>
      <c r="AP85" s="31" t="s">
        <v>83</v>
      </c>
      <c r="AQ85" s="31" t="s">
        <v>101</v>
      </c>
      <c r="AR85" s="31" t="s">
        <v>92</v>
      </c>
      <c r="AS85" s="31" t="s">
        <v>93</v>
      </c>
      <c r="AT85" s="31" t="s">
        <v>94</v>
      </c>
      <c r="AU85" s="31" t="s">
        <v>93</v>
      </c>
      <c r="AV85" s="31" t="s">
        <v>94</v>
      </c>
      <c r="AW85" s="31" t="s">
        <v>93</v>
      </c>
      <c r="AX85" s="31" t="s">
        <v>94</v>
      </c>
      <c r="AY85" s="31" t="s">
        <v>94</v>
      </c>
      <c r="AZ85" s="31" t="s">
        <v>94</v>
      </c>
      <c r="BA85" s="31" t="s">
        <v>103</v>
      </c>
      <c r="BB85" s="31" t="s">
        <v>567</v>
      </c>
      <c r="BC85" s="24"/>
      <c r="BD85" s="30">
        <f>Table2[[#This Row],[interviewtime]]/60</f>
        <v>13.827833333333333</v>
      </c>
      <c r="BE85" s="31">
        <v>829.67</v>
      </c>
      <c r="BF85" s="31">
        <v>4.24</v>
      </c>
      <c r="BG85" s="31"/>
      <c r="BH85" s="31">
        <v>26.86</v>
      </c>
      <c r="BI85" s="31"/>
      <c r="BJ85" s="31"/>
      <c r="BK85" s="31"/>
      <c r="BL85" s="31"/>
      <c r="BM85" s="31">
        <v>383.8</v>
      </c>
      <c r="BN85" s="31"/>
      <c r="BO85" s="31"/>
      <c r="BP85" s="31"/>
      <c r="BQ85" s="31"/>
      <c r="BR85" s="31"/>
      <c r="BS85" s="31"/>
      <c r="BT85" s="31">
        <v>298.12</v>
      </c>
      <c r="BU85" s="31"/>
      <c r="BV85" s="31"/>
      <c r="BW85" s="31"/>
      <c r="BX85" s="31"/>
      <c r="BY85" s="31"/>
      <c r="BZ85" s="31"/>
      <c r="CA85" s="31"/>
      <c r="CB85" s="31"/>
      <c r="CC85" s="31">
        <v>95.22</v>
      </c>
      <c r="CD85" s="31"/>
      <c r="CE85" s="31"/>
      <c r="CF85" s="31"/>
      <c r="CG85" s="31"/>
      <c r="CH85" s="31"/>
      <c r="CI85" s="31"/>
      <c r="CJ85" s="31"/>
      <c r="CK85" s="31"/>
      <c r="CL85" s="31">
        <v>21.43</v>
      </c>
      <c r="CM85" s="31"/>
      <c r="CN85" s="31"/>
      <c r="CO85" s="24"/>
      <c r="CP85" s="24"/>
      <c r="CQ85" s="43">
        <f>Table2[[#This Row],[groupTime22]]/60</f>
        <v>6.3966666666666665</v>
      </c>
      <c r="CR85" s="43">
        <f>Table2[[#This Row],[groupTime23]]/60</f>
        <v>4.9686666666666666</v>
      </c>
      <c r="CS85" s="43">
        <f>Table2[[#This Row],[groupTime24]]/60</f>
        <v>1.587</v>
      </c>
    </row>
    <row r="86" spans="1:97" x14ac:dyDescent="0.25">
      <c r="A86" s="11" t="s">
        <v>352</v>
      </c>
      <c r="B86" s="11" t="s">
        <v>113</v>
      </c>
      <c r="C86" s="11">
        <v>38</v>
      </c>
      <c r="D86" s="11" t="s">
        <v>515</v>
      </c>
      <c r="E86" s="11">
        <v>6</v>
      </c>
      <c r="F86" s="11" t="s">
        <v>79</v>
      </c>
      <c r="G86" s="11">
        <v>335824716</v>
      </c>
      <c r="H86" s="11" t="s">
        <v>516</v>
      </c>
      <c r="I86" s="11" t="s">
        <v>515</v>
      </c>
      <c r="J86" s="11" t="s">
        <v>96</v>
      </c>
      <c r="K86" s="11" t="str">
        <f>IF(Table2[[#This Row],[priorSuccessRatio]]&lt;1,"yes","no")</f>
        <v>no</v>
      </c>
      <c r="L86" s="27">
        <f>VLOOKUP(Table2[[#This Row],[prolific]],'Correct calc'!B$16:$AJ$998,6,FALSE)</f>
        <v>1</v>
      </c>
      <c r="M86" s="27">
        <f>VLOOKUP(Table2[[#This Row],[prolific]],'Correct calc'!B$16:$AJ$998,14,FALSE)</f>
        <v>0.83333333333333337</v>
      </c>
      <c r="N86" s="27">
        <f>VLOOKUP(Table2[[#This Row],[prolific]],'Correct calc'!B$16:$AJ1094,24,FALSE)</f>
        <v>0.75</v>
      </c>
      <c r="O86" s="27">
        <f>VLOOKUP(Table2[[#This Row],[prolific]],'Correct calc'!B$16:$AJ1094,34,FALSE)</f>
        <v>0.625</v>
      </c>
      <c r="P86" s="28">
        <f>VLOOKUP(Table2[[#This Row],[comprescore]],Table3[],2,FALSE)</f>
        <v>2</v>
      </c>
      <c r="Q86" s="16">
        <f>VLOOKUP(Table2[[#This Row],[prolific]],'Correct calc'!B$16:$AK$998,36,FALSE)</f>
        <v>16</v>
      </c>
      <c r="R86" s="16">
        <f>Table2[[#This Row],[interviewminutes]]</f>
        <v>10.817499999999999</v>
      </c>
      <c r="S86" s="16">
        <f>Table2[[#This Row],[classifyTime]]+Table2[[#This Row],[explainTime]]+Table2[[#This Row],[validateTime]]</f>
        <v>9.9936666666666678</v>
      </c>
      <c r="T86" s="29">
        <f>VLOOKUP(Table2[[#This Row],[prolific]],'Correct calc'!B$16:$AJ$998,35,FALSE)</f>
        <v>0.72727272727272729</v>
      </c>
      <c r="U86" s="15">
        <f>SUM(Table2[[#This Row],[priorKnowledge'[CLUSTERING']]:[priorKnowledge'[ZSCORES']]])/Table2[[#This Row],[priorKnowledgeTechQuestionCount]]</f>
        <v>2</v>
      </c>
      <c r="V86" s="16">
        <f>IF(Table2[[#This Row],[visualization]]="Wordcloud",2,3)</f>
        <v>3</v>
      </c>
      <c r="W86" s="31" t="s">
        <v>1100</v>
      </c>
      <c r="X86" s="31">
        <v>1</v>
      </c>
      <c r="Y86" s="31">
        <v>1</v>
      </c>
      <c r="Z86" s="31">
        <v>4</v>
      </c>
      <c r="AA86" s="31">
        <v>5</v>
      </c>
      <c r="AB86" s="31" t="s">
        <v>97</v>
      </c>
      <c r="AC86" s="31" t="s">
        <v>81</v>
      </c>
      <c r="AD86" s="31" t="s">
        <v>82</v>
      </c>
      <c r="AE86" s="31" t="s">
        <v>83</v>
      </c>
      <c r="AF86" s="31" t="s">
        <v>85</v>
      </c>
      <c r="AG86" s="31" t="s">
        <v>86</v>
      </c>
      <c r="AH86" s="31" t="s">
        <v>84</v>
      </c>
      <c r="AI86" s="31" t="s">
        <v>85</v>
      </c>
      <c r="AJ86" s="31" t="s">
        <v>98</v>
      </c>
      <c r="AK86" s="31" t="s">
        <v>88</v>
      </c>
      <c r="AL86" s="31" t="s">
        <v>88</v>
      </c>
      <c r="AM86" s="31" t="s">
        <v>105</v>
      </c>
      <c r="AN86" s="31" t="s">
        <v>90</v>
      </c>
      <c r="AO86" s="31" t="s">
        <v>83</v>
      </c>
      <c r="AP86" s="31" t="s">
        <v>85</v>
      </c>
      <c r="AQ86" s="31" t="s">
        <v>101</v>
      </c>
      <c r="AR86" s="31" t="s">
        <v>102</v>
      </c>
      <c r="AS86" s="31" t="s">
        <v>94</v>
      </c>
      <c r="AT86" s="31" t="s">
        <v>94</v>
      </c>
      <c r="AU86" s="31" t="s">
        <v>93</v>
      </c>
      <c r="AV86" s="31" t="s">
        <v>93</v>
      </c>
      <c r="AW86" s="31" t="s">
        <v>93</v>
      </c>
      <c r="AX86" s="31" t="s">
        <v>93</v>
      </c>
      <c r="AY86" s="31" t="s">
        <v>94</v>
      </c>
      <c r="AZ86" s="31" t="s">
        <v>93</v>
      </c>
      <c r="BA86" s="31" t="s">
        <v>106</v>
      </c>
      <c r="BB86" s="31" t="s">
        <v>569</v>
      </c>
      <c r="BC86" s="24"/>
      <c r="BD86" s="30">
        <f>Table2[[#This Row],[interviewtime]]/60</f>
        <v>10.817499999999999</v>
      </c>
      <c r="BE86" s="31">
        <v>649.04999999999995</v>
      </c>
      <c r="BF86" s="31">
        <v>4.17</v>
      </c>
      <c r="BG86" s="31"/>
      <c r="BH86" s="31">
        <v>28.3</v>
      </c>
      <c r="BI86" s="31"/>
      <c r="BJ86" s="31"/>
      <c r="BK86" s="31"/>
      <c r="BL86" s="31"/>
      <c r="BM86" s="31">
        <v>314.64999999999998</v>
      </c>
      <c r="BN86" s="31"/>
      <c r="BO86" s="31"/>
      <c r="BP86" s="31"/>
      <c r="BQ86" s="31"/>
      <c r="BR86" s="31"/>
      <c r="BS86" s="31"/>
      <c r="BT86" s="31">
        <v>187.36</v>
      </c>
      <c r="BU86" s="31"/>
      <c r="BV86" s="31"/>
      <c r="BW86" s="31"/>
      <c r="BX86" s="31"/>
      <c r="BY86" s="31"/>
      <c r="BZ86" s="31"/>
      <c r="CA86" s="31"/>
      <c r="CB86" s="31"/>
      <c r="CC86" s="31">
        <v>97.61</v>
      </c>
      <c r="CD86" s="31"/>
      <c r="CE86" s="31"/>
      <c r="CF86" s="31"/>
      <c r="CG86" s="31"/>
      <c r="CH86" s="31"/>
      <c r="CI86" s="31"/>
      <c r="CJ86" s="31"/>
      <c r="CK86" s="31"/>
      <c r="CL86" s="31">
        <v>16.96</v>
      </c>
      <c r="CM86" s="31"/>
      <c r="CN86" s="31"/>
      <c r="CO86" s="24"/>
      <c r="CP86" s="24"/>
      <c r="CQ86" s="43">
        <f>Table2[[#This Row],[groupTime22]]/60</f>
        <v>5.2441666666666666</v>
      </c>
      <c r="CR86" s="43">
        <f>Table2[[#This Row],[groupTime23]]/60</f>
        <v>3.1226666666666669</v>
      </c>
      <c r="CS86" s="43">
        <f>Table2[[#This Row],[groupTime24]]/60</f>
        <v>1.6268333333333334</v>
      </c>
    </row>
    <row r="87" spans="1:97" x14ac:dyDescent="0.25">
      <c r="A87" s="11" t="s">
        <v>352</v>
      </c>
      <c r="B87" s="11" t="s">
        <v>113</v>
      </c>
      <c r="C87" s="11">
        <v>39</v>
      </c>
      <c r="D87" s="11" t="s">
        <v>227</v>
      </c>
      <c r="E87" s="11">
        <v>6</v>
      </c>
      <c r="F87" s="11" t="s">
        <v>79</v>
      </c>
      <c r="G87" s="11">
        <v>728325808</v>
      </c>
      <c r="H87" s="11" t="s">
        <v>517</v>
      </c>
      <c r="I87" s="11" t="s">
        <v>227</v>
      </c>
      <c r="J87" s="11" t="s">
        <v>80</v>
      </c>
      <c r="K87" s="11" t="str">
        <f>IF(Table2[[#This Row],[priorSuccessRatio]]&lt;1,"yes","no")</f>
        <v>no</v>
      </c>
      <c r="L87" s="27">
        <f>VLOOKUP(Table2[[#This Row],[prolific]],'Correct calc'!B$16:$AJ$998,6,FALSE)</f>
        <v>1</v>
      </c>
      <c r="M87" s="27">
        <f>VLOOKUP(Table2[[#This Row],[prolific]],'Correct calc'!B$16:$AJ$998,14,FALSE)</f>
        <v>0.33333333333333331</v>
      </c>
      <c r="N87" s="27">
        <f>VLOOKUP(Table2[[#This Row],[prolific]],'Correct calc'!B$16:$AJ1095,24,FALSE)</f>
        <v>0.375</v>
      </c>
      <c r="O87" s="27">
        <f>VLOOKUP(Table2[[#This Row],[prolific]],'Correct calc'!B$16:$AJ1095,34,FALSE)</f>
        <v>0.625</v>
      </c>
      <c r="P87" s="28">
        <f>VLOOKUP(Table2[[#This Row],[comprescore]],Table3[],2,FALSE)</f>
        <v>3</v>
      </c>
      <c r="Q87" s="16">
        <f>VLOOKUP(Table2[[#This Row],[prolific]],'Correct calc'!B$16:$AK$998,36,FALSE)</f>
        <v>10</v>
      </c>
      <c r="R87" s="16">
        <f>Table2[[#This Row],[interviewminutes]]</f>
        <v>12.566333333333334</v>
      </c>
      <c r="S87" s="16">
        <f>Table2[[#This Row],[classifyTime]]+Table2[[#This Row],[explainTime]]+Table2[[#This Row],[validateTime]]</f>
        <v>11.496166666666669</v>
      </c>
      <c r="T87" s="29">
        <f>VLOOKUP(Table2[[#This Row],[prolific]],'Correct calc'!B$16:$AJ$998,35,FALSE)</f>
        <v>0.45454545454545453</v>
      </c>
      <c r="U87" s="15">
        <f>SUM(Table2[[#This Row],[priorKnowledge'[CLUSTERING']]:[priorKnowledge'[ZSCORES']]])/Table2[[#This Row],[priorKnowledgeTechQuestionCount]]</f>
        <v>4</v>
      </c>
      <c r="V87" s="16">
        <f>IF(Table2[[#This Row],[visualization]]="Wordcloud",2,3)</f>
        <v>3</v>
      </c>
      <c r="W87" s="31" t="s">
        <v>1101</v>
      </c>
      <c r="X87" s="31">
        <v>3</v>
      </c>
      <c r="Y87" s="31">
        <v>7</v>
      </c>
      <c r="Z87" s="31">
        <v>2</v>
      </c>
      <c r="AA87" s="31">
        <v>6</v>
      </c>
      <c r="AB87" s="31" t="s">
        <v>97</v>
      </c>
      <c r="AC87" s="31" t="s">
        <v>81</v>
      </c>
      <c r="AD87" s="31" t="s">
        <v>82</v>
      </c>
      <c r="AE87" s="31" t="s">
        <v>83</v>
      </c>
      <c r="AF87" s="31" t="s">
        <v>86</v>
      </c>
      <c r="AG87" s="31" t="s">
        <v>104</v>
      </c>
      <c r="AH87" s="31" t="s">
        <v>104</v>
      </c>
      <c r="AI87" s="31" t="s">
        <v>84</v>
      </c>
      <c r="AJ87" s="31" t="s">
        <v>98</v>
      </c>
      <c r="AK87" s="31" t="s">
        <v>88</v>
      </c>
      <c r="AL87" s="31" t="s">
        <v>87</v>
      </c>
      <c r="AM87" s="31" t="s">
        <v>99</v>
      </c>
      <c r="AN87" s="31" t="s">
        <v>109</v>
      </c>
      <c r="AO87" s="31" t="s">
        <v>83</v>
      </c>
      <c r="AP87" s="31" t="s">
        <v>83</v>
      </c>
      <c r="AQ87" s="31" t="s">
        <v>92</v>
      </c>
      <c r="AR87" s="31" t="s">
        <v>91</v>
      </c>
      <c r="AS87" s="31" t="s">
        <v>94</v>
      </c>
      <c r="AT87" s="31" t="s">
        <v>94</v>
      </c>
      <c r="AU87" s="31" t="s">
        <v>94</v>
      </c>
      <c r="AV87" s="31" t="s">
        <v>94</v>
      </c>
      <c r="AW87" s="31" t="s">
        <v>93</v>
      </c>
      <c r="AX87" s="31" t="s">
        <v>93</v>
      </c>
      <c r="AY87" s="31" t="s">
        <v>94</v>
      </c>
      <c r="AZ87" s="31" t="s">
        <v>93</v>
      </c>
      <c r="BA87" s="31" t="s">
        <v>107</v>
      </c>
      <c r="BB87" s="31"/>
      <c r="BC87" s="24"/>
      <c r="BD87" s="30">
        <f>Table2[[#This Row],[interviewtime]]/60</f>
        <v>12.566333333333334</v>
      </c>
      <c r="BE87" s="31">
        <v>753.98</v>
      </c>
      <c r="BF87" s="31">
        <v>9.2200000000000006</v>
      </c>
      <c r="BG87" s="31"/>
      <c r="BH87" s="31">
        <v>40.61</v>
      </c>
      <c r="BI87" s="31"/>
      <c r="BJ87" s="31"/>
      <c r="BK87" s="31"/>
      <c r="BL87" s="31"/>
      <c r="BM87" s="31">
        <v>290.38</v>
      </c>
      <c r="BN87" s="31"/>
      <c r="BO87" s="31"/>
      <c r="BP87" s="31"/>
      <c r="BQ87" s="31"/>
      <c r="BR87" s="31"/>
      <c r="BS87" s="31"/>
      <c r="BT87" s="31">
        <v>288.17</v>
      </c>
      <c r="BU87" s="31"/>
      <c r="BV87" s="31"/>
      <c r="BW87" s="31"/>
      <c r="BX87" s="31"/>
      <c r="BY87" s="31"/>
      <c r="BZ87" s="31"/>
      <c r="CA87" s="31"/>
      <c r="CB87" s="31"/>
      <c r="CC87" s="31">
        <v>111.22</v>
      </c>
      <c r="CD87" s="31"/>
      <c r="CE87" s="31"/>
      <c r="CF87" s="31"/>
      <c r="CG87" s="31"/>
      <c r="CH87" s="31"/>
      <c r="CI87" s="31"/>
      <c r="CJ87" s="31"/>
      <c r="CK87" s="31"/>
      <c r="CL87" s="31">
        <v>14.38</v>
      </c>
      <c r="CM87" s="31"/>
      <c r="CN87" s="31"/>
      <c r="CO87" s="24"/>
      <c r="CP87" s="24"/>
      <c r="CQ87" s="43">
        <f>Table2[[#This Row],[groupTime22]]/60</f>
        <v>4.839666666666667</v>
      </c>
      <c r="CR87" s="43">
        <f>Table2[[#This Row],[groupTime23]]/60</f>
        <v>4.802833333333334</v>
      </c>
      <c r="CS87" s="43">
        <f>Table2[[#This Row],[groupTime24]]/60</f>
        <v>1.8536666666666666</v>
      </c>
    </row>
    <row r="88" spans="1:97" x14ac:dyDescent="0.25">
      <c r="A88" s="11" t="s">
        <v>352</v>
      </c>
      <c r="B88" s="11" t="s">
        <v>113</v>
      </c>
      <c r="C88" s="11">
        <v>40</v>
      </c>
      <c r="D88" s="11" t="s">
        <v>518</v>
      </c>
      <c r="E88" s="11">
        <v>6</v>
      </c>
      <c r="F88" s="11" t="s">
        <v>79</v>
      </c>
      <c r="G88" s="11">
        <v>1052855283</v>
      </c>
      <c r="H88" s="11" t="s">
        <v>519</v>
      </c>
      <c r="I88" s="11" t="s">
        <v>518</v>
      </c>
      <c r="J88" s="11" t="s">
        <v>80</v>
      </c>
      <c r="K88" s="11" t="str">
        <f>IF(Table2[[#This Row],[priorSuccessRatio]]&lt;1,"yes","no")</f>
        <v>no</v>
      </c>
      <c r="L88" s="27">
        <f>VLOOKUP(Table2[[#This Row],[prolific]],'Correct calc'!B$16:$AJ$998,6,FALSE)</f>
        <v>1</v>
      </c>
      <c r="M88" s="27">
        <f>VLOOKUP(Table2[[#This Row],[prolific]],'Correct calc'!B$16:$AJ$998,14,FALSE)</f>
        <v>0.83333333333333337</v>
      </c>
      <c r="N88" s="27">
        <f>VLOOKUP(Table2[[#This Row],[prolific]],'Correct calc'!B$16:$AJ1096,24,FALSE)</f>
        <v>0.875</v>
      </c>
      <c r="O88" s="27">
        <f>VLOOKUP(Table2[[#This Row],[prolific]],'Correct calc'!B$16:$AJ1096,34,FALSE)</f>
        <v>0.625</v>
      </c>
      <c r="P88" s="28">
        <f>VLOOKUP(Table2[[#This Row],[comprescore]],Table3[],2,FALSE)</f>
        <v>2</v>
      </c>
      <c r="Q88" s="16">
        <f>VLOOKUP(Table2[[#This Row],[prolific]],'Correct calc'!B$16:$AK$998,36,FALSE)</f>
        <v>17</v>
      </c>
      <c r="R88" s="16">
        <f>Table2[[#This Row],[interviewminutes]]</f>
        <v>8.4554999999999989</v>
      </c>
      <c r="S88" s="16">
        <f>Table2[[#This Row],[classifyTime]]+Table2[[#This Row],[explainTime]]+Table2[[#This Row],[validateTime]]</f>
        <v>7.4725000000000001</v>
      </c>
      <c r="T88" s="29">
        <f>VLOOKUP(Table2[[#This Row],[prolific]],'Correct calc'!B$16:$AJ$998,35,FALSE)</f>
        <v>0.77272727272727271</v>
      </c>
      <c r="U88" s="15">
        <f>SUM(Table2[[#This Row],[priorKnowledge'[CLUSTERING']]:[priorKnowledge'[ZSCORES']]])/Table2[[#This Row],[priorKnowledgeTechQuestionCount]]</f>
        <v>1</v>
      </c>
      <c r="V88" s="16">
        <f>IF(Table2[[#This Row],[visualization]]="Wordcloud",2,3)</f>
        <v>3</v>
      </c>
      <c r="W88" s="31" t="s">
        <v>1102</v>
      </c>
      <c r="X88" s="31">
        <v>1</v>
      </c>
      <c r="Y88" s="31">
        <v>1</v>
      </c>
      <c r="Z88" s="31">
        <v>1</v>
      </c>
      <c r="AA88" s="31">
        <v>3</v>
      </c>
      <c r="AB88" s="31" t="s">
        <v>97</v>
      </c>
      <c r="AC88" s="31" t="s">
        <v>81</v>
      </c>
      <c r="AD88" s="31" t="s">
        <v>82</v>
      </c>
      <c r="AE88" s="31" t="s">
        <v>83</v>
      </c>
      <c r="AF88" s="31" t="s">
        <v>85</v>
      </c>
      <c r="AG88" s="31" t="s">
        <v>86</v>
      </c>
      <c r="AH88" s="31" t="s">
        <v>84</v>
      </c>
      <c r="AI88" s="31" t="s">
        <v>85</v>
      </c>
      <c r="AJ88" s="31" t="s">
        <v>98</v>
      </c>
      <c r="AK88" s="31" t="s">
        <v>88</v>
      </c>
      <c r="AL88" s="31" t="s">
        <v>87</v>
      </c>
      <c r="AM88" s="31" t="s">
        <v>105</v>
      </c>
      <c r="AN88" s="31" t="s">
        <v>90</v>
      </c>
      <c r="AO88" s="31" t="s">
        <v>83</v>
      </c>
      <c r="AP88" s="31" t="s">
        <v>85</v>
      </c>
      <c r="AQ88" s="31" t="s">
        <v>101</v>
      </c>
      <c r="AR88" s="31" t="s">
        <v>102</v>
      </c>
      <c r="AS88" s="31" t="s">
        <v>94</v>
      </c>
      <c r="AT88" s="31" t="s">
        <v>94</v>
      </c>
      <c r="AU88" s="31" t="s">
        <v>93</v>
      </c>
      <c r="AV88" s="31" t="s">
        <v>93</v>
      </c>
      <c r="AW88" s="31" t="s">
        <v>93</v>
      </c>
      <c r="AX88" s="31" t="s">
        <v>93</v>
      </c>
      <c r="AY88" s="31" t="s">
        <v>94</v>
      </c>
      <c r="AZ88" s="31" t="s">
        <v>93</v>
      </c>
      <c r="BA88" s="31" t="s">
        <v>106</v>
      </c>
      <c r="BB88" s="31" t="s">
        <v>572</v>
      </c>
      <c r="BC88" s="24"/>
      <c r="BD88" s="30">
        <f>Table2[[#This Row],[interviewtime]]/60</f>
        <v>8.4554999999999989</v>
      </c>
      <c r="BE88" s="31">
        <v>507.33</v>
      </c>
      <c r="BF88" s="31">
        <v>3.7</v>
      </c>
      <c r="BG88" s="31"/>
      <c r="BH88" s="31">
        <v>21.89</v>
      </c>
      <c r="BI88" s="31"/>
      <c r="BJ88" s="31"/>
      <c r="BK88" s="31"/>
      <c r="BL88" s="31"/>
      <c r="BM88" s="31">
        <v>275.48</v>
      </c>
      <c r="BN88" s="31"/>
      <c r="BO88" s="31"/>
      <c r="BP88" s="31"/>
      <c r="BQ88" s="31"/>
      <c r="BR88" s="31"/>
      <c r="BS88" s="31"/>
      <c r="BT88" s="31">
        <v>105.88</v>
      </c>
      <c r="BU88" s="31"/>
      <c r="BV88" s="31"/>
      <c r="BW88" s="31"/>
      <c r="BX88" s="31"/>
      <c r="BY88" s="31"/>
      <c r="BZ88" s="31"/>
      <c r="CA88" s="31"/>
      <c r="CB88" s="31"/>
      <c r="CC88" s="31">
        <v>66.989999999999995</v>
      </c>
      <c r="CD88" s="31"/>
      <c r="CE88" s="31"/>
      <c r="CF88" s="31"/>
      <c r="CG88" s="31"/>
      <c r="CH88" s="31"/>
      <c r="CI88" s="31"/>
      <c r="CJ88" s="31"/>
      <c r="CK88" s="31"/>
      <c r="CL88" s="31">
        <v>33.39</v>
      </c>
      <c r="CM88" s="31"/>
      <c r="CN88" s="31"/>
      <c r="CO88" s="24"/>
      <c r="CP88" s="24"/>
      <c r="CQ88" s="43">
        <f>Table2[[#This Row],[groupTime22]]/60</f>
        <v>4.5913333333333339</v>
      </c>
      <c r="CR88" s="43">
        <f>Table2[[#This Row],[groupTime23]]/60</f>
        <v>1.7646666666666666</v>
      </c>
      <c r="CS88" s="43">
        <f>Table2[[#This Row],[groupTime24]]/60</f>
        <v>1.1164999999999998</v>
      </c>
    </row>
    <row r="89" spans="1:97" x14ac:dyDescent="0.25">
      <c r="A89" s="11" t="s">
        <v>352</v>
      </c>
      <c r="B89" s="11" t="s">
        <v>113</v>
      </c>
      <c r="C89" s="11">
        <v>41</v>
      </c>
      <c r="D89" s="11" t="s">
        <v>520</v>
      </c>
      <c r="E89" s="11">
        <v>6</v>
      </c>
      <c r="F89" s="11" t="s">
        <v>79</v>
      </c>
      <c r="G89" s="11">
        <v>1538087073</v>
      </c>
      <c r="H89" s="11" t="s">
        <v>521</v>
      </c>
      <c r="I89" s="11" t="s">
        <v>520</v>
      </c>
      <c r="J89" s="11" t="s">
        <v>80</v>
      </c>
      <c r="K89" s="11" t="str">
        <f>IF(Table2[[#This Row],[priorSuccessRatio]]&lt;1,"yes","no")</f>
        <v>no</v>
      </c>
      <c r="L89" s="27">
        <f>VLOOKUP(Table2[[#This Row],[prolific]],'Correct calc'!B$16:$AJ$998,6,FALSE)</f>
        <v>1</v>
      </c>
      <c r="M89" s="27">
        <f>VLOOKUP(Table2[[#This Row],[prolific]],'Correct calc'!B$16:$AJ$998,14,FALSE)</f>
        <v>0.5</v>
      </c>
      <c r="N89" s="27">
        <f>VLOOKUP(Table2[[#This Row],[prolific]],'Correct calc'!B$16:$AJ1097,24,FALSE)</f>
        <v>0.625</v>
      </c>
      <c r="O89" s="27">
        <f>VLOOKUP(Table2[[#This Row],[prolific]],'Correct calc'!B$16:$AJ1097,34,FALSE)</f>
        <v>0.375</v>
      </c>
      <c r="P89" s="28">
        <f>VLOOKUP(Table2[[#This Row],[comprescore]],Table3[],2,FALSE)</f>
        <v>3</v>
      </c>
      <c r="Q89" s="16">
        <f>VLOOKUP(Table2[[#This Row],[prolific]],'Correct calc'!B$16:$AK$998,36,FALSE)</f>
        <v>11</v>
      </c>
      <c r="R89" s="16">
        <f>Table2[[#This Row],[interviewminutes]]</f>
        <v>8.3134999999999994</v>
      </c>
      <c r="S89" s="16">
        <f>Table2[[#This Row],[classifyTime]]+Table2[[#This Row],[explainTime]]+Table2[[#This Row],[validateTime]]</f>
        <v>7.0421666666666667</v>
      </c>
      <c r="T89" s="29">
        <f>VLOOKUP(Table2[[#This Row],[prolific]],'Correct calc'!B$16:$AJ$998,35,FALSE)</f>
        <v>0.5</v>
      </c>
      <c r="U89" s="15">
        <f>SUM(Table2[[#This Row],[priorKnowledge'[CLUSTERING']]:[priorKnowledge'[ZSCORES']]])/Table2[[#This Row],[priorKnowledgeTechQuestionCount]]</f>
        <v>3.3333333333333335</v>
      </c>
      <c r="V89" s="16">
        <f>IF(Table2[[#This Row],[visualization]]="Wordcloud",2,3)</f>
        <v>3</v>
      </c>
      <c r="W89" s="31" t="s">
        <v>1103</v>
      </c>
      <c r="X89" s="31">
        <v>2</v>
      </c>
      <c r="Y89" s="31">
        <v>4</v>
      </c>
      <c r="Z89" s="31">
        <v>4</v>
      </c>
      <c r="AA89" s="31">
        <v>10</v>
      </c>
      <c r="AB89" s="31" t="s">
        <v>97</v>
      </c>
      <c r="AC89" s="31" t="s">
        <v>81</v>
      </c>
      <c r="AD89" s="31" t="s">
        <v>82</v>
      </c>
      <c r="AE89" s="31" t="s">
        <v>86</v>
      </c>
      <c r="AF89" s="31" t="s">
        <v>83</v>
      </c>
      <c r="AG89" s="31" t="s">
        <v>86</v>
      </c>
      <c r="AH89" s="31" t="s">
        <v>84</v>
      </c>
      <c r="AI89" s="31" t="s">
        <v>85</v>
      </c>
      <c r="AJ89" s="31" t="s">
        <v>98</v>
      </c>
      <c r="AK89" s="31" t="s">
        <v>88</v>
      </c>
      <c r="AL89" s="31" t="s">
        <v>108</v>
      </c>
      <c r="AM89" s="31" t="s">
        <v>105</v>
      </c>
      <c r="AN89" s="31" t="s">
        <v>90</v>
      </c>
      <c r="AO89" s="31" t="s">
        <v>83</v>
      </c>
      <c r="AP89" s="31" t="s">
        <v>85</v>
      </c>
      <c r="AQ89" s="31" t="s">
        <v>101</v>
      </c>
      <c r="AR89" s="31" t="s">
        <v>101</v>
      </c>
      <c r="AS89" s="31" t="s">
        <v>94</v>
      </c>
      <c r="AT89" s="31" t="s">
        <v>94</v>
      </c>
      <c r="AU89" s="31" t="s">
        <v>93</v>
      </c>
      <c r="AV89" s="31" t="s">
        <v>94</v>
      </c>
      <c r="AW89" s="31" t="s">
        <v>93</v>
      </c>
      <c r="AX89" s="31" t="s">
        <v>94</v>
      </c>
      <c r="AY89" s="31" t="s">
        <v>94</v>
      </c>
      <c r="AZ89" s="31" t="s">
        <v>93</v>
      </c>
      <c r="BA89" s="31" t="s">
        <v>107</v>
      </c>
      <c r="BB89" s="31" t="s">
        <v>574</v>
      </c>
      <c r="BC89" s="24"/>
      <c r="BD89" s="30">
        <f>Table2[[#This Row],[interviewtime]]/60</f>
        <v>8.3134999999999994</v>
      </c>
      <c r="BE89" s="31">
        <v>498.81</v>
      </c>
      <c r="BF89" s="31">
        <v>4.71</v>
      </c>
      <c r="BG89" s="31"/>
      <c r="BH89" s="31">
        <v>25.58</v>
      </c>
      <c r="BI89" s="31"/>
      <c r="BJ89" s="31"/>
      <c r="BK89" s="31"/>
      <c r="BL89" s="31"/>
      <c r="BM89" s="31">
        <v>206.11</v>
      </c>
      <c r="BN89" s="31"/>
      <c r="BO89" s="31"/>
      <c r="BP89" s="31"/>
      <c r="BQ89" s="31"/>
      <c r="BR89" s="31"/>
      <c r="BS89" s="31"/>
      <c r="BT89" s="31">
        <v>119.63</v>
      </c>
      <c r="BU89" s="31"/>
      <c r="BV89" s="31"/>
      <c r="BW89" s="31"/>
      <c r="BX89" s="31"/>
      <c r="BY89" s="31"/>
      <c r="BZ89" s="31"/>
      <c r="CA89" s="31"/>
      <c r="CB89" s="31"/>
      <c r="CC89" s="31">
        <v>96.79</v>
      </c>
      <c r="CD89" s="31"/>
      <c r="CE89" s="31"/>
      <c r="CF89" s="31"/>
      <c r="CG89" s="31"/>
      <c r="CH89" s="31"/>
      <c r="CI89" s="31"/>
      <c r="CJ89" s="31"/>
      <c r="CK89" s="31"/>
      <c r="CL89" s="31">
        <v>45.99</v>
      </c>
      <c r="CM89" s="31"/>
      <c r="CN89" s="31"/>
      <c r="CO89" s="24"/>
      <c r="CP89" s="24"/>
      <c r="CQ89" s="43">
        <f>Table2[[#This Row],[groupTime22]]/60</f>
        <v>3.4351666666666669</v>
      </c>
      <c r="CR89" s="43">
        <f>Table2[[#This Row],[groupTime23]]/60</f>
        <v>1.9938333333333333</v>
      </c>
      <c r="CS89" s="43">
        <f>Table2[[#This Row],[groupTime24]]/60</f>
        <v>1.6131666666666669</v>
      </c>
    </row>
    <row r="90" spans="1:97" x14ac:dyDescent="0.25">
      <c r="A90" s="11" t="s">
        <v>352</v>
      </c>
      <c r="B90" s="11" t="s">
        <v>113</v>
      </c>
      <c r="C90" s="11">
        <v>42</v>
      </c>
      <c r="D90" s="11" t="s">
        <v>522</v>
      </c>
      <c r="E90" s="11">
        <v>6</v>
      </c>
      <c r="F90" s="11" t="s">
        <v>79</v>
      </c>
      <c r="G90" s="11">
        <v>1864317413</v>
      </c>
      <c r="H90" s="11" t="s">
        <v>523</v>
      </c>
      <c r="I90" s="11" t="s">
        <v>522</v>
      </c>
      <c r="J90" s="11" t="s">
        <v>80</v>
      </c>
      <c r="K90" s="11" t="str">
        <f>IF(Table2[[#This Row],[priorSuccessRatio]]&lt;1,"yes","no")</f>
        <v>no</v>
      </c>
      <c r="L90" s="27">
        <f>VLOOKUP(Table2[[#This Row],[prolific]],'Correct calc'!B$16:$AJ$998,6,FALSE)</f>
        <v>1</v>
      </c>
      <c r="M90" s="27">
        <f>VLOOKUP(Table2[[#This Row],[prolific]],'Correct calc'!B$16:$AJ$998,14,FALSE)</f>
        <v>0.66666666666666663</v>
      </c>
      <c r="N90" s="27">
        <f>VLOOKUP(Table2[[#This Row],[prolific]],'Correct calc'!B$16:$AJ1098,24,FALSE)</f>
        <v>0.75</v>
      </c>
      <c r="O90" s="27">
        <f>VLOOKUP(Table2[[#This Row],[prolific]],'Correct calc'!B$16:$AJ1098,34,FALSE)</f>
        <v>0.625</v>
      </c>
      <c r="P90" s="28">
        <f>VLOOKUP(Table2[[#This Row],[comprescore]],Table3[],2,FALSE)</f>
        <v>2</v>
      </c>
      <c r="Q90" s="16">
        <f>VLOOKUP(Table2[[#This Row],[prolific]],'Correct calc'!B$16:$AK$998,36,FALSE)</f>
        <v>15</v>
      </c>
      <c r="R90" s="16">
        <f>Table2[[#This Row],[interviewminutes]]</f>
        <v>12.0365</v>
      </c>
      <c r="S90" s="16">
        <f>Table2[[#This Row],[classifyTime]]+Table2[[#This Row],[explainTime]]+Table2[[#This Row],[validateTime]]</f>
        <v>10.976166666666666</v>
      </c>
      <c r="T90" s="29">
        <f>VLOOKUP(Table2[[#This Row],[prolific]],'Correct calc'!B$16:$AJ$998,35,FALSE)</f>
        <v>0.68181818181818177</v>
      </c>
      <c r="U90" s="15">
        <f>SUM(Table2[[#This Row],[priorKnowledge'[CLUSTERING']]:[priorKnowledge'[ZSCORES']]])/Table2[[#This Row],[priorKnowledgeTechQuestionCount]]</f>
        <v>2</v>
      </c>
      <c r="V90" s="16">
        <f>IF(Table2[[#This Row],[visualization]]="Wordcloud",2,3)</f>
        <v>3</v>
      </c>
      <c r="W90" s="31" t="s">
        <v>1104</v>
      </c>
      <c r="X90" s="31">
        <v>2</v>
      </c>
      <c r="Y90" s="31">
        <v>2</v>
      </c>
      <c r="Z90" s="31">
        <v>2</v>
      </c>
      <c r="AA90" s="31">
        <v>3</v>
      </c>
      <c r="AB90" s="31" t="s">
        <v>97</v>
      </c>
      <c r="AC90" s="31" t="s">
        <v>81</v>
      </c>
      <c r="AD90" s="31" t="s">
        <v>82</v>
      </c>
      <c r="AE90" s="31" t="s">
        <v>83</v>
      </c>
      <c r="AF90" s="31" t="s">
        <v>85</v>
      </c>
      <c r="AG90" s="31" t="s">
        <v>98</v>
      </c>
      <c r="AH90" s="31" t="s">
        <v>84</v>
      </c>
      <c r="AI90" s="31" t="s">
        <v>86</v>
      </c>
      <c r="AJ90" s="31" t="s">
        <v>98</v>
      </c>
      <c r="AK90" s="31" t="s">
        <v>88</v>
      </c>
      <c r="AL90" s="31" t="s">
        <v>87</v>
      </c>
      <c r="AM90" s="31" t="s">
        <v>285</v>
      </c>
      <c r="AN90" s="31" t="s">
        <v>90</v>
      </c>
      <c r="AO90" s="31" t="s">
        <v>83</v>
      </c>
      <c r="AP90" s="31" t="s">
        <v>85</v>
      </c>
      <c r="AQ90" s="31" t="s">
        <v>91</v>
      </c>
      <c r="AR90" s="31" t="s">
        <v>101</v>
      </c>
      <c r="AS90" s="31" t="s">
        <v>94</v>
      </c>
      <c r="AT90" s="31" t="s">
        <v>94</v>
      </c>
      <c r="AU90" s="31" t="s">
        <v>93</v>
      </c>
      <c r="AV90" s="31" t="s">
        <v>93</v>
      </c>
      <c r="AW90" s="31" t="s">
        <v>93</v>
      </c>
      <c r="AX90" s="31" t="s">
        <v>93</v>
      </c>
      <c r="AY90" s="31" t="s">
        <v>94</v>
      </c>
      <c r="AZ90" s="31" t="s">
        <v>93</v>
      </c>
      <c r="BA90" s="31" t="s">
        <v>106</v>
      </c>
      <c r="BB90" s="31"/>
      <c r="BC90" s="24"/>
      <c r="BD90" s="30">
        <f>Table2[[#This Row],[interviewtime]]/60</f>
        <v>12.0365</v>
      </c>
      <c r="BE90" s="31">
        <v>722.19</v>
      </c>
      <c r="BF90" s="31">
        <v>4.62</v>
      </c>
      <c r="BG90" s="31"/>
      <c r="BH90" s="31">
        <v>42.29</v>
      </c>
      <c r="BI90" s="31"/>
      <c r="BJ90" s="31"/>
      <c r="BK90" s="31"/>
      <c r="BL90" s="31"/>
      <c r="BM90" s="31">
        <v>353.2</v>
      </c>
      <c r="BN90" s="31"/>
      <c r="BO90" s="31"/>
      <c r="BP90" s="31"/>
      <c r="BQ90" s="31"/>
      <c r="BR90" s="31"/>
      <c r="BS90" s="31"/>
      <c r="BT90" s="31">
        <v>193.07</v>
      </c>
      <c r="BU90" s="31"/>
      <c r="BV90" s="31"/>
      <c r="BW90" s="31"/>
      <c r="BX90" s="31"/>
      <c r="BY90" s="31"/>
      <c r="BZ90" s="31"/>
      <c r="CA90" s="31"/>
      <c r="CB90" s="31"/>
      <c r="CC90" s="31">
        <v>112.3</v>
      </c>
      <c r="CD90" s="31"/>
      <c r="CE90" s="31"/>
      <c r="CF90" s="31"/>
      <c r="CG90" s="31"/>
      <c r="CH90" s="31"/>
      <c r="CI90" s="31"/>
      <c r="CJ90" s="31"/>
      <c r="CK90" s="31"/>
      <c r="CL90" s="31">
        <v>16.71</v>
      </c>
      <c r="CM90" s="31"/>
      <c r="CN90" s="31"/>
      <c r="CO90" s="24"/>
      <c r="CP90" s="24"/>
      <c r="CQ90" s="43">
        <f>Table2[[#This Row],[groupTime22]]/60</f>
        <v>5.8866666666666667</v>
      </c>
      <c r="CR90" s="43">
        <f>Table2[[#This Row],[groupTime23]]/60</f>
        <v>3.2178333333333331</v>
      </c>
      <c r="CS90" s="43">
        <f>Table2[[#This Row],[groupTime24]]/60</f>
        <v>1.8716666666666666</v>
      </c>
    </row>
    <row r="91" spans="1:97" x14ac:dyDescent="0.25">
      <c r="A91" s="36" t="s">
        <v>638</v>
      </c>
      <c r="B91" s="11" t="s">
        <v>113</v>
      </c>
      <c r="C91" s="11">
        <v>45</v>
      </c>
      <c r="D91" s="11" t="s">
        <v>639</v>
      </c>
      <c r="E91" s="11">
        <v>6</v>
      </c>
      <c r="F91" s="11" t="s">
        <v>79</v>
      </c>
      <c r="G91" s="11">
        <v>494328001</v>
      </c>
      <c r="H91" s="11" t="s">
        <v>640</v>
      </c>
      <c r="I91" s="11" t="s">
        <v>639</v>
      </c>
      <c r="J91" s="11" t="s">
        <v>589</v>
      </c>
      <c r="K91" s="37" t="str">
        <f>IF(Table2[[#This Row],[priorSuccessRatio]]&lt;1,"yes","no")</f>
        <v>no</v>
      </c>
      <c r="L91" s="38">
        <f>VLOOKUP(Table2[[#This Row],[prolific]],'Correct calc'!B$16:$AJ$998,6,FALSE)</f>
        <v>1</v>
      </c>
      <c r="M91" s="27">
        <f>VLOOKUP(Table2[[#This Row],[prolific]],'Correct calc'!B$16:$AJ$998,14,FALSE)</f>
        <v>0.66666666666666663</v>
      </c>
      <c r="N91" s="27">
        <f>VLOOKUP(Table2[[#This Row],[prolific]],'Correct calc'!B$16:$AJ1113,24,FALSE)</f>
        <v>0.625</v>
      </c>
      <c r="O91" s="38">
        <f>VLOOKUP(Table2[[#This Row],[prolific]],'Correct calc'!B$16:$AJ1113,34,FALSE)</f>
        <v>0.625</v>
      </c>
      <c r="P91" s="39">
        <f>VLOOKUP(Table2[[#This Row],[comprescore]],Table3[],2,FALSE)</f>
        <v>5</v>
      </c>
      <c r="Q91" s="40">
        <f>VLOOKUP(Table2[[#This Row],[prolific]],'Correct calc'!B$16:$AK$998,36,FALSE)</f>
        <v>14</v>
      </c>
      <c r="R91" s="40">
        <f>Table2[[#This Row],[interviewminutes]]</f>
        <v>13.490833333333335</v>
      </c>
      <c r="S91" s="40">
        <f>Table2[[#This Row],[classifyTime]]+Table2[[#This Row],[explainTime]]+Table2[[#This Row],[validateTime]]</f>
        <v>12.003666666666666</v>
      </c>
      <c r="T91" s="41">
        <f>VLOOKUP(Table2[[#This Row],[prolific]],'Correct calc'!B$16:$AJ$998,35,FALSE)</f>
        <v>0.63636363636363635</v>
      </c>
      <c r="U91" s="42">
        <f>SUM(Table2[[#This Row],[priorKnowledge'[CLUSTERING']]:[priorKnowledge'[ZSCORES']]])/Table2[[#This Row],[priorKnowledgeTechQuestionCount]]</f>
        <v>2</v>
      </c>
      <c r="V91" s="40">
        <f>IF(Table2[[#This Row],[visualization]]="Wordcloud",2,3)</f>
        <v>3</v>
      </c>
      <c r="W91" s="31" t="s">
        <v>1105</v>
      </c>
      <c r="X91" s="31">
        <v>2</v>
      </c>
      <c r="Y91" s="31">
        <v>2</v>
      </c>
      <c r="Z91" s="31">
        <v>2</v>
      </c>
      <c r="AA91" s="31">
        <v>2</v>
      </c>
      <c r="AB91" s="31" t="s">
        <v>97</v>
      </c>
      <c r="AC91" s="31" t="s">
        <v>81</v>
      </c>
      <c r="AD91" s="31" t="s">
        <v>82</v>
      </c>
      <c r="AE91" s="31" t="s">
        <v>83</v>
      </c>
      <c r="AF91" s="31" t="s">
        <v>85</v>
      </c>
      <c r="AG91" s="31" t="s">
        <v>86</v>
      </c>
      <c r="AH91" s="31" t="s">
        <v>104</v>
      </c>
      <c r="AI91" s="31" t="s">
        <v>104</v>
      </c>
      <c r="AJ91" s="31" t="s">
        <v>84</v>
      </c>
      <c r="AK91" s="31" t="s">
        <v>88</v>
      </c>
      <c r="AL91" s="31" t="s">
        <v>108</v>
      </c>
      <c r="AM91" s="31" t="s">
        <v>105</v>
      </c>
      <c r="AN91" s="31" t="s">
        <v>90</v>
      </c>
      <c r="AO91" s="31" t="s">
        <v>83</v>
      </c>
      <c r="AP91" s="31" t="s">
        <v>85</v>
      </c>
      <c r="AQ91" s="31" t="s">
        <v>101</v>
      </c>
      <c r="AR91" s="31" t="s">
        <v>101</v>
      </c>
      <c r="AS91" s="31" t="s">
        <v>94</v>
      </c>
      <c r="AT91" s="31" t="s">
        <v>94</v>
      </c>
      <c r="AU91" s="31" t="s">
        <v>94</v>
      </c>
      <c r="AV91" s="31" t="s">
        <v>93</v>
      </c>
      <c r="AW91" s="31" t="s">
        <v>93</v>
      </c>
      <c r="AX91" s="31" t="s">
        <v>94</v>
      </c>
      <c r="AY91" s="31" t="s">
        <v>94</v>
      </c>
      <c r="AZ91" s="31" t="s">
        <v>93</v>
      </c>
      <c r="BA91" s="31" t="s">
        <v>110</v>
      </c>
      <c r="BB91" s="31"/>
      <c r="BC91" s="43"/>
      <c r="BD91" s="44">
        <f>Table2[[#This Row],[interviewtime]]/60</f>
        <v>13.490833333333335</v>
      </c>
      <c r="BE91" s="31">
        <v>809.45</v>
      </c>
      <c r="BF91" s="31">
        <v>11.3</v>
      </c>
      <c r="BG91" s="31"/>
      <c r="BH91" s="31">
        <v>64.209999999999994</v>
      </c>
      <c r="BI91" s="31"/>
      <c r="BJ91" s="31"/>
      <c r="BK91" s="31"/>
      <c r="BL91" s="31"/>
      <c r="BM91" s="31">
        <v>327.37</v>
      </c>
      <c r="BN91" s="31"/>
      <c r="BO91" s="31"/>
      <c r="BP91" s="31"/>
      <c r="BQ91" s="31"/>
      <c r="BR91" s="31"/>
      <c r="BS91" s="31"/>
      <c r="BT91" s="31">
        <v>219.55</v>
      </c>
      <c r="BU91" s="31"/>
      <c r="BV91" s="31"/>
      <c r="BW91" s="31"/>
      <c r="BX91" s="31"/>
      <c r="BY91" s="31"/>
      <c r="BZ91" s="31"/>
      <c r="CA91" s="31"/>
      <c r="CB91" s="31"/>
      <c r="CC91" s="31">
        <v>173.3</v>
      </c>
      <c r="CD91" s="31"/>
      <c r="CE91" s="31"/>
      <c r="CF91" s="31"/>
      <c r="CG91" s="31"/>
      <c r="CH91" s="31"/>
      <c r="CI91" s="31"/>
      <c r="CJ91" s="31"/>
      <c r="CK91" s="31"/>
      <c r="CL91" s="31">
        <v>13.72</v>
      </c>
      <c r="CM91" s="43"/>
      <c r="CN91" s="43"/>
      <c r="CO91" s="43"/>
      <c r="CP91" s="43"/>
      <c r="CQ91" s="43">
        <f>Table2[[#This Row],[groupTime22]]/60</f>
        <v>5.4561666666666664</v>
      </c>
      <c r="CR91" s="43">
        <f>Table2[[#This Row],[groupTime23]]/60</f>
        <v>3.6591666666666667</v>
      </c>
      <c r="CS91" s="43">
        <f>Table2[[#This Row],[groupTime24]]/60</f>
        <v>2.8883333333333336</v>
      </c>
    </row>
    <row r="92" spans="1:97" x14ac:dyDescent="0.25">
      <c r="A92" s="36" t="s">
        <v>638</v>
      </c>
      <c r="B92" s="11" t="s">
        <v>113</v>
      </c>
      <c r="C92" s="11">
        <v>46</v>
      </c>
      <c r="D92" s="11" t="s">
        <v>641</v>
      </c>
      <c r="E92" s="11">
        <v>6</v>
      </c>
      <c r="F92" s="11" t="s">
        <v>79</v>
      </c>
      <c r="G92" s="11">
        <v>907359327</v>
      </c>
      <c r="H92" s="11" t="s">
        <v>642</v>
      </c>
      <c r="I92" s="11" t="s">
        <v>641</v>
      </c>
      <c r="J92" s="11" t="s">
        <v>589</v>
      </c>
      <c r="K92" s="37" t="str">
        <f>IF(Table2[[#This Row],[priorSuccessRatio]]&lt;1,"yes","no")</f>
        <v>no</v>
      </c>
      <c r="L92" s="38">
        <f>VLOOKUP(Table2[[#This Row],[prolific]],'Correct calc'!B$16:$AJ$998,6,FALSE)</f>
        <v>1</v>
      </c>
      <c r="M92" s="27">
        <f>VLOOKUP(Table2[[#This Row],[prolific]],'Correct calc'!B$16:$AJ$998,14,FALSE)</f>
        <v>0.33333333333333331</v>
      </c>
      <c r="N92" s="27">
        <f>VLOOKUP(Table2[[#This Row],[prolific]],'Correct calc'!B$16:$AJ1114,24,FALSE)</f>
        <v>0.75</v>
      </c>
      <c r="O92" s="38">
        <f>VLOOKUP(Table2[[#This Row],[prolific]],'Correct calc'!B$16:$AJ1114,34,FALSE)</f>
        <v>0.75</v>
      </c>
      <c r="P92" s="39">
        <f>VLOOKUP(Table2[[#This Row],[comprescore]],Table3[],2,FALSE)</f>
        <v>3</v>
      </c>
      <c r="Q92" s="40">
        <f>VLOOKUP(Table2[[#This Row],[prolific]],'Correct calc'!B$16:$AK$998,36,FALSE)</f>
        <v>14</v>
      </c>
      <c r="R92" s="40">
        <f>Table2[[#This Row],[interviewminutes]]</f>
        <v>14.912166666666668</v>
      </c>
      <c r="S92" s="40">
        <f>Table2[[#This Row],[classifyTime]]+Table2[[#This Row],[explainTime]]+Table2[[#This Row],[validateTime]]</f>
        <v>11.683166666666667</v>
      </c>
      <c r="T92" s="41">
        <f>VLOOKUP(Table2[[#This Row],[prolific]],'Correct calc'!B$16:$AJ$998,35,FALSE)</f>
        <v>0.63636363636363635</v>
      </c>
      <c r="U92" s="42">
        <f>SUM(Table2[[#This Row],[priorKnowledge'[CLUSTERING']]:[priorKnowledge'[ZSCORES']]])/Table2[[#This Row],[priorKnowledgeTechQuestionCount]]</f>
        <v>1</v>
      </c>
      <c r="V92" s="40">
        <f>IF(Table2[[#This Row],[visualization]]="Wordcloud",2,3)</f>
        <v>3</v>
      </c>
      <c r="W92" s="31" t="s">
        <v>1106</v>
      </c>
      <c r="X92" s="31">
        <v>1</v>
      </c>
      <c r="Y92" s="31">
        <v>1</v>
      </c>
      <c r="Z92" s="31">
        <v>1</v>
      </c>
      <c r="AA92" s="31">
        <v>4</v>
      </c>
      <c r="AB92" s="31" t="s">
        <v>97</v>
      </c>
      <c r="AC92" s="31" t="s">
        <v>81</v>
      </c>
      <c r="AD92" s="31" t="s">
        <v>82</v>
      </c>
      <c r="AE92" s="31" t="s">
        <v>83</v>
      </c>
      <c r="AF92" s="31" t="s">
        <v>86</v>
      </c>
      <c r="AG92" s="31" t="s">
        <v>98</v>
      </c>
      <c r="AH92" s="31" t="s">
        <v>84</v>
      </c>
      <c r="AI92" s="31" t="s">
        <v>85</v>
      </c>
      <c r="AJ92" s="31" t="s">
        <v>104</v>
      </c>
      <c r="AK92" s="31" t="s">
        <v>88</v>
      </c>
      <c r="AL92" s="31" t="s">
        <v>87</v>
      </c>
      <c r="AM92" s="31" t="s">
        <v>105</v>
      </c>
      <c r="AN92" s="31" t="s">
        <v>90</v>
      </c>
      <c r="AO92" s="31" t="s">
        <v>83</v>
      </c>
      <c r="AP92" s="31" t="s">
        <v>85</v>
      </c>
      <c r="AQ92" s="31" t="s">
        <v>111</v>
      </c>
      <c r="AR92" s="31" t="s">
        <v>92</v>
      </c>
      <c r="AS92" s="31" t="s">
        <v>94</v>
      </c>
      <c r="AT92" s="31" t="s">
        <v>94</v>
      </c>
      <c r="AU92" s="31" t="s">
        <v>94</v>
      </c>
      <c r="AV92" s="31" t="s">
        <v>93</v>
      </c>
      <c r="AW92" s="31" t="s">
        <v>94</v>
      </c>
      <c r="AX92" s="31" t="s">
        <v>94</v>
      </c>
      <c r="AY92" s="31" t="s">
        <v>94</v>
      </c>
      <c r="AZ92" s="31" t="s">
        <v>93</v>
      </c>
      <c r="BA92" s="31" t="s">
        <v>107</v>
      </c>
      <c r="BB92" s="31"/>
      <c r="BC92" s="43"/>
      <c r="BD92" s="44">
        <f>Table2[[#This Row],[interviewtime]]/60</f>
        <v>14.912166666666668</v>
      </c>
      <c r="BE92" s="31">
        <v>894.73</v>
      </c>
      <c r="BF92" s="31">
        <v>6.31</v>
      </c>
      <c r="BG92" s="31"/>
      <c r="BH92" s="31">
        <v>161.99</v>
      </c>
      <c r="BI92" s="31"/>
      <c r="BJ92" s="31"/>
      <c r="BK92" s="31"/>
      <c r="BL92" s="31"/>
      <c r="BM92" s="31">
        <v>228.93</v>
      </c>
      <c r="BN92" s="31"/>
      <c r="BO92" s="31"/>
      <c r="BP92" s="31"/>
      <c r="BQ92" s="31"/>
      <c r="BR92" s="31"/>
      <c r="BS92" s="31"/>
      <c r="BT92" s="31">
        <v>277.39</v>
      </c>
      <c r="BU92" s="31"/>
      <c r="BV92" s="31"/>
      <c r="BW92" s="31"/>
      <c r="BX92" s="31"/>
      <c r="BY92" s="31"/>
      <c r="BZ92" s="31"/>
      <c r="CA92" s="31"/>
      <c r="CB92" s="31"/>
      <c r="CC92" s="31">
        <v>194.67</v>
      </c>
      <c r="CD92" s="31"/>
      <c r="CE92" s="31"/>
      <c r="CF92" s="31"/>
      <c r="CG92" s="31"/>
      <c r="CH92" s="31"/>
      <c r="CI92" s="31"/>
      <c r="CJ92" s="31"/>
      <c r="CK92" s="31"/>
      <c r="CL92" s="31">
        <v>25.44</v>
      </c>
      <c r="CM92" s="43"/>
      <c r="CN92" s="43"/>
      <c r="CO92" s="43"/>
      <c r="CP92" s="43"/>
      <c r="CQ92" s="43">
        <f>Table2[[#This Row],[groupTime22]]/60</f>
        <v>3.8155000000000001</v>
      </c>
      <c r="CR92" s="43">
        <f>Table2[[#This Row],[groupTime23]]/60</f>
        <v>4.6231666666666662</v>
      </c>
      <c r="CS92" s="43">
        <f>Table2[[#This Row],[groupTime24]]/60</f>
        <v>3.2444999999999999</v>
      </c>
    </row>
    <row r="93" spans="1:97" x14ac:dyDescent="0.25">
      <c r="A93" s="36" t="s">
        <v>638</v>
      </c>
      <c r="B93" s="11" t="s">
        <v>113</v>
      </c>
      <c r="C93" s="11">
        <v>47</v>
      </c>
      <c r="D93" s="11" t="s">
        <v>643</v>
      </c>
      <c r="E93" s="11">
        <v>6</v>
      </c>
      <c r="F93" s="11" t="s">
        <v>79</v>
      </c>
      <c r="G93" s="11">
        <v>371178936</v>
      </c>
      <c r="H93" s="11" t="s">
        <v>644</v>
      </c>
      <c r="I93" s="11" t="s">
        <v>643</v>
      </c>
      <c r="J93" s="11" t="s">
        <v>594</v>
      </c>
      <c r="K93" s="37" t="str">
        <f>IF(Table2[[#This Row],[priorSuccessRatio]]&lt;1,"yes","no")</f>
        <v>no</v>
      </c>
      <c r="L93" s="38">
        <f>VLOOKUP(Table2[[#This Row],[prolific]],'Correct calc'!B$16:$AJ$998,6,FALSE)</f>
        <v>1</v>
      </c>
      <c r="M93" s="27">
        <f>VLOOKUP(Table2[[#This Row],[prolific]],'Correct calc'!B$16:$AJ$998,14,FALSE)</f>
        <v>0.66666666666666663</v>
      </c>
      <c r="N93" s="27">
        <f>VLOOKUP(Table2[[#This Row],[prolific]],'Correct calc'!B$16:$AJ1115,24,FALSE)</f>
        <v>0.875</v>
      </c>
      <c r="O93" s="38">
        <f>VLOOKUP(Table2[[#This Row],[prolific]],'Correct calc'!B$16:$AJ1115,34,FALSE)</f>
        <v>0.625</v>
      </c>
      <c r="P93" s="39">
        <f>VLOOKUP(Table2[[#This Row],[comprescore]],Table3[],2,FALSE)</f>
        <v>4</v>
      </c>
      <c r="Q93" s="40">
        <f>VLOOKUP(Table2[[#This Row],[prolific]],'Correct calc'!B$16:$AK$998,36,FALSE)</f>
        <v>16</v>
      </c>
      <c r="R93" s="40">
        <f>Table2[[#This Row],[interviewminutes]]</f>
        <v>8.548</v>
      </c>
      <c r="S93" s="40">
        <f>Table2[[#This Row],[classifyTime]]+Table2[[#This Row],[explainTime]]+Table2[[#This Row],[validateTime]]</f>
        <v>7.7138333333333327</v>
      </c>
      <c r="T93" s="41">
        <f>VLOOKUP(Table2[[#This Row],[prolific]],'Correct calc'!B$16:$AJ$998,35,FALSE)</f>
        <v>0.72727272727272729</v>
      </c>
      <c r="U93" s="42">
        <f>SUM(Table2[[#This Row],[priorKnowledge'[CLUSTERING']]:[priorKnowledge'[ZSCORES']]])/Table2[[#This Row],[priorKnowledgeTechQuestionCount]]</f>
        <v>1.6666666666666667</v>
      </c>
      <c r="V93" s="40">
        <f>IF(Table2[[#This Row],[visualization]]="Wordcloud",2,3)</f>
        <v>3</v>
      </c>
      <c r="W93" s="31" t="s">
        <v>1107</v>
      </c>
      <c r="X93" s="31">
        <v>3</v>
      </c>
      <c r="Y93" s="31">
        <v>1</v>
      </c>
      <c r="Z93" s="31">
        <v>1</v>
      </c>
      <c r="AA93" s="31">
        <v>3</v>
      </c>
      <c r="AB93" s="31" t="s">
        <v>97</v>
      </c>
      <c r="AC93" s="31" t="s">
        <v>81</v>
      </c>
      <c r="AD93" s="31" t="s">
        <v>82</v>
      </c>
      <c r="AE93" s="31" t="s">
        <v>83</v>
      </c>
      <c r="AF93" s="31" t="s">
        <v>86</v>
      </c>
      <c r="AG93" s="31" t="s">
        <v>86</v>
      </c>
      <c r="AH93" s="31" t="s">
        <v>84</v>
      </c>
      <c r="AI93" s="31" t="s">
        <v>85</v>
      </c>
      <c r="AJ93" s="31" t="s">
        <v>98</v>
      </c>
      <c r="AK93" s="31" t="s">
        <v>88</v>
      </c>
      <c r="AL93" s="31" t="s">
        <v>87</v>
      </c>
      <c r="AM93" s="31" t="s">
        <v>105</v>
      </c>
      <c r="AN93" s="31" t="s">
        <v>90</v>
      </c>
      <c r="AO93" s="31" t="s">
        <v>83</v>
      </c>
      <c r="AP93" s="31" t="s">
        <v>85</v>
      </c>
      <c r="AQ93" s="31" t="s">
        <v>92</v>
      </c>
      <c r="AR93" s="31" t="s">
        <v>102</v>
      </c>
      <c r="AS93" s="31" t="s">
        <v>94</v>
      </c>
      <c r="AT93" s="31" t="s">
        <v>94</v>
      </c>
      <c r="AU93" s="31" t="s">
        <v>93</v>
      </c>
      <c r="AV93" s="31" t="s">
        <v>93</v>
      </c>
      <c r="AW93" s="31" t="s">
        <v>93</v>
      </c>
      <c r="AX93" s="31" t="s">
        <v>93</v>
      </c>
      <c r="AY93" s="31" t="s">
        <v>94</v>
      </c>
      <c r="AZ93" s="31" t="s">
        <v>93</v>
      </c>
      <c r="BA93" s="31" t="s">
        <v>103</v>
      </c>
      <c r="BB93" s="31" t="s">
        <v>695</v>
      </c>
      <c r="BC93" s="43"/>
      <c r="BD93" s="44">
        <f>Table2[[#This Row],[interviewtime]]/60</f>
        <v>8.548</v>
      </c>
      <c r="BE93" s="31">
        <v>512.88</v>
      </c>
      <c r="BF93" s="31">
        <v>4.49</v>
      </c>
      <c r="BG93" s="31"/>
      <c r="BH93" s="31">
        <v>24.44</v>
      </c>
      <c r="BI93" s="31"/>
      <c r="BJ93" s="31"/>
      <c r="BK93" s="31"/>
      <c r="BL93" s="31"/>
      <c r="BM93" s="31">
        <v>248.45</v>
      </c>
      <c r="BN93" s="31"/>
      <c r="BO93" s="31"/>
      <c r="BP93" s="31"/>
      <c r="BQ93" s="31"/>
      <c r="BR93" s="31"/>
      <c r="BS93" s="31"/>
      <c r="BT93" s="31">
        <v>136.19999999999999</v>
      </c>
      <c r="BU93" s="31"/>
      <c r="BV93" s="31"/>
      <c r="BW93" s="31"/>
      <c r="BX93" s="31"/>
      <c r="BY93" s="31"/>
      <c r="BZ93" s="31"/>
      <c r="CA93" s="31"/>
      <c r="CB93" s="31"/>
      <c r="CC93" s="31">
        <v>78.180000000000007</v>
      </c>
      <c r="CD93" s="31"/>
      <c r="CE93" s="31"/>
      <c r="CF93" s="31"/>
      <c r="CG93" s="31"/>
      <c r="CH93" s="31"/>
      <c r="CI93" s="31"/>
      <c r="CJ93" s="31"/>
      <c r="CK93" s="31"/>
      <c r="CL93" s="31">
        <v>21.12</v>
      </c>
      <c r="CM93" s="43"/>
      <c r="CN93" s="43"/>
      <c r="CO93" s="43"/>
      <c r="CP93" s="43"/>
      <c r="CQ93" s="43">
        <f>Table2[[#This Row],[groupTime22]]/60</f>
        <v>4.1408333333333331</v>
      </c>
      <c r="CR93" s="43">
        <f>Table2[[#This Row],[groupTime23]]/60</f>
        <v>2.27</v>
      </c>
      <c r="CS93" s="43">
        <f>Table2[[#This Row],[groupTime24]]/60</f>
        <v>1.3030000000000002</v>
      </c>
    </row>
    <row r="94" spans="1:97" x14ac:dyDescent="0.25">
      <c r="A94" s="36" t="s">
        <v>638</v>
      </c>
      <c r="B94" s="11" t="s">
        <v>113</v>
      </c>
      <c r="C94" s="11">
        <v>48</v>
      </c>
      <c r="D94" s="11" t="s">
        <v>645</v>
      </c>
      <c r="E94" s="11">
        <v>6</v>
      </c>
      <c r="F94" s="11" t="s">
        <v>79</v>
      </c>
      <c r="G94" s="11">
        <v>1988159186</v>
      </c>
      <c r="H94" s="11" t="s">
        <v>646</v>
      </c>
      <c r="I94" s="11" t="s">
        <v>645</v>
      </c>
      <c r="J94" s="11" t="s">
        <v>586</v>
      </c>
      <c r="K94" s="37" t="str">
        <f>IF(Table2[[#This Row],[priorSuccessRatio]]&lt;1,"yes","no")</f>
        <v>no</v>
      </c>
      <c r="L94" s="38">
        <f>VLOOKUP(Table2[[#This Row],[prolific]],'Correct calc'!B$16:$AJ$998,6,FALSE)</f>
        <v>1</v>
      </c>
      <c r="M94" s="27">
        <f>VLOOKUP(Table2[[#This Row],[prolific]],'Correct calc'!B$16:$AJ$998,14,FALSE)</f>
        <v>0.33333333333333331</v>
      </c>
      <c r="N94" s="27">
        <f>VLOOKUP(Table2[[#This Row],[prolific]],'Correct calc'!B$16:$AJ1116,24,FALSE)</f>
        <v>0.875</v>
      </c>
      <c r="O94" s="38">
        <f>VLOOKUP(Table2[[#This Row],[prolific]],'Correct calc'!B$16:$AJ1116,34,FALSE)</f>
        <v>0.75</v>
      </c>
      <c r="P94" s="39">
        <f>VLOOKUP(Table2[[#This Row],[comprescore]],Table3[],2,FALSE)</f>
        <v>4</v>
      </c>
      <c r="Q94" s="40">
        <f>VLOOKUP(Table2[[#This Row],[prolific]],'Correct calc'!B$16:$AK$998,36,FALSE)</f>
        <v>15</v>
      </c>
      <c r="R94" s="40">
        <f>Table2[[#This Row],[interviewminutes]]</f>
        <v>33.483166666666669</v>
      </c>
      <c r="S94" s="40">
        <f>Table2[[#This Row],[classifyTime]]+Table2[[#This Row],[explainTime]]+Table2[[#This Row],[validateTime]]</f>
        <v>29.299833333333336</v>
      </c>
      <c r="T94" s="41">
        <f>VLOOKUP(Table2[[#This Row],[prolific]],'Correct calc'!B$16:$AJ$998,35,FALSE)</f>
        <v>0.68181818181818177</v>
      </c>
      <c r="U94" s="42">
        <f>SUM(Table2[[#This Row],[priorKnowledge'[CLUSTERING']]:[priorKnowledge'[ZSCORES']]])/Table2[[#This Row],[priorKnowledgeTechQuestionCount]]</f>
        <v>2</v>
      </c>
      <c r="V94" s="40">
        <f>IF(Table2[[#This Row],[visualization]]="Wordcloud",2,3)</f>
        <v>3</v>
      </c>
      <c r="W94" s="31" t="s">
        <v>1108</v>
      </c>
      <c r="X94" s="31">
        <v>2</v>
      </c>
      <c r="Y94" s="31">
        <v>3</v>
      </c>
      <c r="Z94" s="31">
        <v>1</v>
      </c>
      <c r="AA94" s="31">
        <v>5</v>
      </c>
      <c r="AB94" s="31" t="s">
        <v>97</v>
      </c>
      <c r="AC94" s="31" t="s">
        <v>81</v>
      </c>
      <c r="AD94" s="31" t="s">
        <v>82</v>
      </c>
      <c r="AE94" s="31" t="s">
        <v>83</v>
      </c>
      <c r="AF94" s="31" t="s">
        <v>84</v>
      </c>
      <c r="AG94" s="31" t="s">
        <v>98</v>
      </c>
      <c r="AH94" s="31" t="s">
        <v>84</v>
      </c>
      <c r="AI94" s="31" t="s">
        <v>86</v>
      </c>
      <c r="AJ94" s="31" t="s">
        <v>84</v>
      </c>
      <c r="AK94" s="31" t="s">
        <v>88</v>
      </c>
      <c r="AL94" s="31" t="s">
        <v>87</v>
      </c>
      <c r="AM94" s="31" t="s">
        <v>105</v>
      </c>
      <c r="AN94" s="31" t="s">
        <v>90</v>
      </c>
      <c r="AO94" s="31" t="s">
        <v>83</v>
      </c>
      <c r="AP94" s="31" t="s">
        <v>85</v>
      </c>
      <c r="AQ94" s="31" t="s">
        <v>101</v>
      </c>
      <c r="AR94" s="31" t="s">
        <v>102</v>
      </c>
      <c r="AS94" s="31" t="s">
        <v>94</v>
      </c>
      <c r="AT94" s="31" t="s">
        <v>94</v>
      </c>
      <c r="AU94" s="31" t="s">
        <v>94</v>
      </c>
      <c r="AV94" s="31" t="s">
        <v>93</v>
      </c>
      <c r="AW94" s="31" t="s">
        <v>93</v>
      </c>
      <c r="AX94" s="31" t="s">
        <v>93</v>
      </c>
      <c r="AY94" s="31" t="s">
        <v>94</v>
      </c>
      <c r="AZ94" s="31" t="s">
        <v>93</v>
      </c>
      <c r="BA94" s="31" t="s">
        <v>103</v>
      </c>
      <c r="BB94" s="31" t="s">
        <v>697</v>
      </c>
      <c r="BC94" s="43"/>
      <c r="BD94" s="44">
        <f>Table2[[#This Row],[interviewtime]]/60</f>
        <v>33.483166666666669</v>
      </c>
      <c r="BE94" s="31">
        <v>2008.99</v>
      </c>
      <c r="BF94" s="31">
        <v>33.549999999999997</v>
      </c>
      <c r="BG94" s="31"/>
      <c r="BH94" s="31">
        <v>84.65</v>
      </c>
      <c r="BI94" s="31"/>
      <c r="BJ94" s="31"/>
      <c r="BK94" s="31"/>
      <c r="BL94" s="31"/>
      <c r="BM94" s="31">
        <v>894.23</v>
      </c>
      <c r="BN94" s="31"/>
      <c r="BO94" s="31"/>
      <c r="BP94" s="31"/>
      <c r="BQ94" s="31"/>
      <c r="BR94" s="31"/>
      <c r="BS94" s="31"/>
      <c r="BT94" s="31">
        <v>645.88</v>
      </c>
      <c r="BU94" s="31"/>
      <c r="BV94" s="31"/>
      <c r="BW94" s="31"/>
      <c r="BX94" s="31"/>
      <c r="BY94" s="31"/>
      <c r="BZ94" s="31"/>
      <c r="CA94" s="31"/>
      <c r="CB94" s="31"/>
      <c r="CC94" s="31">
        <v>217.88</v>
      </c>
      <c r="CD94" s="31"/>
      <c r="CE94" s="31"/>
      <c r="CF94" s="31"/>
      <c r="CG94" s="31"/>
      <c r="CH94" s="31"/>
      <c r="CI94" s="31"/>
      <c r="CJ94" s="31"/>
      <c r="CK94" s="31"/>
      <c r="CL94" s="31">
        <v>132.80000000000001</v>
      </c>
      <c r="CM94" s="43"/>
      <c r="CN94" s="43"/>
      <c r="CO94" s="43"/>
      <c r="CP94" s="43"/>
      <c r="CQ94" s="43">
        <f>Table2[[#This Row],[groupTime22]]/60</f>
        <v>14.903833333333333</v>
      </c>
      <c r="CR94" s="43">
        <f>Table2[[#This Row],[groupTime23]]/60</f>
        <v>10.764666666666667</v>
      </c>
      <c r="CS94" s="43">
        <f>Table2[[#This Row],[groupTime24]]/60</f>
        <v>3.6313333333333331</v>
      </c>
    </row>
    <row r="95" spans="1:97" x14ac:dyDescent="0.25">
      <c r="A95" s="36" t="s">
        <v>638</v>
      </c>
      <c r="B95" s="11" t="s">
        <v>113</v>
      </c>
      <c r="C95" s="11">
        <v>49</v>
      </c>
      <c r="D95" s="11" t="s">
        <v>647</v>
      </c>
      <c r="E95" s="11">
        <v>6</v>
      </c>
      <c r="F95" s="11" t="s">
        <v>79</v>
      </c>
      <c r="G95" s="11">
        <v>2023474583</v>
      </c>
      <c r="H95" s="11" t="s">
        <v>648</v>
      </c>
      <c r="I95" s="11" t="s">
        <v>647</v>
      </c>
      <c r="J95" s="11" t="s">
        <v>589</v>
      </c>
      <c r="K95" s="37" t="str">
        <f>IF(Table2[[#This Row],[priorSuccessRatio]]&lt;1,"yes","no")</f>
        <v>no</v>
      </c>
      <c r="L95" s="38">
        <f>VLOOKUP(Table2[[#This Row],[prolific]],'Correct calc'!B$16:$AJ$998,6,FALSE)</f>
        <v>1</v>
      </c>
      <c r="M95" s="27">
        <f>VLOOKUP(Table2[[#This Row],[prolific]],'Correct calc'!B$16:$AJ$998,14,FALSE)</f>
        <v>0.83333333333333337</v>
      </c>
      <c r="N95" s="27">
        <f>VLOOKUP(Table2[[#This Row],[prolific]],'Correct calc'!B$16:$AJ1117,24,FALSE)</f>
        <v>0.875</v>
      </c>
      <c r="O95" s="38">
        <f>VLOOKUP(Table2[[#This Row],[prolific]],'Correct calc'!B$16:$AJ1117,34,FALSE)</f>
        <v>0.75</v>
      </c>
      <c r="P95" s="39">
        <f>VLOOKUP(Table2[[#This Row],[comprescore]],Table3[],2,FALSE)</f>
        <v>3</v>
      </c>
      <c r="Q95" s="40">
        <f>VLOOKUP(Table2[[#This Row],[prolific]],'Correct calc'!B$16:$AK$998,36,FALSE)</f>
        <v>18</v>
      </c>
      <c r="R95" s="40">
        <f>Table2[[#This Row],[interviewminutes]]</f>
        <v>21.453833333333332</v>
      </c>
      <c r="S95" s="40">
        <f>Table2[[#This Row],[classifyTime]]+Table2[[#This Row],[explainTime]]+Table2[[#This Row],[validateTime]]</f>
        <v>20.408166666666666</v>
      </c>
      <c r="T95" s="41">
        <f>VLOOKUP(Table2[[#This Row],[prolific]],'Correct calc'!B$16:$AJ$998,35,FALSE)</f>
        <v>0.81818181818181823</v>
      </c>
      <c r="U95" s="42">
        <f>SUM(Table2[[#This Row],[priorKnowledge'[CLUSTERING']]:[priorKnowledge'[ZSCORES']]])/Table2[[#This Row],[priorKnowledgeTechQuestionCount]]</f>
        <v>5.666666666666667</v>
      </c>
      <c r="V95" s="40">
        <f>IF(Table2[[#This Row],[visualization]]="Wordcloud",2,3)</f>
        <v>3</v>
      </c>
      <c r="W95" s="31" t="s">
        <v>1109</v>
      </c>
      <c r="X95" s="31">
        <v>7</v>
      </c>
      <c r="Y95" s="31">
        <v>8</v>
      </c>
      <c r="Z95" s="31">
        <v>2</v>
      </c>
      <c r="AA95" s="31">
        <v>8</v>
      </c>
      <c r="AB95" s="31" t="s">
        <v>97</v>
      </c>
      <c r="AC95" s="31" t="s">
        <v>81</v>
      </c>
      <c r="AD95" s="31" t="s">
        <v>82</v>
      </c>
      <c r="AE95" s="31" t="s">
        <v>83</v>
      </c>
      <c r="AF95" s="31" t="s">
        <v>85</v>
      </c>
      <c r="AG95" s="31" t="s">
        <v>86</v>
      </c>
      <c r="AH95" s="31" t="s">
        <v>84</v>
      </c>
      <c r="AI95" s="31" t="s">
        <v>98</v>
      </c>
      <c r="AJ95" s="31" t="s">
        <v>98</v>
      </c>
      <c r="AK95" s="31" t="s">
        <v>88</v>
      </c>
      <c r="AL95" s="31" t="s">
        <v>87</v>
      </c>
      <c r="AM95" s="31" t="s">
        <v>105</v>
      </c>
      <c r="AN95" s="31" t="s">
        <v>90</v>
      </c>
      <c r="AO95" s="31" t="s">
        <v>83</v>
      </c>
      <c r="AP95" s="31" t="s">
        <v>85</v>
      </c>
      <c r="AQ95" s="31" t="s">
        <v>101</v>
      </c>
      <c r="AR95" s="31" t="s">
        <v>102</v>
      </c>
      <c r="AS95" s="31" t="s">
        <v>94</v>
      </c>
      <c r="AT95" s="31" t="s">
        <v>94</v>
      </c>
      <c r="AU95" s="31" t="s">
        <v>93</v>
      </c>
      <c r="AV95" s="31" t="s">
        <v>93</v>
      </c>
      <c r="AW95" s="31" t="s">
        <v>94</v>
      </c>
      <c r="AX95" s="31" t="s">
        <v>93</v>
      </c>
      <c r="AY95" s="31" t="s">
        <v>94</v>
      </c>
      <c r="AZ95" s="31" t="s">
        <v>93</v>
      </c>
      <c r="BA95" s="31" t="s">
        <v>107</v>
      </c>
      <c r="BB95" s="31"/>
      <c r="BC95" s="43"/>
      <c r="BD95" s="44">
        <f>Table2[[#This Row],[interviewtime]]/60</f>
        <v>21.453833333333332</v>
      </c>
      <c r="BE95" s="31">
        <v>1287.23</v>
      </c>
      <c r="BF95" s="31">
        <v>8.66</v>
      </c>
      <c r="BG95" s="31"/>
      <c r="BH95" s="31">
        <v>46.13</v>
      </c>
      <c r="BI95" s="31"/>
      <c r="BJ95" s="31"/>
      <c r="BK95" s="31"/>
      <c r="BL95" s="31"/>
      <c r="BM95" s="31">
        <v>933.34</v>
      </c>
      <c r="BN95" s="31"/>
      <c r="BO95" s="31"/>
      <c r="BP95" s="31"/>
      <c r="BQ95" s="31"/>
      <c r="BR95" s="31"/>
      <c r="BS95" s="31"/>
      <c r="BT95" s="31">
        <v>180.82</v>
      </c>
      <c r="BU95" s="31"/>
      <c r="BV95" s="31"/>
      <c r="BW95" s="31"/>
      <c r="BX95" s="31"/>
      <c r="BY95" s="31"/>
      <c r="BZ95" s="31"/>
      <c r="CA95" s="31"/>
      <c r="CB95" s="31"/>
      <c r="CC95" s="31">
        <v>110.33</v>
      </c>
      <c r="CD95" s="31"/>
      <c r="CE95" s="31"/>
      <c r="CF95" s="31"/>
      <c r="CG95" s="31"/>
      <c r="CH95" s="31"/>
      <c r="CI95" s="31"/>
      <c r="CJ95" s="31"/>
      <c r="CK95" s="31"/>
      <c r="CL95" s="31">
        <v>7.95</v>
      </c>
      <c r="CM95" s="43"/>
      <c r="CN95" s="43"/>
      <c r="CO95" s="43"/>
      <c r="CP95" s="43"/>
      <c r="CQ95" s="43">
        <f>Table2[[#This Row],[groupTime22]]/60</f>
        <v>15.555666666666667</v>
      </c>
      <c r="CR95" s="43">
        <f>Table2[[#This Row],[groupTime23]]/60</f>
        <v>3.0136666666666665</v>
      </c>
      <c r="CS95" s="43">
        <f>Table2[[#This Row],[groupTime24]]/60</f>
        <v>1.8388333333333333</v>
      </c>
    </row>
    <row r="96" spans="1:97" x14ac:dyDescent="0.25">
      <c r="A96" s="36" t="s">
        <v>638</v>
      </c>
      <c r="B96" s="11" t="s">
        <v>113</v>
      </c>
      <c r="C96" s="11">
        <v>51</v>
      </c>
      <c r="D96" s="11" t="s">
        <v>651</v>
      </c>
      <c r="E96" s="11">
        <v>6</v>
      </c>
      <c r="F96" s="11" t="s">
        <v>79</v>
      </c>
      <c r="G96" s="11">
        <v>1586494167</v>
      </c>
      <c r="H96" s="11" t="s">
        <v>652</v>
      </c>
      <c r="I96" s="11" t="s">
        <v>651</v>
      </c>
      <c r="J96" s="11" t="s">
        <v>589</v>
      </c>
      <c r="K96" s="37" t="str">
        <f>IF(Table2[[#This Row],[priorSuccessRatio]]&lt;1,"yes","no")</f>
        <v>no</v>
      </c>
      <c r="L96" s="38">
        <f>VLOOKUP(Table2[[#This Row],[prolific]],'Correct calc'!B$16:$AJ$998,6,FALSE)</f>
        <v>1</v>
      </c>
      <c r="M96" s="27">
        <f>VLOOKUP(Table2[[#This Row],[prolific]],'Correct calc'!B$16:$AJ$998,14,FALSE)</f>
        <v>0.83333333333333337</v>
      </c>
      <c r="N96" s="27">
        <f>VLOOKUP(Table2[[#This Row],[prolific]],'Correct calc'!B$16:$AJ1119,24,FALSE)</f>
        <v>0.875</v>
      </c>
      <c r="O96" s="38">
        <f>VLOOKUP(Table2[[#This Row],[prolific]],'Correct calc'!B$16:$AJ1119,34,FALSE)</f>
        <v>0.625</v>
      </c>
      <c r="P96" s="39">
        <f>VLOOKUP(Table2[[#This Row],[comprescore]],Table3[],2,FALSE)</f>
        <v>3</v>
      </c>
      <c r="Q96" s="40">
        <f>VLOOKUP(Table2[[#This Row],[prolific]],'Correct calc'!B$16:$AK$998,36,FALSE)</f>
        <v>17</v>
      </c>
      <c r="R96" s="40">
        <f>Table2[[#This Row],[interviewminutes]]</f>
        <v>14.455500000000001</v>
      </c>
      <c r="S96" s="40">
        <f>Table2[[#This Row],[classifyTime]]+Table2[[#This Row],[explainTime]]+Table2[[#This Row],[validateTime]]</f>
        <v>12.050333333333333</v>
      </c>
      <c r="T96" s="41">
        <f>VLOOKUP(Table2[[#This Row],[prolific]],'Correct calc'!B$16:$AJ$998,35,FALSE)</f>
        <v>0.77272727272727271</v>
      </c>
      <c r="U96" s="42">
        <f>SUM(Table2[[#This Row],[priorKnowledge'[CLUSTERING']]:[priorKnowledge'[ZSCORES']]])/Table2[[#This Row],[priorKnowledgeTechQuestionCount]]</f>
        <v>2</v>
      </c>
      <c r="V96" s="40">
        <f>IF(Table2[[#This Row],[visualization]]="Wordcloud",2,3)</f>
        <v>3</v>
      </c>
      <c r="W96" s="31" t="s">
        <v>1110</v>
      </c>
      <c r="X96" s="31">
        <v>2</v>
      </c>
      <c r="Y96" s="31">
        <v>3</v>
      </c>
      <c r="Z96" s="31">
        <v>1</v>
      </c>
      <c r="AA96" s="31">
        <v>7</v>
      </c>
      <c r="AB96" s="31" t="s">
        <v>97</v>
      </c>
      <c r="AC96" s="31" t="s">
        <v>81</v>
      </c>
      <c r="AD96" s="31" t="s">
        <v>82</v>
      </c>
      <c r="AE96" s="31" t="s">
        <v>83</v>
      </c>
      <c r="AF96" s="31" t="s">
        <v>85</v>
      </c>
      <c r="AG96" s="31" t="s">
        <v>86</v>
      </c>
      <c r="AH96" s="31" t="s">
        <v>84</v>
      </c>
      <c r="AI96" s="31" t="s">
        <v>86</v>
      </c>
      <c r="AJ96" s="31" t="s">
        <v>98</v>
      </c>
      <c r="AK96" s="31" t="s">
        <v>88</v>
      </c>
      <c r="AL96" s="31" t="s">
        <v>87</v>
      </c>
      <c r="AM96" s="31" t="s">
        <v>105</v>
      </c>
      <c r="AN96" s="31" t="s">
        <v>90</v>
      </c>
      <c r="AO96" s="31" t="s">
        <v>83</v>
      </c>
      <c r="AP96" s="31" t="s">
        <v>85</v>
      </c>
      <c r="AQ96" s="31" t="s">
        <v>101</v>
      </c>
      <c r="AR96" s="31" t="s">
        <v>102</v>
      </c>
      <c r="AS96" s="31" t="s">
        <v>94</v>
      </c>
      <c r="AT96" s="31" t="s">
        <v>94</v>
      </c>
      <c r="AU96" s="31" t="s">
        <v>94</v>
      </c>
      <c r="AV96" s="31" t="s">
        <v>93</v>
      </c>
      <c r="AW96" s="31" t="s">
        <v>93</v>
      </c>
      <c r="AX96" s="31" t="s">
        <v>94</v>
      </c>
      <c r="AY96" s="31" t="s">
        <v>94</v>
      </c>
      <c r="AZ96" s="31" t="s">
        <v>93</v>
      </c>
      <c r="BA96" s="31" t="s">
        <v>107</v>
      </c>
      <c r="BB96" s="31" t="s">
        <v>701</v>
      </c>
      <c r="BC96" s="43"/>
      <c r="BD96" s="44">
        <f>Table2[[#This Row],[interviewtime]]/60</f>
        <v>14.455500000000001</v>
      </c>
      <c r="BE96" s="31">
        <v>867.33</v>
      </c>
      <c r="BF96" s="31">
        <v>12.05</v>
      </c>
      <c r="BG96" s="31"/>
      <c r="BH96" s="31">
        <v>46.93</v>
      </c>
      <c r="BI96" s="31"/>
      <c r="BJ96" s="31"/>
      <c r="BK96" s="31"/>
      <c r="BL96" s="31"/>
      <c r="BM96" s="31">
        <v>416.47</v>
      </c>
      <c r="BN96" s="31"/>
      <c r="BO96" s="31"/>
      <c r="BP96" s="31"/>
      <c r="BQ96" s="31"/>
      <c r="BR96" s="31"/>
      <c r="BS96" s="31"/>
      <c r="BT96" s="31">
        <v>179.15</v>
      </c>
      <c r="BU96" s="31"/>
      <c r="BV96" s="31"/>
      <c r="BW96" s="31"/>
      <c r="BX96" s="31"/>
      <c r="BY96" s="31"/>
      <c r="BZ96" s="31"/>
      <c r="CA96" s="31"/>
      <c r="CB96" s="31"/>
      <c r="CC96" s="31">
        <v>127.4</v>
      </c>
      <c r="CD96" s="31"/>
      <c r="CE96" s="31"/>
      <c r="CF96" s="31"/>
      <c r="CG96" s="31"/>
      <c r="CH96" s="31"/>
      <c r="CI96" s="31"/>
      <c r="CJ96" s="31"/>
      <c r="CK96" s="31"/>
      <c r="CL96" s="31">
        <v>85.33</v>
      </c>
      <c r="CM96" s="43"/>
      <c r="CN96" s="43"/>
      <c r="CO96" s="43"/>
      <c r="CP96" s="43"/>
      <c r="CQ96" s="43">
        <f>Table2[[#This Row],[groupTime22]]/60</f>
        <v>6.9411666666666667</v>
      </c>
      <c r="CR96" s="43">
        <f>Table2[[#This Row],[groupTime23]]/60</f>
        <v>2.9858333333333333</v>
      </c>
      <c r="CS96" s="43">
        <f>Table2[[#This Row],[groupTime24]]/60</f>
        <v>2.1233333333333335</v>
      </c>
    </row>
    <row r="97" spans="1:97" x14ac:dyDescent="0.25">
      <c r="A97" s="36" t="s">
        <v>638</v>
      </c>
      <c r="B97" s="11" t="s">
        <v>113</v>
      </c>
      <c r="C97" s="11">
        <v>52</v>
      </c>
      <c r="D97" s="11" t="s">
        <v>653</v>
      </c>
      <c r="E97" s="11">
        <v>6</v>
      </c>
      <c r="F97" s="11" t="s">
        <v>79</v>
      </c>
      <c r="G97" s="11">
        <v>119981520</v>
      </c>
      <c r="H97" s="11" t="s">
        <v>654</v>
      </c>
      <c r="I97" s="11" t="s">
        <v>653</v>
      </c>
      <c r="J97" s="11" t="s">
        <v>589</v>
      </c>
      <c r="K97" s="37" t="str">
        <f>IF(Table2[[#This Row],[priorSuccessRatio]]&lt;1,"yes","no")</f>
        <v>no</v>
      </c>
      <c r="L97" s="38">
        <f>VLOOKUP(Table2[[#This Row],[prolific]],'Correct calc'!B$16:$AJ$998,6,FALSE)</f>
        <v>1</v>
      </c>
      <c r="M97" s="27">
        <f>VLOOKUP(Table2[[#This Row],[prolific]],'Correct calc'!B$16:$AJ$998,14,FALSE)</f>
        <v>0.83333333333333337</v>
      </c>
      <c r="N97" s="27">
        <f>VLOOKUP(Table2[[#This Row],[prolific]],'Correct calc'!B$16:$AJ1120,24,FALSE)</f>
        <v>0.875</v>
      </c>
      <c r="O97" s="38">
        <f>VLOOKUP(Table2[[#This Row],[prolific]],'Correct calc'!B$16:$AJ1120,34,FALSE)</f>
        <v>0.625</v>
      </c>
      <c r="P97" s="39">
        <f>VLOOKUP(Table2[[#This Row],[comprescore]],Table3[],2,FALSE)</f>
        <v>2</v>
      </c>
      <c r="Q97" s="40">
        <f>VLOOKUP(Table2[[#This Row],[prolific]],'Correct calc'!B$16:$AK$998,36,FALSE)</f>
        <v>17</v>
      </c>
      <c r="R97" s="40">
        <f>Table2[[#This Row],[interviewminutes]]</f>
        <v>18.71466666666667</v>
      </c>
      <c r="S97" s="40">
        <f>Table2[[#This Row],[classifyTime]]+Table2[[#This Row],[explainTime]]+Table2[[#This Row],[validateTime]]</f>
        <v>13.195833333333333</v>
      </c>
      <c r="T97" s="41">
        <f>VLOOKUP(Table2[[#This Row],[prolific]],'Correct calc'!B$16:$AJ$998,35,FALSE)</f>
        <v>0.77272727272727271</v>
      </c>
      <c r="U97" s="42">
        <f>SUM(Table2[[#This Row],[priorKnowledge'[CLUSTERING']]:[priorKnowledge'[ZSCORES']]])/Table2[[#This Row],[priorKnowledgeTechQuestionCount]]</f>
        <v>3.6666666666666665</v>
      </c>
      <c r="V97" s="40">
        <f>IF(Table2[[#This Row],[visualization]]="Wordcloud",2,3)</f>
        <v>3</v>
      </c>
      <c r="W97" s="31" t="s">
        <v>1111</v>
      </c>
      <c r="X97" s="31">
        <v>3</v>
      </c>
      <c r="Y97" s="31">
        <v>6</v>
      </c>
      <c r="Z97" s="31">
        <v>2</v>
      </c>
      <c r="AA97" s="31">
        <v>5</v>
      </c>
      <c r="AB97" s="31" t="s">
        <v>97</v>
      </c>
      <c r="AC97" s="31" t="s">
        <v>81</v>
      </c>
      <c r="AD97" s="31" t="s">
        <v>82</v>
      </c>
      <c r="AE97" s="31" t="s">
        <v>83</v>
      </c>
      <c r="AF97" s="31" t="s">
        <v>85</v>
      </c>
      <c r="AG97" s="31" t="s">
        <v>86</v>
      </c>
      <c r="AH97" s="31" t="s">
        <v>84</v>
      </c>
      <c r="AI97" s="31" t="s">
        <v>85</v>
      </c>
      <c r="AJ97" s="31" t="s">
        <v>98</v>
      </c>
      <c r="AK97" s="31" t="s">
        <v>88</v>
      </c>
      <c r="AL97" s="31" t="s">
        <v>87</v>
      </c>
      <c r="AM97" s="31" t="s">
        <v>105</v>
      </c>
      <c r="AN97" s="31" t="s">
        <v>90</v>
      </c>
      <c r="AO97" s="31" t="s">
        <v>83</v>
      </c>
      <c r="AP97" s="31" t="s">
        <v>85</v>
      </c>
      <c r="AQ97" s="31" t="s">
        <v>101</v>
      </c>
      <c r="AR97" s="31" t="s">
        <v>102</v>
      </c>
      <c r="AS97" s="31" t="s">
        <v>94</v>
      </c>
      <c r="AT97" s="31" t="s">
        <v>94</v>
      </c>
      <c r="AU97" s="31" t="s">
        <v>93</v>
      </c>
      <c r="AV97" s="31" t="s">
        <v>93</v>
      </c>
      <c r="AW97" s="31" t="s">
        <v>93</v>
      </c>
      <c r="AX97" s="31" t="s">
        <v>93</v>
      </c>
      <c r="AY97" s="31" t="s">
        <v>94</v>
      </c>
      <c r="AZ97" s="31" t="s">
        <v>93</v>
      </c>
      <c r="BA97" s="31" t="s">
        <v>106</v>
      </c>
      <c r="BB97" s="31" t="s">
        <v>703</v>
      </c>
      <c r="BC97" s="43"/>
      <c r="BD97" s="44">
        <f>Table2[[#This Row],[interviewtime]]/60</f>
        <v>18.71466666666667</v>
      </c>
      <c r="BE97" s="31">
        <v>1122.8800000000001</v>
      </c>
      <c r="BF97" s="31">
        <v>10.63</v>
      </c>
      <c r="BG97" s="31"/>
      <c r="BH97" s="31">
        <v>71.010000000000005</v>
      </c>
      <c r="BI97" s="31"/>
      <c r="BJ97" s="31"/>
      <c r="BK97" s="31"/>
      <c r="BL97" s="31"/>
      <c r="BM97" s="31">
        <v>292.58</v>
      </c>
      <c r="BN97" s="31"/>
      <c r="BO97" s="31"/>
      <c r="BP97" s="31"/>
      <c r="BQ97" s="31"/>
      <c r="BR97" s="31"/>
      <c r="BS97" s="31"/>
      <c r="BT97" s="31">
        <v>336.37</v>
      </c>
      <c r="BU97" s="31"/>
      <c r="BV97" s="31"/>
      <c r="BW97" s="31"/>
      <c r="BX97" s="31"/>
      <c r="BY97" s="31"/>
      <c r="BZ97" s="31"/>
      <c r="CA97" s="31"/>
      <c r="CB97" s="31"/>
      <c r="CC97" s="31">
        <v>162.80000000000001</v>
      </c>
      <c r="CD97" s="31"/>
      <c r="CE97" s="31"/>
      <c r="CF97" s="31"/>
      <c r="CG97" s="31"/>
      <c r="CH97" s="31"/>
      <c r="CI97" s="31"/>
      <c r="CJ97" s="31"/>
      <c r="CK97" s="31"/>
      <c r="CL97" s="31">
        <v>249.49</v>
      </c>
      <c r="CM97" s="43"/>
      <c r="CN97" s="43"/>
      <c r="CO97" s="43"/>
      <c r="CP97" s="43"/>
      <c r="CQ97" s="43">
        <f>Table2[[#This Row],[groupTime22]]/60</f>
        <v>4.8763333333333332</v>
      </c>
      <c r="CR97" s="43">
        <f>Table2[[#This Row],[groupTime23]]/60</f>
        <v>5.6061666666666667</v>
      </c>
      <c r="CS97" s="43">
        <f>Table2[[#This Row],[groupTime24]]/60</f>
        <v>2.7133333333333334</v>
      </c>
    </row>
    <row r="98" spans="1:97" x14ac:dyDescent="0.25">
      <c r="A98" s="36" t="s">
        <v>638</v>
      </c>
      <c r="B98" s="11" t="s">
        <v>113</v>
      </c>
      <c r="C98" s="11">
        <v>53</v>
      </c>
      <c r="D98" s="11" t="s">
        <v>655</v>
      </c>
      <c r="E98" s="11">
        <v>6</v>
      </c>
      <c r="F98" s="11" t="s">
        <v>79</v>
      </c>
      <c r="G98" s="11">
        <v>1619340487</v>
      </c>
      <c r="H98" s="11" t="s">
        <v>656</v>
      </c>
      <c r="I98" s="11" t="s">
        <v>655</v>
      </c>
      <c r="J98" s="11" t="s">
        <v>586</v>
      </c>
      <c r="K98" s="37" t="str">
        <f>IF(Table2[[#This Row],[priorSuccessRatio]]&lt;1,"yes","no")</f>
        <v>no</v>
      </c>
      <c r="L98" s="38">
        <f>VLOOKUP(Table2[[#This Row],[prolific]],'Correct calc'!B$16:$AJ$998,6,FALSE)</f>
        <v>1</v>
      </c>
      <c r="M98" s="27">
        <f>VLOOKUP(Table2[[#This Row],[prolific]],'Correct calc'!B$16:$AJ$998,14,FALSE)</f>
        <v>0.66666666666666663</v>
      </c>
      <c r="N98" s="27">
        <f>VLOOKUP(Table2[[#This Row],[prolific]],'Correct calc'!B$16:$AJ1121,24,FALSE)</f>
        <v>0.75</v>
      </c>
      <c r="O98" s="38">
        <f>VLOOKUP(Table2[[#This Row],[prolific]],'Correct calc'!B$16:$AJ1121,34,FALSE)</f>
        <v>0.875</v>
      </c>
      <c r="P98" s="39">
        <f>VLOOKUP(Table2[[#This Row],[comprescore]],Table3[],2,FALSE)</f>
        <v>3</v>
      </c>
      <c r="Q98" s="40">
        <f>VLOOKUP(Table2[[#This Row],[prolific]],'Correct calc'!B$16:$AK$998,36,FALSE)</f>
        <v>17</v>
      </c>
      <c r="R98" s="40">
        <f>Table2[[#This Row],[interviewminutes]]</f>
        <v>33.597833333333334</v>
      </c>
      <c r="S98" s="40">
        <f>Table2[[#This Row],[classifyTime]]+Table2[[#This Row],[explainTime]]+Table2[[#This Row],[validateTime]]</f>
        <v>30.003999999999998</v>
      </c>
      <c r="T98" s="41">
        <f>VLOOKUP(Table2[[#This Row],[prolific]],'Correct calc'!B$16:$AJ$998,35,FALSE)</f>
        <v>0.77272727272727271</v>
      </c>
      <c r="U98" s="42">
        <f>SUM(Table2[[#This Row],[priorKnowledge'[CLUSTERING']]:[priorKnowledge'[ZSCORES']]])/Table2[[#This Row],[priorKnowledgeTechQuestionCount]]</f>
        <v>1.3333333333333333</v>
      </c>
      <c r="V98" s="40">
        <f>IF(Table2[[#This Row],[visualization]]="Wordcloud",2,3)</f>
        <v>3</v>
      </c>
      <c r="W98" s="31" t="s">
        <v>1112</v>
      </c>
      <c r="X98" s="31">
        <v>1</v>
      </c>
      <c r="Y98" s="31">
        <v>1</v>
      </c>
      <c r="Z98" s="31">
        <v>2</v>
      </c>
      <c r="AA98" s="31">
        <v>3</v>
      </c>
      <c r="AB98" s="31" t="s">
        <v>97</v>
      </c>
      <c r="AC98" s="31" t="s">
        <v>81</v>
      </c>
      <c r="AD98" s="31" t="s">
        <v>82</v>
      </c>
      <c r="AE98" s="31" t="s">
        <v>86</v>
      </c>
      <c r="AF98" s="31" t="s">
        <v>85</v>
      </c>
      <c r="AG98" s="31" t="s">
        <v>86</v>
      </c>
      <c r="AH98" s="31" t="s">
        <v>84</v>
      </c>
      <c r="AI98" s="31" t="s">
        <v>86</v>
      </c>
      <c r="AJ98" s="31" t="s">
        <v>98</v>
      </c>
      <c r="AK98" s="31" t="s">
        <v>88</v>
      </c>
      <c r="AL98" s="31" t="s">
        <v>87</v>
      </c>
      <c r="AM98" s="31" t="s">
        <v>105</v>
      </c>
      <c r="AN98" s="31" t="s">
        <v>90</v>
      </c>
      <c r="AO98" s="31" t="s">
        <v>83</v>
      </c>
      <c r="AP98" s="31" t="s">
        <v>85</v>
      </c>
      <c r="AQ98" s="31" t="s">
        <v>101</v>
      </c>
      <c r="AR98" s="31" t="s">
        <v>91</v>
      </c>
      <c r="AS98" s="31" t="s">
        <v>94</v>
      </c>
      <c r="AT98" s="31" t="s">
        <v>94</v>
      </c>
      <c r="AU98" s="31" t="s">
        <v>94</v>
      </c>
      <c r="AV98" s="31" t="s">
        <v>93</v>
      </c>
      <c r="AW98" s="31" t="s">
        <v>94</v>
      </c>
      <c r="AX98" s="31" t="s">
        <v>93</v>
      </c>
      <c r="AY98" s="31" t="s">
        <v>94</v>
      </c>
      <c r="AZ98" s="31" t="s">
        <v>93</v>
      </c>
      <c r="BA98" s="31" t="s">
        <v>107</v>
      </c>
      <c r="BB98" s="31" t="s">
        <v>705</v>
      </c>
      <c r="BC98" s="43"/>
      <c r="BD98" s="44">
        <f>Table2[[#This Row],[interviewtime]]/60</f>
        <v>33.597833333333334</v>
      </c>
      <c r="BE98" s="31">
        <v>2015.87</v>
      </c>
      <c r="BF98" s="31">
        <v>23.42</v>
      </c>
      <c r="BG98" s="31"/>
      <c r="BH98" s="31">
        <v>130.25</v>
      </c>
      <c r="BI98" s="31"/>
      <c r="BJ98" s="31"/>
      <c r="BK98" s="31"/>
      <c r="BL98" s="31"/>
      <c r="BM98" s="31">
        <v>664.18</v>
      </c>
      <c r="BN98" s="31"/>
      <c r="BO98" s="31"/>
      <c r="BP98" s="31"/>
      <c r="BQ98" s="31"/>
      <c r="BR98" s="31"/>
      <c r="BS98" s="31"/>
      <c r="BT98" s="31">
        <v>278.36</v>
      </c>
      <c r="BU98" s="31"/>
      <c r="BV98" s="31"/>
      <c r="BW98" s="31"/>
      <c r="BX98" s="31"/>
      <c r="BY98" s="31"/>
      <c r="BZ98" s="31"/>
      <c r="CA98" s="31"/>
      <c r="CB98" s="31"/>
      <c r="CC98" s="31">
        <v>857.7</v>
      </c>
      <c r="CD98" s="31"/>
      <c r="CE98" s="31"/>
      <c r="CF98" s="31"/>
      <c r="CG98" s="31"/>
      <c r="CH98" s="31"/>
      <c r="CI98" s="31"/>
      <c r="CJ98" s="31"/>
      <c r="CK98" s="31"/>
      <c r="CL98" s="31">
        <v>61.96</v>
      </c>
      <c r="CM98" s="43"/>
      <c r="CN98" s="43"/>
      <c r="CO98" s="43"/>
      <c r="CP98" s="43"/>
      <c r="CQ98" s="43">
        <f>Table2[[#This Row],[groupTime22]]/60</f>
        <v>11.069666666666667</v>
      </c>
      <c r="CR98" s="43">
        <f>Table2[[#This Row],[groupTime23]]/60</f>
        <v>4.639333333333334</v>
      </c>
      <c r="CS98" s="43">
        <f>Table2[[#This Row],[groupTime24]]/60</f>
        <v>14.295</v>
      </c>
    </row>
    <row r="99" spans="1:97" x14ac:dyDescent="0.25">
      <c r="A99" s="36" t="s">
        <v>638</v>
      </c>
      <c r="B99" s="11" t="s">
        <v>113</v>
      </c>
      <c r="C99" s="11">
        <v>55</v>
      </c>
      <c r="D99" s="11" t="s">
        <v>657</v>
      </c>
      <c r="E99" s="11">
        <v>6</v>
      </c>
      <c r="F99" s="11" t="s">
        <v>79</v>
      </c>
      <c r="G99" s="11">
        <v>1483896520</v>
      </c>
      <c r="H99" s="11" t="s">
        <v>658</v>
      </c>
      <c r="I99" s="11" t="s">
        <v>657</v>
      </c>
      <c r="J99" s="11" t="s">
        <v>589</v>
      </c>
      <c r="K99" s="37" t="str">
        <f>IF(Table2[[#This Row],[priorSuccessRatio]]&lt;1,"yes","no")</f>
        <v>no</v>
      </c>
      <c r="L99" s="38">
        <f>VLOOKUP(Table2[[#This Row],[prolific]],'Correct calc'!B$16:$AJ$998,6,FALSE)</f>
        <v>1</v>
      </c>
      <c r="M99" s="27">
        <f>VLOOKUP(Table2[[#This Row],[prolific]],'Correct calc'!B$16:$AJ$998,14,FALSE)</f>
        <v>0.66666666666666663</v>
      </c>
      <c r="N99" s="27">
        <f>VLOOKUP(Table2[[#This Row],[prolific]],'Correct calc'!B$16:$AJ1122,24,FALSE)</f>
        <v>0.875</v>
      </c>
      <c r="O99" s="38">
        <f>VLOOKUP(Table2[[#This Row],[prolific]],'Correct calc'!B$16:$AJ1122,34,FALSE)</f>
        <v>0.75</v>
      </c>
      <c r="P99" s="39">
        <f>VLOOKUP(Table2[[#This Row],[comprescore]],Table3[],2,FALSE)</f>
        <v>3</v>
      </c>
      <c r="Q99" s="40">
        <f>VLOOKUP(Table2[[#This Row],[prolific]],'Correct calc'!B$16:$AK$998,36,FALSE)</f>
        <v>17</v>
      </c>
      <c r="R99" s="40">
        <f>Table2[[#This Row],[interviewminutes]]</f>
        <v>14.795</v>
      </c>
      <c r="S99" s="40">
        <f>Table2[[#This Row],[classifyTime]]+Table2[[#This Row],[explainTime]]+Table2[[#This Row],[validateTime]]</f>
        <v>12.353333333333333</v>
      </c>
      <c r="T99" s="41">
        <f>VLOOKUP(Table2[[#This Row],[prolific]],'Correct calc'!B$16:$AJ$998,35,FALSE)</f>
        <v>0.77272727272727271</v>
      </c>
      <c r="U99" s="42">
        <f>SUM(Table2[[#This Row],[priorKnowledge'[CLUSTERING']]:[priorKnowledge'[ZSCORES']]])/Table2[[#This Row],[priorKnowledgeTechQuestionCount]]</f>
        <v>1</v>
      </c>
      <c r="V99" s="40">
        <f>IF(Table2[[#This Row],[visualization]]="Wordcloud",2,3)</f>
        <v>3</v>
      </c>
      <c r="W99" s="31" t="s">
        <v>1113</v>
      </c>
      <c r="X99" s="31">
        <v>1</v>
      </c>
      <c r="Y99" s="31">
        <v>1</v>
      </c>
      <c r="Z99" s="31">
        <v>1</v>
      </c>
      <c r="AA99" s="31">
        <v>4</v>
      </c>
      <c r="AB99" s="31" t="s">
        <v>97</v>
      </c>
      <c r="AC99" s="31" t="s">
        <v>81</v>
      </c>
      <c r="AD99" s="31" t="s">
        <v>82</v>
      </c>
      <c r="AE99" s="31" t="s">
        <v>83</v>
      </c>
      <c r="AF99" s="31" t="s">
        <v>85</v>
      </c>
      <c r="AG99" s="31" t="s">
        <v>86</v>
      </c>
      <c r="AH99" s="31" t="s">
        <v>84</v>
      </c>
      <c r="AI99" s="31" t="s">
        <v>85</v>
      </c>
      <c r="AJ99" s="31" t="s">
        <v>85</v>
      </c>
      <c r="AK99" s="31" t="s">
        <v>88</v>
      </c>
      <c r="AL99" s="31" t="s">
        <v>87</v>
      </c>
      <c r="AM99" s="31" t="s">
        <v>105</v>
      </c>
      <c r="AN99" s="31" t="s">
        <v>90</v>
      </c>
      <c r="AO99" s="31" t="s">
        <v>83</v>
      </c>
      <c r="AP99" s="31" t="s">
        <v>85</v>
      </c>
      <c r="AQ99" s="31" t="s">
        <v>101</v>
      </c>
      <c r="AR99" s="31" t="s">
        <v>102</v>
      </c>
      <c r="AS99" s="31" t="s">
        <v>94</v>
      </c>
      <c r="AT99" s="31" t="s">
        <v>93</v>
      </c>
      <c r="AU99" s="31" t="s">
        <v>93</v>
      </c>
      <c r="AV99" s="31" t="s">
        <v>93</v>
      </c>
      <c r="AW99" s="31" t="s">
        <v>93</v>
      </c>
      <c r="AX99" s="31" t="s">
        <v>93</v>
      </c>
      <c r="AY99" s="31" t="s">
        <v>94</v>
      </c>
      <c r="AZ99" s="31" t="s">
        <v>93</v>
      </c>
      <c r="BA99" s="31" t="s">
        <v>107</v>
      </c>
      <c r="BB99" s="31" t="s">
        <v>707</v>
      </c>
      <c r="BC99" s="43"/>
      <c r="BD99" s="44">
        <f>Table2[[#This Row],[interviewtime]]/60</f>
        <v>14.795</v>
      </c>
      <c r="BE99" s="31">
        <v>887.7</v>
      </c>
      <c r="BF99" s="31">
        <v>5.5</v>
      </c>
      <c r="BG99" s="31"/>
      <c r="BH99" s="31">
        <v>35.4</v>
      </c>
      <c r="BI99" s="31"/>
      <c r="BJ99" s="31"/>
      <c r="BK99" s="31"/>
      <c r="BL99" s="31"/>
      <c r="BM99" s="31">
        <v>418.3</v>
      </c>
      <c r="BN99" s="31"/>
      <c r="BO99" s="31"/>
      <c r="BP99" s="31"/>
      <c r="BQ99" s="31"/>
      <c r="BR99" s="31"/>
      <c r="BS99" s="31"/>
      <c r="BT99" s="31">
        <v>207.79</v>
      </c>
      <c r="BU99" s="31"/>
      <c r="BV99" s="31"/>
      <c r="BW99" s="31"/>
      <c r="BX99" s="31"/>
      <c r="BY99" s="31"/>
      <c r="BZ99" s="31"/>
      <c r="CA99" s="31"/>
      <c r="CB99" s="31"/>
      <c r="CC99" s="31">
        <v>115.11</v>
      </c>
      <c r="CD99" s="31"/>
      <c r="CE99" s="31"/>
      <c r="CF99" s="31"/>
      <c r="CG99" s="31"/>
      <c r="CH99" s="31"/>
      <c r="CI99" s="31"/>
      <c r="CJ99" s="31"/>
      <c r="CK99" s="31"/>
      <c r="CL99" s="31">
        <v>105.6</v>
      </c>
      <c r="CM99" s="43"/>
      <c r="CN99" s="43"/>
      <c r="CO99" s="43"/>
      <c r="CP99" s="43"/>
      <c r="CQ99" s="43">
        <f>Table2[[#This Row],[groupTime22]]/60</f>
        <v>6.9716666666666667</v>
      </c>
      <c r="CR99" s="43">
        <f>Table2[[#This Row],[groupTime23]]/60</f>
        <v>3.4631666666666665</v>
      </c>
      <c r="CS99" s="43">
        <f>Table2[[#This Row],[groupTime24]]/60</f>
        <v>1.9185000000000001</v>
      </c>
    </row>
    <row r="100" spans="1:97" x14ac:dyDescent="0.25">
      <c r="A100" s="36" t="s">
        <v>638</v>
      </c>
      <c r="B100" s="11" t="s">
        <v>113</v>
      </c>
      <c r="C100" s="11">
        <v>56</v>
      </c>
      <c r="D100" s="11" t="s">
        <v>659</v>
      </c>
      <c r="E100" s="11">
        <v>6</v>
      </c>
      <c r="F100" s="11" t="s">
        <v>79</v>
      </c>
      <c r="G100" s="11">
        <v>2140489572</v>
      </c>
      <c r="H100" s="11" t="s">
        <v>660</v>
      </c>
      <c r="I100" s="11" t="s">
        <v>659</v>
      </c>
      <c r="J100" s="11" t="s">
        <v>589</v>
      </c>
      <c r="K100" s="37" t="str">
        <f>IF(Table2[[#This Row],[priorSuccessRatio]]&lt;1,"yes","no")</f>
        <v>no</v>
      </c>
      <c r="L100" s="38">
        <f>VLOOKUP(Table2[[#This Row],[prolific]],'Correct calc'!B$16:$AJ$998,6,FALSE)</f>
        <v>1</v>
      </c>
      <c r="M100" s="27">
        <f>VLOOKUP(Table2[[#This Row],[prolific]],'Correct calc'!B$16:$AJ$998,14,FALSE)</f>
        <v>0.83333333333333337</v>
      </c>
      <c r="N100" s="27">
        <f>VLOOKUP(Table2[[#This Row],[prolific]],'Correct calc'!B$16:$AJ1123,24,FALSE)</f>
        <v>0.875</v>
      </c>
      <c r="O100" s="38">
        <f>VLOOKUP(Table2[[#This Row],[prolific]],'Correct calc'!B$16:$AJ1123,34,FALSE)</f>
        <v>0.75</v>
      </c>
      <c r="P100" s="39">
        <f>VLOOKUP(Table2[[#This Row],[comprescore]],Table3[],2,FALSE)</f>
        <v>3</v>
      </c>
      <c r="Q100" s="40">
        <f>VLOOKUP(Table2[[#This Row],[prolific]],'Correct calc'!B$16:$AK$998,36,FALSE)</f>
        <v>18</v>
      </c>
      <c r="R100" s="40">
        <f>Table2[[#This Row],[interviewminutes]]</f>
        <v>19.1205</v>
      </c>
      <c r="S100" s="40">
        <f>Table2[[#This Row],[classifyTime]]+Table2[[#This Row],[explainTime]]+Table2[[#This Row],[validateTime]]</f>
        <v>16.712833333333336</v>
      </c>
      <c r="T100" s="41">
        <f>VLOOKUP(Table2[[#This Row],[prolific]],'Correct calc'!B$16:$AJ$998,35,FALSE)</f>
        <v>0.81818181818181823</v>
      </c>
      <c r="U100" s="42">
        <f>SUM(Table2[[#This Row],[priorKnowledge'[CLUSTERING']]:[priorKnowledge'[ZSCORES']]])/Table2[[#This Row],[priorKnowledgeTechQuestionCount]]</f>
        <v>5</v>
      </c>
      <c r="V100" s="40">
        <f>IF(Table2[[#This Row],[visualization]]="Wordcloud",2,3)</f>
        <v>3</v>
      </c>
      <c r="W100" s="31" t="s">
        <v>1114</v>
      </c>
      <c r="X100" s="31">
        <v>5</v>
      </c>
      <c r="Y100" s="31">
        <v>5</v>
      </c>
      <c r="Z100" s="31">
        <v>5</v>
      </c>
      <c r="AA100" s="31">
        <v>6</v>
      </c>
      <c r="AB100" s="31" t="s">
        <v>97</v>
      </c>
      <c r="AC100" s="31" t="s">
        <v>81</v>
      </c>
      <c r="AD100" s="31" t="s">
        <v>82</v>
      </c>
      <c r="AE100" s="31" t="s">
        <v>83</v>
      </c>
      <c r="AF100" s="31" t="s">
        <v>85</v>
      </c>
      <c r="AG100" s="31" t="s">
        <v>86</v>
      </c>
      <c r="AH100" s="31" t="s">
        <v>84</v>
      </c>
      <c r="AI100" s="31" t="s">
        <v>86</v>
      </c>
      <c r="AJ100" s="31" t="s">
        <v>98</v>
      </c>
      <c r="AK100" s="31" t="s">
        <v>88</v>
      </c>
      <c r="AL100" s="31" t="s">
        <v>87</v>
      </c>
      <c r="AM100" s="31" t="s">
        <v>105</v>
      </c>
      <c r="AN100" s="31" t="s">
        <v>90</v>
      </c>
      <c r="AO100" s="31" t="s">
        <v>83</v>
      </c>
      <c r="AP100" s="31" t="s">
        <v>85</v>
      </c>
      <c r="AQ100" s="31" t="s">
        <v>111</v>
      </c>
      <c r="AR100" s="31" t="s">
        <v>102</v>
      </c>
      <c r="AS100" s="31" t="s">
        <v>94</v>
      </c>
      <c r="AT100" s="31" t="s">
        <v>94</v>
      </c>
      <c r="AU100" s="31" t="s">
        <v>93</v>
      </c>
      <c r="AV100" s="31" t="s">
        <v>93</v>
      </c>
      <c r="AW100" s="31" t="s">
        <v>94</v>
      </c>
      <c r="AX100" s="31" t="s">
        <v>93</v>
      </c>
      <c r="AY100" s="31" t="s">
        <v>94</v>
      </c>
      <c r="AZ100" s="31" t="s">
        <v>93</v>
      </c>
      <c r="BA100" s="31" t="s">
        <v>107</v>
      </c>
      <c r="BB100" s="31"/>
      <c r="BC100" s="43"/>
      <c r="BD100" s="44">
        <f>Table2[[#This Row],[interviewtime]]/60</f>
        <v>19.1205</v>
      </c>
      <c r="BE100" s="31">
        <v>1147.23</v>
      </c>
      <c r="BF100" s="31">
        <v>10.96</v>
      </c>
      <c r="BG100" s="31"/>
      <c r="BH100" s="31">
        <v>107.79</v>
      </c>
      <c r="BI100" s="31"/>
      <c r="BJ100" s="31"/>
      <c r="BK100" s="31"/>
      <c r="BL100" s="31"/>
      <c r="BM100" s="31">
        <v>410.97</v>
      </c>
      <c r="BN100" s="31"/>
      <c r="BO100" s="31"/>
      <c r="BP100" s="31"/>
      <c r="BQ100" s="31"/>
      <c r="BR100" s="31"/>
      <c r="BS100" s="31"/>
      <c r="BT100" s="31">
        <v>391.65</v>
      </c>
      <c r="BU100" s="31"/>
      <c r="BV100" s="31"/>
      <c r="BW100" s="31"/>
      <c r="BX100" s="31"/>
      <c r="BY100" s="31"/>
      <c r="BZ100" s="31"/>
      <c r="CA100" s="31"/>
      <c r="CB100" s="31"/>
      <c r="CC100" s="31">
        <v>200.15</v>
      </c>
      <c r="CD100" s="31"/>
      <c r="CE100" s="31"/>
      <c r="CF100" s="31"/>
      <c r="CG100" s="31"/>
      <c r="CH100" s="31"/>
      <c r="CI100" s="31"/>
      <c r="CJ100" s="31"/>
      <c r="CK100" s="31"/>
      <c r="CL100" s="31">
        <v>25.71</v>
      </c>
      <c r="CM100" s="43"/>
      <c r="CN100" s="43"/>
      <c r="CO100" s="43"/>
      <c r="CP100" s="43"/>
      <c r="CQ100" s="43">
        <f>Table2[[#This Row],[groupTime22]]/60</f>
        <v>6.8495000000000008</v>
      </c>
      <c r="CR100" s="43">
        <f>Table2[[#This Row],[groupTime23]]/60</f>
        <v>6.5274999999999999</v>
      </c>
      <c r="CS100" s="43">
        <f>Table2[[#This Row],[groupTime24]]/60</f>
        <v>3.3358333333333334</v>
      </c>
    </row>
    <row r="101" spans="1:97" x14ac:dyDescent="0.25">
      <c r="A101" s="36" t="s">
        <v>638</v>
      </c>
      <c r="B101" s="11" t="s">
        <v>113</v>
      </c>
      <c r="C101" s="11">
        <v>57</v>
      </c>
      <c r="D101" s="11" t="s">
        <v>661</v>
      </c>
      <c r="E101" s="11">
        <v>6</v>
      </c>
      <c r="F101" s="11" t="s">
        <v>79</v>
      </c>
      <c r="G101" s="11">
        <v>991034081</v>
      </c>
      <c r="H101" s="11" t="s">
        <v>662</v>
      </c>
      <c r="I101" s="11" t="s">
        <v>661</v>
      </c>
      <c r="J101" s="11" t="s">
        <v>589</v>
      </c>
      <c r="K101" s="37" t="str">
        <f>IF(Table2[[#This Row],[priorSuccessRatio]]&lt;1,"yes","no")</f>
        <v>no</v>
      </c>
      <c r="L101" s="38">
        <f>VLOOKUP(Table2[[#This Row],[prolific]],'Correct calc'!B$16:$AJ$998,6,FALSE)</f>
        <v>1</v>
      </c>
      <c r="M101" s="27">
        <f>VLOOKUP(Table2[[#This Row],[prolific]],'Correct calc'!B$16:$AJ$998,14,FALSE)</f>
        <v>0.5</v>
      </c>
      <c r="N101" s="27">
        <f>VLOOKUP(Table2[[#This Row],[prolific]],'Correct calc'!B$16:$AJ1124,24,FALSE)</f>
        <v>0.625</v>
      </c>
      <c r="O101" s="38">
        <f>VLOOKUP(Table2[[#This Row],[prolific]],'Correct calc'!B$16:$AJ1124,34,FALSE)</f>
        <v>0.5</v>
      </c>
      <c r="P101" s="39">
        <f>VLOOKUP(Table2[[#This Row],[comprescore]],Table3[],2,FALSE)</f>
        <v>1</v>
      </c>
      <c r="Q101" s="40">
        <f>VLOOKUP(Table2[[#This Row],[prolific]],'Correct calc'!B$16:$AK$998,36,FALSE)</f>
        <v>12</v>
      </c>
      <c r="R101" s="40">
        <f>Table2[[#This Row],[interviewminutes]]</f>
        <v>6.7646666666666668</v>
      </c>
      <c r="S101" s="40">
        <f>Table2[[#This Row],[classifyTime]]+Table2[[#This Row],[explainTime]]+Table2[[#This Row],[validateTime]]</f>
        <v>5.8731666666666662</v>
      </c>
      <c r="T101" s="41">
        <f>VLOOKUP(Table2[[#This Row],[prolific]],'Correct calc'!B$16:$AJ$998,35,FALSE)</f>
        <v>0.54545454545454541</v>
      </c>
      <c r="U101" s="42">
        <f>SUM(Table2[[#This Row],[priorKnowledge'[CLUSTERING']]:[priorKnowledge'[ZSCORES']]])/Table2[[#This Row],[priorKnowledgeTechQuestionCount]]</f>
        <v>4</v>
      </c>
      <c r="V101" s="40">
        <f>IF(Table2[[#This Row],[visualization]]="Wordcloud",2,3)</f>
        <v>3</v>
      </c>
      <c r="W101" s="31" t="s">
        <v>1115</v>
      </c>
      <c r="X101" s="31">
        <v>2</v>
      </c>
      <c r="Y101" s="31">
        <v>2</v>
      </c>
      <c r="Z101" s="31">
        <v>8</v>
      </c>
      <c r="AA101" s="31">
        <v>6</v>
      </c>
      <c r="AB101" s="31" t="s">
        <v>97</v>
      </c>
      <c r="AC101" s="31" t="s">
        <v>81</v>
      </c>
      <c r="AD101" s="31" t="s">
        <v>82</v>
      </c>
      <c r="AE101" s="31" t="s">
        <v>83</v>
      </c>
      <c r="AF101" s="31" t="s">
        <v>85</v>
      </c>
      <c r="AG101" s="31" t="s">
        <v>98</v>
      </c>
      <c r="AH101" s="31" t="s">
        <v>84</v>
      </c>
      <c r="AI101" s="31" t="s">
        <v>85</v>
      </c>
      <c r="AJ101" s="31" t="s">
        <v>86</v>
      </c>
      <c r="AK101" s="31" t="s">
        <v>88</v>
      </c>
      <c r="AL101" s="31" t="s">
        <v>87</v>
      </c>
      <c r="AM101" s="31" t="s">
        <v>105</v>
      </c>
      <c r="AN101" s="31" t="s">
        <v>100</v>
      </c>
      <c r="AO101" s="31" t="s">
        <v>83</v>
      </c>
      <c r="AP101" s="31" t="s">
        <v>85</v>
      </c>
      <c r="AQ101" s="31" t="s">
        <v>101</v>
      </c>
      <c r="AR101" s="31" t="s">
        <v>92</v>
      </c>
      <c r="AS101" s="31" t="s">
        <v>94</v>
      </c>
      <c r="AT101" s="31" t="s">
        <v>94</v>
      </c>
      <c r="AU101" s="31" t="s">
        <v>93</v>
      </c>
      <c r="AV101" s="31" t="s">
        <v>93</v>
      </c>
      <c r="AW101" s="31" t="s">
        <v>93</v>
      </c>
      <c r="AX101" s="31" t="s">
        <v>94</v>
      </c>
      <c r="AY101" s="31" t="s">
        <v>94</v>
      </c>
      <c r="AZ101" s="31" t="s">
        <v>93</v>
      </c>
      <c r="BA101" s="31" t="s">
        <v>95</v>
      </c>
      <c r="BB101" s="31" t="s">
        <v>710</v>
      </c>
      <c r="BC101" s="43"/>
      <c r="BD101" s="44">
        <f>Table2[[#This Row],[interviewtime]]/60</f>
        <v>6.7646666666666668</v>
      </c>
      <c r="BE101" s="31">
        <v>405.88</v>
      </c>
      <c r="BF101" s="31">
        <v>8.59</v>
      </c>
      <c r="BG101" s="31"/>
      <c r="BH101" s="31">
        <v>25.33</v>
      </c>
      <c r="BI101" s="31"/>
      <c r="BJ101" s="31"/>
      <c r="BK101" s="31"/>
      <c r="BL101" s="31"/>
      <c r="BM101" s="31">
        <v>163.97</v>
      </c>
      <c r="BN101" s="31"/>
      <c r="BO101" s="31"/>
      <c r="BP101" s="31"/>
      <c r="BQ101" s="31"/>
      <c r="BR101" s="31"/>
      <c r="BS101" s="31"/>
      <c r="BT101" s="31">
        <v>105.37</v>
      </c>
      <c r="BU101" s="31"/>
      <c r="BV101" s="31"/>
      <c r="BW101" s="31"/>
      <c r="BX101" s="31"/>
      <c r="BY101" s="31"/>
      <c r="BZ101" s="31"/>
      <c r="CA101" s="31"/>
      <c r="CB101" s="31"/>
      <c r="CC101" s="31">
        <v>83.05</v>
      </c>
      <c r="CD101" s="31"/>
      <c r="CE101" s="31"/>
      <c r="CF101" s="31"/>
      <c r="CG101" s="31"/>
      <c r="CH101" s="31"/>
      <c r="CI101" s="31"/>
      <c r="CJ101" s="31"/>
      <c r="CK101" s="31"/>
      <c r="CL101" s="31">
        <v>19.57</v>
      </c>
      <c r="CM101" s="43"/>
      <c r="CN101" s="43"/>
      <c r="CO101" s="43"/>
      <c r="CP101" s="43"/>
      <c r="CQ101" s="43">
        <f>Table2[[#This Row],[groupTime22]]/60</f>
        <v>2.7328333333333332</v>
      </c>
      <c r="CR101" s="43">
        <f>Table2[[#This Row],[groupTime23]]/60</f>
        <v>1.7561666666666667</v>
      </c>
      <c r="CS101" s="43">
        <f>Table2[[#This Row],[groupTime24]]/60</f>
        <v>1.3841666666666665</v>
      </c>
    </row>
    <row r="102" spans="1:97" x14ac:dyDescent="0.25">
      <c r="A102" s="36" t="s">
        <v>638</v>
      </c>
      <c r="B102" s="11" t="s">
        <v>113</v>
      </c>
      <c r="C102" s="11">
        <v>58</v>
      </c>
      <c r="D102" s="11" t="s">
        <v>663</v>
      </c>
      <c r="E102" s="11">
        <v>6</v>
      </c>
      <c r="F102" s="11" t="s">
        <v>79</v>
      </c>
      <c r="G102" s="11">
        <v>1267124654</v>
      </c>
      <c r="H102" s="11" t="s">
        <v>664</v>
      </c>
      <c r="I102" s="11" t="s">
        <v>663</v>
      </c>
      <c r="J102" s="11" t="s">
        <v>589</v>
      </c>
      <c r="K102" s="37" t="str">
        <f>IF(Table2[[#This Row],[priorSuccessRatio]]&lt;1,"yes","no")</f>
        <v>no</v>
      </c>
      <c r="L102" s="38">
        <f>VLOOKUP(Table2[[#This Row],[prolific]],'Correct calc'!B$16:$AJ$998,6,FALSE)</f>
        <v>1</v>
      </c>
      <c r="M102" s="27">
        <f>VLOOKUP(Table2[[#This Row],[prolific]],'Correct calc'!B$16:$AJ$998,14,FALSE)</f>
        <v>0.16666666666666666</v>
      </c>
      <c r="N102" s="27">
        <f>VLOOKUP(Table2[[#This Row],[prolific]],'Correct calc'!B$16:$AJ1125,24,FALSE)</f>
        <v>0.875</v>
      </c>
      <c r="O102" s="38">
        <f>VLOOKUP(Table2[[#This Row],[prolific]],'Correct calc'!B$16:$AJ1125,34,FALSE)</f>
        <v>0.5</v>
      </c>
      <c r="P102" s="39">
        <f>VLOOKUP(Table2[[#This Row],[comprescore]],Table3[],2,FALSE)</f>
        <v>1</v>
      </c>
      <c r="Q102" s="40">
        <f>VLOOKUP(Table2[[#This Row],[prolific]],'Correct calc'!B$16:$AK$998,36,FALSE)</f>
        <v>12</v>
      </c>
      <c r="R102" s="40">
        <f>Table2[[#This Row],[interviewminutes]]</f>
        <v>6.9046666666666665</v>
      </c>
      <c r="S102" s="40">
        <f>Table2[[#This Row],[classifyTime]]+Table2[[#This Row],[explainTime]]+Table2[[#This Row],[validateTime]]</f>
        <v>4.6635</v>
      </c>
      <c r="T102" s="41">
        <f>VLOOKUP(Table2[[#This Row],[prolific]],'Correct calc'!B$16:$AJ$998,35,FALSE)</f>
        <v>0.54545454545454541</v>
      </c>
      <c r="U102" s="42">
        <f>SUM(Table2[[#This Row],[priorKnowledge'[CLUSTERING']]:[priorKnowledge'[ZSCORES']]])/Table2[[#This Row],[priorKnowledgeTechQuestionCount]]</f>
        <v>5.333333333333333</v>
      </c>
      <c r="V102" s="40">
        <f>IF(Table2[[#This Row],[visualization]]="Wordcloud",2,3)</f>
        <v>3</v>
      </c>
      <c r="W102" s="31" t="s">
        <v>1116</v>
      </c>
      <c r="X102" s="31">
        <v>3</v>
      </c>
      <c r="Y102" s="31">
        <v>10</v>
      </c>
      <c r="Z102" s="31">
        <v>3</v>
      </c>
      <c r="AA102" s="31">
        <v>9</v>
      </c>
      <c r="AB102" s="31" t="s">
        <v>97</v>
      </c>
      <c r="AC102" s="31" t="s">
        <v>81</v>
      </c>
      <c r="AD102" s="31" t="s">
        <v>82</v>
      </c>
      <c r="AE102" s="31" t="s">
        <v>104</v>
      </c>
      <c r="AF102" s="31" t="s">
        <v>98</v>
      </c>
      <c r="AG102" s="31" t="s">
        <v>85</v>
      </c>
      <c r="AH102" s="31" t="s">
        <v>86</v>
      </c>
      <c r="AI102" s="31" t="s">
        <v>104</v>
      </c>
      <c r="AJ102" s="31" t="s">
        <v>83</v>
      </c>
      <c r="AK102" s="31" t="s">
        <v>88</v>
      </c>
      <c r="AL102" s="31" t="s">
        <v>87</v>
      </c>
      <c r="AM102" s="31" t="s">
        <v>105</v>
      </c>
      <c r="AN102" s="31" t="s">
        <v>90</v>
      </c>
      <c r="AO102" s="31" t="s">
        <v>83</v>
      </c>
      <c r="AP102" s="31" t="s">
        <v>85</v>
      </c>
      <c r="AQ102" s="31" t="s">
        <v>101</v>
      </c>
      <c r="AR102" s="31" t="s">
        <v>102</v>
      </c>
      <c r="AS102" s="31" t="s">
        <v>94</v>
      </c>
      <c r="AT102" s="31" t="s">
        <v>94</v>
      </c>
      <c r="AU102" s="31" t="s">
        <v>93</v>
      </c>
      <c r="AV102" s="31" t="s">
        <v>93</v>
      </c>
      <c r="AW102" s="31" t="s">
        <v>94</v>
      </c>
      <c r="AX102" s="31" t="s">
        <v>94</v>
      </c>
      <c r="AY102" s="31" t="s">
        <v>93</v>
      </c>
      <c r="AZ102" s="31" t="s">
        <v>93</v>
      </c>
      <c r="BA102" s="31" t="s">
        <v>95</v>
      </c>
      <c r="BB102" s="31" t="s">
        <v>712</v>
      </c>
      <c r="BC102" s="43"/>
      <c r="BD102" s="44">
        <f>Table2[[#This Row],[interviewtime]]/60</f>
        <v>6.9046666666666665</v>
      </c>
      <c r="BE102" s="31">
        <v>414.28</v>
      </c>
      <c r="BF102" s="31">
        <v>13.18</v>
      </c>
      <c r="BG102" s="31"/>
      <c r="BH102" s="31">
        <v>88.96</v>
      </c>
      <c r="BI102" s="31"/>
      <c r="BJ102" s="31"/>
      <c r="BK102" s="31"/>
      <c r="BL102" s="31"/>
      <c r="BM102" s="31">
        <v>51.32</v>
      </c>
      <c r="BN102" s="31"/>
      <c r="BO102" s="31"/>
      <c r="BP102" s="31"/>
      <c r="BQ102" s="31"/>
      <c r="BR102" s="31"/>
      <c r="BS102" s="31"/>
      <c r="BT102" s="31">
        <v>140.31</v>
      </c>
      <c r="BU102" s="31"/>
      <c r="BV102" s="31"/>
      <c r="BW102" s="31"/>
      <c r="BX102" s="31"/>
      <c r="BY102" s="31"/>
      <c r="BZ102" s="31"/>
      <c r="CA102" s="31"/>
      <c r="CB102" s="31"/>
      <c r="CC102" s="31">
        <v>88.18</v>
      </c>
      <c r="CD102" s="31"/>
      <c r="CE102" s="31"/>
      <c r="CF102" s="31"/>
      <c r="CG102" s="31"/>
      <c r="CH102" s="31"/>
      <c r="CI102" s="31"/>
      <c r="CJ102" s="31"/>
      <c r="CK102" s="31"/>
      <c r="CL102" s="31">
        <v>32.33</v>
      </c>
      <c r="CM102" s="43"/>
      <c r="CN102" s="43"/>
      <c r="CO102" s="43"/>
      <c r="CP102" s="43"/>
      <c r="CQ102" s="43">
        <f>Table2[[#This Row],[groupTime22]]/60</f>
        <v>0.85533333333333339</v>
      </c>
      <c r="CR102" s="43">
        <f>Table2[[#This Row],[groupTime23]]/60</f>
        <v>2.3385000000000002</v>
      </c>
      <c r="CS102" s="43">
        <f>Table2[[#This Row],[groupTime24]]/60</f>
        <v>1.4696666666666667</v>
      </c>
    </row>
    <row r="103" spans="1:97" x14ac:dyDescent="0.25">
      <c r="A103" s="36" t="s">
        <v>638</v>
      </c>
      <c r="B103" s="11" t="s">
        <v>113</v>
      </c>
      <c r="C103" s="11">
        <v>59</v>
      </c>
      <c r="D103" s="11" t="s">
        <v>665</v>
      </c>
      <c r="E103" s="11">
        <v>6</v>
      </c>
      <c r="F103" s="11" t="s">
        <v>79</v>
      </c>
      <c r="G103" s="11">
        <v>44766257</v>
      </c>
      <c r="H103" s="11" t="s">
        <v>666</v>
      </c>
      <c r="I103" s="11" t="s">
        <v>665</v>
      </c>
      <c r="J103" s="11" t="s">
        <v>589</v>
      </c>
      <c r="K103" s="37" t="str">
        <f>IF(Table2[[#This Row],[priorSuccessRatio]]&lt;1,"yes","no")</f>
        <v>no</v>
      </c>
      <c r="L103" s="38">
        <f>VLOOKUP(Table2[[#This Row],[prolific]],'Correct calc'!B$16:$AJ$998,6,FALSE)</f>
        <v>1</v>
      </c>
      <c r="M103" s="27">
        <f>VLOOKUP(Table2[[#This Row],[prolific]],'Correct calc'!B$16:$AJ$998,14,FALSE)</f>
        <v>0.33333333333333331</v>
      </c>
      <c r="N103" s="27">
        <f>VLOOKUP(Table2[[#This Row],[prolific]],'Correct calc'!B$16:$AJ1126,24,FALSE)</f>
        <v>0.625</v>
      </c>
      <c r="O103" s="38">
        <f>VLOOKUP(Table2[[#This Row],[prolific]],'Correct calc'!B$16:$AJ1126,34,FALSE)</f>
        <v>0.75</v>
      </c>
      <c r="P103" s="39">
        <f>VLOOKUP(Table2[[#This Row],[comprescore]],Table3[],2,FALSE)</f>
        <v>3</v>
      </c>
      <c r="Q103" s="40">
        <f>VLOOKUP(Table2[[#This Row],[prolific]],'Correct calc'!B$16:$AK$998,36,FALSE)</f>
        <v>13</v>
      </c>
      <c r="R103" s="40">
        <f>Table2[[#This Row],[interviewminutes]]</f>
        <v>15.428333333333335</v>
      </c>
      <c r="S103" s="40">
        <f>Table2[[#This Row],[classifyTime]]+Table2[[#This Row],[explainTime]]+Table2[[#This Row],[validateTime]]</f>
        <v>12.729833333333334</v>
      </c>
      <c r="T103" s="41">
        <f>VLOOKUP(Table2[[#This Row],[prolific]],'Correct calc'!B$16:$AJ$998,35,FALSE)</f>
        <v>0.59090909090909094</v>
      </c>
      <c r="U103" s="42">
        <f>SUM(Table2[[#This Row],[priorKnowledge'[CLUSTERING']]:[priorKnowledge'[ZSCORES']]])/Table2[[#This Row],[priorKnowledgeTechQuestionCount]]</f>
        <v>1</v>
      </c>
      <c r="V103" s="40">
        <f>IF(Table2[[#This Row],[visualization]]="Wordcloud",2,3)</f>
        <v>3</v>
      </c>
      <c r="W103" s="31" t="s">
        <v>1117</v>
      </c>
      <c r="X103" s="31">
        <v>1</v>
      </c>
      <c r="Y103" s="31">
        <v>1</v>
      </c>
      <c r="Z103" s="31">
        <v>1</v>
      </c>
      <c r="AA103" s="31">
        <v>1</v>
      </c>
      <c r="AB103" s="31" t="s">
        <v>97</v>
      </c>
      <c r="AC103" s="31" t="s">
        <v>81</v>
      </c>
      <c r="AD103" s="31" t="s">
        <v>82</v>
      </c>
      <c r="AE103" s="31" t="s">
        <v>83</v>
      </c>
      <c r="AF103" s="31" t="s">
        <v>85</v>
      </c>
      <c r="AG103" s="31" t="s">
        <v>104</v>
      </c>
      <c r="AH103" s="31" t="s">
        <v>104</v>
      </c>
      <c r="AI103" s="31" t="s">
        <v>85</v>
      </c>
      <c r="AJ103" s="31" t="s">
        <v>86</v>
      </c>
      <c r="AK103" s="31" t="s">
        <v>88</v>
      </c>
      <c r="AL103" s="31" t="s">
        <v>87</v>
      </c>
      <c r="AM103" s="31" t="s">
        <v>105</v>
      </c>
      <c r="AN103" s="31" t="s">
        <v>90</v>
      </c>
      <c r="AO103" s="31" t="s">
        <v>83</v>
      </c>
      <c r="AP103" s="31" t="s">
        <v>104</v>
      </c>
      <c r="AQ103" s="31" t="s">
        <v>101</v>
      </c>
      <c r="AR103" s="31" t="s">
        <v>92</v>
      </c>
      <c r="AS103" s="31" t="s">
        <v>94</v>
      </c>
      <c r="AT103" s="31" t="s">
        <v>93</v>
      </c>
      <c r="AU103" s="31" t="s">
        <v>93</v>
      </c>
      <c r="AV103" s="31" t="s">
        <v>93</v>
      </c>
      <c r="AW103" s="31" t="s">
        <v>93</v>
      </c>
      <c r="AX103" s="31" t="s">
        <v>93</v>
      </c>
      <c r="AY103" s="31" t="s">
        <v>94</v>
      </c>
      <c r="AZ103" s="31" t="s">
        <v>93</v>
      </c>
      <c r="BA103" s="31" t="s">
        <v>107</v>
      </c>
      <c r="BB103" s="31" t="s">
        <v>714</v>
      </c>
      <c r="BC103" s="43"/>
      <c r="BD103" s="44">
        <f>Table2[[#This Row],[interviewtime]]/60</f>
        <v>15.428333333333335</v>
      </c>
      <c r="BE103" s="31">
        <v>925.7</v>
      </c>
      <c r="BF103" s="31">
        <v>15.3</v>
      </c>
      <c r="BG103" s="31"/>
      <c r="BH103" s="31">
        <v>49.05</v>
      </c>
      <c r="BI103" s="31"/>
      <c r="BJ103" s="31"/>
      <c r="BK103" s="31"/>
      <c r="BL103" s="31"/>
      <c r="BM103" s="31">
        <v>372.16</v>
      </c>
      <c r="BN103" s="31"/>
      <c r="BO103" s="31"/>
      <c r="BP103" s="31"/>
      <c r="BQ103" s="31"/>
      <c r="BR103" s="31"/>
      <c r="BS103" s="31"/>
      <c r="BT103" s="31">
        <v>206.68</v>
      </c>
      <c r="BU103" s="31"/>
      <c r="BV103" s="31"/>
      <c r="BW103" s="31"/>
      <c r="BX103" s="31"/>
      <c r="BY103" s="31"/>
      <c r="BZ103" s="31"/>
      <c r="CA103" s="31"/>
      <c r="CB103" s="31"/>
      <c r="CC103" s="31">
        <v>184.95</v>
      </c>
      <c r="CD103" s="31"/>
      <c r="CE103" s="31"/>
      <c r="CF103" s="31"/>
      <c r="CG103" s="31"/>
      <c r="CH103" s="31"/>
      <c r="CI103" s="31"/>
      <c r="CJ103" s="31"/>
      <c r="CK103" s="31"/>
      <c r="CL103" s="31">
        <v>97.56</v>
      </c>
      <c r="CM103" s="43"/>
      <c r="CN103" s="43"/>
      <c r="CO103" s="43"/>
      <c r="CP103" s="43"/>
      <c r="CQ103" s="43">
        <f>Table2[[#This Row],[groupTime22]]/60</f>
        <v>6.2026666666666674</v>
      </c>
      <c r="CR103" s="43">
        <f>Table2[[#This Row],[groupTime23]]/60</f>
        <v>3.444666666666667</v>
      </c>
      <c r="CS103" s="43">
        <f>Table2[[#This Row],[groupTime24]]/60</f>
        <v>3.0825</v>
      </c>
    </row>
    <row r="104" spans="1:97" x14ac:dyDescent="0.25">
      <c r="A104" s="36" t="s">
        <v>638</v>
      </c>
      <c r="B104" s="11" t="s">
        <v>113</v>
      </c>
      <c r="C104" s="11">
        <v>60</v>
      </c>
      <c r="D104" s="11" t="s">
        <v>667</v>
      </c>
      <c r="E104" s="11">
        <v>6</v>
      </c>
      <c r="F104" s="11" t="s">
        <v>79</v>
      </c>
      <c r="G104" s="11">
        <v>1390560410</v>
      </c>
      <c r="H104" s="11" t="s">
        <v>668</v>
      </c>
      <c r="I104" s="11" t="s">
        <v>667</v>
      </c>
      <c r="J104" s="11" t="s">
        <v>586</v>
      </c>
      <c r="K104" s="37" t="str">
        <f>IF(Table2[[#This Row],[priorSuccessRatio]]&lt;1,"yes","no")</f>
        <v>no</v>
      </c>
      <c r="L104" s="38">
        <f>VLOOKUP(Table2[[#This Row],[prolific]],'Correct calc'!B$16:$AJ$998,6,FALSE)</f>
        <v>1</v>
      </c>
      <c r="M104" s="27">
        <f>VLOOKUP(Table2[[#This Row],[prolific]],'Correct calc'!B$16:$AJ$998,14,FALSE)</f>
        <v>0.33333333333333331</v>
      </c>
      <c r="N104" s="27">
        <f>VLOOKUP(Table2[[#This Row],[prolific]],'Correct calc'!B$16:$AJ1127,24,FALSE)</f>
        <v>0.875</v>
      </c>
      <c r="O104" s="38">
        <f>VLOOKUP(Table2[[#This Row],[prolific]],'Correct calc'!B$16:$AJ1127,34,FALSE)</f>
        <v>0.625</v>
      </c>
      <c r="P104" s="39">
        <f>VLOOKUP(Table2[[#This Row],[comprescore]],Table3[],2,FALSE)</f>
        <v>3</v>
      </c>
      <c r="Q104" s="40">
        <f>VLOOKUP(Table2[[#This Row],[prolific]],'Correct calc'!B$16:$AK$998,36,FALSE)</f>
        <v>14</v>
      </c>
      <c r="R104" s="40">
        <f>Table2[[#This Row],[interviewminutes]]</f>
        <v>11.652333333333333</v>
      </c>
      <c r="S104" s="40">
        <f>Table2[[#This Row],[classifyTime]]+Table2[[#This Row],[explainTime]]+Table2[[#This Row],[validateTime]]</f>
        <v>10.209</v>
      </c>
      <c r="T104" s="41">
        <f>VLOOKUP(Table2[[#This Row],[prolific]],'Correct calc'!B$16:$AJ$998,35,FALSE)</f>
        <v>0.63636363636363635</v>
      </c>
      <c r="U104" s="42">
        <f>SUM(Table2[[#This Row],[priorKnowledge'[CLUSTERING']]:[priorKnowledge'[ZSCORES']]])/Table2[[#This Row],[priorKnowledgeTechQuestionCount]]</f>
        <v>1</v>
      </c>
      <c r="V104" s="40">
        <f>IF(Table2[[#This Row],[visualization]]="Wordcloud",2,3)</f>
        <v>3</v>
      </c>
      <c r="W104" s="31" t="s">
        <v>1118</v>
      </c>
      <c r="X104" s="31">
        <v>1</v>
      </c>
      <c r="Y104" s="31">
        <v>1</v>
      </c>
      <c r="Z104" s="31">
        <v>1</v>
      </c>
      <c r="AA104" s="31">
        <v>4</v>
      </c>
      <c r="AB104" s="31" t="s">
        <v>97</v>
      </c>
      <c r="AC104" s="31" t="s">
        <v>81</v>
      </c>
      <c r="AD104" s="31" t="s">
        <v>82</v>
      </c>
      <c r="AE104" s="31" t="s">
        <v>83</v>
      </c>
      <c r="AF104" s="31" t="s">
        <v>86</v>
      </c>
      <c r="AG104" s="31" t="s">
        <v>98</v>
      </c>
      <c r="AH104" s="31" t="s">
        <v>84</v>
      </c>
      <c r="AI104" s="31" t="s">
        <v>85</v>
      </c>
      <c r="AJ104" s="31" t="s">
        <v>85</v>
      </c>
      <c r="AK104" s="31" t="s">
        <v>88</v>
      </c>
      <c r="AL104" s="31" t="s">
        <v>87</v>
      </c>
      <c r="AM104" s="31" t="s">
        <v>105</v>
      </c>
      <c r="AN104" s="31" t="s">
        <v>90</v>
      </c>
      <c r="AO104" s="31" t="s">
        <v>83</v>
      </c>
      <c r="AP104" s="31" t="s">
        <v>85</v>
      </c>
      <c r="AQ104" s="31" t="s">
        <v>101</v>
      </c>
      <c r="AR104" s="31" t="s">
        <v>102</v>
      </c>
      <c r="AS104" s="31" t="s">
        <v>94</v>
      </c>
      <c r="AT104" s="31" t="s">
        <v>94</v>
      </c>
      <c r="AU104" s="31" t="s">
        <v>94</v>
      </c>
      <c r="AV104" s="31" t="s">
        <v>93</v>
      </c>
      <c r="AW104" s="31" t="s">
        <v>93</v>
      </c>
      <c r="AX104" s="31" t="s">
        <v>94</v>
      </c>
      <c r="AY104" s="31" t="s">
        <v>94</v>
      </c>
      <c r="AZ104" s="31" t="s">
        <v>93</v>
      </c>
      <c r="BA104" s="31" t="s">
        <v>107</v>
      </c>
      <c r="BB104" s="31" t="s">
        <v>716</v>
      </c>
      <c r="BC104" s="43"/>
      <c r="BD104" s="44">
        <f>Table2[[#This Row],[interviewtime]]/60</f>
        <v>11.652333333333333</v>
      </c>
      <c r="BE104" s="31">
        <v>699.14</v>
      </c>
      <c r="BF104" s="31">
        <v>8.44</v>
      </c>
      <c r="BG104" s="31"/>
      <c r="BH104" s="31">
        <v>24.66</v>
      </c>
      <c r="BI104" s="31"/>
      <c r="BJ104" s="31"/>
      <c r="BK104" s="31"/>
      <c r="BL104" s="31"/>
      <c r="BM104" s="31">
        <v>286.83999999999997</v>
      </c>
      <c r="BN104" s="31"/>
      <c r="BO104" s="31"/>
      <c r="BP104" s="31"/>
      <c r="BQ104" s="31"/>
      <c r="BR104" s="31"/>
      <c r="BS104" s="31"/>
      <c r="BT104" s="31">
        <v>196.03</v>
      </c>
      <c r="BU104" s="31"/>
      <c r="BV104" s="31"/>
      <c r="BW104" s="31"/>
      <c r="BX104" s="31"/>
      <c r="BY104" s="31"/>
      <c r="BZ104" s="31"/>
      <c r="CA104" s="31"/>
      <c r="CB104" s="31"/>
      <c r="CC104" s="31">
        <v>129.66999999999999</v>
      </c>
      <c r="CD104" s="31"/>
      <c r="CE104" s="31"/>
      <c r="CF104" s="31"/>
      <c r="CG104" s="31"/>
      <c r="CH104" s="31"/>
      <c r="CI104" s="31"/>
      <c r="CJ104" s="31"/>
      <c r="CK104" s="31"/>
      <c r="CL104" s="31">
        <v>53.5</v>
      </c>
      <c r="CM104" s="43"/>
      <c r="CN104" s="43"/>
      <c r="CO104" s="43"/>
      <c r="CP104" s="43"/>
      <c r="CQ104" s="43">
        <f>Table2[[#This Row],[groupTime22]]/60</f>
        <v>4.780666666666666</v>
      </c>
      <c r="CR104" s="43">
        <f>Table2[[#This Row],[groupTime23]]/60</f>
        <v>3.2671666666666668</v>
      </c>
      <c r="CS104" s="43">
        <f>Table2[[#This Row],[groupTime24]]/60</f>
        <v>2.1611666666666665</v>
      </c>
    </row>
    <row r="105" spans="1:97" hidden="1" x14ac:dyDescent="0.25">
      <c r="A105" s="11" t="s">
        <v>352</v>
      </c>
      <c r="B105" s="11" t="s">
        <v>113</v>
      </c>
      <c r="C105" s="11">
        <v>26</v>
      </c>
      <c r="D105" s="11" t="s">
        <v>498</v>
      </c>
      <c r="E105" s="11">
        <v>6</v>
      </c>
      <c r="F105" s="11" t="s">
        <v>79</v>
      </c>
      <c r="G105" s="11">
        <v>32903959</v>
      </c>
      <c r="H105" s="11" t="s">
        <v>220</v>
      </c>
      <c r="I105" s="11" t="s">
        <v>498</v>
      </c>
      <c r="J105" s="11" t="s">
        <v>96</v>
      </c>
      <c r="K105" s="11" t="str">
        <f>IF(Table2[[#This Row],[priorSuccessRatio]]&lt;1,"yes","no")</f>
        <v>yes</v>
      </c>
      <c r="L105" s="27">
        <f>VLOOKUP(Table2[[#This Row],[prolific]],'Correct calc'!B$16:$AJ$998,6,FALSE)</f>
        <v>0.33333333333333331</v>
      </c>
      <c r="M105" s="27">
        <f>VLOOKUP(Table2[[#This Row],[prolific]],'Correct calc'!B$16:$AJ$998,14,FALSE)</f>
        <v>0</v>
      </c>
      <c r="N105" s="27">
        <f>VLOOKUP(Table2[[#This Row],[prolific]],'Correct calc'!B$16:$AJ1085,24,FALSE)</f>
        <v>0.5</v>
      </c>
      <c r="O105" s="27">
        <f>VLOOKUP(Table2[[#This Row],[prolific]],'Correct calc'!B$16:$AJ1085,34,FALSE)</f>
        <v>0.75</v>
      </c>
      <c r="P105" s="28">
        <f>VLOOKUP(Table2[[#This Row],[comprescore]],Table3[],2,FALSE)</f>
        <v>4</v>
      </c>
      <c r="Q105" s="16">
        <f>VLOOKUP(Table2[[#This Row],[prolific]],'Correct calc'!B$16:$AK$998,36,FALSE)</f>
        <v>10</v>
      </c>
      <c r="R105" s="16">
        <f>Table2[[#This Row],[interviewminutes]]</f>
        <v>2.9483333333333333</v>
      </c>
      <c r="S105" s="16">
        <f>Table2[[#This Row],[classifyTime]]+Table2[[#This Row],[explainTime]]+Table2[[#This Row],[validateTime]]</f>
        <v>1.7384999999999997</v>
      </c>
      <c r="T105" s="29">
        <f>VLOOKUP(Table2[[#This Row],[prolific]],'Correct calc'!B$16:$AJ$998,35,FALSE)</f>
        <v>0.45454545454545453</v>
      </c>
      <c r="U105" s="15">
        <f>SUM(Table2[[#This Row],[priorKnowledge'[CLUSTERING']]:[priorKnowledge'[ZSCORES']]])/Table2[[#This Row],[priorKnowledgeTechQuestionCount]]</f>
        <v>1</v>
      </c>
      <c r="V105" s="16">
        <f>IF(Table2[[#This Row],[visualization]]="Wordcloud",2,3)</f>
        <v>3</v>
      </c>
      <c r="W105" s="31" t="s">
        <v>1119</v>
      </c>
      <c r="X105" s="31">
        <v>1</v>
      </c>
      <c r="Y105" s="31">
        <v>1</v>
      </c>
      <c r="Z105" s="31">
        <v>1</v>
      </c>
      <c r="AA105" s="31">
        <v>1</v>
      </c>
      <c r="AB105" s="31" t="s">
        <v>81</v>
      </c>
      <c r="AC105" s="31" t="s">
        <v>97</v>
      </c>
      <c r="AD105" s="31" t="s">
        <v>82</v>
      </c>
      <c r="AE105" s="31" t="s">
        <v>104</v>
      </c>
      <c r="AF105" s="31" t="s">
        <v>104</v>
      </c>
      <c r="AG105" s="31" t="s">
        <v>85</v>
      </c>
      <c r="AH105" s="31" t="s">
        <v>104</v>
      </c>
      <c r="AI105" s="31" t="s">
        <v>98</v>
      </c>
      <c r="AJ105" s="31" t="s">
        <v>86</v>
      </c>
      <c r="AK105" s="31" t="s">
        <v>88</v>
      </c>
      <c r="AL105" s="31" t="s">
        <v>87</v>
      </c>
      <c r="AM105" s="31" t="s">
        <v>89</v>
      </c>
      <c r="AN105" s="31" t="s">
        <v>100</v>
      </c>
      <c r="AO105" s="31" t="s">
        <v>98</v>
      </c>
      <c r="AP105" s="31" t="s">
        <v>85</v>
      </c>
      <c r="AQ105" s="31" t="s">
        <v>92</v>
      </c>
      <c r="AR105" s="31" t="s">
        <v>102</v>
      </c>
      <c r="AS105" s="31" t="s">
        <v>94</v>
      </c>
      <c r="AT105" s="31" t="s">
        <v>93</v>
      </c>
      <c r="AU105" s="31" t="s">
        <v>94</v>
      </c>
      <c r="AV105" s="31" t="s">
        <v>93</v>
      </c>
      <c r="AW105" s="31" t="s">
        <v>93</v>
      </c>
      <c r="AX105" s="31" t="s">
        <v>93</v>
      </c>
      <c r="AY105" s="31" t="s">
        <v>93</v>
      </c>
      <c r="AZ105" s="31" t="s">
        <v>93</v>
      </c>
      <c r="BA105" s="31" t="s">
        <v>103</v>
      </c>
      <c r="BB105" s="31" t="s">
        <v>550</v>
      </c>
      <c r="BC105" s="24"/>
      <c r="BD105" s="30">
        <f>Table2[[#This Row],[interviewtime]]/60</f>
        <v>2.9483333333333333</v>
      </c>
      <c r="BE105" s="31">
        <v>176.9</v>
      </c>
      <c r="BF105" s="31">
        <v>6.75</v>
      </c>
      <c r="BG105" s="31"/>
      <c r="BH105" s="31">
        <v>55.12</v>
      </c>
      <c r="BI105" s="31"/>
      <c r="BJ105" s="31"/>
      <c r="BK105" s="31"/>
      <c r="BL105" s="31"/>
      <c r="BM105" s="31">
        <v>36.86</v>
      </c>
      <c r="BN105" s="31"/>
      <c r="BO105" s="31"/>
      <c r="BP105" s="31"/>
      <c r="BQ105" s="31"/>
      <c r="BR105" s="31"/>
      <c r="BS105" s="31"/>
      <c r="BT105" s="31">
        <v>52.76</v>
      </c>
      <c r="BU105" s="31"/>
      <c r="BV105" s="31"/>
      <c r="BW105" s="31"/>
      <c r="BX105" s="31"/>
      <c r="BY105" s="31"/>
      <c r="BZ105" s="31"/>
      <c r="CA105" s="31"/>
      <c r="CB105" s="31"/>
      <c r="CC105" s="31">
        <v>14.69</v>
      </c>
      <c r="CD105" s="31"/>
      <c r="CE105" s="31"/>
      <c r="CF105" s="31"/>
      <c r="CG105" s="31"/>
      <c r="CH105" s="31"/>
      <c r="CI105" s="31"/>
      <c r="CJ105" s="31"/>
      <c r="CK105" s="31"/>
      <c r="CL105" s="31">
        <v>10.72</v>
      </c>
      <c r="CM105" s="31"/>
      <c r="CN105" s="31"/>
      <c r="CO105" s="24"/>
      <c r="CP105" s="24"/>
      <c r="CQ105" s="43">
        <f>Table2[[#This Row],[groupTime22]]/60</f>
        <v>0.61433333333333329</v>
      </c>
      <c r="CR105" s="43">
        <f>Table2[[#This Row],[groupTime23]]/60</f>
        <v>0.8793333333333333</v>
      </c>
      <c r="CS105" s="43">
        <f>Table2[[#This Row],[groupTime24]]/60</f>
        <v>0.24483333333333332</v>
      </c>
    </row>
    <row r="106" spans="1:97" x14ac:dyDescent="0.25">
      <c r="A106" s="36" t="s">
        <v>638</v>
      </c>
      <c r="B106" s="11" t="s">
        <v>113</v>
      </c>
      <c r="C106" s="11">
        <v>61</v>
      </c>
      <c r="D106" s="11" t="s">
        <v>669</v>
      </c>
      <c r="E106" s="11">
        <v>6</v>
      </c>
      <c r="F106" s="11" t="s">
        <v>79</v>
      </c>
      <c r="G106" s="11">
        <v>567944475</v>
      </c>
      <c r="H106" s="11" t="s">
        <v>670</v>
      </c>
      <c r="I106" s="11" t="s">
        <v>669</v>
      </c>
      <c r="J106" s="11" t="s">
        <v>589</v>
      </c>
      <c r="K106" s="37" t="str">
        <f>IF(Table2[[#This Row],[priorSuccessRatio]]&lt;1,"yes","no")</f>
        <v>no</v>
      </c>
      <c r="L106" s="38">
        <f>VLOOKUP(Table2[[#This Row],[prolific]],'Correct calc'!B$16:$AJ$998,6,FALSE)</f>
        <v>1</v>
      </c>
      <c r="M106" s="27">
        <f>VLOOKUP(Table2[[#This Row],[prolific]],'Correct calc'!B$16:$AJ$998,14,FALSE)</f>
        <v>0.5</v>
      </c>
      <c r="N106" s="27">
        <f>VLOOKUP(Table2[[#This Row],[prolific]],'Correct calc'!B$16:$AJ1128,24,FALSE)</f>
        <v>0.875</v>
      </c>
      <c r="O106" s="38">
        <f>VLOOKUP(Table2[[#This Row],[prolific]],'Correct calc'!B$16:$AJ1128,34,FALSE)</f>
        <v>0.5</v>
      </c>
      <c r="P106" s="39">
        <f>VLOOKUP(Table2[[#This Row],[comprescore]],Table3[],2,FALSE)</f>
        <v>3</v>
      </c>
      <c r="Q106" s="40">
        <f>VLOOKUP(Table2[[#This Row],[prolific]],'Correct calc'!B$16:$AK$998,36,FALSE)</f>
        <v>14</v>
      </c>
      <c r="R106" s="40">
        <f>Table2[[#This Row],[interviewminutes]]</f>
        <v>13.755666666666666</v>
      </c>
      <c r="S106" s="40">
        <f>Table2[[#This Row],[classifyTime]]+Table2[[#This Row],[explainTime]]+Table2[[#This Row],[validateTime]]</f>
        <v>11.7395</v>
      </c>
      <c r="T106" s="41">
        <f>VLOOKUP(Table2[[#This Row],[prolific]],'Correct calc'!B$16:$AJ$998,35,FALSE)</f>
        <v>0.63636363636363635</v>
      </c>
      <c r="U106" s="42">
        <f>SUM(Table2[[#This Row],[priorKnowledge'[CLUSTERING']]:[priorKnowledge'[ZSCORES']]])/Table2[[#This Row],[priorKnowledgeTechQuestionCount]]</f>
        <v>1</v>
      </c>
      <c r="V106" s="40">
        <f>IF(Table2[[#This Row],[visualization]]="Wordcloud",2,3)</f>
        <v>3</v>
      </c>
      <c r="W106" s="31" t="s">
        <v>1120</v>
      </c>
      <c r="X106" s="31">
        <v>1</v>
      </c>
      <c r="Y106" s="31">
        <v>1</v>
      </c>
      <c r="Z106" s="31">
        <v>1</v>
      </c>
      <c r="AA106" s="31">
        <v>3</v>
      </c>
      <c r="AB106" s="31" t="s">
        <v>97</v>
      </c>
      <c r="AC106" s="31" t="s">
        <v>81</v>
      </c>
      <c r="AD106" s="31" t="s">
        <v>82</v>
      </c>
      <c r="AE106" s="31" t="s">
        <v>83</v>
      </c>
      <c r="AF106" s="31" t="s">
        <v>86</v>
      </c>
      <c r="AG106" s="31" t="s">
        <v>98</v>
      </c>
      <c r="AH106" s="31" t="s">
        <v>84</v>
      </c>
      <c r="AI106" s="31" t="s">
        <v>83</v>
      </c>
      <c r="AJ106" s="31" t="s">
        <v>98</v>
      </c>
      <c r="AK106" s="31" t="s">
        <v>88</v>
      </c>
      <c r="AL106" s="31" t="s">
        <v>87</v>
      </c>
      <c r="AM106" s="31" t="s">
        <v>105</v>
      </c>
      <c r="AN106" s="31" t="s">
        <v>90</v>
      </c>
      <c r="AO106" s="31" t="s">
        <v>83</v>
      </c>
      <c r="AP106" s="31" t="s">
        <v>85</v>
      </c>
      <c r="AQ106" s="31" t="s">
        <v>92</v>
      </c>
      <c r="AR106" s="31" t="s">
        <v>102</v>
      </c>
      <c r="AS106" s="31" t="s">
        <v>94</v>
      </c>
      <c r="AT106" s="31" t="s">
        <v>94</v>
      </c>
      <c r="AU106" s="31" t="s">
        <v>93</v>
      </c>
      <c r="AV106" s="31" t="s">
        <v>94</v>
      </c>
      <c r="AW106" s="31" t="s">
        <v>94</v>
      </c>
      <c r="AX106" s="31" t="s">
        <v>94</v>
      </c>
      <c r="AY106" s="31" t="s">
        <v>94</v>
      </c>
      <c r="AZ106" s="31" t="s">
        <v>93</v>
      </c>
      <c r="BA106" s="31" t="s">
        <v>107</v>
      </c>
      <c r="BB106" s="31" t="s">
        <v>718</v>
      </c>
      <c r="BC106" s="43"/>
      <c r="BD106" s="44">
        <f>Table2[[#This Row],[interviewtime]]/60</f>
        <v>13.755666666666666</v>
      </c>
      <c r="BE106" s="31">
        <v>825.34</v>
      </c>
      <c r="BF106" s="31">
        <v>8.98</v>
      </c>
      <c r="BG106" s="31"/>
      <c r="BH106" s="31">
        <v>56.51</v>
      </c>
      <c r="BI106" s="31"/>
      <c r="BJ106" s="31"/>
      <c r="BK106" s="31"/>
      <c r="BL106" s="31"/>
      <c r="BM106" s="31">
        <v>365.49</v>
      </c>
      <c r="BN106" s="31"/>
      <c r="BO106" s="31"/>
      <c r="BP106" s="31"/>
      <c r="BQ106" s="31"/>
      <c r="BR106" s="31"/>
      <c r="BS106" s="31"/>
      <c r="BT106" s="31">
        <v>218.8</v>
      </c>
      <c r="BU106" s="31"/>
      <c r="BV106" s="31"/>
      <c r="BW106" s="31"/>
      <c r="BX106" s="31"/>
      <c r="BY106" s="31"/>
      <c r="BZ106" s="31"/>
      <c r="CA106" s="31"/>
      <c r="CB106" s="31"/>
      <c r="CC106" s="31">
        <v>120.08</v>
      </c>
      <c r="CD106" s="31"/>
      <c r="CE106" s="31"/>
      <c r="CF106" s="31"/>
      <c r="CG106" s="31"/>
      <c r="CH106" s="31"/>
      <c r="CI106" s="31"/>
      <c r="CJ106" s="31"/>
      <c r="CK106" s="31"/>
      <c r="CL106" s="31">
        <v>55.48</v>
      </c>
      <c r="CM106" s="43"/>
      <c r="CN106" s="43"/>
      <c r="CO106" s="43"/>
      <c r="CP106" s="43"/>
      <c r="CQ106" s="43">
        <f>Table2[[#This Row],[groupTime22]]/60</f>
        <v>6.0914999999999999</v>
      </c>
      <c r="CR106" s="43">
        <f>Table2[[#This Row],[groupTime23]]/60</f>
        <v>3.6466666666666669</v>
      </c>
      <c r="CS106" s="43">
        <f>Table2[[#This Row],[groupTime24]]/60</f>
        <v>2.0013333333333332</v>
      </c>
    </row>
    <row r="107" spans="1:97" x14ac:dyDescent="0.25">
      <c r="A107" s="36" t="s">
        <v>638</v>
      </c>
      <c r="B107" s="11" t="s">
        <v>113</v>
      </c>
      <c r="C107" s="11">
        <v>62</v>
      </c>
      <c r="D107" s="11" t="s">
        <v>671</v>
      </c>
      <c r="E107" s="11">
        <v>6</v>
      </c>
      <c r="F107" s="11" t="s">
        <v>79</v>
      </c>
      <c r="G107" s="11">
        <v>1406933729</v>
      </c>
      <c r="H107" s="11" t="s">
        <v>672</v>
      </c>
      <c r="I107" s="11" t="s">
        <v>671</v>
      </c>
      <c r="J107" s="11" t="s">
        <v>589</v>
      </c>
      <c r="K107" s="37" t="str">
        <f>IF(Table2[[#This Row],[priorSuccessRatio]]&lt;1,"yes","no")</f>
        <v>no</v>
      </c>
      <c r="L107" s="38">
        <f>VLOOKUP(Table2[[#This Row],[prolific]],'Correct calc'!B$16:$AJ$998,6,FALSE)</f>
        <v>1</v>
      </c>
      <c r="M107" s="27">
        <f>VLOOKUP(Table2[[#This Row],[prolific]],'Correct calc'!B$16:$AJ$998,14,FALSE)</f>
        <v>0.83333333333333337</v>
      </c>
      <c r="N107" s="27">
        <f>VLOOKUP(Table2[[#This Row],[prolific]],'Correct calc'!B$16:$AJ1129,24,FALSE)</f>
        <v>0.75</v>
      </c>
      <c r="O107" s="38">
        <f>VLOOKUP(Table2[[#This Row],[prolific]],'Correct calc'!B$16:$AJ1129,34,FALSE)</f>
        <v>0.625</v>
      </c>
      <c r="P107" s="39">
        <f>VLOOKUP(Table2[[#This Row],[comprescore]],Table3[],2,FALSE)</f>
        <v>3</v>
      </c>
      <c r="Q107" s="40">
        <f>VLOOKUP(Table2[[#This Row],[prolific]],'Correct calc'!B$16:$AK$998,36,FALSE)</f>
        <v>16</v>
      </c>
      <c r="R107" s="40">
        <f>Table2[[#This Row],[interviewminutes]]</f>
        <v>19.308333333333334</v>
      </c>
      <c r="S107" s="40">
        <f>Table2[[#This Row],[classifyTime]]+Table2[[#This Row],[explainTime]]+Table2[[#This Row],[validateTime]]</f>
        <v>15.0825</v>
      </c>
      <c r="T107" s="41">
        <f>VLOOKUP(Table2[[#This Row],[prolific]],'Correct calc'!B$16:$AJ$998,35,FALSE)</f>
        <v>0.72727272727272729</v>
      </c>
      <c r="U107" s="42">
        <f>SUM(Table2[[#This Row],[priorKnowledge'[CLUSTERING']]:[priorKnowledge'[ZSCORES']]])/Table2[[#This Row],[priorKnowledgeTechQuestionCount]]</f>
        <v>1</v>
      </c>
      <c r="V107" s="40">
        <f>IF(Table2[[#This Row],[visualization]]="Wordcloud",2,3)</f>
        <v>3</v>
      </c>
      <c r="W107" s="31" t="s">
        <v>1121</v>
      </c>
      <c r="X107" s="31">
        <v>1</v>
      </c>
      <c r="Y107" s="31">
        <v>1</v>
      </c>
      <c r="Z107" s="31">
        <v>1</v>
      </c>
      <c r="AA107" s="31">
        <v>3</v>
      </c>
      <c r="AB107" s="31" t="s">
        <v>97</v>
      </c>
      <c r="AC107" s="31" t="s">
        <v>81</v>
      </c>
      <c r="AD107" s="31" t="s">
        <v>82</v>
      </c>
      <c r="AE107" s="31" t="s">
        <v>83</v>
      </c>
      <c r="AF107" s="31" t="s">
        <v>85</v>
      </c>
      <c r="AG107" s="31" t="s">
        <v>86</v>
      </c>
      <c r="AH107" s="31" t="s">
        <v>84</v>
      </c>
      <c r="AI107" s="31" t="s">
        <v>85</v>
      </c>
      <c r="AJ107" s="31" t="s">
        <v>98</v>
      </c>
      <c r="AK107" s="31" t="s">
        <v>88</v>
      </c>
      <c r="AL107" s="31" t="s">
        <v>87</v>
      </c>
      <c r="AM107" s="31" t="s">
        <v>105</v>
      </c>
      <c r="AN107" s="31" t="s">
        <v>90</v>
      </c>
      <c r="AO107" s="31" t="s">
        <v>83</v>
      </c>
      <c r="AP107" s="31" t="s">
        <v>85</v>
      </c>
      <c r="AQ107" s="31" t="s">
        <v>101</v>
      </c>
      <c r="AR107" s="31" t="s">
        <v>101</v>
      </c>
      <c r="AS107" s="31" t="s">
        <v>94</v>
      </c>
      <c r="AT107" s="31" t="s">
        <v>94</v>
      </c>
      <c r="AU107" s="31" t="s">
        <v>93</v>
      </c>
      <c r="AV107" s="31" t="s">
        <v>93</v>
      </c>
      <c r="AW107" s="31" t="s">
        <v>93</v>
      </c>
      <c r="AX107" s="31" t="s">
        <v>93</v>
      </c>
      <c r="AY107" s="31" t="s">
        <v>94</v>
      </c>
      <c r="AZ107" s="31" t="s">
        <v>93</v>
      </c>
      <c r="BA107" s="31" t="s">
        <v>107</v>
      </c>
      <c r="BB107" s="31" t="s">
        <v>720</v>
      </c>
      <c r="BC107" s="43"/>
      <c r="BD107" s="44">
        <f>Table2[[#This Row],[interviewtime]]/60</f>
        <v>19.308333333333334</v>
      </c>
      <c r="BE107" s="31">
        <v>1158.5</v>
      </c>
      <c r="BF107" s="31">
        <v>5.66</v>
      </c>
      <c r="BG107" s="31"/>
      <c r="BH107" s="31">
        <v>33.04</v>
      </c>
      <c r="BI107" s="31"/>
      <c r="BJ107" s="31"/>
      <c r="BK107" s="31"/>
      <c r="BL107" s="31"/>
      <c r="BM107" s="31">
        <v>462.23</v>
      </c>
      <c r="BN107" s="31"/>
      <c r="BO107" s="31"/>
      <c r="BP107" s="31"/>
      <c r="BQ107" s="31"/>
      <c r="BR107" s="31"/>
      <c r="BS107" s="31"/>
      <c r="BT107" s="31">
        <v>237.1</v>
      </c>
      <c r="BU107" s="31"/>
      <c r="BV107" s="31"/>
      <c r="BW107" s="31"/>
      <c r="BX107" s="31"/>
      <c r="BY107" s="31"/>
      <c r="BZ107" s="31"/>
      <c r="CA107" s="31"/>
      <c r="CB107" s="31"/>
      <c r="CC107" s="31">
        <v>205.62</v>
      </c>
      <c r="CD107" s="31"/>
      <c r="CE107" s="31"/>
      <c r="CF107" s="31"/>
      <c r="CG107" s="31"/>
      <c r="CH107" s="31"/>
      <c r="CI107" s="31"/>
      <c r="CJ107" s="31"/>
      <c r="CK107" s="31"/>
      <c r="CL107" s="31">
        <v>214.85</v>
      </c>
      <c r="CM107" s="43"/>
      <c r="CN107" s="43"/>
      <c r="CO107" s="43"/>
      <c r="CP107" s="43"/>
      <c r="CQ107" s="43">
        <f>Table2[[#This Row],[groupTime22]]/60</f>
        <v>7.7038333333333338</v>
      </c>
      <c r="CR107" s="43">
        <f>Table2[[#This Row],[groupTime23]]/60</f>
        <v>3.9516666666666667</v>
      </c>
      <c r="CS107" s="43">
        <f>Table2[[#This Row],[groupTime24]]/60</f>
        <v>3.427</v>
      </c>
    </row>
    <row r="108" spans="1:97" x14ac:dyDescent="0.25">
      <c r="A108" s="36" t="s">
        <v>638</v>
      </c>
      <c r="B108" s="11" t="s">
        <v>113</v>
      </c>
      <c r="C108" s="11">
        <v>63</v>
      </c>
      <c r="D108" s="11" t="s">
        <v>673</v>
      </c>
      <c r="E108" s="11">
        <v>6</v>
      </c>
      <c r="F108" s="11" t="s">
        <v>79</v>
      </c>
      <c r="G108" s="11">
        <v>1264144111</v>
      </c>
      <c r="H108" s="11" t="s">
        <v>674</v>
      </c>
      <c r="I108" s="11" t="s">
        <v>673</v>
      </c>
      <c r="J108" s="11" t="s">
        <v>589</v>
      </c>
      <c r="K108" s="37" t="str">
        <f>IF(Table2[[#This Row],[priorSuccessRatio]]&lt;1,"yes","no")</f>
        <v>no</v>
      </c>
      <c r="L108" s="38">
        <f>VLOOKUP(Table2[[#This Row],[prolific]],'Correct calc'!B$16:$AJ$998,6,FALSE)</f>
        <v>1</v>
      </c>
      <c r="M108" s="27">
        <f>VLOOKUP(Table2[[#This Row],[prolific]],'Correct calc'!B$16:$AJ$998,14,FALSE)</f>
        <v>0.16666666666666666</v>
      </c>
      <c r="N108" s="27">
        <f>VLOOKUP(Table2[[#This Row],[prolific]],'Correct calc'!B$16:$AJ1130,24,FALSE)</f>
        <v>1</v>
      </c>
      <c r="O108" s="38">
        <f>VLOOKUP(Table2[[#This Row],[prolific]],'Correct calc'!B$16:$AJ1130,34,FALSE)</f>
        <v>0.75</v>
      </c>
      <c r="P108" s="39">
        <f>VLOOKUP(Table2[[#This Row],[comprescore]],Table3[],2,FALSE)</f>
        <v>3</v>
      </c>
      <c r="Q108" s="40">
        <f>VLOOKUP(Table2[[#This Row],[prolific]],'Correct calc'!B$16:$AK$998,36,FALSE)</f>
        <v>15</v>
      </c>
      <c r="R108" s="40">
        <f>Table2[[#This Row],[interviewminutes]]</f>
        <v>14.798666666666666</v>
      </c>
      <c r="S108" s="40">
        <f>Table2[[#This Row],[classifyTime]]+Table2[[#This Row],[explainTime]]+Table2[[#This Row],[validateTime]]</f>
        <v>12.580166666666667</v>
      </c>
      <c r="T108" s="41">
        <f>VLOOKUP(Table2[[#This Row],[prolific]],'Correct calc'!B$16:$AJ$998,35,FALSE)</f>
        <v>0.68181818181818177</v>
      </c>
      <c r="U108" s="42">
        <f>SUM(Table2[[#This Row],[priorKnowledge'[CLUSTERING']]:[priorKnowledge'[ZSCORES']]])/Table2[[#This Row],[priorKnowledgeTechQuestionCount]]</f>
        <v>1.3333333333333333</v>
      </c>
      <c r="V108" s="40">
        <f>IF(Table2[[#This Row],[visualization]]="Wordcloud",2,3)</f>
        <v>3</v>
      </c>
      <c r="W108" s="31" t="s">
        <v>1122</v>
      </c>
      <c r="X108" s="31">
        <v>2</v>
      </c>
      <c r="Y108" s="31">
        <v>1</v>
      </c>
      <c r="Z108" s="31">
        <v>1</v>
      </c>
      <c r="AA108" s="31">
        <v>5</v>
      </c>
      <c r="AB108" s="31" t="s">
        <v>97</v>
      </c>
      <c r="AC108" s="31" t="s">
        <v>81</v>
      </c>
      <c r="AD108" s="31" t="s">
        <v>82</v>
      </c>
      <c r="AE108" s="31" t="s">
        <v>104</v>
      </c>
      <c r="AF108" s="31" t="s">
        <v>104</v>
      </c>
      <c r="AG108" s="31" t="s">
        <v>104</v>
      </c>
      <c r="AH108" s="31" t="s">
        <v>84</v>
      </c>
      <c r="AI108" s="31" t="s">
        <v>86</v>
      </c>
      <c r="AJ108" s="31" t="s">
        <v>83</v>
      </c>
      <c r="AK108" s="31" t="s">
        <v>88</v>
      </c>
      <c r="AL108" s="31" t="s">
        <v>87</v>
      </c>
      <c r="AM108" s="31" t="s">
        <v>105</v>
      </c>
      <c r="AN108" s="31" t="s">
        <v>90</v>
      </c>
      <c r="AO108" s="31" t="s">
        <v>83</v>
      </c>
      <c r="AP108" s="31" t="s">
        <v>85</v>
      </c>
      <c r="AQ108" s="31" t="s">
        <v>91</v>
      </c>
      <c r="AR108" s="31" t="s">
        <v>102</v>
      </c>
      <c r="AS108" s="31" t="s">
        <v>94</v>
      </c>
      <c r="AT108" s="31" t="s">
        <v>94</v>
      </c>
      <c r="AU108" s="31" t="s">
        <v>94</v>
      </c>
      <c r="AV108" s="31" t="s">
        <v>93</v>
      </c>
      <c r="AW108" s="31" t="s">
        <v>94</v>
      </c>
      <c r="AX108" s="31" t="s">
        <v>94</v>
      </c>
      <c r="AY108" s="31" t="s">
        <v>94</v>
      </c>
      <c r="AZ108" s="31" t="s">
        <v>93</v>
      </c>
      <c r="BA108" s="31" t="s">
        <v>107</v>
      </c>
      <c r="BB108" s="31" t="s">
        <v>722</v>
      </c>
      <c r="BC108" s="43"/>
      <c r="BD108" s="44">
        <f>Table2[[#This Row],[interviewtime]]/60</f>
        <v>14.798666666666666</v>
      </c>
      <c r="BE108" s="31">
        <v>887.92</v>
      </c>
      <c r="BF108" s="31">
        <v>8.6</v>
      </c>
      <c r="BG108" s="31"/>
      <c r="BH108" s="31">
        <v>58.31</v>
      </c>
      <c r="BI108" s="31"/>
      <c r="BJ108" s="31"/>
      <c r="BK108" s="31"/>
      <c r="BL108" s="31"/>
      <c r="BM108" s="31">
        <v>270.33</v>
      </c>
      <c r="BN108" s="31"/>
      <c r="BO108" s="31"/>
      <c r="BP108" s="31"/>
      <c r="BQ108" s="31"/>
      <c r="BR108" s="31"/>
      <c r="BS108" s="31"/>
      <c r="BT108" s="31">
        <v>278.77</v>
      </c>
      <c r="BU108" s="31"/>
      <c r="BV108" s="31"/>
      <c r="BW108" s="31"/>
      <c r="BX108" s="31"/>
      <c r="BY108" s="31"/>
      <c r="BZ108" s="31"/>
      <c r="CA108" s="31"/>
      <c r="CB108" s="31"/>
      <c r="CC108" s="31">
        <v>205.71</v>
      </c>
      <c r="CD108" s="31"/>
      <c r="CE108" s="31"/>
      <c r="CF108" s="31"/>
      <c r="CG108" s="31"/>
      <c r="CH108" s="31"/>
      <c r="CI108" s="31"/>
      <c r="CJ108" s="31"/>
      <c r="CK108" s="31"/>
      <c r="CL108" s="31">
        <v>66.2</v>
      </c>
      <c r="CM108" s="43"/>
      <c r="CN108" s="43"/>
      <c r="CO108" s="43"/>
      <c r="CP108" s="43"/>
      <c r="CQ108" s="43">
        <f>Table2[[#This Row],[groupTime22]]/60</f>
        <v>4.5054999999999996</v>
      </c>
      <c r="CR108" s="43">
        <f>Table2[[#This Row],[groupTime23]]/60</f>
        <v>4.6461666666666668</v>
      </c>
      <c r="CS108" s="43">
        <f>Table2[[#This Row],[groupTime24]]/60</f>
        <v>3.4285000000000001</v>
      </c>
    </row>
    <row r="109" spans="1:97" x14ac:dyDescent="0.25">
      <c r="A109" s="36" t="s">
        <v>638</v>
      </c>
      <c r="B109" s="11" t="s">
        <v>113</v>
      </c>
      <c r="C109" s="11">
        <v>64</v>
      </c>
      <c r="D109" s="11" t="s">
        <v>675</v>
      </c>
      <c r="E109" s="11">
        <v>6</v>
      </c>
      <c r="F109" s="11" t="s">
        <v>79</v>
      </c>
      <c r="G109" s="11">
        <v>2035931079</v>
      </c>
      <c r="H109" s="11" t="s">
        <v>676</v>
      </c>
      <c r="I109" s="11" t="s">
        <v>677</v>
      </c>
      <c r="J109" s="11" t="s">
        <v>589</v>
      </c>
      <c r="K109" s="37" t="str">
        <f>IF(Table2[[#This Row],[priorSuccessRatio]]&lt;1,"yes","no")</f>
        <v>no</v>
      </c>
      <c r="L109" s="38">
        <f>VLOOKUP(Table2[[#This Row],[prolific]],'Correct calc'!B$16:$AJ$998,6,FALSE)</f>
        <v>1</v>
      </c>
      <c r="M109" s="27">
        <f>VLOOKUP(Table2[[#This Row],[prolific]],'Correct calc'!B$16:$AJ$998,14,FALSE)</f>
        <v>0.83333333333333337</v>
      </c>
      <c r="N109" s="27">
        <f>VLOOKUP(Table2[[#This Row],[prolific]],'Correct calc'!B$16:$AJ1131,24,FALSE)</f>
        <v>0.75</v>
      </c>
      <c r="O109" s="38">
        <f>VLOOKUP(Table2[[#This Row],[prolific]],'Correct calc'!B$16:$AJ1131,34,FALSE)</f>
        <v>0.625</v>
      </c>
      <c r="P109" s="39">
        <f>VLOOKUP(Table2[[#This Row],[comprescore]],Table3[],2,FALSE)</f>
        <v>1</v>
      </c>
      <c r="Q109" s="40">
        <f>VLOOKUP(Table2[[#This Row],[prolific]],'Correct calc'!B$16:$AK$998,36,FALSE)</f>
        <v>16</v>
      </c>
      <c r="R109" s="40">
        <f>Table2[[#This Row],[interviewminutes]]</f>
        <v>14.7475</v>
      </c>
      <c r="S109" s="40">
        <f>Table2[[#This Row],[classifyTime]]+Table2[[#This Row],[explainTime]]+Table2[[#This Row],[validateTime]]</f>
        <v>12.0595</v>
      </c>
      <c r="T109" s="41">
        <f>VLOOKUP(Table2[[#This Row],[prolific]],'Correct calc'!B$16:$AJ$998,35,FALSE)</f>
        <v>0.72727272727272729</v>
      </c>
      <c r="U109" s="42">
        <f>SUM(Table2[[#This Row],[priorKnowledge'[CLUSTERING']]:[priorKnowledge'[ZSCORES']]])/Table2[[#This Row],[priorKnowledgeTechQuestionCount]]</f>
        <v>1</v>
      </c>
      <c r="V109" s="40">
        <f>IF(Table2[[#This Row],[visualization]]="Wordcloud",2,3)</f>
        <v>3</v>
      </c>
      <c r="W109" s="31" t="s">
        <v>1123</v>
      </c>
      <c r="X109" s="31">
        <v>1</v>
      </c>
      <c r="Y109" s="31">
        <v>1</v>
      </c>
      <c r="Z109" s="31">
        <v>1</v>
      </c>
      <c r="AA109" s="31">
        <v>3</v>
      </c>
      <c r="AB109" s="31" t="s">
        <v>97</v>
      </c>
      <c r="AC109" s="31" t="s">
        <v>81</v>
      </c>
      <c r="AD109" s="31" t="s">
        <v>82</v>
      </c>
      <c r="AE109" s="31" t="s">
        <v>83</v>
      </c>
      <c r="AF109" s="31" t="s">
        <v>85</v>
      </c>
      <c r="AG109" s="31" t="s">
        <v>86</v>
      </c>
      <c r="AH109" s="31" t="s">
        <v>84</v>
      </c>
      <c r="AI109" s="31" t="s">
        <v>85</v>
      </c>
      <c r="AJ109" s="31" t="s">
        <v>98</v>
      </c>
      <c r="AK109" s="31" t="s">
        <v>88</v>
      </c>
      <c r="AL109" s="31" t="s">
        <v>87</v>
      </c>
      <c r="AM109" s="31" t="s">
        <v>105</v>
      </c>
      <c r="AN109" s="31" t="s">
        <v>100</v>
      </c>
      <c r="AO109" s="31" t="s">
        <v>83</v>
      </c>
      <c r="AP109" s="31" t="s">
        <v>85</v>
      </c>
      <c r="AQ109" s="31" t="s">
        <v>101</v>
      </c>
      <c r="AR109" s="31" t="s">
        <v>102</v>
      </c>
      <c r="AS109" s="31" t="s">
        <v>94</v>
      </c>
      <c r="AT109" s="31" t="s">
        <v>94</v>
      </c>
      <c r="AU109" s="31" t="s">
        <v>93</v>
      </c>
      <c r="AV109" s="31" t="s">
        <v>93</v>
      </c>
      <c r="AW109" s="31" t="s">
        <v>93</v>
      </c>
      <c r="AX109" s="31" t="s">
        <v>93</v>
      </c>
      <c r="AY109" s="31" t="s">
        <v>94</v>
      </c>
      <c r="AZ109" s="31" t="s">
        <v>93</v>
      </c>
      <c r="BA109" s="31" t="s">
        <v>95</v>
      </c>
      <c r="BB109" s="31" t="s">
        <v>724</v>
      </c>
      <c r="BC109" s="43"/>
      <c r="BD109" s="44">
        <f>Table2[[#This Row],[interviewtime]]/60</f>
        <v>14.7475</v>
      </c>
      <c r="BE109" s="31">
        <v>884.85</v>
      </c>
      <c r="BF109" s="31">
        <v>9.1999999999999993</v>
      </c>
      <c r="BG109" s="31"/>
      <c r="BH109" s="31">
        <v>30.07</v>
      </c>
      <c r="BI109" s="31"/>
      <c r="BJ109" s="31"/>
      <c r="BK109" s="31"/>
      <c r="BL109" s="31"/>
      <c r="BM109" s="31">
        <v>466.8</v>
      </c>
      <c r="BN109" s="31"/>
      <c r="BO109" s="31"/>
      <c r="BP109" s="31"/>
      <c r="BQ109" s="31"/>
      <c r="BR109" s="31"/>
      <c r="BS109" s="31"/>
      <c r="BT109" s="31">
        <v>161.38</v>
      </c>
      <c r="BU109" s="31"/>
      <c r="BV109" s="31"/>
      <c r="BW109" s="31"/>
      <c r="BX109" s="31"/>
      <c r="BY109" s="31"/>
      <c r="BZ109" s="31"/>
      <c r="CA109" s="31"/>
      <c r="CB109" s="31"/>
      <c r="CC109" s="31">
        <v>95.39</v>
      </c>
      <c r="CD109" s="31"/>
      <c r="CE109" s="31"/>
      <c r="CF109" s="31"/>
      <c r="CG109" s="31"/>
      <c r="CH109" s="31"/>
      <c r="CI109" s="31"/>
      <c r="CJ109" s="31"/>
      <c r="CK109" s="31"/>
      <c r="CL109" s="31">
        <v>122.01</v>
      </c>
      <c r="CM109" s="43"/>
      <c r="CN109" s="43"/>
      <c r="CO109" s="43"/>
      <c r="CP109" s="43"/>
      <c r="CQ109" s="43">
        <f>Table2[[#This Row],[groupTime22]]/60</f>
        <v>7.78</v>
      </c>
      <c r="CR109" s="43">
        <f>Table2[[#This Row],[groupTime23]]/60</f>
        <v>2.6896666666666667</v>
      </c>
      <c r="CS109" s="43">
        <f>Table2[[#This Row],[groupTime24]]/60</f>
        <v>1.5898333333333334</v>
      </c>
    </row>
    <row r="110" spans="1:97" x14ac:dyDescent="0.25">
      <c r="A110" s="36" t="s">
        <v>638</v>
      </c>
      <c r="B110" s="11" t="s">
        <v>113</v>
      </c>
      <c r="C110" s="11">
        <v>66</v>
      </c>
      <c r="D110" s="11" t="s">
        <v>678</v>
      </c>
      <c r="E110" s="11">
        <v>6</v>
      </c>
      <c r="F110" s="11" t="s">
        <v>79</v>
      </c>
      <c r="G110" s="11">
        <v>299554488</v>
      </c>
      <c r="H110" s="11" t="s">
        <v>679</v>
      </c>
      <c r="I110" s="11" t="s">
        <v>678</v>
      </c>
      <c r="J110" s="11" t="s">
        <v>589</v>
      </c>
      <c r="K110" s="37" t="str">
        <f>IF(Table2[[#This Row],[priorSuccessRatio]]&lt;1,"yes","no")</f>
        <v>no</v>
      </c>
      <c r="L110" s="38">
        <f>VLOOKUP(Table2[[#This Row],[prolific]],'Correct calc'!B$16:$AJ$998,6,FALSE)</f>
        <v>1</v>
      </c>
      <c r="M110" s="27">
        <f>VLOOKUP(Table2[[#This Row],[prolific]],'Correct calc'!B$16:$AJ$998,14,FALSE)</f>
        <v>1</v>
      </c>
      <c r="N110" s="27">
        <f>VLOOKUP(Table2[[#This Row],[prolific]],'Correct calc'!B$16:$AJ1132,24,FALSE)</f>
        <v>0.875</v>
      </c>
      <c r="O110" s="38">
        <f>VLOOKUP(Table2[[#This Row],[prolific]],'Correct calc'!B$16:$AJ1132,34,FALSE)</f>
        <v>0.75</v>
      </c>
      <c r="P110" s="39">
        <f>VLOOKUP(Table2[[#This Row],[comprescore]],Table3[],2,FALSE)</f>
        <v>3</v>
      </c>
      <c r="Q110" s="40">
        <f>VLOOKUP(Table2[[#This Row],[prolific]],'Correct calc'!B$16:$AK$998,36,FALSE)</f>
        <v>19</v>
      </c>
      <c r="R110" s="40">
        <f>Table2[[#This Row],[interviewminutes]]</f>
        <v>17.137999999999998</v>
      </c>
      <c r="S110" s="40">
        <f>Table2[[#This Row],[classifyTime]]+Table2[[#This Row],[explainTime]]+Table2[[#This Row],[validateTime]]</f>
        <v>15.958666666666666</v>
      </c>
      <c r="T110" s="41">
        <f>VLOOKUP(Table2[[#This Row],[prolific]],'Correct calc'!B$16:$AJ$998,35,FALSE)</f>
        <v>0.86363636363636365</v>
      </c>
      <c r="U110" s="42">
        <f>SUM(Table2[[#This Row],[priorKnowledge'[CLUSTERING']]:[priorKnowledge'[ZSCORES']]])/Table2[[#This Row],[priorKnowledgeTechQuestionCount]]</f>
        <v>1.3333333333333333</v>
      </c>
      <c r="V110" s="40">
        <f>IF(Table2[[#This Row],[visualization]]="Wordcloud",2,3)</f>
        <v>3</v>
      </c>
      <c r="W110" s="66" t="s">
        <v>1124</v>
      </c>
      <c r="X110" s="31">
        <v>2</v>
      </c>
      <c r="Y110" s="31">
        <v>1</v>
      </c>
      <c r="Z110" s="31">
        <v>1</v>
      </c>
      <c r="AA110" s="31">
        <v>8</v>
      </c>
      <c r="AB110" s="31" t="s">
        <v>97</v>
      </c>
      <c r="AC110" s="31" t="s">
        <v>81</v>
      </c>
      <c r="AD110" s="31" t="s">
        <v>82</v>
      </c>
      <c r="AE110" s="31" t="s">
        <v>83</v>
      </c>
      <c r="AF110" s="31" t="s">
        <v>85</v>
      </c>
      <c r="AG110" s="31" t="s">
        <v>86</v>
      </c>
      <c r="AH110" s="31" t="s">
        <v>84</v>
      </c>
      <c r="AI110" s="31" t="s">
        <v>104</v>
      </c>
      <c r="AJ110" s="31" t="s">
        <v>98</v>
      </c>
      <c r="AK110" s="31" t="s">
        <v>88</v>
      </c>
      <c r="AL110" s="31" t="s">
        <v>87</v>
      </c>
      <c r="AM110" s="31" t="s">
        <v>105</v>
      </c>
      <c r="AN110" s="31" t="s">
        <v>90</v>
      </c>
      <c r="AO110" s="31" t="s">
        <v>83</v>
      </c>
      <c r="AP110" s="31" t="s">
        <v>85</v>
      </c>
      <c r="AQ110" s="31" t="s">
        <v>101</v>
      </c>
      <c r="AR110" s="31" t="s">
        <v>102</v>
      </c>
      <c r="AS110" s="31" t="s">
        <v>94</v>
      </c>
      <c r="AT110" s="31" t="s">
        <v>93</v>
      </c>
      <c r="AU110" s="31" t="s">
        <v>93</v>
      </c>
      <c r="AV110" s="31" t="s">
        <v>93</v>
      </c>
      <c r="AW110" s="31" t="s">
        <v>93</v>
      </c>
      <c r="AX110" s="31" t="s">
        <v>93</v>
      </c>
      <c r="AY110" s="31" t="s">
        <v>94</v>
      </c>
      <c r="AZ110" s="31" t="s">
        <v>93</v>
      </c>
      <c r="BA110" s="31" t="s">
        <v>107</v>
      </c>
      <c r="BB110" s="31" t="s">
        <v>727</v>
      </c>
      <c r="BC110" s="43"/>
      <c r="BD110" s="44">
        <f>Table2[[#This Row],[interviewtime]]/60</f>
        <v>17.137999999999998</v>
      </c>
      <c r="BE110" s="31">
        <v>1028.28</v>
      </c>
      <c r="BF110" s="31">
        <v>3.59</v>
      </c>
      <c r="BG110" s="31"/>
      <c r="BH110" s="31">
        <v>21.5</v>
      </c>
      <c r="BI110" s="31"/>
      <c r="BJ110" s="31"/>
      <c r="BK110" s="31"/>
      <c r="BL110" s="31"/>
      <c r="BM110" s="31">
        <v>699.92</v>
      </c>
      <c r="BN110" s="31"/>
      <c r="BO110" s="31"/>
      <c r="BP110" s="31"/>
      <c r="BQ110" s="31"/>
      <c r="BR110" s="31"/>
      <c r="BS110" s="31"/>
      <c r="BT110" s="31">
        <v>150.82</v>
      </c>
      <c r="BU110" s="31"/>
      <c r="BV110" s="31"/>
      <c r="BW110" s="31"/>
      <c r="BX110" s="31"/>
      <c r="BY110" s="31"/>
      <c r="BZ110" s="31"/>
      <c r="CA110" s="31"/>
      <c r="CB110" s="31"/>
      <c r="CC110" s="31">
        <v>106.78</v>
      </c>
      <c r="CD110" s="31"/>
      <c r="CE110" s="31"/>
      <c r="CF110" s="31"/>
      <c r="CG110" s="31"/>
      <c r="CH110" s="31"/>
      <c r="CI110" s="31"/>
      <c r="CJ110" s="31"/>
      <c r="CK110" s="31"/>
      <c r="CL110" s="31">
        <v>45.67</v>
      </c>
      <c r="CM110" s="43"/>
      <c r="CN110" s="43"/>
      <c r="CO110" s="43"/>
      <c r="CP110" s="43"/>
      <c r="CQ110" s="43">
        <f>Table2[[#This Row],[groupTime22]]/60</f>
        <v>11.665333333333333</v>
      </c>
      <c r="CR110" s="43">
        <f>Table2[[#This Row],[groupTime23]]/60</f>
        <v>2.5136666666666665</v>
      </c>
      <c r="CS110" s="43">
        <f>Table2[[#This Row],[groupTime24]]/60</f>
        <v>1.7796666666666667</v>
      </c>
    </row>
    <row r="111" spans="1:97" x14ac:dyDescent="0.25">
      <c r="A111" s="36" t="s">
        <v>638</v>
      </c>
      <c r="B111" s="11" t="s">
        <v>113</v>
      </c>
      <c r="C111" s="11">
        <v>69</v>
      </c>
      <c r="D111" s="11" t="s">
        <v>680</v>
      </c>
      <c r="E111" s="11">
        <v>6</v>
      </c>
      <c r="F111" s="11" t="s">
        <v>79</v>
      </c>
      <c r="G111" s="11">
        <v>1564875786</v>
      </c>
      <c r="H111" s="11" t="s">
        <v>681</v>
      </c>
      <c r="I111" s="11" t="s">
        <v>680</v>
      </c>
      <c r="J111" s="11" t="s">
        <v>589</v>
      </c>
      <c r="K111" s="37" t="str">
        <f>IF(Table2[[#This Row],[priorSuccessRatio]]&lt;1,"yes","no")</f>
        <v>no</v>
      </c>
      <c r="L111" s="38">
        <f>VLOOKUP(Table2[[#This Row],[prolific]],'Correct calc'!B$16:$AJ$998,6,FALSE)</f>
        <v>1</v>
      </c>
      <c r="M111" s="27">
        <f>VLOOKUP(Table2[[#This Row],[prolific]],'Correct calc'!B$16:$AJ$998,14,FALSE)</f>
        <v>0.66666666666666663</v>
      </c>
      <c r="N111" s="27">
        <f>VLOOKUP(Table2[[#This Row],[prolific]],'Correct calc'!B$16:$AJ1133,24,FALSE)</f>
        <v>0.875</v>
      </c>
      <c r="O111" s="38">
        <f>VLOOKUP(Table2[[#This Row],[prolific]],'Correct calc'!B$16:$AJ1133,34,FALSE)</f>
        <v>0.75</v>
      </c>
      <c r="P111" s="39">
        <f>VLOOKUP(Table2[[#This Row],[comprescore]],Table3[],2,FALSE)</f>
        <v>4</v>
      </c>
      <c r="Q111" s="40">
        <f>VLOOKUP(Table2[[#This Row],[prolific]],'Correct calc'!B$16:$AK$998,36,FALSE)</f>
        <v>17</v>
      </c>
      <c r="R111" s="40">
        <f>Table2[[#This Row],[interviewminutes]]</f>
        <v>12.399333333333335</v>
      </c>
      <c r="S111" s="40">
        <f>Table2[[#This Row],[classifyTime]]+Table2[[#This Row],[explainTime]]+Table2[[#This Row],[validateTime]]</f>
        <v>10.031166666666666</v>
      </c>
      <c r="T111" s="41">
        <f>VLOOKUP(Table2[[#This Row],[prolific]],'Correct calc'!B$16:$AJ$998,35,FALSE)</f>
        <v>0.77272727272727271</v>
      </c>
      <c r="U111" s="42">
        <f>SUM(Table2[[#This Row],[priorKnowledge'[CLUSTERING']]:[priorKnowledge'[ZSCORES']]])/Table2[[#This Row],[priorKnowledgeTechQuestionCount]]</f>
        <v>1.6666666666666667</v>
      </c>
      <c r="V111" s="40">
        <f>IF(Table2[[#This Row],[visualization]]="Wordcloud",2,3)</f>
        <v>3</v>
      </c>
      <c r="W111" s="31" t="s">
        <v>1125</v>
      </c>
      <c r="X111" s="31">
        <v>3</v>
      </c>
      <c r="Y111" s="31">
        <v>1</v>
      </c>
      <c r="Z111" s="31">
        <v>1</v>
      </c>
      <c r="AA111" s="31">
        <v>5</v>
      </c>
      <c r="AB111" s="31" t="s">
        <v>97</v>
      </c>
      <c r="AC111" s="31" t="s">
        <v>81</v>
      </c>
      <c r="AD111" s="31" t="s">
        <v>82</v>
      </c>
      <c r="AE111" s="31" t="s">
        <v>83</v>
      </c>
      <c r="AF111" s="31" t="s">
        <v>85</v>
      </c>
      <c r="AG111" s="31" t="s">
        <v>86</v>
      </c>
      <c r="AH111" s="31" t="s">
        <v>84</v>
      </c>
      <c r="AI111" s="31" t="s">
        <v>85</v>
      </c>
      <c r="AJ111" s="31" t="s">
        <v>85</v>
      </c>
      <c r="AK111" s="31" t="s">
        <v>88</v>
      </c>
      <c r="AL111" s="31" t="s">
        <v>87</v>
      </c>
      <c r="AM111" s="31" t="s">
        <v>105</v>
      </c>
      <c r="AN111" s="31" t="s">
        <v>90</v>
      </c>
      <c r="AO111" s="31" t="s">
        <v>83</v>
      </c>
      <c r="AP111" s="31" t="s">
        <v>85</v>
      </c>
      <c r="AQ111" s="31" t="s">
        <v>101</v>
      </c>
      <c r="AR111" s="31" t="s">
        <v>102</v>
      </c>
      <c r="AS111" s="31" t="s">
        <v>94</v>
      </c>
      <c r="AT111" s="31" t="s">
        <v>94</v>
      </c>
      <c r="AU111" s="31" t="s">
        <v>93</v>
      </c>
      <c r="AV111" s="31" t="s">
        <v>93</v>
      </c>
      <c r="AW111" s="31" t="s">
        <v>94</v>
      </c>
      <c r="AX111" s="31" t="s">
        <v>93</v>
      </c>
      <c r="AY111" s="31" t="s">
        <v>94</v>
      </c>
      <c r="AZ111" s="31" t="s">
        <v>93</v>
      </c>
      <c r="BA111" s="31" t="s">
        <v>103</v>
      </c>
      <c r="BB111" s="31" t="s">
        <v>730</v>
      </c>
      <c r="BC111" s="43"/>
      <c r="BD111" s="44">
        <f>Table2[[#This Row],[interviewtime]]/60</f>
        <v>12.399333333333335</v>
      </c>
      <c r="BE111" s="31">
        <v>743.96</v>
      </c>
      <c r="BF111" s="31">
        <v>6.34</v>
      </c>
      <c r="BG111" s="31"/>
      <c r="BH111" s="31">
        <v>76.010000000000005</v>
      </c>
      <c r="BI111" s="31"/>
      <c r="BJ111" s="31"/>
      <c r="BK111" s="31"/>
      <c r="BL111" s="31"/>
      <c r="BM111" s="31">
        <v>281.32</v>
      </c>
      <c r="BN111" s="31"/>
      <c r="BO111" s="31"/>
      <c r="BP111" s="31"/>
      <c r="BQ111" s="31"/>
      <c r="BR111" s="31"/>
      <c r="BS111" s="31"/>
      <c r="BT111" s="31">
        <v>216.97</v>
      </c>
      <c r="BU111" s="31"/>
      <c r="BV111" s="31"/>
      <c r="BW111" s="31"/>
      <c r="BX111" s="31"/>
      <c r="BY111" s="31"/>
      <c r="BZ111" s="31"/>
      <c r="CA111" s="31"/>
      <c r="CB111" s="31"/>
      <c r="CC111" s="31">
        <v>103.58</v>
      </c>
      <c r="CD111" s="31"/>
      <c r="CE111" s="31"/>
      <c r="CF111" s="31"/>
      <c r="CG111" s="31"/>
      <c r="CH111" s="31"/>
      <c r="CI111" s="31"/>
      <c r="CJ111" s="31"/>
      <c r="CK111" s="31"/>
      <c r="CL111" s="31">
        <v>59.74</v>
      </c>
      <c r="CM111" s="43"/>
      <c r="CN111" s="43"/>
      <c r="CO111" s="43"/>
      <c r="CP111" s="43"/>
      <c r="CQ111" s="43">
        <f>Table2[[#This Row],[groupTime22]]/60</f>
        <v>4.6886666666666663</v>
      </c>
      <c r="CR111" s="43">
        <f>Table2[[#This Row],[groupTime23]]/60</f>
        <v>3.6161666666666665</v>
      </c>
      <c r="CS111" s="43">
        <f>Table2[[#This Row],[groupTime24]]/60</f>
        <v>1.7263333333333333</v>
      </c>
    </row>
    <row r="112" spans="1:97" x14ac:dyDescent="0.25">
      <c r="A112" s="36" t="s">
        <v>638</v>
      </c>
      <c r="B112" s="11" t="s">
        <v>113</v>
      </c>
      <c r="C112" s="11">
        <v>70</v>
      </c>
      <c r="D112" s="11" t="s">
        <v>682</v>
      </c>
      <c r="E112" s="11">
        <v>6</v>
      </c>
      <c r="F112" s="11" t="s">
        <v>79</v>
      </c>
      <c r="G112" s="11">
        <v>849250518</v>
      </c>
      <c r="H112" s="11" t="s">
        <v>683</v>
      </c>
      <c r="I112" s="11" t="s">
        <v>682</v>
      </c>
      <c r="J112" s="11" t="s">
        <v>589</v>
      </c>
      <c r="K112" s="37" t="str">
        <f>IF(Table2[[#This Row],[priorSuccessRatio]]&lt;1,"yes","no")</f>
        <v>no</v>
      </c>
      <c r="L112" s="38">
        <f>VLOOKUP(Table2[[#This Row],[prolific]],'Correct calc'!B$16:$AJ$998,6,FALSE)</f>
        <v>1</v>
      </c>
      <c r="M112" s="27">
        <f>VLOOKUP(Table2[[#This Row],[prolific]],'Correct calc'!B$16:$AJ$998,14,FALSE)</f>
        <v>1</v>
      </c>
      <c r="N112" s="27">
        <f>VLOOKUP(Table2[[#This Row],[prolific]],'Correct calc'!B$16:$AJ1134,24,FALSE)</f>
        <v>1</v>
      </c>
      <c r="O112" s="38">
        <f>VLOOKUP(Table2[[#This Row],[prolific]],'Correct calc'!B$16:$AJ1134,34,FALSE)</f>
        <v>0.625</v>
      </c>
      <c r="P112" s="39">
        <f>VLOOKUP(Table2[[#This Row],[comprescore]],Table3[],2,FALSE)</f>
        <v>2</v>
      </c>
      <c r="Q112" s="40">
        <f>VLOOKUP(Table2[[#This Row],[prolific]],'Correct calc'!B$16:$AK$998,36,FALSE)</f>
        <v>19</v>
      </c>
      <c r="R112" s="40">
        <f>Table2[[#This Row],[interviewminutes]]</f>
        <v>15.501833333333334</v>
      </c>
      <c r="S112" s="40">
        <f>Table2[[#This Row],[classifyTime]]+Table2[[#This Row],[explainTime]]+Table2[[#This Row],[validateTime]]</f>
        <v>12.9635</v>
      </c>
      <c r="T112" s="41">
        <f>VLOOKUP(Table2[[#This Row],[prolific]],'Correct calc'!B$16:$AJ$998,35,FALSE)</f>
        <v>0.86363636363636365</v>
      </c>
      <c r="U112" s="42">
        <f>SUM(Table2[[#This Row],[priorKnowledge'[CLUSTERING']]:[priorKnowledge'[ZSCORES']]])/Table2[[#This Row],[priorKnowledgeTechQuestionCount]]</f>
        <v>1.6666666666666667</v>
      </c>
      <c r="V112" s="40">
        <f>IF(Table2[[#This Row],[visualization]]="Wordcloud",2,3)</f>
        <v>3</v>
      </c>
      <c r="W112" s="31" t="s">
        <v>1126</v>
      </c>
      <c r="X112" s="31">
        <v>1</v>
      </c>
      <c r="Y112" s="31">
        <v>3</v>
      </c>
      <c r="Z112" s="31">
        <v>1</v>
      </c>
      <c r="AA112" s="31">
        <v>6</v>
      </c>
      <c r="AB112" s="31" t="s">
        <v>97</v>
      </c>
      <c r="AC112" s="31" t="s">
        <v>81</v>
      </c>
      <c r="AD112" s="31" t="s">
        <v>82</v>
      </c>
      <c r="AE112" s="31" t="s">
        <v>83</v>
      </c>
      <c r="AF112" s="31" t="s">
        <v>85</v>
      </c>
      <c r="AG112" s="31" t="s">
        <v>86</v>
      </c>
      <c r="AH112" s="31" t="s">
        <v>84</v>
      </c>
      <c r="AI112" s="31" t="s">
        <v>104</v>
      </c>
      <c r="AJ112" s="31" t="s">
        <v>98</v>
      </c>
      <c r="AK112" s="31" t="s">
        <v>88</v>
      </c>
      <c r="AL112" s="31" t="s">
        <v>87</v>
      </c>
      <c r="AM112" s="31" t="s">
        <v>105</v>
      </c>
      <c r="AN112" s="31" t="s">
        <v>90</v>
      </c>
      <c r="AO112" s="31" t="s">
        <v>83</v>
      </c>
      <c r="AP112" s="31" t="s">
        <v>85</v>
      </c>
      <c r="AQ112" s="31" t="s">
        <v>91</v>
      </c>
      <c r="AR112" s="31" t="s">
        <v>102</v>
      </c>
      <c r="AS112" s="31" t="s">
        <v>94</v>
      </c>
      <c r="AT112" s="31" t="s">
        <v>94</v>
      </c>
      <c r="AU112" s="31" t="s">
        <v>93</v>
      </c>
      <c r="AV112" s="31" t="s">
        <v>93</v>
      </c>
      <c r="AW112" s="31" t="s">
        <v>93</v>
      </c>
      <c r="AX112" s="31" t="s">
        <v>93</v>
      </c>
      <c r="AY112" s="31" t="s">
        <v>94</v>
      </c>
      <c r="AZ112" s="31" t="s">
        <v>93</v>
      </c>
      <c r="BA112" s="31" t="s">
        <v>106</v>
      </c>
      <c r="BB112" s="31" t="s">
        <v>732</v>
      </c>
      <c r="BC112" s="43"/>
      <c r="BD112" s="44">
        <f>Table2[[#This Row],[interviewtime]]/60</f>
        <v>15.501833333333334</v>
      </c>
      <c r="BE112" s="31">
        <v>930.11</v>
      </c>
      <c r="BF112" s="31">
        <v>5.69</v>
      </c>
      <c r="BG112" s="31"/>
      <c r="BH112" s="31">
        <v>57.23</v>
      </c>
      <c r="BI112" s="31"/>
      <c r="BJ112" s="31"/>
      <c r="BK112" s="31"/>
      <c r="BL112" s="31"/>
      <c r="BM112" s="31">
        <v>489.98</v>
      </c>
      <c r="BN112" s="31"/>
      <c r="BO112" s="31"/>
      <c r="BP112" s="31"/>
      <c r="BQ112" s="31"/>
      <c r="BR112" s="31"/>
      <c r="BS112" s="31"/>
      <c r="BT112" s="31">
        <v>187.47</v>
      </c>
      <c r="BU112" s="31"/>
      <c r="BV112" s="31"/>
      <c r="BW112" s="31"/>
      <c r="BX112" s="31"/>
      <c r="BY112" s="31"/>
      <c r="BZ112" s="31"/>
      <c r="CA112" s="31"/>
      <c r="CB112" s="31"/>
      <c r="CC112" s="31">
        <v>100.36</v>
      </c>
      <c r="CD112" s="31"/>
      <c r="CE112" s="31"/>
      <c r="CF112" s="31"/>
      <c r="CG112" s="31"/>
      <c r="CH112" s="31"/>
      <c r="CI112" s="31"/>
      <c r="CJ112" s="31"/>
      <c r="CK112" s="31"/>
      <c r="CL112" s="31">
        <v>89.38</v>
      </c>
      <c r="CM112" s="43"/>
      <c r="CN112" s="43"/>
      <c r="CO112" s="43"/>
      <c r="CP112" s="43"/>
      <c r="CQ112" s="43">
        <f>Table2[[#This Row],[groupTime22]]/60</f>
        <v>8.1663333333333341</v>
      </c>
      <c r="CR112" s="43">
        <f>Table2[[#This Row],[groupTime23]]/60</f>
        <v>3.1244999999999998</v>
      </c>
      <c r="CS112" s="43">
        <f>Table2[[#This Row],[groupTime24]]/60</f>
        <v>1.6726666666666667</v>
      </c>
    </row>
    <row r="113" spans="1:97" x14ac:dyDescent="0.25">
      <c r="A113" s="36" t="s">
        <v>638</v>
      </c>
      <c r="B113" s="11" t="s">
        <v>113</v>
      </c>
      <c r="C113" s="11">
        <v>72</v>
      </c>
      <c r="D113" s="11" t="s">
        <v>684</v>
      </c>
      <c r="E113" s="11">
        <v>6</v>
      </c>
      <c r="F113" s="11" t="s">
        <v>79</v>
      </c>
      <c r="G113" s="11">
        <v>576102757</v>
      </c>
      <c r="H113" s="11" t="s">
        <v>685</v>
      </c>
      <c r="I113" s="11" t="s">
        <v>684</v>
      </c>
      <c r="J113" s="11" t="s">
        <v>586</v>
      </c>
      <c r="K113" s="37" t="str">
        <f>IF(Table2[[#This Row],[priorSuccessRatio]]&lt;1,"yes","no")</f>
        <v>no</v>
      </c>
      <c r="L113" s="38">
        <f>VLOOKUP(Table2[[#This Row],[prolific]],'Correct calc'!B$16:$AJ$998,6,FALSE)</f>
        <v>1</v>
      </c>
      <c r="M113" s="27">
        <f>VLOOKUP(Table2[[#This Row],[prolific]],'Correct calc'!B$16:$AJ$998,14,FALSE)</f>
        <v>0.66666666666666663</v>
      </c>
      <c r="N113" s="27">
        <f>VLOOKUP(Table2[[#This Row],[prolific]],'Correct calc'!B$16:$AJ1135,24,FALSE)</f>
        <v>0.75</v>
      </c>
      <c r="O113" s="38">
        <f>VLOOKUP(Table2[[#This Row],[prolific]],'Correct calc'!B$16:$AJ1135,34,FALSE)</f>
        <v>0.75</v>
      </c>
      <c r="P113" s="39">
        <f>VLOOKUP(Table2[[#This Row],[comprescore]],Table3[],2,FALSE)</f>
        <v>3</v>
      </c>
      <c r="Q113" s="40">
        <f>VLOOKUP(Table2[[#This Row],[prolific]],'Correct calc'!B$16:$AK$998,36,FALSE)</f>
        <v>16</v>
      </c>
      <c r="R113" s="40">
        <f>Table2[[#This Row],[interviewminutes]]</f>
        <v>18.148500000000002</v>
      </c>
      <c r="S113" s="40">
        <f>Table2[[#This Row],[classifyTime]]+Table2[[#This Row],[explainTime]]+Table2[[#This Row],[validateTime]]</f>
        <v>15.673333333333334</v>
      </c>
      <c r="T113" s="41">
        <f>VLOOKUP(Table2[[#This Row],[prolific]],'Correct calc'!B$16:$AJ$998,35,FALSE)</f>
        <v>0.72727272727272729</v>
      </c>
      <c r="U113" s="42">
        <f>SUM(Table2[[#This Row],[priorKnowledge'[CLUSTERING']]:[priorKnowledge'[ZSCORES']]])/Table2[[#This Row],[priorKnowledgeTechQuestionCount]]</f>
        <v>4</v>
      </c>
      <c r="V113" s="40">
        <f>IF(Table2[[#This Row],[visualization]]="Wordcloud",2,3)</f>
        <v>3</v>
      </c>
      <c r="W113" s="31" t="s">
        <v>1127</v>
      </c>
      <c r="X113" s="31">
        <v>1</v>
      </c>
      <c r="Y113" s="31">
        <v>1</v>
      </c>
      <c r="Z113" s="31">
        <v>10</v>
      </c>
      <c r="AA113" s="31">
        <v>1</v>
      </c>
      <c r="AB113" s="31" t="s">
        <v>97</v>
      </c>
      <c r="AC113" s="31" t="s">
        <v>81</v>
      </c>
      <c r="AD113" s="31" t="s">
        <v>82</v>
      </c>
      <c r="AE113" s="31" t="s">
        <v>83</v>
      </c>
      <c r="AF113" s="31" t="s">
        <v>104</v>
      </c>
      <c r="AG113" s="31" t="s">
        <v>86</v>
      </c>
      <c r="AH113" s="31" t="s">
        <v>84</v>
      </c>
      <c r="AI113" s="31" t="s">
        <v>85</v>
      </c>
      <c r="AJ113" s="31" t="s">
        <v>98</v>
      </c>
      <c r="AK113" s="31" t="s">
        <v>88</v>
      </c>
      <c r="AL113" s="31" t="s">
        <v>87</v>
      </c>
      <c r="AM113" s="31" t="s">
        <v>105</v>
      </c>
      <c r="AN113" s="31" t="s">
        <v>90</v>
      </c>
      <c r="AO113" s="31" t="s">
        <v>83</v>
      </c>
      <c r="AP113" s="31" t="s">
        <v>85</v>
      </c>
      <c r="AQ113" s="31" t="s">
        <v>101</v>
      </c>
      <c r="AR113" s="31" t="s">
        <v>101</v>
      </c>
      <c r="AS113" s="31" t="s">
        <v>94</v>
      </c>
      <c r="AT113" s="31" t="s">
        <v>93</v>
      </c>
      <c r="AU113" s="31" t="s">
        <v>93</v>
      </c>
      <c r="AV113" s="31" t="s">
        <v>93</v>
      </c>
      <c r="AW113" s="31" t="s">
        <v>93</v>
      </c>
      <c r="AX113" s="31" t="s">
        <v>93</v>
      </c>
      <c r="AY113" s="31" t="s">
        <v>94</v>
      </c>
      <c r="AZ113" s="31" t="s">
        <v>93</v>
      </c>
      <c r="BA113" s="31" t="s">
        <v>107</v>
      </c>
      <c r="BB113" s="31"/>
      <c r="BC113" s="43"/>
      <c r="BD113" s="44">
        <f>Table2[[#This Row],[interviewtime]]/60</f>
        <v>18.148500000000002</v>
      </c>
      <c r="BE113" s="31">
        <v>1088.9100000000001</v>
      </c>
      <c r="BF113" s="31">
        <v>11.24</v>
      </c>
      <c r="BG113" s="31"/>
      <c r="BH113" s="31">
        <v>117.34</v>
      </c>
      <c r="BI113" s="31"/>
      <c r="BJ113" s="31"/>
      <c r="BK113" s="31"/>
      <c r="BL113" s="31"/>
      <c r="BM113" s="31">
        <v>466.18</v>
      </c>
      <c r="BN113" s="31"/>
      <c r="BO113" s="31"/>
      <c r="BP113" s="31"/>
      <c r="BQ113" s="31"/>
      <c r="BR113" s="31"/>
      <c r="BS113" s="31"/>
      <c r="BT113" s="31">
        <v>305.36</v>
      </c>
      <c r="BU113" s="31"/>
      <c r="BV113" s="31"/>
      <c r="BW113" s="31"/>
      <c r="BX113" s="31"/>
      <c r="BY113" s="31"/>
      <c r="BZ113" s="31"/>
      <c r="CA113" s="31"/>
      <c r="CB113" s="31"/>
      <c r="CC113" s="31">
        <v>168.86</v>
      </c>
      <c r="CD113" s="31"/>
      <c r="CE113" s="31"/>
      <c r="CF113" s="31"/>
      <c r="CG113" s="31"/>
      <c r="CH113" s="31"/>
      <c r="CI113" s="31"/>
      <c r="CJ113" s="31"/>
      <c r="CK113" s="31"/>
      <c r="CL113" s="31">
        <v>19.93</v>
      </c>
      <c r="CM113" s="43"/>
      <c r="CN113" s="43"/>
      <c r="CO113" s="43"/>
      <c r="CP113" s="43"/>
      <c r="CQ113" s="43">
        <f>Table2[[#This Row],[groupTime22]]/60</f>
        <v>7.7696666666666667</v>
      </c>
      <c r="CR113" s="43">
        <f>Table2[[#This Row],[groupTime23]]/60</f>
        <v>5.0893333333333333</v>
      </c>
      <c r="CS113" s="43">
        <f>Table2[[#This Row],[groupTime24]]/60</f>
        <v>2.8143333333333334</v>
      </c>
    </row>
    <row r="114" spans="1:97" x14ac:dyDescent="0.25">
      <c r="A114" s="36" t="s">
        <v>638</v>
      </c>
      <c r="B114" s="11" t="s">
        <v>113</v>
      </c>
      <c r="C114" s="11">
        <v>73</v>
      </c>
      <c r="D114" s="11" t="s">
        <v>686</v>
      </c>
      <c r="E114" s="11">
        <v>6</v>
      </c>
      <c r="F114" s="11" t="s">
        <v>79</v>
      </c>
      <c r="G114" s="11">
        <v>1444879562</v>
      </c>
      <c r="H114" s="11" t="s">
        <v>687</v>
      </c>
      <c r="I114" s="11" t="s">
        <v>686</v>
      </c>
      <c r="J114" s="11" t="s">
        <v>589</v>
      </c>
      <c r="K114" s="37" t="str">
        <f>IF(Table2[[#This Row],[priorSuccessRatio]]&lt;1,"yes","no")</f>
        <v>no</v>
      </c>
      <c r="L114" s="38">
        <f>VLOOKUP(Table2[[#This Row],[prolific]],'Correct calc'!B$16:$AJ$998,6,FALSE)</f>
        <v>1</v>
      </c>
      <c r="M114" s="27">
        <f>VLOOKUP(Table2[[#This Row],[prolific]],'Correct calc'!B$16:$AJ$998,14,FALSE)</f>
        <v>0.33333333333333331</v>
      </c>
      <c r="N114" s="27">
        <f>VLOOKUP(Table2[[#This Row],[prolific]],'Correct calc'!B$16:$AJ1136,24,FALSE)</f>
        <v>0.625</v>
      </c>
      <c r="O114" s="38">
        <f>VLOOKUP(Table2[[#This Row],[prolific]],'Correct calc'!B$16:$AJ1136,34,FALSE)</f>
        <v>0.75</v>
      </c>
      <c r="P114" s="39">
        <f>VLOOKUP(Table2[[#This Row],[comprescore]],Table3[],2,FALSE)</f>
        <v>2</v>
      </c>
      <c r="Q114" s="40">
        <f>VLOOKUP(Table2[[#This Row],[prolific]],'Correct calc'!B$16:$AK$998,36,FALSE)</f>
        <v>13</v>
      </c>
      <c r="R114" s="40">
        <f>Table2[[#This Row],[interviewminutes]]</f>
        <v>10.856166666666667</v>
      </c>
      <c r="S114" s="40">
        <f>Table2[[#This Row],[classifyTime]]+Table2[[#This Row],[explainTime]]+Table2[[#This Row],[validateTime]]</f>
        <v>9.6290000000000013</v>
      </c>
      <c r="T114" s="41">
        <f>VLOOKUP(Table2[[#This Row],[prolific]],'Correct calc'!B$16:$AJ$998,35,FALSE)</f>
        <v>0.59090909090909094</v>
      </c>
      <c r="U114" s="42">
        <f>SUM(Table2[[#This Row],[priorKnowledge'[CLUSTERING']]:[priorKnowledge'[ZSCORES']]])/Table2[[#This Row],[priorKnowledgeTechQuestionCount]]</f>
        <v>2</v>
      </c>
      <c r="V114" s="40">
        <f>IF(Table2[[#This Row],[visualization]]="Wordcloud",2,3)</f>
        <v>3</v>
      </c>
      <c r="W114" s="31" t="s">
        <v>1128</v>
      </c>
      <c r="X114" s="31">
        <v>2</v>
      </c>
      <c r="Y114" s="31">
        <v>2</v>
      </c>
      <c r="Z114" s="31">
        <v>2</v>
      </c>
      <c r="AA114" s="31">
        <v>7</v>
      </c>
      <c r="AB114" s="31" t="s">
        <v>97</v>
      </c>
      <c r="AC114" s="31" t="s">
        <v>81</v>
      </c>
      <c r="AD114" s="31" t="s">
        <v>82</v>
      </c>
      <c r="AE114" s="31" t="s">
        <v>86</v>
      </c>
      <c r="AF114" s="31" t="s">
        <v>84</v>
      </c>
      <c r="AG114" s="31" t="s">
        <v>86</v>
      </c>
      <c r="AH114" s="31" t="s">
        <v>84</v>
      </c>
      <c r="AI114" s="31" t="s">
        <v>86</v>
      </c>
      <c r="AJ114" s="31" t="s">
        <v>86</v>
      </c>
      <c r="AK114" s="31" t="s">
        <v>88</v>
      </c>
      <c r="AL114" s="31" t="s">
        <v>87</v>
      </c>
      <c r="AM114" s="31" t="s">
        <v>285</v>
      </c>
      <c r="AN114" s="31" t="s">
        <v>90</v>
      </c>
      <c r="AO114" s="31" t="s">
        <v>83</v>
      </c>
      <c r="AP114" s="31" t="s">
        <v>86</v>
      </c>
      <c r="AQ114" s="31" t="s">
        <v>101</v>
      </c>
      <c r="AR114" s="31" t="s">
        <v>102</v>
      </c>
      <c r="AS114" s="31" t="s">
        <v>94</v>
      </c>
      <c r="AT114" s="31" t="s">
        <v>94</v>
      </c>
      <c r="AU114" s="31" t="s">
        <v>94</v>
      </c>
      <c r="AV114" s="31" t="s">
        <v>94</v>
      </c>
      <c r="AW114" s="31" t="s">
        <v>94</v>
      </c>
      <c r="AX114" s="31" t="s">
        <v>93</v>
      </c>
      <c r="AY114" s="31" t="s">
        <v>94</v>
      </c>
      <c r="AZ114" s="31" t="s">
        <v>93</v>
      </c>
      <c r="BA114" s="31" t="s">
        <v>106</v>
      </c>
      <c r="BB114" s="31" t="s">
        <v>736</v>
      </c>
      <c r="BC114" s="43"/>
      <c r="BD114" s="44">
        <f>Table2[[#This Row],[interviewtime]]/60</f>
        <v>10.856166666666667</v>
      </c>
      <c r="BE114" s="31">
        <v>651.37</v>
      </c>
      <c r="BF114" s="31">
        <v>12.97</v>
      </c>
      <c r="BG114" s="31"/>
      <c r="BH114" s="31">
        <v>37.409999999999997</v>
      </c>
      <c r="BI114" s="31"/>
      <c r="BJ114" s="31"/>
      <c r="BK114" s="31"/>
      <c r="BL114" s="31"/>
      <c r="BM114" s="31">
        <v>266.27999999999997</v>
      </c>
      <c r="BN114" s="31"/>
      <c r="BO114" s="31"/>
      <c r="BP114" s="31"/>
      <c r="BQ114" s="31"/>
      <c r="BR114" s="31"/>
      <c r="BS114" s="31"/>
      <c r="BT114" s="31">
        <v>153.74</v>
      </c>
      <c r="BU114" s="31"/>
      <c r="BV114" s="31"/>
      <c r="BW114" s="31"/>
      <c r="BX114" s="31"/>
      <c r="BY114" s="31"/>
      <c r="BZ114" s="31"/>
      <c r="CA114" s="31"/>
      <c r="CB114" s="31"/>
      <c r="CC114" s="31">
        <v>157.72</v>
      </c>
      <c r="CD114" s="31"/>
      <c r="CE114" s="31"/>
      <c r="CF114" s="31"/>
      <c r="CG114" s="31"/>
      <c r="CH114" s="31"/>
      <c r="CI114" s="31"/>
      <c r="CJ114" s="31"/>
      <c r="CK114" s="31"/>
      <c r="CL114" s="31">
        <v>23.25</v>
      </c>
      <c r="CM114" s="43"/>
      <c r="CN114" s="43"/>
      <c r="CO114" s="43"/>
      <c r="CP114" s="43"/>
      <c r="CQ114" s="43">
        <f>Table2[[#This Row],[groupTime22]]/60</f>
        <v>4.4379999999999997</v>
      </c>
      <c r="CR114" s="43">
        <f>Table2[[#This Row],[groupTime23]]/60</f>
        <v>2.5623333333333336</v>
      </c>
      <c r="CS114" s="43">
        <f>Table2[[#This Row],[groupTime24]]/60</f>
        <v>2.6286666666666667</v>
      </c>
    </row>
    <row r="115" spans="1:97" x14ac:dyDescent="0.25">
      <c r="A115" s="36" t="s">
        <v>638</v>
      </c>
      <c r="B115" s="11" t="s">
        <v>113</v>
      </c>
      <c r="C115" s="11">
        <v>76</v>
      </c>
      <c r="D115" s="11" t="s">
        <v>690</v>
      </c>
      <c r="E115" s="11">
        <v>6</v>
      </c>
      <c r="F115" s="11" t="s">
        <v>79</v>
      </c>
      <c r="G115" s="11">
        <v>86993407</v>
      </c>
      <c r="H115" s="11" t="s">
        <v>691</v>
      </c>
      <c r="I115" s="11" t="s">
        <v>690</v>
      </c>
      <c r="J115" s="11" t="s">
        <v>586</v>
      </c>
      <c r="K115" s="37" t="str">
        <f>IF(Table2[[#This Row],[priorSuccessRatio]]&lt;1,"yes","no")</f>
        <v>no</v>
      </c>
      <c r="L115" s="38">
        <f>VLOOKUP(Table2[[#This Row],[prolific]],'Correct calc'!B$16:$AJ$998,6,FALSE)</f>
        <v>1</v>
      </c>
      <c r="M115" s="27">
        <f>VLOOKUP(Table2[[#This Row],[prolific]],'Correct calc'!B$16:$AJ$998,14,FALSE)</f>
        <v>0.66666666666666663</v>
      </c>
      <c r="N115" s="38">
        <f>VLOOKUP(Table2[[#This Row],[prolific]],'Correct calc'!B$16:$AJ1138,24,FALSE)</f>
        <v>0.875</v>
      </c>
      <c r="O115" s="38">
        <f>VLOOKUP(Table2[[#This Row],[prolific]],'Correct calc'!B$16:$AJ1138,34,FALSE)</f>
        <v>1</v>
      </c>
      <c r="P115" s="39">
        <f>VLOOKUP(Table2[[#This Row],[comprescore]],Table3[],2,FALSE)</f>
        <v>3</v>
      </c>
      <c r="Q115" s="40">
        <f>VLOOKUP(Table2[[#This Row],[prolific]],'Correct calc'!B$16:$AK$998,36,FALSE)</f>
        <v>19</v>
      </c>
      <c r="R115" s="40">
        <f>Table2[[#This Row],[interviewminutes]]</f>
        <v>13.540333333333333</v>
      </c>
      <c r="S115" s="40">
        <f>Table2[[#This Row],[classifyTime]]+Table2[[#This Row],[explainTime]]+Table2[[#This Row],[validateTime]]</f>
        <v>11.088166666666666</v>
      </c>
      <c r="T115" s="41">
        <f>VLOOKUP(Table2[[#This Row],[prolific]],'Correct calc'!B$16:$AJ$998,35,FALSE)</f>
        <v>0.86363636363636365</v>
      </c>
      <c r="U115" s="42">
        <f>SUM(Table2[[#This Row],[priorKnowledge'[CLUSTERING']]:[priorKnowledge'[ZSCORES']]])/Table2[[#This Row],[priorKnowledgeTechQuestionCount]]</f>
        <v>2</v>
      </c>
      <c r="V115" s="40">
        <f>IF(Table2[[#This Row],[visualization]]="Wordcloud",2,3)</f>
        <v>3</v>
      </c>
      <c r="W115" s="31" t="s">
        <v>1129</v>
      </c>
      <c r="X115" s="31">
        <v>2</v>
      </c>
      <c r="Y115" s="31">
        <v>3</v>
      </c>
      <c r="Z115" s="31">
        <v>1</v>
      </c>
      <c r="AA115" s="31">
        <v>1</v>
      </c>
      <c r="AB115" s="31" t="s">
        <v>97</v>
      </c>
      <c r="AC115" s="31" t="s">
        <v>81</v>
      </c>
      <c r="AD115" s="31" t="s">
        <v>82</v>
      </c>
      <c r="AE115" s="31" t="s">
        <v>83</v>
      </c>
      <c r="AF115" s="31" t="s">
        <v>86</v>
      </c>
      <c r="AG115" s="31" t="s">
        <v>86</v>
      </c>
      <c r="AH115" s="31" t="s">
        <v>84</v>
      </c>
      <c r="AI115" s="31" t="s">
        <v>85</v>
      </c>
      <c r="AJ115" s="31" t="s">
        <v>98</v>
      </c>
      <c r="AK115" s="31" t="s">
        <v>88</v>
      </c>
      <c r="AL115" s="31" t="s">
        <v>87</v>
      </c>
      <c r="AM115" s="31" t="s">
        <v>105</v>
      </c>
      <c r="AN115" s="31" t="s">
        <v>90</v>
      </c>
      <c r="AO115" s="31" t="s">
        <v>83</v>
      </c>
      <c r="AP115" s="31" t="s">
        <v>85</v>
      </c>
      <c r="AQ115" s="31" t="s">
        <v>111</v>
      </c>
      <c r="AR115" s="31" t="s">
        <v>102</v>
      </c>
      <c r="AS115" s="31" t="s">
        <v>94</v>
      </c>
      <c r="AT115" s="31" t="s">
        <v>93</v>
      </c>
      <c r="AU115" s="31" t="s">
        <v>94</v>
      </c>
      <c r="AV115" s="31" t="s">
        <v>93</v>
      </c>
      <c r="AW115" s="31" t="s">
        <v>94</v>
      </c>
      <c r="AX115" s="31" t="s">
        <v>93</v>
      </c>
      <c r="AY115" s="31" t="s">
        <v>94</v>
      </c>
      <c r="AZ115" s="31" t="s">
        <v>93</v>
      </c>
      <c r="BA115" s="31" t="s">
        <v>107</v>
      </c>
      <c r="BB115" s="31" t="s">
        <v>739</v>
      </c>
      <c r="BC115" s="43"/>
      <c r="BD115" s="44">
        <f>Table2[[#This Row],[interviewtime]]/60</f>
        <v>13.540333333333333</v>
      </c>
      <c r="BE115" s="31">
        <v>812.42</v>
      </c>
      <c r="BF115" s="31">
        <v>19.690000000000001</v>
      </c>
      <c r="BG115" s="31"/>
      <c r="BH115" s="31">
        <v>92.37</v>
      </c>
      <c r="BI115" s="31"/>
      <c r="BJ115" s="31"/>
      <c r="BK115" s="31"/>
      <c r="BL115" s="31"/>
      <c r="BM115" s="31">
        <v>289.89999999999998</v>
      </c>
      <c r="BN115" s="31"/>
      <c r="BO115" s="31"/>
      <c r="BP115" s="31"/>
      <c r="BQ115" s="31"/>
      <c r="BR115" s="31"/>
      <c r="BS115" s="31"/>
      <c r="BT115" s="31">
        <v>239.94</v>
      </c>
      <c r="BU115" s="31"/>
      <c r="BV115" s="31"/>
      <c r="BW115" s="31"/>
      <c r="BX115" s="31"/>
      <c r="BY115" s="31"/>
      <c r="BZ115" s="31"/>
      <c r="CA115" s="31"/>
      <c r="CB115" s="31"/>
      <c r="CC115" s="31">
        <v>135.44999999999999</v>
      </c>
      <c r="CD115" s="31"/>
      <c r="CE115" s="31"/>
      <c r="CF115" s="31"/>
      <c r="CG115" s="31"/>
      <c r="CH115" s="31"/>
      <c r="CI115" s="31"/>
      <c r="CJ115" s="31"/>
      <c r="CK115" s="31"/>
      <c r="CL115" s="31">
        <v>35.07</v>
      </c>
      <c r="CM115" s="43"/>
      <c r="CN115" s="43"/>
      <c r="CO115" s="43"/>
      <c r="CP115" s="43"/>
      <c r="CQ115" s="43">
        <f>Table2[[#This Row],[groupTime22]]/60</f>
        <v>4.8316666666666661</v>
      </c>
      <c r="CR115" s="43">
        <f>Table2[[#This Row],[groupTime23]]/60</f>
        <v>3.9990000000000001</v>
      </c>
      <c r="CS115" s="43">
        <f>Table2[[#This Row],[groupTime24]]/60</f>
        <v>2.2574999999999998</v>
      </c>
    </row>
    <row r="116" spans="1:97" hidden="1" x14ac:dyDescent="0.25">
      <c r="A116" s="36" t="s">
        <v>638</v>
      </c>
      <c r="B116" s="11" t="s">
        <v>113</v>
      </c>
      <c r="C116" s="11">
        <v>50</v>
      </c>
      <c r="D116" s="11" t="s">
        <v>649</v>
      </c>
      <c r="E116" s="11">
        <v>6</v>
      </c>
      <c r="F116" s="11" t="s">
        <v>79</v>
      </c>
      <c r="G116" s="11">
        <v>1073146406</v>
      </c>
      <c r="H116" s="11" t="s">
        <v>650</v>
      </c>
      <c r="I116" s="11" t="s">
        <v>649</v>
      </c>
      <c r="J116" s="11" t="s">
        <v>589</v>
      </c>
      <c r="K116" s="37" t="str">
        <f>IF(Table2[[#This Row],[priorSuccessRatio]]&lt;1,"yes","no")</f>
        <v>yes</v>
      </c>
      <c r="L116" s="38">
        <f>VLOOKUP(Table2[[#This Row],[prolific]],'Correct calc'!B$16:$AJ$998,6,FALSE)</f>
        <v>0.66666666666666663</v>
      </c>
      <c r="M116" s="27">
        <f>VLOOKUP(Table2[[#This Row],[prolific]],'Correct calc'!B$16:$AJ$998,14,FALSE)</f>
        <v>0.66666666666666663</v>
      </c>
      <c r="N116" s="27">
        <f>VLOOKUP(Table2[[#This Row],[prolific]],'Correct calc'!B$16:$AJ1118,24,FALSE)</f>
        <v>0.75</v>
      </c>
      <c r="O116" s="38">
        <f>VLOOKUP(Table2[[#This Row],[prolific]],'Correct calc'!B$16:$AJ1118,34,FALSE)</f>
        <v>0.75</v>
      </c>
      <c r="P116" s="39">
        <f>VLOOKUP(Table2[[#This Row],[comprescore]],Table3[],2,FALSE)</f>
        <v>3</v>
      </c>
      <c r="Q116" s="40">
        <f>VLOOKUP(Table2[[#This Row],[prolific]],'Correct calc'!B$16:$AK$998,36,FALSE)</f>
        <v>16</v>
      </c>
      <c r="R116" s="40">
        <f>Table2[[#This Row],[interviewminutes]]</f>
        <v>9.1148333333333333</v>
      </c>
      <c r="S116" s="40">
        <f>Table2[[#This Row],[classifyTime]]+Table2[[#This Row],[explainTime]]+Table2[[#This Row],[validateTime]]</f>
        <v>7.1573333333333338</v>
      </c>
      <c r="T116" s="41">
        <f>VLOOKUP(Table2[[#This Row],[prolific]],'Correct calc'!B$16:$AJ$998,35,FALSE)</f>
        <v>0.72727272727272729</v>
      </c>
      <c r="U116" s="42">
        <f>SUM(Table2[[#This Row],[priorKnowledge'[CLUSTERING']]:[priorKnowledge'[ZSCORES']]])/Table2[[#This Row],[priorKnowledgeTechQuestionCount]]</f>
        <v>2.3333333333333335</v>
      </c>
      <c r="V116" s="40">
        <f>IF(Table2[[#This Row],[visualization]]="Wordcloud",2,3)</f>
        <v>3</v>
      </c>
      <c r="W116" s="31" t="s">
        <v>1130</v>
      </c>
      <c r="X116" s="31">
        <v>2</v>
      </c>
      <c r="Y116" s="31">
        <v>2</v>
      </c>
      <c r="Z116" s="31">
        <v>3</v>
      </c>
      <c r="AA116" s="31">
        <v>1</v>
      </c>
      <c r="AB116" s="31" t="s">
        <v>81</v>
      </c>
      <c r="AC116" s="31" t="s">
        <v>81</v>
      </c>
      <c r="AD116" s="31" t="s">
        <v>82</v>
      </c>
      <c r="AE116" s="31" t="s">
        <v>83</v>
      </c>
      <c r="AF116" s="31" t="s">
        <v>83</v>
      </c>
      <c r="AG116" s="31" t="s">
        <v>86</v>
      </c>
      <c r="AH116" s="31" t="s">
        <v>84</v>
      </c>
      <c r="AI116" s="31" t="s">
        <v>85</v>
      </c>
      <c r="AJ116" s="31" t="s">
        <v>98</v>
      </c>
      <c r="AK116" s="31" t="s">
        <v>88</v>
      </c>
      <c r="AL116" s="31" t="s">
        <v>87</v>
      </c>
      <c r="AM116" s="31" t="s">
        <v>105</v>
      </c>
      <c r="AN116" s="31" t="s">
        <v>90</v>
      </c>
      <c r="AO116" s="31" t="s">
        <v>83</v>
      </c>
      <c r="AP116" s="31" t="s">
        <v>85</v>
      </c>
      <c r="AQ116" s="31" t="s">
        <v>101</v>
      </c>
      <c r="AR116" s="31" t="s">
        <v>92</v>
      </c>
      <c r="AS116" s="31" t="s">
        <v>94</v>
      </c>
      <c r="AT116" s="31" t="s">
        <v>94</v>
      </c>
      <c r="AU116" s="31" t="s">
        <v>94</v>
      </c>
      <c r="AV116" s="31" t="s">
        <v>93</v>
      </c>
      <c r="AW116" s="31" t="s">
        <v>93</v>
      </c>
      <c r="AX116" s="31" t="s">
        <v>93</v>
      </c>
      <c r="AY116" s="31" t="s">
        <v>94</v>
      </c>
      <c r="AZ116" s="31" t="s">
        <v>93</v>
      </c>
      <c r="BA116" s="31" t="s">
        <v>107</v>
      </c>
      <c r="BB116" s="31" t="s">
        <v>699</v>
      </c>
      <c r="BC116" s="43"/>
      <c r="BD116" s="44">
        <f>Table2[[#This Row],[interviewtime]]/60</f>
        <v>9.1148333333333333</v>
      </c>
      <c r="BE116" s="31">
        <v>546.89</v>
      </c>
      <c r="BF116" s="31">
        <v>5.4</v>
      </c>
      <c r="BG116" s="31"/>
      <c r="BH116" s="31">
        <v>31.88</v>
      </c>
      <c r="BI116" s="31"/>
      <c r="BJ116" s="31"/>
      <c r="BK116" s="31"/>
      <c r="BL116" s="31"/>
      <c r="BM116" s="31">
        <v>215.8</v>
      </c>
      <c r="BN116" s="31"/>
      <c r="BO116" s="31"/>
      <c r="BP116" s="31"/>
      <c r="BQ116" s="31"/>
      <c r="BR116" s="31"/>
      <c r="BS116" s="31"/>
      <c r="BT116" s="31">
        <v>133.05000000000001</v>
      </c>
      <c r="BU116" s="31"/>
      <c r="BV116" s="31"/>
      <c r="BW116" s="31"/>
      <c r="BX116" s="31"/>
      <c r="BY116" s="31"/>
      <c r="BZ116" s="31"/>
      <c r="CA116" s="31"/>
      <c r="CB116" s="31"/>
      <c r="CC116" s="31">
        <v>80.59</v>
      </c>
      <c r="CD116" s="31"/>
      <c r="CE116" s="31"/>
      <c r="CF116" s="31"/>
      <c r="CG116" s="31"/>
      <c r="CH116" s="31"/>
      <c r="CI116" s="31"/>
      <c r="CJ116" s="31"/>
      <c r="CK116" s="31"/>
      <c r="CL116" s="31">
        <v>80.17</v>
      </c>
      <c r="CM116" s="43"/>
      <c r="CN116" s="43"/>
      <c r="CO116" s="43"/>
      <c r="CP116" s="43"/>
      <c r="CQ116" s="43">
        <f>Table2[[#This Row],[groupTime22]]/60</f>
        <v>3.5966666666666667</v>
      </c>
      <c r="CR116" s="43">
        <f>Table2[[#This Row],[groupTime23]]/60</f>
        <v>2.2175000000000002</v>
      </c>
      <c r="CS116" s="43">
        <f>Table2[[#This Row],[groupTime24]]/60</f>
        <v>1.3431666666666666</v>
      </c>
    </row>
    <row r="117" spans="1:97" hidden="1" x14ac:dyDescent="0.25">
      <c r="A117" s="36" t="s">
        <v>638</v>
      </c>
      <c r="B117" s="11" t="s">
        <v>113</v>
      </c>
      <c r="C117" s="11">
        <v>74</v>
      </c>
      <c r="D117" s="11" t="s">
        <v>688</v>
      </c>
      <c r="E117" s="11">
        <v>6</v>
      </c>
      <c r="F117" s="11" t="s">
        <v>79</v>
      </c>
      <c r="G117" s="11">
        <v>994194305</v>
      </c>
      <c r="H117" s="11" t="s">
        <v>689</v>
      </c>
      <c r="I117" s="11" t="s">
        <v>688</v>
      </c>
      <c r="J117" s="11" t="s">
        <v>589</v>
      </c>
      <c r="K117" s="37" t="str">
        <f>IF(Table2[[#This Row],[priorSuccessRatio]]&lt;1,"yes","no")</f>
        <v>yes</v>
      </c>
      <c r="L117" s="38">
        <f>VLOOKUP(Table2[[#This Row],[prolific]],'Correct calc'!B$16:$AJ$998,6,FALSE)</f>
        <v>0.33333333333333331</v>
      </c>
      <c r="M117" s="27">
        <f>VLOOKUP(Table2[[#This Row],[prolific]],'Correct calc'!B$16:$AJ$998,14,FALSE)</f>
        <v>0.83333333333333337</v>
      </c>
      <c r="N117" s="27">
        <f>VLOOKUP(Table2[[#This Row],[prolific]],'Correct calc'!B$16:$AJ1137,24,FALSE)</f>
        <v>0.875</v>
      </c>
      <c r="O117" s="38">
        <f>VLOOKUP(Table2[[#This Row],[prolific]],'Correct calc'!B$16:$AJ1137,34,FALSE)</f>
        <v>0.625</v>
      </c>
      <c r="P117" s="39">
        <f>VLOOKUP(Table2[[#This Row],[comprescore]],Table3[],2,FALSE)</f>
        <v>2</v>
      </c>
      <c r="Q117" s="40">
        <f>VLOOKUP(Table2[[#This Row],[prolific]],'Correct calc'!B$16:$AK$998,36,FALSE)</f>
        <v>17</v>
      </c>
      <c r="R117" s="40">
        <f>Table2[[#This Row],[interviewminutes]]</f>
        <v>19.992999999999999</v>
      </c>
      <c r="S117" s="40">
        <f>Table2[[#This Row],[classifyTime]]+Table2[[#This Row],[explainTime]]+Table2[[#This Row],[validateTime]]</f>
        <v>16.535833333333333</v>
      </c>
      <c r="T117" s="41">
        <f>VLOOKUP(Table2[[#This Row],[prolific]],'Correct calc'!B$16:$AJ$998,35,FALSE)</f>
        <v>0.77272727272727271</v>
      </c>
      <c r="U117" s="42">
        <f>SUM(Table2[[#This Row],[priorKnowledge'[CLUSTERING']]:[priorKnowledge'[ZSCORES']]])/Table2[[#This Row],[priorKnowledgeTechQuestionCount]]</f>
        <v>2</v>
      </c>
      <c r="V117" s="40">
        <f>IF(Table2[[#This Row],[visualization]]="Wordcloud",2,3)</f>
        <v>3</v>
      </c>
      <c r="W117" s="31" t="s">
        <v>1131</v>
      </c>
      <c r="X117" s="31">
        <v>4</v>
      </c>
      <c r="Y117" s="31">
        <v>1</v>
      </c>
      <c r="Z117" s="31">
        <v>1</v>
      </c>
      <c r="AA117" s="31">
        <v>6</v>
      </c>
      <c r="AB117" s="31" t="s">
        <v>81</v>
      </c>
      <c r="AC117" s="31" t="s">
        <v>97</v>
      </c>
      <c r="AD117" s="31" t="s">
        <v>82</v>
      </c>
      <c r="AE117" s="31" t="s">
        <v>83</v>
      </c>
      <c r="AF117" s="31" t="s">
        <v>85</v>
      </c>
      <c r="AG117" s="31" t="s">
        <v>86</v>
      </c>
      <c r="AH117" s="31" t="s">
        <v>84</v>
      </c>
      <c r="AI117" s="31" t="s">
        <v>86</v>
      </c>
      <c r="AJ117" s="31" t="s">
        <v>98</v>
      </c>
      <c r="AK117" s="31" t="s">
        <v>88</v>
      </c>
      <c r="AL117" s="31" t="s">
        <v>87</v>
      </c>
      <c r="AM117" s="31" t="s">
        <v>105</v>
      </c>
      <c r="AN117" s="31" t="s">
        <v>90</v>
      </c>
      <c r="AO117" s="31" t="s">
        <v>83</v>
      </c>
      <c r="AP117" s="31" t="s">
        <v>85</v>
      </c>
      <c r="AQ117" s="31" t="s">
        <v>91</v>
      </c>
      <c r="AR117" s="31" t="s">
        <v>101</v>
      </c>
      <c r="AS117" s="31" t="s">
        <v>94</v>
      </c>
      <c r="AT117" s="31" t="s">
        <v>94</v>
      </c>
      <c r="AU117" s="31" t="s">
        <v>93</v>
      </c>
      <c r="AV117" s="31" t="s">
        <v>93</v>
      </c>
      <c r="AW117" s="31" t="s">
        <v>93</v>
      </c>
      <c r="AX117" s="31" t="s">
        <v>93</v>
      </c>
      <c r="AY117" s="31" t="s">
        <v>94</v>
      </c>
      <c r="AZ117" s="31" t="s">
        <v>93</v>
      </c>
      <c r="BA117" s="31" t="s">
        <v>106</v>
      </c>
      <c r="BB117" s="31" t="s">
        <v>106</v>
      </c>
      <c r="BC117" s="43"/>
      <c r="BD117" s="44">
        <f>Table2[[#This Row],[interviewtime]]/60</f>
        <v>19.992999999999999</v>
      </c>
      <c r="BE117" s="31">
        <v>1199.58</v>
      </c>
      <c r="BF117" s="31">
        <v>12.7</v>
      </c>
      <c r="BG117" s="31"/>
      <c r="BH117" s="31">
        <v>165.43</v>
      </c>
      <c r="BI117" s="31"/>
      <c r="BJ117" s="31"/>
      <c r="BK117" s="31"/>
      <c r="BL117" s="31"/>
      <c r="BM117" s="31">
        <v>633.04</v>
      </c>
      <c r="BN117" s="31"/>
      <c r="BO117" s="31"/>
      <c r="BP117" s="31"/>
      <c r="BQ117" s="31"/>
      <c r="BR117" s="31"/>
      <c r="BS117" s="31"/>
      <c r="BT117" s="31">
        <v>204.18</v>
      </c>
      <c r="BU117" s="31"/>
      <c r="BV117" s="31"/>
      <c r="BW117" s="31"/>
      <c r="BX117" s="31"/>
      <c r="BY117" s="31"/>
      <c r="BZ117" s="31"/>
      <c r="CA117" s="31"/>
      <c r="CB117" s="31"/>
      <c r="CC117" s="31">
        <v>154.93</v>
      </c>
      <c r="CD117" s="31"/>
      <c r="CE117" s="31"/>
      <c r="CF117" s="31"/>
      <c r="CG117" s="31"/>
      <c r="CH117" s="31"/>
      <c r="CI117" s="31"/>
      <c r="CJ117" s="31"/>
      <c r="CK117" s="31"/>
      <c r="CL117" s="31">
        <v>29.3</v>
      </c>
      <c r="CM117" s="43"/>
      <c r="CN117" s="43"/>
      <c r="CO117" s="43"/>
      <c r="CP117" s="43"/>
      <c r="CQ117" s="43">
        <f>Table2[[#This Row],[groupTime22]]/60</f>
        <v>10.550666666666666</v>
      </c>
      <c r="CR117" s="43">
        <f>Table2[[#This Row],[groupTime23]]/60</f>
        <v>3.403</v>
      </c>
      <c r="CS117" s="43">
        <f>Table2[[#This Row],[groupTime24]]/60</f>
        <v>2.5821666666666667</v>
      </c>
    </row>
    <row r="118" spans="1:97" x14ac:dyDescent="0.25">
      <c r="A118" s="47" t="s">
        <v>821</v>
      </c>
      <c r="B118" s="11" t="s">
        <v>113</v>
      </c>
      <c r="C118" s="11">
        <v>80</v>
      </c>
      <c r="D118" s="11" t="s">
        <v>912</v>
      </c>
      <c r="E118" s="11">
        <v>6</v>
      </c>
      <c r="F118" s="11" t="s">
        <v>79</v>
      </c>
      <c r="G118" s="11">
        <v>857400570</v>
      </c>
      <c r="H118" s="11" t="s">
        <v>913</v>
      </c>
      <c r="I118" s="11" t="s">
        <v>912</v>
      </c>
      <c r="J118" s="11" t="s">
        <v>589</v>
      </c>
      <c r="K118" s="37" t="str">
        <f>IF(Table2[[#This Row],[priorSuccessRatio]]&lt;1,"yes","no")</f>
        <v>no</v>
      </c>
      <c r="L118" s="27">
        <f>VLOOKUP(Table2[[#This Row],[prolific]],'Correct calc'!B$16:$AJ$998,6,FALSE)</f>
        <v>1</v>
      </c>
      <c r="M118" s="27">
        <f>VLOOKUP(Table2[[#This Row],[prolific]],'Correct calc'!B$16:$AJ$998,14,FALSE)</f>
        <v>0.5</v>
      </c>
      <c r="N118" s="27">
        <f>VLOOKUP(Table2[[#This Row],[prolific]],'Correct calc'!B$16:$AJ1183,24,FALSE)</f>
        <v>0.75</v>
      </c>
      <c r="O118" s="27">
        <f>VLOOKUP(Table2[[#This Row],[prolific]],'Correct calc'!B$16:$AJ1183,34,FALSE)</f>
        <v>0.5</v>
      </c>
      <c r="P118" s="28">
        <f>VLOOKUP(Table2[[#This Row],[comprescore]],Table3[],2,FALSE)</f>
        <v>3</v>
      </c>
      <c r="Q118" s="16">
        <f>VLOOKUP(Table2[[#This Row],[prolific]],'Correct calc'!B$16:$AK$998,36,FALSE)</f>
        <v>13</v>
      </c>
      <c r="R118" s="16">
        <f>Table2[[#This Row],[interviewminutes]]</f>
        <v>24.781833333333335</v>
      </c>
      <c r="S118" s="16">
        <f>Table2[[#This Row],[classifyTime]]+Table2[[#This Row],[explainTime]]+Table2[[#This Row],[validateTime]]</f>
        <v>21.446500000000004</v>
      </c>
      <c r="T118" s="29">
        <f>VLOOKUP(Table2[[#This Row],[prolific]],'Correct calc'!B$16:$AJ$998,35,FALSE)</f>
        <v>0.59090909090909094</v>
      </c>
      <c r="U118" s="15">
        <f>SUM(Table2[[#This Row],[priorKnowledge'[CLUSTERING']]:[priorKnowledge'[ZSCORES']]])/Table2[[#This Row],[priorKnowledgeTechQuestionCount]]</f>
        <v>5.333333333333333</v>
      </c>
      <c r="V118" s="16">
        <f>IF(Table2[[#This Row],[visualization]]="Wordcloud",2,3)</f>
        <v>3</v>
      </c>
      <c r="W118" s="31" t="s">
        <v>1132</v>
      </c>
      <c r="X118" s="31">
        <v>5</v>
      </c>
      <c r="Y118" s="31">
        <v>5</v>
      </c>
      <c r="Z118" s="31">
        <v>6</v>
      </c>
      <c r="AA118" s="31">
        <v>6</v>
      </c>
      <c r="AB118" s="31" t="s">
        <v>97</v>
      </c>
      <c r="AC118" s="31" t="s">
        <v>81</v>
      </c>
      <c r="AD118" s="31" t="s">
        <v>82</v>
      </c>
      <c r="AE118" s="31" t="s">
        <v>83</v>
      </c>
      <c r="AF118" s="31" t="s">
        <v>86</v>
      </c>
      <c r="AG118" s="31" t="s">
        <v>98</v>
      </c>
      <c r="AH118" s="31" t="s">
        <v>84</v>
      </c>
      <c r="AI118" s="31" t="s">
        <v>85</v>
      </c>
      <c r="AJ118" s="31" t="s">
        <v>98</v>
      </c>
      <c r="AK118" s="31" t="s">
        <v>88</v>
      </c>
      <c r="AL118" s="31" t="s">
        <v>87</v>
      </c>
      <c r="AM118" s="31" t="s">
        <v>105</v>
      </c>
      <c r="AN118" s="31" t="s">
        <v>90</v>
      </c>
      <c r="AO118" s="31" t="s">
        <v>83</v>
      </c>
      <c r="AP118" s="31" t="s">
        <v>85</v>
      </c>
      <c r="AQ118" s="31" t="s">
        <v>101</v>
      </c>
      <c r="AR118" s="31" t="s">
        <v>101</v>
      </c>
      <c r="AS118" s="31" t="s">
        <v>94</v>
      </c>
      <c r="AT118" s="31" t="s">
        <v>94</v>
      </c>
      <c r="AU118" s="31" t="s">
        <v>93</v>
      </c>
      <c r="AV118" s="31" t="s">
        <v>93</v>
      </c>
      <c r="AW118" s="31" t="s">
        <v>93</v>
      </c>
      <c r="AX118" s="31" t="s">
        <v>94</v>
      </c>
      <c r="AY118" s="31" t="s">
        <v>94</v>
      </c>
      <c r="AZ118" s="31" t="s">
        <v>93</v>
      </c>
      <c r="BA118" s="31" t="s">
        <v>107</v>
      </c>
      <c r="BB118" s="31" t="s">
        <v>946</v>
      </c>
      <c r="BC118" s="24"/>
      <c r="BD118" s="30">
        <f>Table2[[#This Row],[interviewtime]]/60</f>
        <v>24.781833333333335</v>
      </c>
      <c r="BE118" s="31">
        <v>1486.91</v>
      </c>
      <c r="BF118" s="31">
        <v>37.340000000000003</v>
      </c>
      <c r="BG118" s="31"/>
      <c r="BH118" s="31">
        <v>89.97</v>
      </c>
      <c r="BI118" s="31"/>
      <c r="BJ118" s="31"/>
      <c r="BK118" s="31"/>
      <c r="BL118" s="31"/>
      <c r="BM118" s="31">
        <v>683.94</v>
      </c>
      <c r="BN118" s="31"/>
      <c r="BO118" s="31"/>
      <c r="BP118" s="31"/>
      <c r="BQ118" s="31"/>
      <c r="BR118" s="31"/>
      <c r="BS118" s="31"/>
      <c r="BT118" s="31">
        <v>382.94</v>
      </c>
      <c r="BU118" s="31"/>
      <c r="BV118" s="31"/>
      <c r="BW118" s="31"/>
      <c r="BX118" s="31"/>
      <c r="BY118" s="31"/>
      <c r="BZ118" s="31"/>
      <c r="CA118" s="31"/>
      <c r="CB118" s="31"/>
      <c r="CC118" s="31">
        <v>219.91</v>
      </c>
      <c r="CD118" s="31"/>
      <c r="CE118" s="31"/>
      <c r="CF118" s="31"/>
      <c r="CG118" s="31"/>
      <c r="CH118" s="31"/>
      <c r="CI118" s="31"/>
      <c r="CJ118" s="31"/>
      <c r="CK118" s="31"/>
      <c r="CL118" s="31">
        <v>72.81</v>
      </c>
      <c r="CM118" s="24"/>
      <c r="CN118" s="24"/>
      <c r="CO118" s="24"/>
      <c r="CP118" s="24"/>
      <c r="CQ118" s="43">
        <f>Table2[[#This Row],[groupTime22]]/60</f>
        <v>11.399000000000001</v>
      </c>
      <c r="CR118" s="43">
        <f>Table2[[#This Row],[groupTime23]]/60</f>
        <v>6.3823333333333334</v>
      </c>
      <c r="CS118" s="43">
        <f>Table2[[#This Row],[groupTime24]]/60</f>
        <v>3.6651666666666665</v>
      </c>
    </row>
    <row r="119" spans="1:97" hidden="1" x14ac:dyDescent="0.25">
      <c r="A119" s="47" t="s">
        <v>821</v>
      </c>
      <c r="B119" s="11" t="s">
        <v>113</v>
      </c>
      <c r="C119" s="11">
        <v>81</v>
      </c>
      <c r="D119" s="11" t="s">
        <v>914</v>
      </c>
      <c r="E119" s="11">
        <v>6</v>
      </c>
      <c r="F119" s="11" t="s">
        <v>79</v>
      </c>
      <c r="G119" s="11">
        <v>160047890</v>
      </c>
      <c r="H119" s="11" t="s">
        <v>915</v>
      </c>
      <c r="I119" s="11" t="s">
        <v>914</v>
      </c>
      <c r="J119" s="11" t="s">
        <v>589</v>
      </c>
      <c r="K119" s="37" t="str">
        <f>IF(Table2[[#This Row],[priorSuccessRatio]]&lt;1,"yes","no")</f>
        <v>yes</v>
      </c>
      <c r="L119" s="27">
        <f>VLOOKUP(Table2[[#This Row],[prolific]],'Correct calc'!B$16:$AJ$998,6,FALSE)</f>
        <v>0.66666666666666663</v>
      </c>
      <c r="M119" s="27">
        <f>VLOOKUP(Table2[[#This Row],[prolific]],'Correct calc'!B$16:$AJ$998,14,FALSE)</f>
        <v>0.33333333333333331</v>
      </c>
      <c r="N119" s="27">
        <f>VLOOKUP(Table2[[#This Row],[prolific]],'Correct calc'!B$16:$AJ1184,24,FALSE)</f>
        <v>0.875</v>
      </c>
      <c r="O119" s="27">
        <f>VLOOKUP(Table2[[#This Row],[prolific]],'Correct calc'!B$16:$AJ1184,34,FALSE)</f>
        <v>0.125</v>
      </c>
      <c r="P119" s="28">
        <f>VLOOKUP(Table2[[#This Row],[comprescore]],Table3[],2,FALSE)</f>
        <v>1</v>
      </c>
      <c r="Q119" s="16">
        <f>VLOOKUP(Table2[[#This Row],[prolific]],'Correct calc'!B$16:$AK$998,36,FALSE)</f>
        <v>10</v>
      </c>
      <c r="R119" s="16">
        <f>Table2[[#This Row],[interviewminutes]]</f>
        <v>18.401999999999997</v>
      </c>
      <c r="S119" s="16">
        <f>Table2[[#This Row],[classifyTime]]+Table2[[#This Row],[explainTime]]+Table2[[#This Row],[validateTime]]</f>
        <v>15.801333333333334</v>
      </c>
      <c r="T119" s="29">
        <f>VLOOKUP(Table2[[#This Row],[prolific]],'Correct calc'!B$16:$AJ$998,35,FALSE)</f>
        <v>0.45454545454545453</v>
      </c>
      <c r="U119" s="15">
        <f>SUM(Table2[[#This Row],[priorKnowledge'[CLUSTERING']]:[priorKnowledge'[ZSCORES']]])/Table2[[#This Row],[priorKnowledgeTechQuestionCount]]</f>
        <v>1.6666666666666667</v>
      </c>
      <c r="V119" s="16">
        <f>IF(Table2[[#This Row],[visualization]]="Wordcloud",2,3)</f>
        <v>3</v>
      </c>
      <c r="W119" s="31" t="s">
        <v>1133</v>
      </c>
      <c r="X119" s="31">
        <v>3</v>
      </c>
      <c r="Y119" s="31">
        <v>1</v>
      </c>
      <c r="Z119" s="31">
        <v>1</v>
      </c>
      <c r="AA119" s="31">
        <v>6</v>
      </c>
      <c r="AB119" s="31" t="s">
        <v>97</v>
      </c>
      <c r="AC119" s="31" t="s">
        <v>97</v>
      </c>
      <c r="AD119" s="31" t="s">
        <v>82</v>
      </c>
      <c r="AE119" s="31" t="s">
        <v>83</v>
      </c>
      <c r="AF119" s="31" t="s">
        <v>104</v>
      </c>
      <c r="AG119" s="31" t="s">
        <v>98</v>
      </c>
      <c r="AH119" s="31" t="s">
        <v>84</v>
      </c>
      <c r="AI119" s="31" t="s">
        <v>85</v>
      </c>
      <c r="AJ119" s="31" t="s">
        <v>86</v>
      </c>
      <c r="AK119" s="31" t="s">
        <v>88</v>
      </c>
      <c r="AL119" s="31" t="s">
        <v>87</v>
      </c>
      <c r="AM119" s="31" t="s">
        <v>285</v>
      </c>
      <c r="AN119" s="31" t="s">
        <v>90</v>
      </c>
      <c r="AO119" s="31" t="s">
        <v>83</v>
      </c>
      <c r="AP119" s="31" t="s">
        <v>85</v>
      </c>
      <c r="AQ119" s="31" t="s">
        <v>91</v>
      </c>
      <c r="AR119" s="31" t="s">
        <v>102</v>
      </c>
      <c r="AS119" s="31" t="s">
        <v>93</v>
      </c>
      <c r="AT119" s="31" t="s">
        <v>94</v>
      </c>
      <c r="AU119" s="31" t="s">
        <v>93</v>
      </c>
      <c r="AV119" s="31" t="s">
        <v>94</v>
      </c>
      <c r="AW119" s="31" t="s">
        <v>93</v>
      </c>
      <c r="AX119" s="31" t="s">
        <v>94</v>
      </c>
      <c r="AY119" s="31" t="s">
        <v>93</v>
      </c>
      <c r="AZ119" s="31" t="s">
        <v>93</v>
      </c>
      <c r="BA119" s="31" t="s">
        <v>95</v>
      </c>
      <c r="BB119" s="31"/>
      <c r="BC119" s="24"/>
      <c r="BD119" s="30">
        <f>Table2[[#This Row],[interviewtime]]/60</f>
        <v>18.401999999999997</v>
      </c>
      <c r="BE119" s="31">
        <v>1104.1199999999999</v>
      </c>
      <c r="BF119" s="31">
        <v>7.8</v>
      </c>
      <c r="BG119" s="31"/>
      <c r="BH119" s="31">
        <v>129.65</v>
      </c>
      <c r="BI119" s="31"/>
      <c r="BJ119" s="31"/>
      <c r="BK119" s="31"/>
      <c r="BL119" s="31"/>
      <c r="BM119" s="31">
        <v>507.6</v>
      </c>
      <c r="BN119" s="31"/>
      <c r="BO119" s="31"/>
      <c r="BP119" s="31"/>
      <c r="BQ119" s="31"/>
      <c r="BR119" s="31"/>
      <c r="BS119" s="31"/>
      <c r="BT119" s="31">
        <v>294.93</v>
      </c>
      <c r="BU119" s="31"/>
      <c r="BV119" s="31"/>
      <c r="BW119" s="31"/>
      <c r="BX119" s="31"/>
      <c r="BY119" s="31"/>
      <c r="BZ119" s="31"/>
      <c r="CA119" s="31"/>
      <c r="CB119" s="31"/>
      <c r="CC119" s="31">
        <v>145.55000000000001</v>
      </c>
      <c r="CD119" s="31"/>
      <c r="CE119" s="31"/>
      <c r="CF119" s="31"/>
      <c r="CG119" s="31"/>
      <c r="CH119" s="31"/>
      <c r="CI119" s="31"/>
      <c r="CJ119" s="31"/>
      <c r="CK119" s="31"/>
      <c r="CL119" s="31">
        <v>18.59</v>
      </c>
      <c r="CM119" s="24"/>
      <c r="CN119" s="24"/>
      <c r="CO119" s="24"/>
      <c r="CP119" s="24"/>
      <c r="CQ119" s="43">
        <f>Table2[[#This Row],[groupTime22]]/60</f>
        <v>8.4600000000000009</v>
      </c>
      <c r="CR119" s="43">
        <f>Table2[[#This Row],[groupTime23]]/60</f>
        <v>4.9154999999999998</v>
      </c>
      <c r="CS119" s="43">
        <f>Table2[[#This Row],[groupTime24]]/60</f>
        <v>2.4258333333333337</v>
      </c>
    </row>
    <row r="120" spans="1:97" x14ac:dyDescent="0.25">
      <c r="A120" s="47" t="s">
        <v>821</v>
      </c>
      <c r="B120" s="11" t="s">
        <v>113</v>
      </c>
      <c r="C120" s="11">
        <v>82</v>
      </c>
      <c r="D120" s="11" t="s">
        <v>916</v>
      </c>
      <c r="E120" s="11">
        <v>6</v>
      </c>
      <c r="F120" s="11" t="s">
        <v>79</v>
      </c>
      <c r="G120" s="11">
        <v>2146845613</v>
      </c>
      <c r="H120" s="11" t="s">
        <v>917</v>
      </c>
      <c r="I120" s="11" t="s">
        <v>916</v>
      </c>
      <c r="J120" s="11" t="s">
        <v>589</v>
      </c>
      <c r="K120" s="37" t="str">
        <f>IF(Table2[[#This Row],[priorSuccessRatio]]&lt;1,"yes","no")</f>
        <v>no</v>
      </c>
      <c r="L120" s="27">
        <f>VLOOKUP(Table2[[#This Row],[prolific]],'Correct calc'!B$16:$AJ$998,6,FALSE)</f>
        <v>1</v>
      </c>
      <c r="M120" s="27">
        <f>VLOOKUP(Table2[[#This Row],[prolific]],'Correct calc'!B$16:$AJ$998,14,FALSE)</f>
        <v>0.5</v>
      </c>
      <c r="N120" s="27">
        <f>VLOOKUP(Table2[[#This Row],[prolific]],'Correct calc'!B$16:$AJ1185,24,FALSE)</f>
        <v>0.625</v>
      </c>
      <c r="O120" s="27">
        <f>VLOOKUP(Table2[[#This Row],[prolific]],'Correct calc'!B$16:$AJ1185,34,FALSE)</f>
        <v>0.75</v>
      </c>
      <c r="P120" s="28">
        <f>VLOOKUP(Table2[[#This Row],[comprescore]],Table3[],2,FALSE)</f>
        <v>3</v>
      </c>
      <c r="Q120" s="16">
        <f>VLOOKUP(Table2[[#This Row],[prolific]],'Correct calc'!B$16:$AK$998,36,FALSE)</f>
        <v>14</v>
      </c>
      <c r="R120" s="16">
        <f>Table2[[#This Row],[interviewminutes]]</f>
        <v>12.5335</v>
      </c>
      <c r="S120" s="16">
        <f>Table2[[#This Row],[classifyTime]]+Table2[[#This Row],[explainTime]]+Table2[[#This Row],[validateTime]]</f>
        <v>9.9885000000000002</v>
      </c>
      <c r="T120" s="29">
        <f>VLOOKUP(Table2[[#This Row],[prolific]],'Correct calc'!B$16:$AJ$998,35,FALSE)</f>
        <v>0.63636363636363635</v>
      </c>
      <c r="U120" s="15">
        <f>SUM(Table2[[#This Row],[priorKnowledge'[CLUSTERING']]:[priorKnowledge'[ZSCORES']]])/Table2[[#This Row],[priorKnowledgeTechQuestionCount]]</f>
        <v>5</v>
      </c>
      <c r="V120" s="16">
        <f>IF(Table2[[#This Row],[visualization]]="Wordcloud",2,3)</f>
        <v>3</v>
      </c>
      <c r="W120" s="31" t="s">
        <v>1134</v>
      </c>
      <c r="X120" s="31">
        <v>4</v>
      </c>
      <c r="Y120" s="31">
        <v>6</v>
      </c>
      <c r="Z120" s="31">
        <v>5</v>
      </c>
      <c r="AA120" s="31">
        <v>7</v>
      </c>
      <c r="AB120" s="31" t="s">
        <v>97</v>
      </c>
      <c r="AC120" s="31" t="s">
        <v>81</v>
      </c>
      <c r="AD120" s="31" t="s">
        <v>82</v>
      </c>
      <c r="AE120" s="31" t="s">
        <v>83</v>
      </c>
      <c r="AF120" s="31" t="s">
        <v>84</v>
      </c>
      <c r="AG120" s="31" t="s">
        <v>98</v>
      </c>
      <c r="AH120" s="31" t="s">
        <v>84</v>
      </c>
      <c r="AI120" s="31" t="s">
        <v>98</v>
      </c>
      <c r="AJ120" s="31" t="s">
        <v>98</v>
      </c>
      <c r="AK120" s="31" t="s">
        <v>88</v>
      </c>
      <c r="AL120" s="31" t="s">
        <v>87</v>
      </c>
      <c r="AM120" s="31" t="s">
        <v>99</v>
      </c>
      <c r="AN120" s="31" t="s">
        <v>278</v>
      </c>
      <c r="AO120" s="31" t="s">
        <v>83</v>
      </c>
      <c r="AP120" s="31" t="s">
        <v>85</v>
      </c>
      <c r="AQ120" s="31" t="s">
        <v>101</v>
      </c>
      <c r="AR120" s="31" t="s">
        <v>102</v>
      </c>
      <c r="AS120" s="31" t="s">
        <v>94</v>
      </c>
      <c r="AT120" s="31" t="s">
        <v>94</v>
      </c>
      <c r="AU120" s="31" t="s">
        <v>93</v>
      </c>
      <c r="AV120" s="31" t="s">
        <v>93</v>
      </c>
      <c r="AW120" s="31" t="s">
        <v>94</v>
      </c>
      <c r="AX120" s="31" t="s">
        <v>93</v>
      </c>
      <c r="AY120" s="31" t="s">
        <v>94</v>
      </c>
      <c r="AZ120" s="31" t="s">
        <v>93</v>
      </c>
      <c r="BA120" s="31" t="s">
        <v>107</v>
      </c>
      <c r="BB120" s="31" t="s">
        <v>948</v>
      </c>
      <c r="BC120" s="24"/>
      <c r="BD120" s="30">
        <f>Table2[[#This Row],[interviewtime]]/60</f>
        <v>12.5335</v>
      </c>
      <c r="BE120" s="31">
        <v>752.01</v>
      </c>
      <c r="BF120" s="31">
        <v>18.5</v>
      </c>
      <c r="BG120" s="31"/>
      <c r="BH120" s="31">
        <v>65.45</v>
      </c>
      <c r="BI120" s="31"/>
      <c r="BJ120" s="31"/>
      <c r="BK120" s="31"/>
      <c r="BL120" s="31"/>
      <c r="BM120" s="31">
        <v>213.12</v>
      </c>
      <c r="BN120" s="31"/>
      <c r="BO120" s="31"/>
      <c r="BP120" s="31"/>
      <c r="BQ120" s="31"/>
      <c r="BR120" s="31"/>
      <c r="BS120" s="31"/>
      <c r="BT120" s="31">
        <v>238.81</v>
      </c>
      <c r="BU120" s="31"/>
      <c r="BV120" s="31"/>
      <c r="BW120" s="31"/>
      <c r="BX120" s="31"/>
      <c r="BY120" s="31"/>
      <c r="BZ120" s="31"/>
      <c r="CA120" s="31"/>
      <c r="CB120" s="31"/>
      <c r="CC120" s="31">
        <v>147.38</v>
      </c>
      <c r="CD120" s="31"/>
      <c r="CE120" s="31"/>
      <c r="CF120" s="31"/>
      <c r="CG120" s="31"/>
      <c r="CH120" s="31"/>
      <c r="CI120" s="31"/>
      <c r="CJ120" s="31"/>
      <c r="CK120" s="31"/>
      <c r="CL120" s="31">
        <v>68.75</v>
      </c>
      <c r="CM120" s="24"/>
      <c r="CN120" s="24"/>
      <c r="CO120" s="24"/>
      <c r="CP120" s="24"/>
      <c r="CQ120" s="43">
        <f>Table2[[#This Row],[groupTime22]]/60</f>
        <v>3.552</v>
      </c>
      <c r="CR120" s="43">
        <f>Table2[[#This Row],[groupTime23]]/60</f>
        <v>3.9801666666666669</v>
      </c>
      <c r="CS120" s="43">
        <f>Table2[[#This Row],[groupTime24]]/60</f>
        <v>2.4563333333333333</v>
      </c>
    </row>
    <row r="121" spans="1:97" x14ac:dyDescent="0.25">
      <c r="A121" s="47" t="s">
        <v>821</v>
      </c>
      <c r="B121" s="11" t="s">
        <v>113</v>
      </c>
      <c r="C121" s="11">
        <v>83</v>
      </c>
      <c r="D121" s="11" t="s">
        <v>918</v>
      </c>
      <c r="E121" s="11">
        <v>6</v>
      </c>
      <c r="F121" s="11" t="s">
        <v>79</v>
      </c>
      <c r="G121" s="11">
        <v>876995973</v>
      </c>
      <c r="H121" s="11" t="s">
        <v>919</v>
      </c>
      <c r="I121" s="11" t="s">
        <v>918</v>
      </c>
      <c r="J121" s="11" t="s">
        <v>586</v>
      </c>
      <c r="K121" s="37" t="str">
        <f>IF(Table2[[#This Row],[priorSuccessRatio]]&lt;1,"yes","no")</f>
        <v>no</v>
      </c>
      <c r="L121" s="27">
        <f>VLOOKUP(Table2[[#This Row],[prolific]],'Correct calc'!B$16:$AJ$998,6,FALSE)</f>
        <v>1</v>
      </c>
      <c r="M121" s="27">
        <f>VLOOKUP(Table2[[#This Row],[prolific]],'Correct calc'!B$16:$AJ$998,14,FALSE)</f>
        <v>0.5</v>
      </c>
      <c r="N121" s="27">
        <f>VLOOKUP(Table2[[#This Row],[prolific]],'Correct calc'!B$16:$AJ1186,24,FALSE)</f>
        <v>0.75</v>
      </c>
      <c r="O121" s="27">
        <f>VLOOKUP(Table2[[#This Row],[prolific]],'Correct calc'!B$16:$AJ1186,34,FALSE)</f>
        <v>0.75</v>
      </c>
      <c r="P121" s="28">
        <f>VLOOKUP(Table2[[#This Row],[comprescore]],Table3[],2,FALSE)</f>
        <v>4</v>
      </c>
      <c r="Q121" s="16">
        <f>VLOOKUP(Table2[[#This Row],[prolific]],'Correct calc'!B$16:$AK$998,36,FALSE)</f>
        <v>15</v>
      </c>
      <c r="R121" s="16">
        <f>Table2[[#This Row],[interviewminutes]]</f>
        <v>16.082333333333334</v>
      </c>
      <c r="S121" s="16">
        <f>Table2[[#This Row],[classifyTime]]+Table2[[#This Row],[explainTime]]+Table2[[#This Row],[validateTime]]</f>
        <v>13.571499999999999</v>
      </c>
      <c r="T121" s="29">
        <f>VLOOKUP(Table2[[#This Row],[prolific]],'Correct calc'!B$16:$AJ$998,35,FALSE)</f>
        <v>0.68181818181818177</v>
      </c>
      <c r="U121" s="15">
        <f>SUM(Table2[[#This Row],[priorKnowledge'[CLUSTERING']]:[priorKnowledge'[ZSCORES']]])/Table2[[#This Row],[priorKnowledgeTechQuestionCount]]</f>
        <v>2.3333333333333335</v>
      </c>
      <c r="V121" s="16">
        <f>IF(Table2[[#This Row],[visualization]]="Wordcloud",2,3)</f>
        <v>3</v>
      </c>
      <c r="W121" s="31" t="s">
        <v>1135</v>
      </c>
      <c r="X121" s="31">
        <v>2</v>
      </c>
      <c r="Y121" s="31">
        <v>2</v>
      </c>
      <c r="Z121" s="31">
        <v>3</v>
      </c>
      <c r="AA121" s="31">
        <v>3</v>
      </c>
      <c r="AB121" s="31" t="s">
        <v>97</v>
      </c>
      <c r="AC121" s="31" t="s">
        <v>81</v>
      </c>
      <c r="AD121" s="31" t="s">
        <v>82</v>
      </c>
      <c r="AE121" s="31" t="s">
        <v>83</v>
      </c>
      <c r="AF121" s="31" t="s">
        <v>85</v>
      </c>
      <c r="AG121" s="31" t="s">
        <v>98</v>
      </c>
      <c r="AH121" s="31" t="s">
        <v>84</v>
      </c>
      <c r="AI121" s="31" t="s">
        <v>85</v>
      </c>
      <c r="AJ121" s="31" t="s">
        <v>83</v>
      </c>
      <c r="AK121" s="31" t="s">
        <v>88</v>
      </c>
      <c r="AL121" s="31" t="s">
        <v>87</v>
      </c>
      <c r="AM121" s="31" t="s">
        <v>89</v>
      </c>
      <c r="AN121" s="31" t="s">
        <v>278</v>
      </c>
      <c r="AO121" s="31" t="s">
        <v>83</v>
      </c>
      <c r="AP121" s="31" t="s">
        <v>85</v>
      </c>
      <c r="AQ121" s="31" t="s">
        <v>91</v>
      </c>
      <c r="AR121" s="31" t="s">
        <v>102</v>
      </c>
      <c r="AS121" s="31" t="s">
        <v>94</v>
      </c>
      <c r="AT121" s="31" t="s">
        <v>94</v>
      </c>
      <c r="AU121" s="31" t="s">
        <v>94</v>
      </c>
      <c r="AV121" s="31" t="s">
        <v>93</v>
      </c>
      <c r="AW121" s="31" t="s">
        <v>93</v>
      </c>
      <c r="AX121" s="31" t="s">
        <v>93</v>
      </c>
      <c r="AY121" s="31" t="s">
        <v>94</v>
      </c>
      <c r="AZ121" s="31" t="s">
        <v>93</v>
      </c>
      <c r="BA121" s="31" t="s">
        <v>103</v>
      </c>
      <c r="BB121" s="31" t="s">
        <v>950</v>
      </c>
      <c r="BC121" s="24"/>
      <c r="BD121" s="30">
        <f>Table2[[#This Row],[interviewtime]]/60</f>
        <v>16.082333333333334</v>
      </c>
      <c r="BE121" s="31">
        <v>964.94</v>
      </c>
      <c r="BF121" s="31">
        <v>5.51</v>
      </c>
      <c r="BG121" s="31"/>
      <c r="BH121" s="31">
        <v>106.08</v>
      </c>
      <c r="BI121" s="31"/>
      <c r="BJ121" s="31"/>
      <c r="BK121" s="31"/>
      <c r="BL121" s="31"/>
      <c r="BM121" s="31">
        <v>400.65</v>
      </c>
      <c r="BN121" s="31"/>
      <c r="BO121" s="31"/>
      <c r="BP121" s="31"/>
      <c r="BQ121" s="31"/>
      <c r="BR121" s="31"/>
      <c r="BS121" s="31"/>
      <c r="BT121" s="31">
        <v>291.23</v>
      </c>
      <c r="BU121" s="31"/>
      <c r="BV121" s="31"/>
      <c r="BW121" s="31"/>
      <c r="BX121" s="31"/>
      <c r="BY121" s="31"/>
      <c r="BZ121" s="31"/>
      <c r="CA121" s="31"/>
      <c r="CB121" s="31"/>
      <c r="CC121" s="31">
        <v>122.41</v>
      </c>
      <c r="CD121" s="31"/>
      <c r="CE121" s="31"/>
      <c r="CF121" s="31"/>
      <c r="CG121" s="31"/>
      <c r="CH121" s="31"/>
      <c r="CI121" s="31"/>
      <c r="CJ121" s="31"/>
      <c r="CK121" s="31"/>
      <c r="CL121" s="31">
        <v>39.06</v>
      </c>
      <c r="CM121" s="24"/>
      <c r="CN121" s="24"/>
      <c r="CO121" s="24"/>
      <c r="CP121" s="24"/>
      <c r="CQ121" s="43">
        <f>Table2[[#This Row],[groupTime22]]/60</f>
        <v>6.6774999999999993</v>
      </c>
      <c r="CR121" s="43">
        <f>Table2[[#This Row],[groupTime23]]/60</f>
        <v>4.8538333333333332</v>
      </c>
      <c r="CS121" s="43">
        <f>Table2[[#This Row],[groupTime24]]/60</f>
        <v>2.0401666666666665</v>
      </c>
    </row>
    <row r="122" spans="1:97" x14ac:dyDescent="0.25">
      <c r="A122" s="47" t="s">
        <v>821</v>
      </c>
      <c r="B122" s="11" t="s">
        <v>113</v>
      </c>
      <c r="C122" s="11">
        <v>84</v>
      </c>
      <c r="D122" s="11" t="s">
        <v>920</v>
      </c>
      <c r="E122" s="11">
        <v>6</v>
      </c>
      <c r="F122" s="11" t="s">
        <v>79</v>
      </c>
      <c r="G122" s="11">
        <v>94778713</v>
      </c>
      <c r="H122" s="11" t="s">
        <v>921</v>
      </c>
      <c r="I122" s="11" t="s">
        <v>920</v>
      </c>
      <c r="J122" s="11" t="s">
        <v>589</v>
      </c>
      <c r="K122" s="37" t="str">
        <f>IF(Table2[[#This Row],[priorSuccessRatio]]&lt;1,"yes","no")</f>
        <v>no</v>
      </c>
      <c r="L122" s="27">
        <f>VLOOKUP(Table2[[#This Row],[prolific]],'Correct calc'!B$16:$AJ$998,6,FALSE)</f>
        <v>1</v>
      </c>
      <c r="M122" s="27">
        <f>VLOOKUP(Table2[[#This Row],[prolific]],'Correct calc'!B$16:$AJ$998,14,FALSE)</f>
        <v>0.5</v>
      </c>
      <c r="N122" s="27">
        <f>VLOOKUP(Table2[[#This Row],[prolific]],'Correct calc'!B$16:$AJ1187,24,FALSE)</f>
        <v>0.75</v>
      </c>
      <c r="O122" s="27">
        <f>VLOOKUP(Table2[[#This Row],[prolific]],'Correct calc'!B$16:$AJ1187,34,FALSE)</f>
        <v>0.75</v>
      </c>
      <c r="P122" s="28">
        <f>VLOOKUP(Table2[[#This Row],[comprescore]],Table3[],2,FALSE)</f>
        <v>3</v>
      </c>
      <c r="Q122" s="16">
        <f>VLOOKUP(Table2[[#This Row],[prolific]],'Correct calc'!B$16:$AK$998,36,FALSE)</f>
        <v>15</v>
      </c>
      <c r="R122" s="16">
        <f>Table2[[#This Row],[interviewminutes]]</f>
        <v>13.332666666666666</v>
      </c>
      <c r="S122" s="16">
        <f>Table2[[#This Row],[classifyTime]]+Table2[[#This Row],[explainTime]]+Table2[[#This Row],[validateTime]]</f>
        <v>11.695499999999999</v>
      </c>
      <c r="T122" s="29">
        <f>VLOOKUP(Table2[[#This Row],[prolific]],'Correct calc'!B$16:$AJ$998,35,FALSE)</f>
        <v>0.68181818181818177</v>
      </c>
      <c r="U122" s="15">
        <f>SUM(Table2[[#This Row],[priorKnowledge'[CLUSTERING']]:[priorKnowledge'[ZSCORES']]])/Table2[[#This Row],[priorKnowledgeTechQuestionCount]]</f>
        <v>1.3333333333333333</v>
      </c>
      <c r="V122" s="16">
        <f>IF(Table2[[#This Row],[visualization]]="Wordcloud",2,3)</f>
        <v>3</v>
      </c>
      <c r="W122" s="31" t="s">
        <v>1136</v>
      </c>
      <c r="X122" s="31">
        <v>1</v>
      </c>
      <c r="Y122" s="31">
        <v>2</v>
      </c>
      <c r="Z122" s="31">
        <v>1</v>
      </c>
      <c r="AA122" s="31">
        <v>3</v>
      </c>
      <c r="AB122" s="31" t="s">
        <v>97</v>
      </c>
      <c r="AC122" s="31" t="s">
        <v>81</v>
      </c>
      <c r="AD122" s="31" t="s">
        <v>82</v>
      </c>
      <c r="AE122" s="31" t="s">
        <v>83</v>
      </c>
      <c r="AF122" s="31" t="s">
        <v>85</v>
      </c>
      <c r="AG122" s="31" t="s">
        <v>86</v>
      </c>
      <c r="AH122" s="31" t="s">
        <v>86</v>
      </c>
      <c r="AI122" s="31" t="s">
        <v>85</v>
      </c>
      <c r="AJ122" s="31" t="s">
        <v>104</v>
      </c>
      <c r="AK122" s="31" t="s">
        <v>88</v>
      </c>
      <c r="AL122" s="31" t="s">
        <v>87</v>
      </c>
      <c r="AM122" s="31" t="s">
        <v>105</v>
      </c>
      <c r="AN122" s="31" t="s">
        <v>90</v>
      </c>
      <c r="AO122" s="31" t="s">
        <v>83</v>
      </c>
      <c r="AP122" s="31" t="s">
        <v>85</v>
      </c>
      <c r="AQ122" s="31" t="s">
        <v>101</v>
      </c>
      <c r="AR122" s="31" t="s">
        <v>101</v>
      </c>
      <c r="AS122" s="31" t="s">
        <v>94</v>
      </c>
      <c r="AT122" s="31" t="s">
        <v>94</v>
      </c>
      <c r="AU122" s="31" t="s">
        <v>94</v>
      </c>
      <c r="AV122" s="31" t="s">
        <v>93</v>
      </c>
      <c r="AW122" s="31" t="s">
        <v>93</v>
      </c>
      <c r="AX122" s="31" t="s">
        <v>93</v>
      </c>
      <c r="AY122" s="31" t="s">
        <v>94</v>
      </c>
      <c r="AZ122" s="31" t="s">
        <v>93</v>
      </c>
      <c r="BA122" s="31" t="s">
        <v>107</v>
      </c>
      <c r="BB122" s="31" t="s">
        <v>952</v>
      </c>
      <c r="BC122" s="24"/>
      <c r="BD122" s="30">
        <f>Table2[[#This Row],[interviewtime]]/60</f>
        <v>13.332666666666666</v>
      </c>
      <c r="BE122" s="31">
        <v>799.96</v>
      </c>
      <c r="BF122" s="31">
        <v>5.35</v>
      </c>
      <c r="BG122" s="31"/>
      <c r="BH122" s="31">
        <v>40.79</v>
      </c>
      <c r="BI122" s="31"/>
      <c r="BJ122" s="31"/>
      <c r="BK122" s="31"/>
      <c r="BL122" s="31"/>
      <c r="BM122" s="31">
        <v>350.33</v>
      </c>
      <c r="BN122" s="31"/>
      <c r="BO122" s="31"/>
      <c r="BP122" s="31"/>
      <c r="BQ122" s="31"/>
      <c r="BR122" s="31"/>
      <c r="BS122" s="31"/>
      <c r="BT122" s="31">
        <v>201.98</v>
      </c>
      <c r="BU122" s="31"/>
      <c r="BV122" s="31"/>
      <c r="BW122" s="31"/>
      <c r="BX122" s="31"/>
      <c r="BY122" s="31"/>
      <c r="BZ122" s="31"/>
      <c r="CA122" s="31"/>
      <c r="CB122" s="31"/>
      <c r="CC122" s="31">
        <v>149.41999999999999</v>
      </c>
      <c r="CD122" s="31"/>
      <c r="CE122" s="31"/>
      <c r="CF122" s="31"/>
      <c r="CG122" s="31"/>
      <c r="CH122" s="31"/>
      <c r="CI122" s="31"/>
      <c r="CJ122" s="31"/>
      <c r="CK122" s="31"/>
      <c r="CL122" s="31">
        <v>52.09</v>
      </c>
      <c r="CM122" s="24"/>
      <c r="CN122" s="24"/>
      <c r="CO122" s="24"/>
      <c r="CP122" s="24"/>
      <c r="CQ122" s="43">
        <f>Table2[[#This Row],[groupTime22]]/60</f>
        <v>5.8388333333333327</v>
      </c>
      <c r="CR122" s="43">
        <f>Table2[[#This Row],[groupTime23]]/60</f>
        <v>3.366333333333333</v>
      </c>
      <c r="CS122" s="43">
        <f>Table2[[#This Row],[groupTime24]]/60</f>
        <v>2.4903333333333331</v>
      </c>
    </row>
    <row r="123" spans="1:97" x14ac:dyDescent="0.25">
      <c r="A123" s="47" t="s">
        <v>821</v>
      </c>
      <c r="B123" s="11" t="s">
        <v>113</v>
      </c>
      <c r="C123" s="11">
        <v>85</v>
      </c>
      <c r="D123" s="11" t="s">
        <v>922</v>
      </c>
      <c r="E123" s="11">
        <v>6</v>
      </c>
      <c r="F123" s="11" t="s">
        <v>79</v>
      </c>
      <c r="G123" s="11">
        <v>2072147098</v>
      </c>
      <c r="H123" s="11" t="s">
        <v>923</v>
      </c>
      <c r="I123" s="11" t="s">
        <v>922</v>
      </c>
      <c r="J123" s="11" t="s">
        <v>586</v>
      </c>
      <c r="K123" s="37" t="str">
        <f>IF(Table2[[#This Row],[priorSuccessRatio]]&lt;1,"yes","no")</f>
        <v>no</v>
      </c>
      <c r="L123" s="27">
        <f>VLOOKUP(Table2[[#This Row],[prolific]],'Correct calc'!B$16:$AJ$998,6,FALSE)</f>
        <v>1</v>
      </c>
      <c r="M123" s="27">
        <f>VLOOKUP(Table2[[#This Row],[prolific]],'Correct calc'!B$16:$AJ$998,14,FALSE)</f>
        <v>0.5</v>
      </c>
      <c r="N123" s="27">
        <f>VLOOKUP(Table2[[#This Row],[prolific]],'Correct calc'!B$16:$AJ1188,24,FALSE)</f>
        <v>0.75</v>
      </c>
      <c r="O123" s="27">
        <f>VLOOKUP(Table2[[#This Row],[prolific]],'Correct calc'!B$16:$AJ1188,34,FALSE)</f>
        <v>0.875</v>
      </c>
      <c r="P123" s="28">
        <f>VLOOKUP(Table2[[#This Row],[comprescore]],Table3[],2,FALSE)</f>
        <v>3</v>
      </c>
      <c r="Q123" s="16">
        <f>VLOOKUP(Table2[[#This Row],[prolific]],'Correct calc'!B$16:$AK$998,36,FALSE)</f>
        <v>16</v>
      </c>
      <c r="R123" s="16">
        <f>Table2[[#This Row],[interviewminutes]]</f>
        <v>13.964666666666666</v>
      </c>
      <c r="S123" s="16">
        <f>Table2[[#This Row],[classifyTime]]+Table2[[#This Row],[explainTime]]+Table2[[#This Row],[validateTime]]</f>
        <v>11.577500000000001</v>
      </c>
      <c r="T123" s="29">
        <f>VLOOKUP(Table2[[#This Row],[prolific]],'Correct calc'!B$16:$AJ$998,35,FALSE)</f>
        <v>0.72727272727272729</v>
      </c>
      <c r="U123" s="15">
        <f>SUM(Table2[[#This Row],[priorKnowledge'[CLUSTERING']]:[priorKnowledge'[ZSCORES']]])/Table2[[#This Row],[priorKnowledgeTechQuestionCount]]</f>
        <v>2.3333333333333335</v>
      </c>
      <c r="V123" s="16">
        <f>IF(Table2[[#This Row],[visualization]]="Wordcloud",2,3)</f>
        <v>3</v>
      </c>
      <c r="W123" s="31" t="s">
        <v>1137</v>
      </c>
      <c r="X123" s="31">
        <v>2</v>
      </c>
      <c r="Y123" s="31">
        <v>1</v>
      </c>
      <c r="Z123" s="31">
        <v>4</v>
      </c>
      <c r="AA123" s="31">
        <v>4</v>
      </c>
      <c r="AB123" s="31" t="s">
        <v>97</v>
      </c>
      <c r="AC123" s="31" t="s">
        <v>81</v>
      </c>
      <c r="AD123" s="31" t="s">
        <v>82</v>
      </c>
      <c r="AE123" s="31" t="s">
        <v>83</v>
      </c>
      <c r="AF123" s="31" t="s">
        <v>85</v>
      </c>
      <c r="AG123" s="31" t="s">
        <v>83</v>
      </c>
      <c r="AH123" s="31" t="s">
        <v>84</v>
      </c>
      <c r="AI123" s="31" t="s">
        <v>85</v>
      </c>
      <c r="AJ123" s="31" t="s">
        <v>104</v>
      </c>
      <c r="AK123" s="31" t="s">
        <v>88</v>
      </c>
      <c r="AL123" s="31" t="s">
        <v>87</v>
      </c>
      <c r="AM123" s="31" t="s">
        <v>105</v>
      </c>
      <c r="AN123" s="31" t="s">
        <v>90</v>
      </c>
      <c r="AO123" s="31" t="s">
        <v>83</v>
      </c>
      <c r="AP123" s="31" t="s">
        <v>85</v>
      </c>
      <c r="AQ123" s="31" t="s">
        <v>111</v>
      </c>
      <c r="AR123" s="31" t="s">
        <v>101</v>
      </c>
      <c r="AS123" s="31" t="s">
        <v>94</v>
      </c>
      <c r="AT123" s="31" t="s">
        <v>94</v>
      </c>
      <c r="AU123" s="31" t="s">
        <v>94</v>
      </c>
      <c r="AV123" s="31" t="s">
        <v>93</v>
      </c>
      <c r="AW123" s="31" t="s">
        <v>94</v>
      </c>
      <c r="AX123" s="31" t="s">
        <v>93</v>
      </c>
      <c r="AY123" s="31" t="s">
        <v>94</v>
      </c>
      <c r="AZ123" s="31" t="s">
        <v>93</v>
      </c>
      <c r="BA123" s="31" t="s">
        <v>107</v>
      </c>
      <c r="BB123" s="31" t="s">
        <v>954</v>
      </c>
      <c r="BC123" s="24"/>
      <c r="BD123" s="30">
        <f>Table2[[#This Row],[interviewtime]]/60</f>
        <v>13.964666666666666</v>
      </c>
      <c r="BE123" s="31">
        <v>837.88</v>
      </c>
      <c r="BF123" s="31">
        <v>14.21</v>
      </c>
      <c r="BG123" s="31"/>
      <c r="BH123" s="31">
        <v>102.26</v>
      </c>
      <c r="BI123" s="31"/>
      <c r="BJ123" s="31"/>
      <c r="BK123" s="31"/>
      <c r="BL123" s="31"/>
      <c r="BM123" s="31">
        <v>305.35000000000002</v>
      </c>
      <c r="BN123" s="31"/>
      <c r="BO123" s="31"/>
      <c r="BP123" s="31"/>
      <c r="BQ123" s="31"/>
      <c r="BR123" s="31"/>
      <c r="BS123" s="31"/>
      <c r="BT123" s="31">
        <v>203.71</v>
      </c>
      <c r="BU123" s="31"/>
      <c r="BV123" s="31"/>
      <c r="BW123" s="31"/>
      <c r="BX123" s="31"/>
      <c r="BY123" s="31"/>
      <c r="BZ123" s="31"/>
      <c r="CA123" s="31"/>
      <c r="CB123" s="31"/>
      <c r="CC123" s="31">
        <v>185.59</v>
      </c>
      <c r="CD123" s="31"/>
      <c r="CE123" s="31"/>
      <c r="CF123" s="31"/>
      <c r="CG123" s="31"/>
      <c r="CH123" s="31"/>
      <c r="CI123" s="31"/>
      <c r="CJ123" s="31"/>
      <c r="CK123" s="31"/>
      <c r="CL123" s="31">
        <v>26.76</v>
      </c>
      <c r="CM123" s="24"/>
      <c r="CN123" s="24"/>
      <c r="CO123" s="24"/>
      <c r="CP123" s="24"/>
      <c r="CQ123" s="43">
        <f>Table2[[#This Row],[groupTime22]]/60</f>
        <v>5.0891666666666673</v>
      </c>
      <c r="CR123" s="43">
        <f>Table2[[#This Row],[groupTime23]]/60</f>
        <v>3.3951666666666669</v>
      </c>
      <c r="CS123" s="43">
        <f>Table2[[#This Row],[groupTime24]]/60</f>
        <v>3.0931666666666668</v>
      </c>
    </row>
    <row r="124" spans="1:97" x14ac:dyDescent="0.25">
      <c r="A124" s="47" t="s">
        <v>821</v>
      </c>
      <c r="B124" s="11" t="s">
        <v>113</v>
      </c>
      <c r="C124" s="11">
        <v>86</v>
      </c>
      <c r="D124" s="11" t="s">
        <v>924</v>
      </c>
      <c r="E124" s="11">
        <v>6</v>
      </c>
      <c r="F124" s="11" t="s">
        <v>79</v>
      </c>
      <c r="G124" s="11">
        <v>1972227992</v>
      </c>
      <c r="H124" s="11" t="s">
        <v>925</v>
      </c>
      <c r="I124" s="11" t="s">
        <v>924</v>
      </c>
      <c r="J124" s="11" t="s">
        <v>589</v>
      </c>
      <c r="K124" s="37" t="str">
        <f>IF(Table2[[#This Row],[priorSuccessRatio]]&lt;1,"yes","no")</f>
        <v>no</v>
      </c>
      <c r="L124" s="27">
        <f>VLOOKUP(Table2[[#This Row],[prolific]],'Correct calc'!B$16:$AJ$998,6,FALSE)</f>
        <v>1</v>
      </c>
      <c r="M124" s="27">
        <f>VLOOKUP(Table2[[#This Row],[prolific]],'Correct calc'!B$16:$AJ$998,14,FALSE)</f>
        <v>1</v>
      </c>
      <c r="N124" s="27">
        <f>VLOOKUP(Table2[[#This Row],[prolific]],'Correct calc'!B$16:$AJ1189,24,FALSE)</f>
        <v>1</v>
      </c>
      <c r="O124" s="27">
        <f>VLOOKUP(Table2[[#This Row],[prolific]],'Correct calc'!B$16:$AJ1189,34,FALSE)</f>
        <v>0.875</v>
      </c>
      <c r="P124" s="28">
        <f>VLOOKUP(Table2[[#This Row],[comprescore]],Table3[],2,FALSE)</f>
        <v>3</v>
      </c>
      <c r="Q124" s="16">
        <f>VLOOKUP(Table2[[#This Row],[prolific]],'Correct calc'!B$16:$AK$998,36,FALSE)</f>
        <v>21</v>
      </c>
      <c r="R124" s="16">
        <f>Table2[[#This Row],[interviewminutes]]</f>
        <v>14.179666666666666</v>
      </c>
      <c r="S124" s="16">
        <f>Table2[[#This Row],[classifyTime]]+Table2[[#This Row],[explainTime]]+Table2[[#This Row],[validateTime]]</f>
        <v>11.993166666666665</v>
      </c>
      <c r="T124" s="29">
        <f>VLOOKUP(Table2[[#This Row],[prolific]],'Correct calc'!B$16:$AJ$998,35,FALSE)</f>
        <v>0.95454545454545459</v>
      </c>
      <c r="U124" s="15">
        <f>SUM(Table2[[#This Row],[priorKnowledge'[CLUSTERING']]:[priorKnowledge'[ZSCORES']]])/Table2[[#This Row],[priorKnowledgeTechQuestionCount]]</f>
        <v>1.6666666666666667</v>
      </c>
      <c r="V124" s="16">
        <f>IF(Table2[[#This Row],[visualization]]="Wordcloud",2,3)</f>
        <v>3</v>
      </c>
      <c r="W124" s="31" t="s">
        <v>1138</v>
      </c>
      <c r="X124" s="31">
        <v>2</v>
      </c>
      <c r="Y124" s="31">
        <v>2</v>
      </c>
      <c r="Z124" s="31">
        <v>1</v>
      </c>
      <c r="AA124" s="31">
        <v>6</v>
      </c>
      <c r="AB124" s="31" t="s">
        <v>97</v>
      </c>
      <c r="AC124" s="31" t="s">
        <v>81</v>
      </c>
      <c r="AD124" s="31" t="s">
        <v>82</v>
      </c>
      <c r="AE124" s="31" t="s">
        <v>83</v>
      </c>
      <c r="AF124" s="31" t="s">
        <v>85</v>
      </c>
      <c r="AG124" s="31" t="s">
        <v>86</v>
      </c>
      <c r="AH124" s="31" t="s">
        <v>84</v>
      </c>
      <c r="AI124" s="31" t="s">
        <v>104</v>
      </c>
      <c r="AJ124" s="31" t="s">
        <v>98</v>
      </c>
      <c r="AK124" s="31" t="s">
        <v>88</v>
      </c>
      <c r="AL124" s="31" t="s">
        <v>87</v>
      </c>
      <c r="AM124" s="31" t="s">
        <v>105</v>
      </c>
      <c r="AN124" s="31" t="s">
        <v>90</v>
      </c>
      <c r="AO124" s="31" t="s">
        <v>83</v>
      </c>
      <c r="AP124" s="31" t="s">
        <v>85</v>
      </c>
      <c r="AQ124" s="31" t="s">
        <v>91</v>
      </c>
      <c r="AR124" s="31" t="s">
        <v>102</v>
      </c>
      <c r="AS124" s="31" t="s">
        <v>94</v>
      </c>
      <c r="AT124" s="31" t="s">
        <v>93</v>
      </c>
      <c r="AU124" s="31" t="s">
        <v>94</v>
      </c>
      <c r="AV124" s="31" t="s">
        <v>93</v>
      </c>
      <c r="AW124" s="31" t="s">
        <v>93</v>
      </c>
      <c r="AX124" s="31" t="s">
        <v>93</v>
      </c>
      <c r="AY124" s="31" t="s">
        <v>94</v>
      </c>
      <c r="AZ124" s="31" t="s">
        <v>93</v>
      </c>
      <c r="BA124" s="31" t="s">
        <v>107</v>
      </c>
      <c r="BB124" s="31" t="s">
        <v>956</v>
      </c>
      <c r="BC124" s="24"/>
      <c r="BD124" s="30">
        <f>Table2[[#This Row],[interviewtime]]/60</f>
        <v>14.179666666666666</v>
      </c>
      <c r="BE124" s="31">
        <v>850.78</v>
      </c>
      <c r="BF124" s="31">
        <v>7.93</v>
      </c>
      <c r="BG124" s="31"/>
      <c r="BH124" s="31">
        <v>34.74</v>
      </c>
      <c r="BI124" s="31"/>
      <c r="BJ124" s="31"/>
      <c r="BK124" s="31"/>
      <c r="BL124" s="31"/>
      <c r="BM124" s="31">
        <v>378.69</v>
      </c>
      <c r="BN124" s="31"/>
      <c r="BO124" s="31"/>
      <c r="BP124" s="31"/>
      <c r="BQ124" s="31"/>
      <c r="BR124" s="31"/>
      <c r="BS124" s="31"/>
      <c r="BT124" s="31">
        <v>209.57</v>
      </c>
      <c r="BU124" s="31"/>
      <c r="BV124" s="31"/>
      <c r="BW124" s="31"/>
      <c r="BX124" s="31"/>
      <c r="BY124" s="31"/>
      <c r="BZ124" s="31"/>
      <c r="CA124" s="31"/>
      <c r="CB124" s="31"/>
      <c r="CC124" s="31">
        <v>131.33000000000001</v>
      </c>
      <c r="CD124" s="31"/>
      <c r="CE124" s="31"/>
      <c r="CF124" s="31"/>
      <c r="CG124" s="31"/>
      <c r="CH124" s="31"/>
      <c r="CI124" s="31"/>
      <c r="CJ124" s="31"/>
      <c r="CK124" s="31"/>
      <c r="CL124" s="31">
        <v>88.52</v>
      </c>
      <c r="CM124" s="24"/>
      <c r="CN124" s="24"/>
      <c r="CO124" s="24"/>
      <c r="CP124" s="24"/>
      <c r="CQ124" s="43">
        <f>Table2[[#This Row],[groupTime22]]/60</f>
        <v>6.3114999999999997</v>
      </c>
      <c r="CR124" s="43">
        <f>Table2[[#This Row],[groupTime23]]/60</f>
        <v>3.492833333333333</v>
      </c>
      <c r="CS124" s="43">
        <f>Table2[[#This Row],[groupTime24]]/60</f>
        <v>2.1888333333333336</v>
      </c>
    </row>
    <row r="125" spans="1:97" x14ac:dyDescent="0.25">
      <c r="A125" s="47" t="s">
        <v>821</v>
      </c>
      <c r="B125" s="11" t="s">
        <v>113</v>
      </c>
      <c r="C125" s="11">
        <v>87</v>
      </c>
      <c r="D125" s="11" t="s">
        <v>926</v>
      </c>
      <c r="E125" s="11">
        <v>6</v>
      </c>
      <c r="F125" s="11" t="s">
        <v>79</v>
      </c>
      <c r="G125" s="11">
        <v>151198515</v>
      </c>
      <c r="H125" s="11" t="s">
        <v>927</v>
      </c>
      <c r="I125" s="11" t="s">
        <v>926</v>
      </c>
      <c r="J125" s="11" t="s">
        <v>586</v>
      </c>
      <c r="K125" s="37" t="str">
        <f>IF(Table2[[#This Row],[priorSuccessRatio]]&lt;1,"yes","no")</f>
        <v>no</v>
      </c>
      <c r="L125" s="27">
        <f>VLOOKUP(Table2[[#This Row],[prolific]],'Correct calc'!B$16:$AJ$998,6,FALSE)</f>
        <v>1</v>
      </c>
      <c r="M125" s="27">
        <f>VLOOKUP(Table2[[#This Row],[prolific]],'Correct calc'!B$16:$AJ$998,14,FALSE)</f>
        <v>1</v>
      </c>
      <c r="N125" s="27">
        <f>VLOOKUP(Table2[[#This Row],[prolific]],'Correct calc'!B$16:$AJ1190,24,FALSE)</f>
        <v>0.625</v>
      </c>
      <c r="O125" s="27">
        <f>VLOOKUP(Table2[[#This Row],[prolific]],'Correct calc'!B$16:$AJ1190,34,FALSE)</f>
        <v>0.625</v>
      </c>
      <c r="P125" s="28">
        <f>VLOOKUP(Table2[[#This Row],[comprescore]],Table3[],2,FALSE)</f>
        <v>2</v>
      </c>
      <c r="Q125" s="16">
        <f>VLOOKUP(Table2[[#This Row],[prolific]],'Correct calc'!B$16:$AK$998,36,FALSE)</f>
        <v>16</v>
      </c>
      <c r="R125" s="16">
        <f>Table2[[#This Row],[interviewminutes]]</f>
        <v>14.915333333333333</v>
      </c>
      <c r="S125" s="16">
        <f>Table2[[#This Row],[classifyTime]]+Table2[[#This Row],[explainTime]]+Table2[[#This Row],[validateTime]]</f>
        <v>13.180666666666667</v>
      </c>
      <c r="T125" s="29">
        <f>VLOOKUP(Table2[[#This Row],[prolific]],'Correct calc'!B$16:$AJ$998,35,FALSE)</f>
        <v>0.72727272727272729</v>
      </c>
      <c r="U125" s="15">
        <f>SUM(Table2[[#This Row],[priorKnowledge'[CLUSTERING']]:[priorKnowledge'[ZSCORES']]])/Table2[[#This Row],[priorKnowledgeTechQuestionCount]]</f>
        <v>1.3333333333333333</v>
      </c>
      <c r="V125" s="16">
        <f>IF(Table2[[#This Row],[visualization]]="Wordcloud",2,3)</f>
        <v>3</v>
      </c>
      <c r="W125" s="31" t="s">
        <v>1139</v>
      </c>
      <c r="X125" s="31">
        <v>2</v>
      </c>
      <c r="Y125" s="31">
        <v>1</v>
      </c>
      <c r="Z125" s="31">
        <v>1</v>
      </c>
      <c r="AA125" s="31">
        <v>5</v>
      </c>
      <c r="AB125" s="31" t="s">
        <v>97</v>
      </c>
      <c r="AC125" s="31" t="s">
        <v>81</v>
      </c>
      <c r="AD125" s="31" t="s">
        <v>82</v>
      </c>
      <c r="AE125" s="31" t="s">
        <v>83</v>
      </c>
      <c r="AF125" s="31" t="s">
        <v>85</v>
      </c>
      <c r="AG125" s="31" t="s">
        <v>86</v>
      </c>
      <c r="AH125" s="31" t="s">
        <v>84</v>
      </c>
      <c r="AI125" s="31" t="s">
        <v>104</v>
      </c>
      <c r="AJ125" s="31" t="s">
        <v>98</v>
      </c>
      <c r="AK125" s="31" t="s">
        <v>88</v>
      </c>
      <c r="AL125" s="31" t="s">
        <v>87</v>
      </c>
      <c r="AM125" s="31" t="s">
        <v>285</v>
      </c>
      <c r="AN125" s="31" t="s">
        <v>90</v>
      </c>
      <c r="AO125" s="31" t="s">
        <v>83</v>
      </c>
      <c r="AP125" s="31" t="s">
        <v>86</v>
      </c>
      <c r="AQ125" s="31" t="s">
        <v>101</v>
      </c>
      <c r="AR125" s="31" t="s">
        <v>102</v>
      </c>
      <c r="AS125" s="31" t="s">
        <v>94</v>
      </c>
      <c r="AT125" s="31" t="s">
        <v>94</v>
      </c>
      <c r="AU125" s="31" t="s">
        <v>93</v>
      </c>
      <c r="AV125" s="31" t="s">
        <v>93</v>
      </c>
      <c r="AW125" s="31" t="s">
        <v>93</v>
      </c>
      <c r="AX125" s="31" t="s">
        <v>93</v>
      </c>
      <c r="AY125" s="31" t="s">
        <v>94</v>
      </c>
      <c r="AZ125" s="31" t="s">
        <v>93</v>
      </c>
      <c r="BA125" s="31" t="s">
        <v>106</v>
      </c>
      <c r="BB125" s="31" t="s">
        <v>958</v>
      </c>
      <c r="BC125" s="24"/>
      <c r="BD125" s="30">
        <f>Table2[[#This Row],[interviewtime]]/60</f>
        <v>14.915333333333333</v>
      </c>
      <c r="BE125" s="31">
        <v>894.92</v>
      </c>
      <c r="BF125" s="31">
        <v>5.92</v>
      </c>
      <c r="BG125" s="31"/>
      <c r="BH125" s="31">
        <v>40.19</v>
      </c>
      <c r="BI125" s="31"/>
      <c r="BJ125" s="31"/>
      <c r="BK125" s="31"/>
      <c r="BL125" s="31"/>
      <c r="BM125" s="31">
        <v>361.01</v>
      </c>
      <c r="BN125" s="31"/>
      <c r="BO125" s="31"/>
      <c r="BP125" s="31"/>
      <c r="BQ125" s="31"/>
      <c r="BR125" s="31"/>
      <c r="BS125" s="31"/>
      <c r="BT125" s="31">
        <v>303.55</v>
      </c>
      <c r="BU125" s="31"/>
      <c r="BV125" s="31"/>
      <c r="BW125" s="31"/>
      <c r="BX125" s="31"/>
      <c r="BY125" s="31"/>
      <c r="BZ125" s="31"/>
      <c r="CA125" s="31"/>
      <c r="CB125" s="31"/>
      <c r="CC125" s="31">
        <v>126.28</v>
      </c>
      <c r="CD125" s="31"/>
      <c r="CE125" s="31"/>
      <c r="CF125" s="31"/>
      <c r="CG125" s="31"/>
      <c r="CH125" s="31"/>
      <c r="CI125" s="31"/>
      <c r="CJ125" s="31"/>
      <c r="CK125" s="31"/>
      <c r="CL125" s="31">
        <v>57.97</v>
      </c>
      <c r="CM125" s="24"/>
      <c r="CN125" s="24"/>
      <c r="CO125" s="24"/>
      <c r="CP125" s="24"/>
      <c r="CQ125" s="43">
        <f>Table2[[#This Row],[groupTime22]]/60</f>
        <v>6.0168333333333335</v>
      </c>
      <c r="CR125" s="43">
        <f>Table2[[#This Row],[groupTime23]]/60</f>
        <v>5.059166666666667</v>
      </c>
      <c r="CS125" s="43">
        <f>Table2[[#This Row],[groupTime24]]/60</f>
        <v>2.1046666666666667</v>
      </c>
    </row>
    <row r="126" spans="1:97" x14ac:dyDescent="0.25">
      <c r="A126" s="47" t="s">
        <v>821</v>
      </c>
      <c r="B126" s="11" t="s">
        <v>113</v>
      </c>
      <c r="C126" s="11">
        <v>88</v>
      </c>
      <c r="D126" s="11" t="s">
        <v>928</v>
      </c>
      <c r="E126" s="11">
        <v>6</v>
      </c>
      <c r="F126" s="11" t="s">
        <v>79</v>
      </c>
      <c r="G126" s="11">
        <v>1199323383</v>
      </c>
      <c r="H126" s="11" t="s">
        <v>929</v>
      </c>
      <c r="I126" s="11" t="s">
        <v>928</v>
      </c>
      <c r="J126" s="11" t="s">
        <v>594</v>
      </c>
      <c r="K126" s="37" t="str">
        <f>IF(Table2[[#This Row],[priorSuccessRatio]]&lt;1,"yes","no")</f>
        <v>no</v>
      </c>
      <c r="L126" s="27">
        <f>VLOOKUP(Table2[[#This Row],[prolific]],'Correct calc'!B$16:$AJ$998,6,FALSE)</f>
        <v>1</v>
      </c>
      <c r="M126" s="27">
        <f>VLOOKUP(Table2[[#This Row],[prolific]],'Correct calc'!B$16:$AJ$998,14,FALSE)</f>
        <v>0.5</v>
      </c>
      <c r="N126" s="27">
        <f>VLOOKUP(Table2[[#This Row],[prolific]],'Correct calc'!B$16:$AJ1191,24,FALSE)</f>
        <v>0.125</v>
      </c>
      <c r="O126" s="27">
        <f>VLOOKUP(Table2[[#This Row],[prolific]],'Correct calc'!B$16:$AJ1191,34,FALSE)</f>
        <v>0.625</v>
      </c>
      <c r="P126" s="28">
        <f>VLOOKUP(Table2[[#This Row],[comprescore]],Table3[],2,FALSE)</f>
        <v>1</v>
      </c>
      <c r="Q126" s="16">
        <f>VLOOKUP(Table2[[#This Row],[prolific]],'Correct calc'!B$16:$AK$998,36,FALSE)</f>
        <v>9</v>
      </c>
      <c r="R126" s="16">
        <f>Table2[[#This Row],[interviewminutes]]</f>
        <v>2.9738333333333333</v>
      </c>
      <c r="S126" s="16">
        <f>Table2[[#This Row],[classifyTime]]+Table2[[#This Row],[explainTime]]+Table2[[#This Row],[validateTime]]</f>
        <v>2.4485000000000001</v>
      </c>
      <c r="T126" s="29">
        <f>VLOOKUP(Table2[[#This Row],[prolific]],'Correct calc'!B$16:$AJ$998,35,FALSE)</f>
        <v>0.40909090909090912</v>
      </c>
      <c r="U126" s="15">
        <f>SUM(Table2[[#This Row],[priorKnowledge'[CLUSTERING']]:[priorKnowledge'[ZSCORES']]])/Table2[[#This Row],[priorKnowledgeTechQuestionCount]]</f>
        <v>5.333333333333333</v>
      </c>
      <c r="V126" s="16">
        <f>IF(Table2[[#This Row],[visualization]]="Wordcloud",2,3)</f>
        <v>3</v>
      </c>
      <c r="W126" s="31" t="s">
        <v>1140</v>
      </c>
      <c r="X126" s="31">
        <v>3</v>
      </c>
      <c r="Y126" s="31">
        <v>8</v>
      </c>
      <c r="Z126" s="31">
        <v>5</v>
      </c>
      <c r="AA126" s="31">
        <v>6</v>
      </c>
      <c r="AB126" s="31" t="s">
        <v>97</v>
      </c>
      <c r="AC126" s="31" t="s">
        <v>81</v>
      </c>
      <c r="AD126" s="31" t="s">
        <v>82</v>
      </c>
      <c r="AE126" s="31" t="s">
        <v>83</v>
      </c>
      <c r="AF126" s="31" t="s">
        <v>104</v>
      </c>
      <c r="AG126" s="31" t="s">
        <v>98</v>
      </c>
      <c r="AH126" s="31" t="s">
        <v>85</v>
      </c>
      <c r="AI126" s="31" t="s">
        <v>104</v>
      </c>
      <c r="AJ126" s="31" t="s">
        <v>98</v>
      </c>
      <c r="AK126" s="31" t="s">
        <v>87</v>
      </c>
      <c r="AL126" s="31" t="s">
        <v>88</v>
      </c>
      <c r="AM126" s="31" t="s">
        <v>105</v>
      </c>
      <c r="AN126" s="31" t="s">
        <v>278</v>
      </c>
      <c r="AO126" s="31" t="s">
        <v>98</v>
      </c>
      <c r="AP126" s="31" t="s">
        <v>104</v>
      </c>
      <c r="AQ126" s="31" t="s">
        <v>92</v>
      </c>
      <c r="AR126" s="31" t="s">
        <v>91</v>
      </c>
      <c r="AS126" s="31" t="s">
        <v>94</v>
      </c>
      <c r="AT126" s="31" t="s">
        <v>94</v>
      </c>
      <c r="AU126" s="31" t="s">
        <v>93</v>
      </c>
      <c r="AV126" s="31" t="s">
        <v>94</v>
      </c>
      <c r="AW126" s="31" t="s">
        <v>94</v>
      </c>
      <c r="AX126" s="31" t="s">
        <v>93</v>
      </c>
      <c r="AY126" s="31" t="s">
        <v>94</v>
      </c>
      <c r="AZ126" s="31" t="s">
        <v>93</v>
      </c>
      <c r="BA126" s="31" t="s">
        <v>95</v>
      </c>
      <c r="BB126" s="31" t="s">
        <v>960</v>
      </c>
      <c r="BC126" s="24"/>
      <c r="BD126" s="30">
        <f>Table2[[#This Row],[interviewtime]]/60</f>
        <v>2.9738333333333333</v>
      </c>
      <c r="BE126" s="31">
        <v>178.43</v>
      </c>
      <c r="BF126" s="31">
        <v>5.86</v>
      </c>
      <c r="BG126" s="31"/>
      <c r="BH126" s="31">
        <v>15.51</v>
      </c>
      <c r="BI126" s="31"/>
      <c r="BJ126" s="31"/>
      <c r="BK126" s="31"/>
      <c r="BL126" s="31"/>
      <c r="BM126" s="31">
        <v>42.34</v>
      </c>
      <c r="BN126" s="31"/>
      <c r="BO126" s="31"/>
      <c r="BP126" s="31"/>
      <c r="BQ126" s="31"/>
      <c r="BR126" s="31"/>
      <c r="BS126" s="31"/>
      <c r="BT126" s="31">
        <v>50.05</v>
      </c>
      <c r="BU126" s="31"/>
      <c r="BV126" s="31"/>
      <c r="BW126" s="31"/>
      <c r="BX126" s="31"/>
      <c r="BY126" s="31"/>
      <c r="BZ126" s="31"/>
      <c r="CA126" s="31"/>
      <c r="CB126" s="31"/>
      <c r="CC126" s="31">
        <v>54.52</v>
      </c>
      <c r="CD126" s="31"/>
      <c r="CE126" s="31"/>
      <c r="CF126" s="31"/>
      <c r="CG126" s="31"/>
      <c r="CH126" s="31"/>
      <c r="CI126" s="31"/>
      <c r="CJ126" s="31"/>
      <c r="CK126" s="31"/>
      <c r="CL126" s="31">
        <v>10.15</v>
      </c>
      <c r="CM126" s="24"/>
      <c r="CN126" s="24"/>
      <c r="CO126" s="24"/>
      <c r="CP126" s="24"/>
      <c r="CQ126" s="43">
        <f>Table2[[#This Row],[groupTime22]]/60</f>
        <v>0.70566666666666678</v>
      </c>
      <c r="CR126" s="43">
        <f>Table2[[#This Row],[groupTime23]]/60</f>
        <v>0.83416666666666661</v>
      </c>
      <c r="CS126" s="43">
        <f>Table2[[#This Row],[groupTime24]]/60</f>
        <v>0.90866666666666673</v>
      </c>
    </row>
    <row r="127" spans="1:97" x14ac:dyDescent="0.25">
      <c r="A127" s="47" t="s">
        <v>821</v>
      </c>
      <c r="B127" s="11" t="s">
        <v>113</v>
      </c>
      <c r="C127" s="11">
        <v>89</v>
      </c>
      <c r="D127" s="11" t="s">
        <v>930</v>
      </c>
      <c r="E127" s="11">
        <v>6</v>
      </c>
      <c r="F127" s="11" t="s">
        <v>79</v>
      </c>
      <c r="G127" s="11">
        <v>180697425</v>
      </c>
      <c r="H127" s="11" t="s">
        <v>931</v>
      </c>
      <c r="I127" s="11" t="s">
        <v>930</v>
      </c>
      <c r="J127" s="11" t="s">
        <v>589</v>
      </c>
      <c r="K127" s="37" t="str">
        <f>IF(Table2[[#This Row],[priorSuccessRatio]]&lt;1,"yes","no")</f>
        <v>no</v>
      </c>
      <c r="L127" s="27">
        <f>VLOOKUP(Table2[[#This Row],[prolific]],'Correct calc'!B$16:$AJ$998,6,FALSE)</f>
        <v>1</v>
      </c>
      <c r="M127" s="27">
        <f>VLOOKUP(Table2[[#This Row],[prolific]],'Correct calc'!B$16:$AJ$998,14,FALSE)</f>
        <v>0.66666666666666663</v>
      </c>
      <c r="N127" s="27">
        <f>VLOOKUP(Table2[[#This Row],[prolific]],'Correct calc'!B$16:$AJ1192,24,FALSE)</f>
        <v>0.75</v>
      </c>
      <c r="O127" s="27">
        <f>VLOOKUP(Table2[[#This Row],[prolific]],'Correct calc'!B$16:$AJ1192,34,FALSE)</f>
        <v>0.625</v>
      </c>
      <c r="P127" s="28">
        <f>VLOOKUP(Table2[[#This Row],[comprescore]],Table3[],2,FALSE)</f>
        <v>3</v>
      </c>
      <c r="Q127" s="16">
        <f>VLOOKUP(Table2[[#This Row],[prolific]],'Correct calc'!B$16:$AK$998,36,FALSE)</f>
        <v>15</v>
      </c>
      <c r="R127" s="16">
        <f>Table2[[#This Row],[interviewminutes]]</f>
        <v>10.497666666666667</v>
      </c>
      <c r="S127" s="16">
        <f>Table2[[#This Row],[classifyTime]]+Table2[[#This Row],[explainTime]]+Table2[[#This Row],[validateTime]]</f>
        <v>8.9791666666666661</v>
      </c>
      <c r="T127" s="29">
        <f>VLOOKUP(Table2[[#This Row],[prolific]],'Correct calc'!B$16:$AJ$998,35,FALSE)</f>
        <v>0.68181818181818177</v>
      </c>
      <c r="U127" s="15">
        <f>SUM(Table2[[#This Row],[priorKnowledge'[CLUSTERING']]:[priorKnowledge'[ZSCORES']]])/Table2[[#This Row],[priorKnowledgeTechQuestionCount]]</f>
        <v>1</v>
      </c>
      <c r="V127" s="16">
        <f>IF(Table2[[#This Row],[visualization]]="Wordcloud",2,3)</f>
        <v>3</v>
      </c>
      <c r="W127" s="31" t="s">
        <v>1141</v>
      </c>
      <c r="X127" s="31">
        <v>1</v>
      </c>
      <c r="Y127" s="31">
        <v>1</v>
      </c>
      <c r="Z127" s="31">
        <v>1</v>
      </c>
      <c r="AA127" s="31">
        <v>1</v>
      </c>
      <c r="AB127" s="31" t="s">
        <v>97</v>
      </c>
      <c r="AC127" s="31" t="s">
        <v>81</v>
      </c>
      <c r="AD127" s="31" t="s">
        <v>82</v>
      </c>
      <c r="AE127" s="31" t="s">
        <v>83</v>
      </c>
      <c r="AF127" s="31" t="s">
        <v>86</v>
      </c>
      <c r="AG127" s="31" t="s">
        <v>86</v>
      </c>
      <c r="AH127" s="31" t="s">
        <v>84</v>
      </c>
      <c r="AI127" s="31" t="s">
        <v>85</v>
      </c>
      <c r="AJ127" s="31" t="s">
        <v>98</v>
      </c>
      <c r="AK127" s="31" t="s">
        <v>88</v>
      </c>
      <c r="AL127" s="31" t="s">
        <v>87</v>
      </c>
      <c r="AM127" s="31" t="s">
        <v>99</v>
      </c>
      <c r="AN127" s="31" t="s">
        <v>90</v>
      </c>
      <c r="AO127" s="31" t="s">
        <v>83</v>
      </c>
      <c r="AP127" s="31" t="s">
        <v>85</v>
      </c>
      <c r="AQ127" s="31" t="s">
        <v>101</v>
      </c>
      <c r="AR127" s="31" t="s">
        <v>102</v>
      </c>
      <c r="AS127" s="31" t="s">
        <v>94</v>
      </c>
      <c r="AT127" s="31" t="s">
        <v>94</v>
      </c>
      <c r="AU127" s="31" t="s">
        <v>94</v>
      </c>
      <c r="AV127" s="31" t="s">
        <v>93</v>
      </c>
      <c r="AW127" s="31" t="s">
        <v>93</v>
      </c>
      <c r="AX127" s="31" t="s">
        <v>94</v>
      </c>
      <c r="AY127" s="31" t="s">
        <v>94</v>
      </c>
      <c r="AZ127" s="31" t="s">
        <v>93</v>
      </c>
      <c r="BA127" s="31" t="s">
        <v>107</v>
      </c>
      <c r="BB127" s="31" t="s">
        <v>962</v>
      </c>
      <c r="BC127" s="24"/>
      <c r="BD127" s="30">
        <f>Table2[[#This Row],[interviewtime]]/60</f>
        <v>10.497666666666667</v>
      </c>
      <c r="BE127" s="31">
        <v>629.86</v>
      </c>
      <c r="BF127" s="31">
        <v>5.38</v>
      </c>
      <c r="BG127" s="31"/>
      <c r="BH127" s="31">
        <v>25.98</v>
      </c>
      <c r="BI127" s="31"/>
      <c r="BJ127" s="31"/>
      <c r="BK127" s="31"/>
      <c r="BL127" s="31"/>
      <c r="BM127" s="31">
        <v>244.75</v>
      </c>
      <c r="BN127" s="31"/>
      <c r="BO127" s="31"/>
      <c r="BP127" s="31"/>
      <c r="BQ127" s="31"/>
      <c r="BR127" s="31"/>
      <c r="BS127" s="31"/>
      <c r="BT127" s="31">
        <v>161.56</v>
      </c>
      <c r="BU127" s="31"/>
      <c r="BV127" s="31"/>
      <c r="BW127" s="31"/>
      <c r="BX127" s="31"/>
      <c r="BY127" s="31"/>
      <c r="BZ127" s="31"/>
      <c r="CA127" s="31"/>
      <c r="CB127" s="31"/>
      <c r="CC127" s="31">
        <v>132.44</v>
      </c>
      <c r="CD127" s="31"/>
      <c r="CE127" s="31"/>
      <c r="CF127" s="31"/>
      <c r="CG127" s="31"/>
      <c r="CH127" s="31"/>
      <c r="CI127" s="31"/>
      <c r="CJ127" s="31"/>
      <c r="CK127" s="31"/>
      <c r="CL127" s="31">
        <v>59.75</v>
      </c>
      <c r="CM127" s="24"/>
      <c r="CN127" s="24"/>
      <c r="CO127" s="24"/>
      <c r="CP127" s="24"/>
      <c r="CQ127" s="43">
        <f>Table2[[#This Row],[groupTime22]]/60</f>
        <v>4.0791666666666666</v>
      </c>
      <c r="CR127" s="43">
        <f>Table2[[#This Row],[groupTime23]]/60</f>
        <v>2.6926666666666668</v>
      </c>
      <c r="CS127" s="43">
        <f>Table2[[#This Row],[groupTime24]]/60</f>
        <v>2.2073333333333331</v>
      </c>
    </row>
    <row r="128" spans="1:97" x14ac:dyDescent="0.25">
      <c r="A128" s="47" t="s">
        <v>821</v>
      </c>
      <c r="B128" s="11" t="s">
        <v>113</v>
      </c>
      <c r="C128" s="11">
        <v>90</v>
      </c>
      <c r="D128" s="11" t="s">
        <v>932</v>
      </c>
      <c r="E128" s="11">
        <v>6</v>
      </c>
      <c r="F128" s="11" t="s">
        <v>79</v>
      </c>
      <c r="G128" s="11">
        <v>1328801885</v>
      </c>
      <c r="H128" s="11" t="s">
        <v>846</v>
      </c>
      <c r="I128" s="11" t="s">
        <v>932</v>
      </c>
      <c r="J128" s="11"/>
      <c r="K128" s="37" t="str">
        <f>IF(Table2[[#This Row],[priorSuccessRatio]]&lt;1,"yes","no")</f>
        <v>no</v>
      </c>
      <c r="L128" s="27">
        <f>VLOOKUP(Table2[[#This Row],[prolific]],'Correct calc'!B$16:$AJ$998,6,FALSE)</f>
        <v>1</v>
      </c>
      <c r="M128" s="27">
        <f>VLOOKUP(Table2[[#This Row],[prolific]],'Correct calc'!B$16:$AJ$998,14,FALSE)</f>
        <v>0.83333333333333337</v>
      </c>
      <c r="N128" s="27">
        <f>VLOOKUP(Table2[[#This Row],[prolific]],'Correct calc'!B$16:$AJ1193,24,FALSE)</f>
        <v>0.875</v>
      </c>
      <c r="O128" s="27">
        <f>VLOOKUP(Table2[[#This Row],[prolific]],'Correct calc'!B$16:$AJ1193,34,FALSE)</f>
        <v>0.625</v>
      </c>
      <c r="P128" s="28">
        <f>VLOOKUP(Table2[[#This Row],[comprescore]],Table3[],2,FALSE)</f>
        <v>3</v>
      </c>
      <c r="Q128" s="16">
        <f>VLOOKUP(Table2[[#This Row],[prolific]],'Correct calc'!B$16:$AK$998,36,FALSE)</f>
        <v>17</v>
      </c>
      <c r="R128" s="16">
        <f>Table2[[#This Row],[interviewminutes]]</f>
        <v>16.659500000000001</v>
      </c>
      <c r="S128" s="16">
        <f>Table2[[#This Row],[classifyTime]]+Table2[[#This Row],[explainTime]]+Table2[[#This Row],[validateTime]]</f>
        <v>15.331166666666668</v>
      </c>
      <c r="T128" s="29">
        <f>VLOOKUP(Table2[[#This Row],[prolific]],'Correct calc'!B$16:$AJ$998,35,FALSE)</f>
        <v>0.77272727272727271</v>
      </c>
      <c r="U128" s="15">
        <f>SUM(Table2[[#This Row],[priorKnowledge'[CLUSTERING']]:[priorKnowledge'[ZSCORES']]])/Table2[[#This Row],[priorKnowledgeTechQuestionCount]]</f>
        <v>5</v>
      </c>
      <c r="V128" s="16">
        <f>IF(Table2[[#This Row],[visualization]]="Wordcloud",2,3)</f>
        <v>3</v>
      </c>
      <c r="W128" s="31" t="s">
        <v>1142</v>
      </c>
      <c r="X128" s="31">
        <v>4</v>
      </c>
      <c r="Y128" s="31">
        <v>5</v>
      </c>
      <c r="Z128" s="31">
        <v>6</v>
      </c>
      <c r="AA128" s="31">
        <v>4</v>
      </c>
      <c r="AB128" s="31" t="s">
        <v>97</v>
      </c>
      <c r="AC128" s="31" t="s">
        <v>81</v>
      </c>
      <c r="AD128" s="31" t="s">
        <v>82</v>
      </c>
      <c r="AE128" s="31" t="s">
        <v>83</v>
      </c>
      <c r="AF128" s="31" t="s">
        <v>85</v>
      </c>
      <c r="AG128" s="31" t="s">
        <v>86</v>
      </c>
      <c r="AH128" s="31" t="s">
        <v>84</v>
      </c>
      <c r="AI128" s="31" t="s">
        <v>86</v>
      </c>
      <c r="AJ128" s="31" t="s">
        <v>98</v>
      </c>
      <c r="AK128" s="31" t="s">
        <v>88</v>
      </c>
      <c r="AL128" s="31" t="s">
        <v>87</v>
      </c>
      <c r="AM128" s="31" t="s">
        <v>105</v>
      </c>
      <c r="AN128" s="31" t="s">
        <v>90</v>
      </c>
      <c r="AO128" s="31" t="s">
        <v>83</v>
      </c>
      <c r="AP128" s="31" t="s">
        <v>85</v>
      </c>
      <c r="AQ128" s="31" t="s">
        <v>101</v>
      </c>
      <c r="AR128" s="31" t="s">
        <v>102</v>
      </c>
      <c r="AS128" s="31" t="s">
        <v>94</v>
      </c>
      <c r="AT128" s="31" t="s">
        <v>94</v>
      </c>
      <c r="AU128" s="31" t="s">
        <v>94</v>
      </c>
      <c r="AV128" s="31" t="s">
        <v>93</v>
      </c>
      <c r="AW128" s="31" t="s">
        <v>93</v>
      </c>
      <c r="AX128" s="31" t="s">
        <v>94</v>
      </c>
      <c r="AY128" s="31" t="s">
        <v>94</v>
      </c>
      <c r="AZ128" s="31" t="s">
        <v>93</v>
      </c>
      <c r="BA128" s="31" t="s">
        <v>107</v>
      </c>
      <c r="BB128" s="31" t="s">
        <v>964</v>
      </c>
      <c r="BC128" s="24"/>
      <c r="BD128" s="30">
        <f>Table2[[#This Row],[interviewtime]]/60</f>
        <v>16.659500000000001</v>
      </c>
      <c r="BE128" s="31">
        <v>999.57</v>
      </c>
      <c r="BF128" s="31">
        <v>9.01</v>
      </c>
      <c r="BG128" s="31"/>
      <c r="BH128" s="31">
        <v>27.57</v>
      </c>
      <c r="BI128" s="31"/>
      <c r="BJ128" s="31"/>
      <c r="BK128" s="31"/>
      <c r="BL128" s="31"/>
      <c r="BM128" s="31">
        <v>574.9</v>
      </c>
      <c r="BN128" s="31"/>
      <c r="BO128" s="31"/>
      <c r="BP128" s="31"/>
      <c r="BQ128" s="31"/>
      <c r="BR128" s="31"/>
      <c r="BS128" s="31"/>
      <c r="BT128" s="31">
        <v>180.89</v>
      </c>
      <c r="BU128" s="31"/>
      <c r="BV128" s="31"/>
      <c r="BW128" s="31"/>
      <c r="BX128" s="31"/>
      <c r="BY128" s="31"/>
      <c r="BZ128" s="31"/>
      <c r="CA128" s="31"/>
      <c r="CB128" s="31"/>
      <c r="CC128" s="31">
        <v>164.08</v>
      </c>
      <c r="CD128" s="31"/>
      <c r="CE128" s="31"/>
      <c r="CF128" s="31"/>
      <c r="CG128" s="31"/>
      <c r="CH128" s="31"/>
      <c r="CI128" s="31"/>
      <c r="CJ128" s="31"/>
      <c r="CK128" s="31"/>
      <c r="CL128" s="31">
        <v>43.12</v>
      </c>
      <c r="CM128" s="24"/>
      <c r="CN128" s="24"/>
      <c r="CO128" s="24"/>
      <c r="CP128" s="24"/>
      <c r="CQ128" s="43">
        <f>Table2[[#This Row],[groupTime22]]/60</f>
        <v>9.581666666666667</v>
      </c>
      <c r="CR128" s="43">
        <f>Table2[[#This Row],[groupTime23]]/60</f>
        <v>3.0148333333333333</v>
      </c>
      <c r="CS128" s="43">
        <f>Table2[[#This Row],[groupTime24]]/60</f>
        <v>2.734666666666667</v>
      </c>
    </row>
    <row r="129" spans="1:97" x14ac:dyDescent="0.25">
      <c r="A129" s="47" t="s">
        <v>821</v>
      </c>
      <c r="B129" s="11" t="s">
        <v>113</v>
      </c>
      <c r="C129" s="11">
        <v>91</v>
      </c>
      <c r="D129" s="11" t="s">
        <v>933</v>
      </c>
      <c r="E129" s="11">
        <v>6</v>
      </c>
      <c r="F129" s="11" t="s">
        <v>79</v>
      </c>
      <c r="G129" s="11">
        <v>2072092292</v>
      </c>
      <c r="H129" s="11" t="s">
        <v>934</v>
      </c>
      <c r="I129" s="11" t="s">
        <v>933</v>
      </c>
      <c r="J129" s="11" t="s">
        <v>589</v>
      </c>
      <c r="K129" s="37" t="str">
        <f>IF(Table2[[#This Row],[priorSuccessRatio]]&lt;1,"yes","no")</f>
        <v>no</v>
      </c>
      <c r="L129" s="27">
        <f>VLOOKUP(Table2[[#This Row],[prolific]],'Correct calc'!B$16:$AJ$998,6,FALSE)</f>
        <v>1</v>
      </c>
      <c r="M129" s="27">
        <f>VLOOKUP(Table2[[#This Row],[prolific]],'Correct calc'!B$16:$AJ$998,14,FALSE)</f>
        <v>0.5</v>
      </c>
      <c r="N129" s="27">
        <f>VLOOKUP(Table2[[#This Row],[prolific]],'Correct calc'!B$16:$AJ1194,24,FALSE)</f>
        <v>0.625</v>
      </c>
      <c r="O129" s="27">
        <f>VLOOKUP(Table2[[#This Row],[prolific]],'Correct calc'!B$16:$AJ1194,34,FALSE)</f>
        <v>0.75</v>
      </c>
      <c r="P129" s="28">
        <f>VLOOKUP(Table2[[#This Row],[comprescore]],Table3[],2,FALSE)</f>
        <v>3</v>
      </c>
      <c r="Q129" s="16">
        <f>VLOOKUP(Table2[[#This Row],[prolific]],'Correct calc'!B$16:$AK$998,36,FALSE)</f>
        <v>14</v>
      </c>
      <c r="R129" s="16">
        <f>Table2[[#This Row],[interviewminutes]]</f>
        <v>18.81433333333333</v>
      </c>
      <c r="S129" s="16">
        <f>Table2[[#This Row],[classifyTime]]+Table2[[#This Row],[explainTime]]+Table2[[#This Row],[validateTime]]</f>
        <v>12.313333333333333</v>
      </c>
      <c r="T129" s="29">
        <f>VLOOKUP(Table2[[#This Row],[prolific]],'Correct calc'!B$16:$AJ$998,35,FALSE)</f>
        <v>0.63636363636363635</v>
      </c>
      <c r="U129" s="15">
        <f>SUM(Table2[[#This Row],[priorKnowledge'[CLUSTERING']]:[priorKnowledge'[ZSCORES']]])/Table2[[#This Row],[priorKnowledgeTechQuestionCount]]</f>
        <v>5</v>
      </c>
      <c r="V129" s="16">
        <f>IF(Table2[[#This Row],[visualization]]="Wordcloud",2,3)</f>
        <v>3</v>
      </c>
      <c r="W129" s="31" t="s">
        <v>1143</v>
      </c>
      <c r="X129" s="31">
        <v>5</v>
      </c>
      <c r="Y129" s="31">
        <v>4</v>
      </c>
      <c r="Z129" s="31">
        <v>6</v>
      </c>
      <c r="AA129" s="31">
        <v>4</v>
      </c>
      <c r="AB129" s="31" t="s">
        <v>97</v>
      </c>
      <c r="AC129" s="31" t="s">
        <v>81</v>
      </c>
      <c r="AD129" s="31" t="s">
        <v>82</v>
      </c>
      <c r="AE129" s="31" t="s">
        <v>83</v>
      </c>
      <c r="AF129" s="31" t="s">
        <v>104</v>
      </c>
      <c r="AG129" s="31" t="s">
        <v>86</v>
      </c>
      <c r="AH129" s="31" t="s">
        <v>84</v>
      </c>
      <c r="AI129" s="31" t="s">
        <v>86</v>
      </c>
      <c r="AJ129" s="31" t="s">
        <v>86</v>
      </c>
      <c r="AK129" s="31" t="s">
        <v>88</v>
      </c>
      <c r="AL129" s="31" t="s">
        <v>87</v>
      </c>
      <c r="AM129" s="31" t="s">
        <v>99</v>
      </c>
      <c r="AN129" s="31" t="s">
        <v>90</v>
      </c>
      <c r="AO129" s="31" t="s">
        <v>83</v>
      </c>
      <c r="AP129" s="31" t="s">
        <v>85</v>
      </c>
      <c r="AQ129" s="31" t="s">
        <v>101</v>
      </c>
      <c r="AR129" s="31" t="s">
        <v>91</v>
      </c>
      <c r="AS129" s="31" t="s">
        <v>94</v>
      </c>
      <c r="AT129" s="31" t="s">
        <v>94</v>
      </c>
      <c r="AU129" s="31" t="s">
        <v>93</v>
      </c>
      <c r="AV129" s="31" t="s">
        <v>93</v>
      </c>
      <c r="AW129" s="31" t="s">
        <v>94</v>
      </c>
      <c r="AX129" s="31" t="s">
        <v>93</v>
      </c>
      <c r="AY129" s="31" t="s">
        <v>94</v>
      </c>
      <c r="AZ129" s="31" t="s">
        <v>93</v>
      </c>
      <c r="BA129" s="31" t="s">
        <v>107</v>
      </c>
      <c r="BB129" s="31" t="s">
        <v>966</v>
      </c>
      <c r="BC129" s="24"/>
      <c r="BD129" s="30">
        <f>Table2[[#This Row],[interviewtime]]/60</f>
        <v>18.81433333333333</v>
      </c>
      <c r="BE129" s="31">
        <v>1128.8599999999999</v>
      </c>
      <c r="BF129" s="31">
        <v>13.52</v>
      </c>
      <c r="BG129" s="31"/>
      <c r="BH129" s="31">
        <v>207.49</v>
      </c>
      <c r="BI129" s="31"/>
      <c r="BJ129" s="31"/>
      <c r="BK129" s="31"/>
      <c r="BL129" s="31"/>
      <c r="BM129" s="31">
        <v>381.14</v>
      </c>
      <c r="BN129" s="31"/>
      <c r="BO129" s="31"/>
      <c r="BP129" s="31"/>
      <c r="BQ129" s="31"/>
      <c r="BR129" s="31"/>
      <c r="BS129" s="31"/>
      <c r="BT129" s="31">
        <v>213.99</v>
      </c>
      <c r="BU129" s="31"/>
      <c r="BV129" s="31"/>
      <c r="BW129" s="31"/>
      <c r="BX129" s="31"/>
      <c r="BY129" s="31"/>
      <c r="BZ129" s="31"/>
      <c r="CA129" s="31"/>
      <c r="CB129" s="31"/>
      <c r="CC129" s="31">
        <v>143.66999999999999</v>
      </c>
      <c r="CD129" s="31"/>
      <c r="CE129" s="31"/>
      <c r="CF129" s="31"/>
      <c r="CG129" s="31"/>
      <c r="CH129" s="31"/>
      <c r="CI129" s="31"/>
      <c r="CJ129" s="31"/>
      <c r="CK129" s="31"/>
      <c r="CL129" s="31">
        <v>169.05</v>
      </c>
      <c r="CM129" s="24"/>
      <c r="CN129" s="24"/>
      <c r="CO129" s="24"/>
      <c r="CP129" s="24"/>
      <c r="CQ129" s="43">
        <f>Table2[[#This Row],[groupTime22]]/60</f>
        <v>6.3523333333333332</v>
      </c>
      <c r="CR129" s="43">
        <f>Table2[[#This Row],[groupTime23]]/60</f>
        <v>3.5665</v>
      </c>
      <c r="CS129" s="43">
        <f>Table2[[#This Row],[groupTime24]]/60</f>
        <v>2.3944999999999999</v>
      </c>
    </row>
    <row r="130" spans="1:97" x14ac:dyDescent="0.25">
      <c r="A130" s="47" t="s">
        <v>821</v>
      </c>
      <c r="B130" s="11" t="s">
        <v>113</v>
      </c>
      <c r="C130" s="11">
        <v>92</v>
      </c>
      <c r="D130" s="11" t="s">
        <v>935</v>
      </c>
      <c r="E130" s="11">
        <v>6</v>
      </c>
      <c r="F130" s="11" t="s">
        <v>79</v>
      </c>
      <c r="G130" s="11">
        <v>1224860188</v>
      </c>
      <c r="H130" s="11" t="s">
        <v>936</v>
      </c>
      <c r="I130" s="11" t="s">
        <v>935</v>
      </c>
      <c r="J130" s="11" t="s">
        <v>589</v>
      </c>
      <c r="K130" s="37" t="str">
        <f>IF(Table2[[#This Row],[priorSuccessRatio]]&lt;1,"yes","no")</f>
        <v>no</v>
      </c>
      <c r="L130" s="27">
        <f>VLOOKUP(Table2[[#This Row],[prolific]],'Correct calc'!B$16:$AJ$998,6,FALSE)</f>
        <v>1</v>
      </c>
      <c r="M130" s="27">
        <f>VLOOKUP(Table2[[#This Row],[prolific]],'Correct calc'!B$16:$AJ$998,14,FALSE)</f>
        <v>0.66666666666666663</v>
      </c>
      <c r="N130" s="27">
        <f>VLOOKUP(Table2[[#This Row],[prolific]],'Correct calc'!B$16:$AJ1195,24,FALSE)</f>
        <v>0.875</v>
      </c>
      <c r="O130" s="27">
        <f>VLOOKUP(Table2[[#This Row],[prolific]],'Correct calc'!B$16:$AJ1195,34,FALSE)</f>
        <v>0.75</v>
      </c>
      <c r="P130" s="28">
        <f>VLOOKUP(Table2[[#This Row],[comprescore]],Table3[],2,FALSE)</f>
        <v>3</v>
      </c>
      <c r="Q130" s="16">
        <f>VLOOKUP(Table2[[#This Row],[prolific]],'Correct calc'!B$16:$AK$998,36,FALSE)</f>
        <v>17</v>
      </c>
      <c r="R130" s="16">
        <f>Table2[[#This Row],[interviewminutes]]</f>
        <v>16.987000000000002</v>
      </c>
      <c r="S130" s="16">
        <f>Table2[[#This Row],[classifyTime]]+Table2[[#This Row],[explainTime]]+Table2[[#This Row],[validateTime]]</f>
        <v>15.526333333333334</v>
      </c>
      <c r="T130" s="29">
        <f>VLOOKUP(Table2[[#This Row],[prolific]],'Correct calc'!B$16:$AJ$998,35,FALSE)</f>
        <v>0.77272727272727271</v>
      </c>
      <c r="U130" s="15">
        <f>SUM(Table2[[#This Row],[priorKnowledge'[CLUSTERING']]:[priorKnowledge'[ZSCORES']]])/Table2[[#This Row],[priorKnowledgeTechQuestionCount]]</f>
        <v>4.333333333333333</v>
      </c>
      <c r="V130" s="16">
        <f>IF(Table2[[#This Row],[visualization]]="Wordcloud",2,3)</f>
        <v>3</v>
      </c>
      <c r="W130" s="31" t="s">
        <v>1144</v>
      </c>
      <c r="X130" s="31">
        <v>6</v>
      </c>
      <c r="Y130" s="31">
        <v>4</v>
      </c>
      <c r="Z130" s="31">
        <v>3</v>
      </c>
      <c r="AA130" s="31">
        <v>7</v>
      </c>
      <c r="AB130" s="31" t="s">
        <v>97</v>
      </c>
      <c r="AC130" s="31" t="s">
        <v>81</v>
      </c>
      <c r="AD130" s="31" t="s">
        <v>82</v>
      </c>
      <c r="AE130" s="31" t="s">
        <v>83</v>
      </c>
      <c r="AF130" s="31" t="s">
        <v>85</v>
      </c>
      <c r="AG130" s="31" t="s">
        <v>86</v>
      </c>
      <c r="AH130" s="31" t="s">
        <v>84</v>
      </c>
      <c r="AI130" s="31" t="s">
        <v>85</v>
      </c>
      <c r="AJ130" s="31" t="s">
        <v>104</v>
      </c>
      <c r="AK130" s="31" t="s">
        <v>88</v>
      </c>
      <c r="AL130" s="31" t="s">
        <v>87</v>
      </c>
      <c r="AM130" s="31" t="s">
        <v>105</v>
      </c>
      <c r="AN130" s="31" t="s">
        <v>90</v>
      </c>
      <c r="AO130" s="31" t="s">
        <v>83</v>
      </c>
      <c r="AP130" s="31" t="s">
        <v>85</v>
      </c>
      <c r="AQ130" s="31" t="s">
        <v>101</v>
      </c>
      <c r="AR130" s="31" t="s">
        <v>102</v>
      </c>
      <c r="AS130" s="31" t="s">
        <v>94</v>
      </c>
      <c r="AT130" s="31" t="s">
        <v>94</v>
      </c>
      <c r="AU130" s="31" t="s">
        <v>94</v>
      </c>
      <c r="AV130" s="31" t="s">
        <v>93</v>
      </c>
      <c r="AW130" s="31" t="s">
        <v>93</v>
      </c>
      <c r="AX130" s="31" t="s">
        <v>93</v>
      </c>
      <c r="AY130" s="31" t="s">
        <v>94</v>
      </c>
      <c r="AZ130" s="31" t="s">
        <v>93</v>
      </c>
      <c r="BA130" s="31" t="s">
        <v>107</v>
      </c>
      <c r="BB130" s="31" t="s">
        <v>968</v>
      </c>
      <c r="BC130" s="24"/>
      <c r="BD130" s="30">
        <f>Table2[[#This Row],[interviewtime]]/60</f>
        <v>16.987000000000002</v>
      </c>
      <c r="BE130" s="31">
        <v>1019.22</v>
      </c>
      <c r="BF130" s="31">
        <v>8.07</v>
      </c>
      <c r="BG130" s="31"/>
      <c r="BH130" s="31">
        <v>46.95</v>
      </c>
      <c r="BI130" s="31"/>
      <c r="BJ130" s="31"/>
      <c r="BK130" s="31"/>
      <c r="BL130" s="31"/>
      <c r="BM130" s="31">
        <v>590.58000000000004</v>
      </c>
      <c r="BN130" s="31"/>
      <c r="BO130" s="31"/>
      <c r="BP130" s="31"/>
      <c r="BQ130" s="31"/>
      <c r="BR130" s="31"/>
      <c r="BS130" s="31"/>
      <c r="BT130" s="31">
        <v>224.4</v>
      </c>
      <c r="BU130" s="31"/>
      <c r="BV130" s="31"/>
      <c r="BW130" s="31"/>
      <c r="BX130" s="31"/>
      <c r="BY130" s="31"/>
      <c r="BZ130" s="31"/>
      <c r="CA130" s="31"/>
      <c r="CB130" s="31"/>
      <c r="CC130" s="31">
        <v>116.6</v>
      </c>
      <c r="CD130" s="31"/>
      <c r="CE130" s="31"/>
      <c r="CF130" s="31"/>
      <c r="CG130" s="31"/>
      <c r="CH130" s="31"/>
      <c r="CI130" s="31"/>
      <c r="CJ130" s="31"/>
      <c r="CK130" s="31"/>
      <c r="CL130" s="31">
        <v>32.619999999999997</v>
      </c>
      <c r="CM130" s="24"/>
      <c r="CN130" s="24"/>
      <c r="CO130" s="24"/>
      <c r="CP130" s="24"/>
      <c r="CQ130" s="43">
        <f>Table2[[#This Row],[groupTime22]]/60</f>
        <v>9.843</v>
      </c>
      <c r="CR130" s="43">
        <f>Table2[[#This Row],[groupTime23]]/60</f>
        <v>3.74</v>
      </c>
      <c r="CS130" s="43">
        <f>Table2[[#This Row],[groupTime24]]/60</f>
        <v>1.9433333333333331</v>
      </c>
    </row>
    <row r="131" spans="1:97" x14ac:dyDescent="0.25">
      <c r="A131" s="47" t="s">
        <v>821</v>
      </c>
      <c r="B131" s="11" t="s">
        <v>113</v>
      </c>
      <c r="C131" s="11">
        <v>93</v>
      </c>
      <c r="D131" s="11" t="s">
        <v>937</v>
      </c>
      <c r="E131" s="11">
        <v>6</v>
      </c>
      <c r="F131" s="11" t="s">
        <v>79</v>
      </c>
      <c r="G131" s="11">
        <v>1758365413</v>
      </c>
      <c r="H131" s="11" t="s">
        <v>938</v>
      </c>
      <c r="I131" s="11" t="s">
        <v>937</v>
      </c>
      <c r="J131" s="11" t="s">
        <v>589</v>
      </c>
      <c r="K131" s="37" t="str">
        <f>IF(Table2[[#This Row],[priorSuccessRatio]]&lt;1,"yes","no")</f>
        <v>no</v>
      </c>
      <c r="L131" s="27">
        <f>VLOOKUP(Table2[[#This Row],[prolific]],'Correct calc'!B$16:$AJ$998,6,FALSE)</f>
        <v>1</v>
      </c>
      <c r="M131" s="27">
        <f>VLOOKUP(Table2[[#This Row],[prolific]],'Correct calc'!B$16:$AJ$998,14,FALSE)</f>
        <v>1</v>
      </c>
      <c r="N131" s="27">
        <f>VLOOKUP(Table2[[#This Row],[prolific]],'Correct calc'!B$16:$AJ1196,24,FALSE)</f>
        <v>1</v>
      </c>
      <c r="O131" s="27">
        <f>VLOOKUP(Table2[[#This Row],[prolific]],'Correct calc'!B$16:$AJ1196,34,FALSE)</f>
        <v>0.625</v>
      </c>
      <c r="P131" s="28">
        <f>VLOOKUP(Table2[[#This Row],[comprescore]],Table3[],2,FALSE)</f>
        <v>1</v>
      </c>
      <c r="Q131" s="16">
        <f>VLOOKUP(Table2[[#This Row],[prolific]],'Correct calc'!B$16:$AK$998,36,FALSE)</f>
        <v>19</v>
      </c>
      <c r="R131" s="16">
        <f>Table2[[#This Row],[interviewminutes]]</f>
        <v>26.580333333333332</v>
      </c>
      <c r="S131" s="16">
        <f>Table2[[#This Row],[classifyTime]]+Table2[[#This Row],[explainTime]]+Table2[[#This Row],[validateTime]]</f>
        <v>24.511833333333332</v>
      </c>
      <c r="T131" s="29">
        <f>VLOOKUP(Table2[[#This Row],[prolific]],'Correct calc'!B$16:$AJ$998,35,FALSE)</f>
        <v>0.86363636363636365</v>
      </c>
      <c r="U131" s="15">
        <f>SUM(Table2[[#This Row],[priorKnowledge'[CLUSTERING']]:[priorKnowledge'[ZSCORES']]])/Table2[[#This Row],[priorKnowledgeTechQuestionCount]]</f>
        <v>1</v>
      </c>
      <c r="V131" s="16">
        <f>IF(Table2[[#This Row],[visualization]]="Wordcloud",2,3)</f>
        <v>3</v>
      </c>
      <c r="W131" s="31" t="s">
        <v>1145</v>
      </c>
      <c r="X131" s="31">
        <v>1</v>
      </c>
      <c r="Y131" s="31">
        <v>1</v>
      </c>
      <c r="Z131" s="31">
        <v>1</v>
      </c>
      <c r="AA131" s="31">
        <v>3</v>
      </c>
      <c r="AB131" s="31" t="s">
        <v>97</v>
      </c>
      <c r="AC131" s="31" t="s">
        <v>81</v>
      </c>
      <c r="AD131" s="31" t="s">
        <v>82</v>
      </c>
      <c r="AE131" s="31" t="s">
        <v>83</v>
      </c>
      <c r="AF131" s="31" t="s">
        <v>85</v>
      </c>
      <c r="AG131" s="31" t="s">
        <v>86</v>
      </c>
      <c r="AH131" s="31" t="s">
        <v>84</v>
      </c>
      <c r="AI131" s="31" t="s">
        <v>104</v>
      </c>
      <c r="AJ131" s="31" t="s">
        <v>98</v>
      </c>
      <c r="AK131" s="31" t="s">
        <v>88</v>
      </c>
      <c r="AL131" s="31" t="s">
        <v>87</v>
      </c>
      <c r="AM131" s="31" t="s">
        <v>105</v>
      </c>
      <c r="AN131" s="31" t="s">
        <v>90</v>
      </c>
      <c r="AO131" s="31" t="s">
        <v>83</v>
      </c>
      <c r="AP131" s="31" t="s">
        <v>85</v>
      </c>
      <c r="AQ131" s="31" t="s">
        <v>91</v>
      </c>
      <c r="AR131" s="31" t="s">
        <v>102</v>
      </c>
      <c r="AS131" s="31" t="s">
        <v>94</v>
      </c>
      <c r="AT131" s="31" t="s">
        <v>94</v>
      </c>
      <c r="AU131" s="31" t="s">
        <v>93</v>
      </c>
      <c r="AV131" s="31" t="s">
        <v>93</v>
      </c>
      <c r="AW131" s="31" t="s">
        <v>93</v>
      </c>
      <c r="AX131" s="31" t="s">
        <v>93</v>
      </c>
      <c r="AY131" s="31" t="s">
        <v>94</v>
      </c>
      <c r="AZ131" s="31" t="s">
        <v>93</v>
      </c>
      <c r="BA131" s="31" t="s">
        <v>95</v>
      </c>
      <c r="BB131" s="31" t="s">
        <v>970</v>
      </c>
      <c r="BC131" s="24"/>
      <c r="BD131" s="30">
        <f>Table2[[#This Row],[interviewtime]]/60</f>
        <v>26.580333333333332</v>
      </c>
      <c r="BE131" s="31">
        <v>1594.82</v>
      </c>
      <c r="BF131" s="31">
        <v>17.260000000000002</v>
      </c>
      <c r="BG131" s="31"/>
      <c r="BH131" s="31">
        <v>46.75</v>
      </c>
      <c r="BI131" s="31"/>
      <c r="BJ131" s="31"/>
      <c r="BK131" s="31"/>
      <c r="BL131" s="31"/>
      <c r="BM131" s="31">
        <v>850.14</v>
      </c>
      <c r="BN131" s="31"/>
      <c r="BO131" s="31"/>
      <c r="BP131" s="31"/>
      <c r="BQ131" s="31"/>
      <c r="BR131" s="31"/>
      <c r="BS131" s="31"/>
      <c r="BT131" s="31">
        <v>425.14</v>
      </c>
      <c r="BU131" s="31"/>
      <c r="BV131" s="31"/>
      <c r="BW131" s="31"/>
      <c r="BX131" s="31"/>
      <c r="BY131" s="31"/>
      <c r="BZ131" s="31"/>
      <c r="CA131" s="31"/>
      <c r="CB131" s="31"/>
      <c r="CC131" s="31">
        <v>195.43</v>
      </c>
      <c r="CD131" s="31"/>
      <c r="CE131" s="31"/>
      <c r="CF131" s="31"/>
      <c r="CG131" s="31"/>
      <c r="CH131" s="31"/>
      <c r="CI131" s="31"/>
      <c r="CJ131" s="31"/>
      <c r="CK131" s="31"/>
      <c r="CL131" s="31">
        <v>60.1</v>
      </c>
      <c r="CM131" s="24"/>
      <c r="CN131" s="24"/>
      <c r="CO131" s="24"/>
      <c r="CP131" s="24"/>
      <c r="CQ131" s="43">
        <f>Table2[[#This Row],[groupTime22]]/60</f>
        <v>14.169</v>
      </c>
      <c r="CR131" s="43">
        <f>Table2[[#This Row],[groupTime23]]/60</f>
        <v>7.0856666666666666</v>
      </c>
      <c r="CS131" s="43">
        <f>Table2[[#This Row],[groupTime24]]/60</f>
        <v>3.257166666666667</v>
      </c>
    </row>
    <row r="132" spans="1:97" x14ac:dyDescent="0.25">
      <c r="A132" s="47" t="s">
        <v>821</v>
      </c>
      <c r="B132" s="11" t="s">
        <v>113</v>
      </c>
      <c r="C132" s="11">
        <v>94</v>
      </c>
      <c r="D132" s="11" t="s">
        <v>939</v>
      </c>
      <c r="E132" s="11">
        <v>6</v>
      </c>
      <c r="F132" s="11" t="s">
        <v>79</v>
      </c>
      <c r="G132" s="11">
        <v>901619953</v>
      </c>
      <c r="H132" s="11" t="s">
        <v>940</v>
      </c>
      <c r="I132" s="11" t="s">
        <v>939</v>
      </c>
      <c r="J132" s="11" t="s">
        <v>589</v>
      </c>
      <c r="K132" s="37" t="str">
        <f>IF(Table2[[#This Row],[priorSuccessRatio]]&lt;1,"yes","no")</f>
        <v>no</v>
      </c>
      <c r="L132" s="27">
        <f>VLOOKUP(Table2[[#This Row],[prolific]],'Correct calc'!B$16:$AJ$998,6,FALSE)</f>
        <v>1</v>
      </c>
      <c r="M132" s="27">
        <f>VLOOKUP(Table2[[#This Row],[prolific]],'Correct calc'!B$16:$AJ$998,14,FALSE)</f>
        <v>0.66666666666666663</v>
      </c>
      <c r="N132" s="27">
        <f>VLOOKUP(Table2[[#This Row],[prolific]],'Correct calc'!B$16:$AJ1197,24,FALSE)</f>
        <v>1</v>
      </c>
      <c r="O132" s="27">
        <f>VLOOKUP(Table2[[#This Row],[prolific]],'Correct calc'!B$16:$AJ1197,34,FALSE)</f>
        <v>0.75</v>
      </c>
      <c r="P132" s="28">
        <f>VLOOKUP(Table2[[#This Row],[comprescore]],Table3[],2,FALSE)</f>
        <v>3</v>
      </c>
      <c r="Q132" s="16">
        <f>VLOOKUP(Table2[[#This Row],[prolific]],'Correct calc'!B$16:$AK$998,36,FALSE)</f>
        <v>18</v>
      </c>
      <c r="R132" s="16">
        <f>Table2[[#This Row],[interviewminutes]]</f>
        <v>7.9169999999999998</v>
      </c>
      <c r="S132" s="16">
        <f>Table2[[#This Row],[classifyTime]]+Table2[[#This Row],[explainTime]]+Table2[[#This Row],[validateTime]]</f>
        <v>6.4301666666666666</v>
      </c>
      <c r="T132" s="29">
        <f>VLOOKUP(Table2[[#This Row],[prolific]],'Correct calc'!B$16:$AJ$998,35,FALSE)</f>
        <v>0.81818181818181823</v>
      </c>
      <c r="U132" s="15">
        <f>SUM(Table2[[#This Row],[priorKnowledge'[CLUSTERING']]:[priorKnowledge'[ZSCORES']]])/Table2[[#This Row],[priorKnowledgeTechQuestionCount]]</f>
        <v>1</v>
      </c>
      <c r="V132" s="16">
        <f>IF(Table2[[#This Row],[visualization]]="Wordcloud",2,3)</f>
        <v>3</v>
      </c>
      <c r="W132" s="31" t="s">
        <v>1146</v>
      </c>
      <c r="X132" s="31">
        <v>1</v>
      </c>
      <c r="Y132" s="31">
        <v>1</v>
      </c>
      <c r="Z132" s="31">
        <v>1</v>
      </c>
      <c r="AA132" s="31">
        <v>6</v>
      </c>
      <c r="AB132" s="31" t="s">
        <v>97</v>
      </c>
      <c r="AC132" s="31" t="s">
        <v>81</v>
      </c>
      <c r="AD132" s="31" t="s">
        <v>82</v>
      </c>
      <c r="AE132" s="31" t="s">
        <v>83</v>
      </c>
      <c r="AF132" s="31" t="s">
        <v>85</v>
      </c>
      <c r="AG132" s="31" t="s">
        <v>98</v>
      </c>
      <c r="AH132" s="31" t="s">
        <v>84</v>
      </c>
      <c r="AI132" s="31" t="s">
        <v>86</v>
      </c>
      <c r="AJ132" s="31" t="s">
        <v>98</v>
      </c>
      <c r="AK132" s="31" t="s">
        <v>88</v>
      </c>
      <c r="AL132" s="31" t="s">
        <v>87</v>
      </c>
      <c r="AM132" s="31" t="s">
        <v>105</v>
      </c>
      <c r="AN132" s="31" t="s">
        <v>90</v>
      </c>
      <c r="AO132" s="31" t="s">
        <v>83</v>
      </c>
      <c r="AP132" s="31" t="s">
        <v>85</v>
      </c>
      <c r="AQ132" s="31" t="s">
        <v>91</v>
      </c>
      <c r="AR132" s="31" t="s">
        <v>102</v>
      </c>
      <c r="AS132" s="31" t="s">
        <v>94</v>
      </c>
      <c r="AT132" s="31" t="s">
        <v>94</v>
      </c>
      <c r="AU132" s="31" t="s">
        <v>94</v>
      </c>
      <c r="AV132" s="31" t="s">
        <v>93</v>
      </c>
      <c r="AW132" s="31" t="s">
        <v>93</v>
      </c>
      <c r="AX132" s="31" t="s">
        <v>93</v>
      </c>
      <c r="AY132" s="31" t="s">
        <v>94</v>
      </c>
      <c r="AZ132" s="31" t="s">
        <v>93</v>
      </c>
      <c r="BA132" s="31" t="s">
        <v>107</v>
      </c>
      <c r="BB132" s="31" t="s">
        <v>972</v>
      </c>
      <c r="BC132" s="24"/>
      <c r="BD132" s="30">
        <f>Table2[[#This Row],[interviewtime]]/60</f>
        <v>7.9169999999999998</v>
      </c>
      <c r="BE132" s="31">
        <v>475.02</v>
      </c>
      <c r="BF132" s="31">
        <v>5.33</v>
      </c>
      <c r="BG132" s="31"/>
      <c r="BH132" s="31">
        <v>19.77</v>
      </c>
      <c r="BI132" s="31"/>
      <c r="BJ132" s="31"/>
      <c r="BK132" s="31"/>
      <c r="BL132" s="31"/>
      <c r="BM132" s="31">
        <v>182.44</v>
      </c>
      <c r="BN132" s="31"/>
      <c r="BO132" s="31"/>
      <c r="BP132" s="31"/>
      <c r="BQ132" s="31"/>
      <c r="BR132" s="31"/>
      <c r="BS132" s="31"/>
      <c r="BT132" s="31">
        <v>117.81</v>
      </c>
      <c r="BU132" s="31"/>
      <c r="BV132" s="31"/>
      <c r="BW132" s="31"/>
      <c r="BX132" s="31"/>
      <c r="BY132" s="31"/>
      <c r="BZ132" s="31"/>
      <c r="CA132" s="31"/>
      <c r="CB132" s="31"/>
      <c r="CC132" s="31">
        <v>85.56</v>
      </c>
      <c r="CD132" s="31"/>
      <c r="CE132" s="31"/>
      <c r="CF132" s="31"/>
      <c r="CG132" s="31"/>
      <c r="CH132" s="31"/>
      <c r="CI132" s="31"/>
      <c r="CJ132" s="31"/>
      <c r="CK132" s="31"/>
      <c r="CL132" s="31">
        <v>64.11</v>
      </c>
      <c r="CM132" s="24"/>
      <c r="CN132" s="24"/>
      <c r="CO132" s="24"/>
      <c r="CP132" s="24"/>
      <c r="CQ132" s="43">
        <f>Table2[[#This Row],[groupTime22]]/60</f>
        <v>3.0406666666666666</v>
      </c>
      <c r="CR132" s="43">
        <f>Table2[[#This Row],[groupTime23]]/60</f>
        <v>1.9635</v>
      </c>
      <c r="CS132" s="43">
        <f>Table2[[#This Row],[groupTime24]]/60</f>
        <v>1.4259999999999999</v>
      </c>
    </row>
    <row r="133" spans="1:97" x14ac:dyDescent="0.25">
      <c r="A133" s="47" t="s">
        <v>821</v>
      </c>
      <c r="B133" s="11" t="s">
        <v>113</v>
      </c>
      <c r="C133" s="11">
        <v>95</v>
      </c>
      <c r="D133" s="11" t="s">
        <v>941</v>
      </c>
      <c r="E133" s="11">
        <v>6</v>
      </c>
      <c r="F133" s="11" t="s">
        <v>79</v>
      </c>
      <c r="G133" s="11">
        <v>1156095846</v>
      </c>
      <c r="H133" s="11" t="s">
        <v>942</v>
      </c>
      <c r="I133" s="11" t="s">
        <v>941</v>
      </c>
      <c r="J133" s="11" t="s">
        <v>589</v>
      </c>
      <c r="K133" s="37" t="str">
        <f>IF(Table2[[#This Row],[priorSuccessRatio]]&lt;1,"yes","no")</f>
        <v>no</v>
      </c>
      <c r="L133" s="27">
        <f>VLOOKUP(Table2[[#This Row],[prolific]],'Correct calc'!B$16:$AJ$998,6,FALSE)</f>
        <v>1</v>
      </c>
      <c r="M133" s="27">
        <f>VLOOKUP(Table2[[#This Row],[prolific]],'Correct calc'!B$16:$AJ$998,14,FALSE)</f>
        <v>1</v>
      </c>
      <c r="N133" s="27">
        <f>VLOOKUP(Table2[[#This Row],[prolific]],'Correct calc'!B$16:$AJ1198,24,FALSE)</f>
        <v>0.875</v>
      </c>
      <c r="O133" s="27">
        <f>VLOOKUP(Table2[[#This Row],[prolific]],'Correct calc'!B$16:$AJ1198,34,FALSE)</f>
        <v>0.75</v>
      </c>
      <c r="P133" s="28">
        <f>VLOOKUP(Table2[[#This Row],[comprescore]],Table3[],2,FALSE)</f>
        <v>4</v>
      </c>
      <c r="Q133" s="16">
        <f>VLOOKUP(Table2[[#This Row],[prolific]],'Correct calc'!B$16:$AK$998,36,FALSE)</f>
        <v>19</v>
      </c>
      <c r="R133" s="16">
        <f>Table2[[#This Row],[interviewminutes]]</f>
        <v>20.257333333333335</v>
      </c>
      <c r="S133" s="16">
        <f>Table2[[#This Row],[classifyTime]]+Table2[[#This Row],[explainTime]]+Table2[[#This Row],[validateTime]]</f>
        <v>17.606499999999997</v>
      </c>
      <c r="T133" s="29">
        <f>VLOOKUP(Table2[[#This Row],[prolific]],'Correct calc'!B$16:$AJ$998,35,FALSE)</f>
        <v>0.86363636363636365</v>
      </c>
      <c r="U133" s="15">
        <f>SUM(Table2[[#This Row],[priorKnowledge'[CLUSTERING']]:[priorKnowledge'[ZSCORES']]])/Table2[[#This Row],[priorKnowledgeTechQuestionCount]]</f>
        <v>5</v>
      </c>
      <c r="V133" s="16">
        <f>IF(Table2[[#This Row],[visualization]]="Wordcloud",2,3)</f>
        <v>3</v>
      </c>
      <c r="W133" s="31" t="s">
        <v>1147</v>
      </c>
      <c r="X133" s="31">
        <v>6</v>
      </c>
      <c r="Y133" s="31">
        <v>5</v>
      </c>
      <c r="Z133" s="31">
        <v>4</v>
      </c>
      <c r="AA133" s="31">
        <v>5</v>
      </c>
      <c r="AB133" s="31" t="s">
        <v>97</v>
      </c>
      <c r="AC133" s="31" t="s">
        <v>81</v>
      </c>
      <c r="AD133" s="31" t="s">
        <v>82</v>
      </c>
      <c r="AE133" s="31" t="s">
        <v>83</v>
      </c>
      <c r="AF133" s="31" t="s">
        <v>85</v>
      </c>
      <c r="AG133" s="31" t="s">
        <v>86</v>
      </c>
      <c r="AH133" s="31" t="s">
        <v>84</v>
      </c>
      <c r="AI133" s="31" t="s">
        <v>104</v>
      </c>
      <c r="AJ133" s="31" t="s">
        <v>98</v>
      </c>
      <c r="AK133" s="31" t="s">
        <v>88</v>
      </c>
      <c r="AL133" s="31" t="s">
        <v>87</v>
      </c>
      <c r="AM133" s="31" t="s">
        <v>105</v>
      </c>
      <c r="AN133" s="31" t="s">
        <v>90</v>
      </c>
      <c r="AO133" s="31" t="s">
        <v>83</v>
      </c>
      <c r="AP133" s="31" t="s">
        <v>85</v>
      </c>
      <c r="AQ133" s="31" t="s">
        <v>101</v>
      </c>
      <c r="AR133" s="31" t="s">
        <v>102</v>
      </c>
      <c r="AS133" s="31" t="s">
        <v>94</v>
      </c>
      <c r="AT133" s="31" t="s">
        <v>93</v>
      </c>
      <c r="AU133" s="31" t="s">
        <v>93</v>
      </c>
      <c r="AV133" s="31" t="s">
        <v>93</v>
      </c>
      <c r="AW133" s="31" t="s">
        <v>93</v>
      </c>
      <c r="AX133" s="31" t="s">
        <v>93</v>
      </c>
      <c r="AY133" s="31" t="s">
        <v>94</v>
      </c>
      <c r="AZ133" s="31" t="s">
        <v>93</v>
      </c>
      <c r="BA133" s="31" t="s">
        <v>103</v>
      </c>
      <c r="BB133" s="31" t="s">
        <v>974</v>
      </c>
      <c r="BC133" s="24"/>
      <c r="BD133" s="30">
        <f>Table2[[#This Row],[interviewtime]]/60</f>
        <v>20.257333333333335</v>
      </c>
      <c r="BE133" s="31">
        <v>1215.44</v>
      </c>
      <c r="BF133" s="31">
        <v>6.55</v>
      </c>
      <c r="BG133" s="31"/>
      <c r="BH133" s="31">
        <v>66.64</v>
      </c>
      <c r="BI133" s="31"/>
      <c r="BJ133" s="31"/>
      <c r="BK133" s="31"/>
      <c r="BL133" s="31"/>
      <c r="BM133" s="31">
        <v>768.55</v>
      </c>
      <c r="BN133" s="31"/>
      <c r="BO133" s="31"/>
      <c r="BP133" s="31"/>
      <c r="BQ133" s="31"/>
      <c r="BR133" s="31"/>
      <c r="BS133" s="31"/>
      <c r="BT133" s="31">
        <v>188.51</v>
      </c>
      <c r="BU133" s="31"/>
      <c r="BV133" s="31"/>
      <c r="BW133" s="31"/>
      <c r="BX133" s="31"/>
      <c r="BY133" s="31"/>
      <c r="BZ133" s="31"/>
      <c r="CA133" s="31"/>
      <c r="CB133" s="31"/>
      <c r="CC133" s="31">
        <v>99.33</v>
      </c>
      <c r="CD133" s="31"/>
      <c r="CE133" s="31"/>
      <c r="CF133" s="31"/>
      <c r="CG133" s="31"/>
      <c r="CH133" s="31"/>
      <c r="CI133" s="31"/>
      <c r="CJ133" s="31"/>
      <c r="CK133" s="31"/>
      <c r="CL133" s="31">
        <v>85.86</v>
      </c>
      <c r="CM133" s="24"/>
      <c r="CN133" s="24"/>
      <c r="CO133" s="24"/>
      <c r="CP133" s="24"/>
      <c r="CQ133" s="43">
        <f>Table2[[#This Row],[groupTime22]]/60</f>
        <v>12.809166666666666</v>
      </c>
      <c r="CR133" s="43">
        <f>Table2[[#This Row],[groupTime23]]/60</f>
        <v>3.141833333333333</v>
      </c>
      <c r="CS133" s="43">
        <f>Table2[[#This Row],[groupTime24]]/60</f>
        <v>1.6555</v>
      </c>
    </row>
    <row r="134" spans="1:97" x14ac:dyDescent="0.25">
      <c r="A134" s="47" t="s">
        <v>821</v>
      </c>
      <c r="B134" s="11" t="s">
        <v>113</v>
      </c>
      <c r="C134" s="11">
        <v>96</v>
      </c>
      <c r="D134" s="11" t="s">
        <v>943</v>
      </c>
      <c r="E134" s="11">
        <v>6</v>
      </c>
      <c r="F134" s="11" t="s">
        <v>79</v>
      </c>
      <c r="G134" s="11">
        <v>1168574645</v>
      </c>
      <c r="H134" s="11" t="s">
        <v>944</v>
      </c>
      <c r="I134" s="11" t="s">
        <v>943</v>
      </c>
      <c r="J134" s="11" t="s">
        <v>589</v>
      </c>
      <c r="K134" s="37" t="str">
        <f>IF(Table2[[#This Row],[priorSuccessRatio]]&lt;1,"yes","no")</f>
        <v>no</v>
      </c>
      <c r="L134" s="27">
        <f>VLOOKUP(Table2[[#This Row],[prolific]],'Correct calc'!B$16:$AJ$998,6,FALSE)</f>
        <v>1</v>
      </c>
      <c r="M134" s="27">
        <f>VLOOKUP(Table2[[#This Row],[prolific]],'Correct calc'!B$16:$AJ$998,14,FALSE)</f>
        <v>0.5</v>
      </c>
      <c r="N134" s="27">
        <f>VLOOKUP(Table2[[#This Row],[prolific]],'Correct calc'!B$16:$AJ1199,24,FALSE)</f>
        <v>1</v>
      </c>
      <c r="O134" s="27">
        <f>VLOOKUP(Table2[[#This Row],[prolific]],'Correct calc'!B$16:$AJ1199,34,FALSE)</f>
        <v>0.375</v>
      </c>
      <c r="P134" s="28">
        <f>VLOOKUP(Table2[[#This Row],[comprescore]],Table3[],2,FALSE)</f>
        <v>4</v>
      </c>
      <c r="Q134" s="16">
        <f>VLOOKUP(Table2[[#This Row],[prolific]],'Correct calc'!B$16:$AK$998,36,FALSE)</f>
        <v>14</v>
      </c>
      <c r="R134" s="16">
        <f>Table2[[#This Row],[interviewminutes]]</f>
        <v>22.159666666666666</v>
      </c>
      <c r="S134" s="16">
        <f>Table2[[#This Row],[classifyTime]]+Table2[[#This Row],[explainTime]]+Table2[[#This Row],[validateTime]]</f>
        <v>17.829333333333338</v>
      </c>
      <c r="T134" s="29">
        <f>VLOOKUP(Table2[[#This Row],[prolific]],'Correct calc'!B$16:$AJ$998,35,FALSE)</f>
        <v>0.63636363636363635</v>
      </c>
      <c r="U134" s="15">
        <f>SUM(Table2[[#This Row],[priorKnowledge'[CLUSTERING']]:[priorKnowledge'[ZSCORES']]])/Table2[[#This Row],[priorKnowledgeTechQuestionCount]]</f>
        <v>1.3333333333333333</v>
      </c>
      <c r="V134" s="16">
        <f>IF(Table2[[#This Row],[visualization]]="Wordcloud",2,3)</f>
        <v>3</v>
      </c>
      <c r="W134" s="31" t="s">
        <v>1148</v>
      </c>
      <c r="X134" s="31">
        <v>1</v>
      </c>
      <c r="Y134" s="31">
        <v>1</v>
      </c>
      <c r="Z134" s="31">
        <v>2</v>
      </c>
      <c r="AA134" s="31">
        <v>7</v>
      </c>
      <c r="AB134" s="31" t="s">
        <v>97</v>
      </c>
      <c r="AC134" s="31" t="s">
        <v>81</v>
      </c>
      <c r="AD134" s="31" t="s">
        <v>82</v>
      </c>
      <c r="AE134" s="31" t="s">
        <v>83</v>
      </c>
      <c r="AF134" s="31" t="s">
        <v>86</v>
      </c>
      <c r="AG134" s="31" t="s">
        <v>86</v>
      </c>
      <c r="AH134" s="31" t="s">
        <v>84</v>
      </c>
      <c r="AI134" s="31" t="s">
        <v>86</v>
      </c>
      <c r="AJ134" s="31" t="s">
        <v>85</v>
      </c>
      <c r="AK134" s="31" t="s">
        <v>88</v>
      </c>
      <c r="AL134" s="31" t="s">
        <v>87</v>
      </c>
      <c r="AM134" s="31" t="s">
        <v>105</v>
      </c>
      <c r="AN134" s="31" t="s">
        <v>90</v>
      </c>
      <c r="AO134" s="31" t="s">
        <v>83</v>
      </c>
      <c r="AP134" s="31" t="s">
        <v>85</v>
      </c>
      <c r="AQ134" s="31" t="s">
        <v>91</v>
      </c>
      <c r="AR134" s="31" t="s">
        <v>102</v>
      </c>
      <c r="AS134" s="31" t="s">
        <v>94</v>
      </c>
      <c r="AT134" s="31" t="s">
        <v>94</v>
      </c>
      <c r="AU134" s="31" t="s">
        <v>93</v>
      </c>
      <c r="AV134" s="31" t="s">
        <v>94</v>
      </c>
      <c r="AW134" s="31" t="s">
        <v>93</v>
      </c>
      <c r="AX134" s="31" t="s">
        <v>93</v>
      </c>
      <c r="AY134" s="31" t="s">
        <v>94</v>
      </c>
      <c r="AZ134" s="31" t="s">
        <v>94</v>
      </c>
      <c r="BA134" s="31" t="s">
        <v>103</v>
      </c>
      <c r="BB134" s="31" t="s">
        <v>976</v>
      </c>
      <c r="BC134" s="24"/>
      <c r="BD134" s="30">
        <f>Table2[[#This Row],[interviewtime]]/60</f>
        <v>22.159666666666666</v>
      </c>
      <c r="BE134" s="31">
        <v>1329.58</v>
      </c>
      <c r="BF134" s="31">
        <v>11.01</v>
      </c>
      <c r="BG134" s="31"/>
      <c r="BH134" s="31">
        <v>52.9</v>
      </c>
      <c r="BI134" s="31"/>
      <c r="BJ134" s="31"/>
      <c r="BK134" s="31"/>
      <c r="BL134" s="31"/>
      <c r="BM134" s="31">
        <v>557.33000000000004</v>
      </c>
      <c r="BN134" s="31"/>
      <c r="BO134" s="31"/>
      <c r="BP134" s="31"/>
      <c r="BQ134" s="31"/>
      <c r="BR134" s="31"/>
      <c r="BS134" s="31"/>
      <c r="BT134" s="31">
        <v>343.24</v>
      </c>
      <c r="BU134" s="31"/>
      <c r="BV134" s="31"/>
      <c r="BW134" s="31"/>
      <c r="BX134" s="31"/>
      <c r="BY134" s="31"/>
      <c r="BZ134" s="31"/>
      <c r="CA134" s="31"/>
      <c r="CB134" s="31"/>
      <c r="CC134" s="31">
        <v>169.19</v>
      </c>
      <c r="CD134" s="31"/>
      <c r="CE134" s="31"/>
      <c r="CF134" s="31"/>
      <c r="CG134" s="31"/>
      <c r="CH134" s="31"/>
      <c r="CI134" s="31"/>
      <c r="CJ134" s="31"/>
      <c r="CK134" s="31"/>
      <c r="CL134" s="31">
        <v>195.91</v>
      </c>
      <c r="CM134" s="24"/>
      <c r="CN134" s="24"/>
      <c r="CO134" s="24"/>
      <c r="CP134" s="24"/>
      <c r="CQ134" s="43">
        <f>Table2[[#This Row],[groupTime22]]/60</f>
        <v>9.2888333333333346</v>
      </c>
      <c r="CR134" s="43">
        <f>Table2[[#This Row],[groupTime23]]/60</f>
        <v>5.7206666666666672</v>
      </c>
      <c r="CS134" s="43">
        <f>Table2[[#This Row],[groupTime24]]/60</f>
        <v>2.8198333333333334</v>
      </c>
    </row>
    <row r="135" spans="1:97" hidden="1" x14ac:dyDescent="0.25">
      <c r="A135" s="11" t="s">
        <v>352</v>
      </c>
      <c r="B135" s="11" t="s">
        <v>114</v>
      </c>
      <c r="C135" s="11">
        <v>17</v>
      </c>
      <c r="D135" s="11" t="s">
        <v>363</v>
      </c>
      <c r="E135" s="11">
        <v>6</v>
      </c>
      <c r="F135" s="11" t="s">
        <v>79</v>
      </c>
      <c r="G135" s="11">
        <v>1396003103</v>
      </c>
      <c r="H135" s="11" t="s">
        <v>364</v>
      </c>
      <c r="I135" s="11" t="s">
        <v>363</v>
      </c>
      <c r="J135" s="11" t="s">
        <v>80</v>
      </c>
      <c r="K135" s="11" t="str">
        <f>IF(Table2[[#This Row],[priorSuccessRatio]]&lt;1,"yes","no")</f>
        <v>yes</v>
      </c>
      <c r="L135" s="27">
        <f>VLOOKUP(Table2[[#This Row],[prolific]],'Correct calc'!B$16:$AJ$998,6,FALSE)</f>
        <v>0.33333333333333331</v>
      </c>
      <c r="M135" s="27">
        <f>VLOOKUP(Table2[[#This Row],[prolific]],'Correct calc'!B$16:$AJ$998,14,FALSE)</f>
        <v>0.83333333333333337</v>
      </c>
      <c r="N135" s="27">
        <f>VLOOKUP(Table2[[#This Row],[prolific]],'Correct calc'!B$16:$AJ1047,24,FALSE)</f>
        <v>1</v>
      </c>
      <c r="O135" s="27">
        <f>VLOOKUP(Table2[[#This Row],[prolific]],'Correct calc'!B$16:$AJ1047,34,FALSE)</f>
        <v>0.875</v>
      </c>
      <c r="P135" s="28">
        <f>VLOOKUP(Table2[[#This Row],[comprescore]],Table3[],2,FALSE)</f>
        <v>2</v>
      </c>
      <c r="Q135" s="16">
        <f>VLOOKUP(Table2[[#This Row],[prolific]],'Correct calc'!B$16:$AK$998,36,FALSE)</f>
        <v>20</v>
      </c>
      <c r="R135" s="16">
        <f>Table2[[#This Row],[interviewminutes]]</f>
        <v>9.846166666666667</v>
      </c>
      <c r="S135" s="16">
        <f>Table2[[#This Row],[classifyTime]]+Table2[[#This Row],[explainTime]]+Table2[[#This Row],[validateTime]]</f>
        <v>8.3136666666666663</v>
      </c>
      <c r="T135" s="29">
        <f>VLOOKUP(Table2[[#This Row],[prolific]],'Correct calc'!B$16:$AJ$998,35,FALSE)</f>
        <v>0.90909090909090906</v>
      </c>
      <c r="U135" s="15">
        <f>SUM(Table2[[#This Row],[priorKnowledge'[CLUSTERING']]:[priorKnowledge'[ZSCORES']]])/Table2[[#This Row],[priorKnowledgeTechQuestionCount]]</f>
        <v>1.3333333333333333</v>
      </c>
      <c r="V135" s="16">
        <f>IF(Table2[[#This Row],[visualization]]="Wordcloud",2,3)</f>
        <v>3</v>
      </c>
      <c r="W135" s="31" t="s">
        <v>1149</v>
      </c>
      <c r="X135" s="31">
        <v>2</v>
      </c>
      <c r="Y135" s="31">
        <v>1</v>
      </c>
      <c r="Z135" s="31">
        <v>1</v>
      </c>
      <c r="AA135" s="31">
        <v>4</v>
      </c>
      <c r="AB135" s="31" t="s">
        <v>81</v>
      </c>
      <c r="AC135" s="31" t="s">
        <v>97</v>
      </c>
      <c r="AD135" s="31" t="s">
        <v>82</v>
      </c>
      <c r="AE135" s="31" t="s">
        <v>83</v>
      </c>
      <c r="AF135" s="31" t="s">
        <v>85</v>
      </c>
      <c r="AG135" s="31" t="s">
        <v>86</v>
      </c>
      <c r="AH135" s="31" t="s">
        <v>84</v>
      </c>
      <c r="AI135" s="31" t="s">
        <v>85</v>
      </c>
      <c r="AJ135" s="31" t="s">
        <v>98</v>
      </c>
      <c r="AK135" s="31" t="s">
        <v>88</v>
      </c>
      <c r="AL135" s="31" t="s">
        <v>87</v>
      </c>
      <c r="AM135" s="31" t="s">
        <v>105</v>
      </c>
      <c r="AN135" s="31" t="s">
        <v>90</v>
      </c>
      <c r="AO135" s="31" t="s">
        <v>83</v>
      </c>
      <c r="AP135" s="31" t="s">
        <v>85</v>
      </c>
      <c r="AQ135" s="31" t="s">
        <v>91</v>
      </c>
      <c r="AR135" s="31" t="s">
        <v>102</v>
      </c>
      <c r="AS135" s="31" t="s">
        <v>94</v>
      </c>
      <c r="AT135" s="31" t="s">
        <v>93</v>
      </c>
      <c r="AU135" s="31" t="s">
        <v>94</v>
      </c>
      <c r="AV135" s="31" t="s">
        <v>93</v>
      </c>
      <c r="AW135" s="31" t="s">
        <v>93</v>
      </c>
      <c r="AX135" s="31" t="s">
        <v>93</v>
      </c>
      <c r="AY135" s="31" t="s">
        <v>94</v>
      </c>
      <c r="AZ135" s="31" t="s">
        <v>93</v>
      </c>
      <c r="BA135" s="31" t="s">
        <v>106</v>
      </c>
      <c r="BB135" s="31" t="s">
        <v>428</v>
      </c>
      <c r="BC135" s="24"/>
      <c r="BD135" s="30">
        <f>Table2[[#This Row],[interviewtime]]/60</f>
        <v>9.846166666666667</v>
      </c>
      <c r="BE135" s="31">
        <v>590.77</v>
      </c>
      <c r="BF135" s="31">
        <v>9.3699999999999992</v>
      </c>
      <c r="BG135" s="31"/>
      <c r="BH135" s="31">
        <v>38.770000000000003</v>
      </c>
      <c r="BI135" s="31"/>
      <c r="BJ135" s="31"/>
      <c r="BK135" s="31"/>
      <c r="BL135" s="31"/>
      <c r="BM135" s="31">
        <v>238.53</v>
      </c>
      <c r="BN135" s="31"/>
      <c r="BO135" s="31"/>
      <c r="BP135" s="31"/>
      <c r="BQ135" s="31"/>
      <c r="BR135" s="31"/>
      <c r="BS135" s="31"/>
      <c r="BT135" s="31">
        <v>145.34</v>
      </c>
      <c r="BU135" s="31"/>
      <c r="BV135" s="31"/>
      <c r="BW135" s="31"/>
      <c r="BX135" s="31"/>
      <c r="BY135" s="31"/>
      <c r="BZ135" s="31"/>
      <c r="CA135" s="31"/>
      <c r="CB135" s="31"/>
      <c r="CC135" s="31">
        <v>114.95</v>
      </c>
      <c r="CD135" s="31"/>
      <c r="CE135" s="31"/>
      <c r="CF135" s="31"/>
      <c r="CG135" s="31"/>
      <c r="CH135" s="31"/>
      <c r="CI135" s="31"/>
      <c r="CJ135" s="31"/>
      <c r="CK135" s="31"/>
      <c r="CL135" s="31">
        <v>43.81</v>
      </c>
      <c r="CM135" s="31"/>
      <c r="CN135" s="31"/>
      <c r="CO135" s="24"/>
      <c r="CP135" s="24"/>
      <c r="CQ135" s="43">
        <f>Table2[[#This Row],[groupTime22]]/60</f>
        <v>3.9754999999999998</v>
      </c>
      <c r="CR135" s="43">
        <f>Table2[[#This Row],[groupTime23]]/60</f>
        <v>2.4223333333333334</v>
      </c>
      <c r="CS135" s="43">
        <f>Table2[[#This Row],[groupTime24]]/60</f>
        <v>1.9158333333333333</v>
      </c>
    </row>
    <row r="136" spans="1:97" hidden="1" x14ac:dyDescent="0.25">
      <c r="A136" s="11" t="s">
        <v>352</v>
      </c>
      <c r="B136" s="11" t="s">
        <v>114</v>
      </c>
      <c r="C136" s="11">
        <v>21</v>
      </c>
      <c r="D136" s="11" t="s">
        <v>369</v>
      </c>
      <c r="E136" s="11">
        <v>6</v>
      </c>
      <c r="F136" s="11" t="s">
        <v>79</v>
      </c>
      <c r="G136" s="11">
        <v>1631842086</v>
      </c>
      <c r="H136" s="11" t="s">
        <v>370</v>
      </c>
      <c r="I136" s="11" t="s">
        <v>369</v>
      </c>
      <c r="J136" s="11" t="s">
        <v>371</v>
      </c>
      <c r="K136" s="11" t="str">
        <f>IF(Table2[[#This Row],[priorSuccessRatio]]&lt;1,"yes","no")</f>
        <v>yes</v>
      </c>
      <c r="L136" s="27">
        <f>VLOOKUP(Table2[[#This Row],[prolific]],'Correct calc'!B$16:$AJ$998,6,FALSE)</f>
        <v>0.33333333333333331</v>
      </c>
      <c r="M136" s="27">
        <f>VLOOKUP(Table2[[#This Row],[prolific]],'Correct calc'!B$16:$AJ$998,14,FALSE)</f>
        <v>1</v>
      </c>
      <c r="N136" s="27">
        <f>VLOOKUP(Table2[[#This Row],[prolific]],'Correct calc'!B$16:$AJ1050,24,FALSE)</f>
        <v>0.875</v>
      </c>
      <c r="O136" s="27">
        <f>VLOOKUP(Table2[[#This Row],[prolific]],'Correct calc'!B$16:$AJ1050,34,FALSE)</f>
        <v>1</v>
      </c>
      <c r="P136" s="28">
        <f>VLOOKUP(Table2[[#This Row],[comprescore]],Table3[],2,FALSE)</f>
        <v>3</v>
      </c>
      <c r="Q136" s="16">
        <f>VLOOKUP(Table2[[#This Row],[prolific]],'Correct calc'!B$16:$AK$998,36,FALSE)</f>
        <v>21</v>
      </c>
      <c r="R136" s="16">
        <f>Table2[[#This Row],[interviewminutes]]</f>
        <v>17.179500000000001</v>
      </c>
      <c r="S136" s="16">
        <f>Table2[[#This Row],[classifyTime]]+Table2[[#This Row],[explainTime]]+Table2[[#This Row],[validateTime]]</f>
        <v>15.662666666666668</v>
      </c>
      <c r="T136" s="29">
        <f>VLOOKUP(Table2[[#This Row],[prolific]],'Correct calc'!B$16:$AJ$998,35,FALSE)</f>
        <v>0.95454545454545459</v>
      </c>
      <c r="U136" s="15">
        <f>SUM(Table2[[#This Row],[priorKnowledge'[CLUSTERING']]:[priorKnowledge'[ZSCORES']]])/Table2[[#This Row],[priorKnowledgeTechQuestionCount]]</f>
        <v>1</v>
      </c>
      <c r="V136" s="16">
        <f>IF(Table2[[#This Row],[visualization]]="Wordcloud",2,3)</f>
        <v>3</v>
      </c>
      <c r="W136" s="31" t="s">
        <v>1150</v>
      </c>
      <c r="X136" s="31">
        <v>1</v>
      </c>
      <c r="Y136" s="31">
        <v>1</v>
      </c>
      <c r="Z136" s="31">
        <v>1</v>
      </c>
      <c r="AA136" s="31">
        <v>2</v>
      </c>
      <c r="AB136" s="31" t="s">
        <v>81</v>
      </c>
      <c r="AC136" s="31" t="s">
        <v>97</v>
      </c>
      <c r="AD136" s="31" t="s">
        <v>82</v>
      </c>
      <c r="AE136" s="31" t="s">
        <v>83</v>
      </c>
      <c r="AF136" s="31" t="s">
        <v>85</v>
      </c>
      <c r="AG136" s="31" t="s">
        <v>86</v>
      </c>
      <c r="AH136" s="31" t="s">
        <v>84</v>
      </c>
      <c r="AI136" s="31" t="s">
        <v>104</v>
      </c>
      <c r="AJ136" s="31" t="s">
        <v>98</v>
      </c>
      <c r="AK136" s="31" t="s">
        <v>88</v>
      </c>
      <c r="AL136" s="31" t="s">
        <v>87</v>
      </c>
      <c r="AM136" s="31" t="s">
        <v>105</v>
      </c>
      <c r="AN136" s="31" t="s">
        <v>90</v>
      </c>
      <c r="AO136" s="31" t="s">
        <v>83</v>
      </c>
      <c r="AP136" s="31" t="s">
        <v>85</v>
      </c>
      <c r="AQ136" s="31" t="s">
        <v>101</v>
      </c>
      <c r="AR136" s="31" t="s">
        <v>102</v>
      </c>
      <c r="AS136" s="31" t="s">
        <v>94</v>
      </c>
      <c r="AT136" s="31" t="s">
        <v>93</v>
      </c>
      <c r="AU136" s="31" t="s">
        <v>94</v>
      </c>
      <c r="AV136" s="31" t="s">
        <v>93</v>
      </c>
      <c r="AW136" s="31" t="s">
        <v>94</v>
      </c>
      <c r="AX136" s="31" t="s">
        <v>93</v>
      </c>
      <c r="AY136" s="31" t="s">
        <v>94</v>
      </c>
      <c r="AZ136" s="31" t="s">
        <v>93</v>
      </c>
      <c r="BA136" s="31" t="s">
        <v>107</v>
      </c>
      <c r="BB136" s="31" t="s">
        <v>433</v>
      </c>
      <c r="BC136" s="24"/>
      <c r="BD136" s="30">
        <f>Table2[[#This Row],[interviewtime]]/60</f>
        <v>17.179500000000001</v>
      </c>
      <c r="BE136" s="31">
        <v>1030.77</v>
      </c>
      <c r="BF136" s="31">
        <v>6.99</v>
      </c>
      <c r="BG136" s="31"/>
      <c r="BH136" s="31">
        <v>35.44</v>
      </c>
      <c r="BI136" s="31"/>
      <c r="BJ136" s="31"/>
      <c r="BK136" s="31"/>
      <c r="BL136" s="31"/>
      <c r="BM136" s="31">
        <v>583.69000000000005</v>
      </c>
      <c r="BN136" s="31"/>
      <c r="BO136" s="31"/>
      <c r="BP136" s="31"/>
      <c r="BQ136" s="31"/>
      <c r="BR136" s="31"/>
      <c r="BS136" s="31"/>
      <c r="BT136" s="31">
        <v>206</v>
      </c>
      <c r="BU136" s="31"/>
      <c r="BV136" s="31"/>
      <c r="BW136" s="31"/>
      <c r="BX136" s="31"/>
      <c r="BY136" s="31"/>
      <c r="BZ136" s="31"/>
      <c r="CA136" s="31"/>
      <c r="CB136" s="31"/>
      <c r="CC136" s="31">
        <v>150.07</v>
      </c>
      <c r="CD136" s="31"/>
      <c r="CE136" s="31"/>
      <c r="CF136" s="31"/>
      <c r="CG136" s="31"/>
      <c r="CH136" s="31"/>
      <c r="CI136" s="31"/>
      <c r="CJ136" s="31"/>
      <c r="CK136" s="31"/>
      <c r="CL136" s="31">
        <v>48.58</v>
      </c>
      <c r="CM136" s="31"/>
      <c r="CN136" s="31"/>
      <c r="CO136" s="24"/>
      <c r="CP136" s="24"/>
      <c r="CQ136" s="43">
        <f>Table2[[#This Row],[groupTime22]]/60</f>
        <v>9.7281666666666684</v>
      </c>
      <c r="CR136" s="43">
        <f>Table2[[#This Row],[groupTime23]]/60</f>
        <v>3.4333333333333331</v>
      </c>
      <c r="CS136" s="43">
        <f>Table2[[#This Row],[groupTime24]]/60</f>
        <v>2.5011666666666668</v>
      </c>
    </row>
    <row r="137" spans="1:97" hidden="1" x14ac:dyDescent="0.25">
      <c r="A137" s="11" t="s">
        <v>352</v>
      </c>
      <c r="B137" s="11" t="s">
        <v>114</v>
      </c>
      <c r="C137" s="11">
        <v>26</v>
      </c>
      <c r="D137" s="11" t="s">
        <v>380</v>
      </c>
      <c r="E137" s="11">
        <v>6</v>
      </c>
      <c r="F137" s="11" t="s">
        <v>79</v>
      </c>
      <c r="G137" s="11">
        <v>1822139990</v>
      </c>
      <c r="H137" s="11" t="s">
        <v>381</v>
      </c>
      <c r="I137" s="11" t="s">
        <v>382</v>
      </c>
      <c r="J137" s="11" t="s">
        <v>96</v>
      </c>
      <c r="K137" s="11" t="str">
        <f>IF(Table2[[#This Row],[priorSuccessRatio]]&lt;1,"yes","no")</f>
        <v>yes</v>
      </c>
      <c r="L137" s="27">
        <f>VLOOKUP(Table2[[#This Row],[prolific]],'Correct calc'!B$16:$AJ$998,6,FALSE)</f>
        <v>0.33333333333333331</v>
      </c>
      <c r="M137" s="27">
        <f>VLOOKUP(Table2[[#This Row],[prolific]],'Correct calc'!B$16:$AJ$998,14,FALSE)</f>
        <v>0.66666666666666663</v>
      </c>
      <c r="N137" s="27">
        <f>VLOOKUP(Table2[[#This Row],[prolific]],'Correct calc'!B$16:$AJ1055,24,FALSE)</f>
        <v>0.875</v>
      </c>
      <c r="O137" s="27">
        <f>VLOOKUP(Table2[[#This Row],[prolific]],'Correct calc'!B$16:$AJ1055,34,FALSE)</f>
        <v>0.875</v>
      </c>
      <c r="P137" s="28">
        <f>VLOOKUP(Table2[[#This Row],[comprescore]],Table3[],2,FALSE)</f>
        <v>3</v>
      </c>
      <c r="Q137" s="16">
        <f>VLOOKUP(Table2[[#This Row],[prolific]],'Correct calc'!B$16:$AK$998,36,FALSE)</f>
        <v>18</v>
      </c>
      <c r="R137" s="16">
        <f>Table2[[#This Row],[interviewminutes]]</f>
        <v>15.051166666666667</v>
      </c>
      <c r="S137" s="16">
        <f>Table2[[#This Row],[classifyTime]]+Table2[[#This Row],[explainTime]]+Table2[[#This Row],[validateTime]]</f>
        <v>10.779166666666665</v>
      </c>
      <c r="T137" s="29">
        <f>VLOOKUP(Table2[[#This Row],[prolific]],'Correct calc'!B$16:$AJ$998,35,FALSE)</f>
        <v>0.81818181818181823</v>
      </c>
      <c r="U137" s="15">
        <f>SUM(Table2[[#This Row],[priorKnowledge'[CLUSTERING']]:[priorKnowledge'[ZSCORES']]])/Table2[[#This Row],[priorKnowledgeTechQuestionCount]]</f>
        <v>4.333333333333333</v>
      </c>
      <c r="V137" s="16">
        <f>IF(Table2[[#This Row],[visualization]]="Wordcloud",2,3)</f>
        <v>3</v>
      </c>
      <c r="W137" s="31" t="s">
        <v>1151</v>
      </c>
      <c r="X137" s="31">
        <v>3</v>
      </c>
      <c r="Y137" s="31">
        <v>5</v>
      </c>
      <c r="Z137" s="31">
        <v>5</v>
      </c>
      <c r="AA137" s="31">
        <v>1</v>
      </c>
      <c r="AB137" s="31" t="s">
        <v>81</v>
      </c>
      <c r="AC137" s="31" t="s">
        <v>97</v>
      </c>
      <c r="AD137" s="31" t="s">
        <v>82</v>
      </c>
      <c r="AE137" s="31" t="s">
        <v>83</v>
      </c>
      <c r="AF137" s="31" t="s">
        <v>85</v>
      </c>
      <c r="AG137" s="31" t="s">
        <v>104</v>
      </c>
      <c r="AH137" s="31" t="s">
        <v>84</v>
      </c>
      <c r="AI137" s="31" t="s">
        <v>85</v>
      </c>
      <c r="AJ137" s="31" t="s">
        <v>98</v>
      </c>
      <c r="AK137" s="31" t="s">
        <v>88</v>
      </c>
      <c r="AL137" s="31" t="s">
        <v>87</v>
      </c>
      <c r="AM137" s="31" t="s">
        <v>105</v>
      </c>
      <c r="AN137" s="31" t="s">
        <v>90</v>
      </c>
      <c r="AO137" s="31" t="s">
        <v>83</v>
      </c>
      <c r="AP137" s="31" t="s">
        <v>98</v>
      </c>
      <c r="AQ137" s="31" t="s">
        <v>91</v>
      </c>
      <c r="AR137" s="31" t="s">
        <v>102</v>
      </c>
      <c r="AS137" s="31" t="s">
        <v>94</v>
      </c>
      <c r="AT137" s="31" t="s">
        <v>93</v>
      </c>
      <c r="AU137" s="31" t="s">
        <v>94</v>
      </c>
      <c r="AV137" s="31" t="s">
        <v>93</v>
      </c>
      <c r="AW137" s="31" t="s">
        <v>93</v>
      </c>
      <c r="AX137" s="31" t="s">
        <v>93</v>
      </c>
      <c r="AY137" s="31" t="s">
        <v>94</v>
      </c>
      <c r="AZ137" s="31" t="s">
        <v>93</v>
      </c>
      <c r="BA137" s="31" t="s">
        <v>107</v>
      </c>
      <c r="BB137" s="31" t="s">
        <v>442</v>
      </c>
      <c r="BC137" s="24"/>
      <c r="BD137" s="30">
        <f>Table2[[#This Row],[interviewtime]]/60</f>
        <v>15.051166666666667</v>
      </c>
      <c r="BE137" s="31">
        <v>903.07</v>
      </c>
      <c r="BF137" s="31">
        <v>4.3</v>
      </c>
      <c r="BG137" s="31"/>
      <c r="BH137" s="31">
        <v>108.89</v>
      </c>
      <c r="BI137" s="31"/>
      <c r="BJ137" s="31"/>
      <c r="BK137" s="31"/>
      <c r="BL137" s="31"/>
      <c r="BM137" s="31">
        <v>288.43</v>
      </c>
      <c r="BN137" s="31"/>
      <c r="BO137" s="31"/>
      <c r="BP137" s="31"/>
      <c r="BQ137" s="31"/>
      <c r="BR137" s="31"/>
      <c r="BS137" s="31"/>
      <c r="BT137" s="31">
        <v>176.18</v>
      </c>
      <c r="BU137" s="31"/>
      <c r="BV137" s="31"/>
      <c r="BW137" s="31"/>
      <c r="BX137" s="31"/>
      <c r="BY137" s="31"/>
      <c r="BZ137" s="31"/>
      <c r="CA137" s="31"/>
      <c r="CB137" s="31"/>
      <c r="CC137" s="31">
        <v>182.14</v>
      </c>
      <c r="CD137" s="31"/>
      <c r="CE137" s="31"/>
      <c r="CF137" s="31"/>
      <c r="CG137" s="31"/>
      <c r="CH137" s="31"/>
      <c r="CI137" s="31"/>
      <c r="CJ137" s="31"/>
      <c r="CK137" s="31"/>
      <c r="CL137" s="31">
        <v>143.13</v>
      </c>
      <c r="CM137" s="31"/>
      <c r="CN137" s="31"/>
      <c r="CO137" s="24"/>
      <c r="CP137" s="24"/>
      <c r="CQ137" s="43">
        <f>Table2[[#This Row],[groupTime22]]/60</f>
        <v>4.8071666666666664</v>
      </c>
      <c r="CR137" s="43">
        <f>Table2[[#This Row],[groupTime23]]/60</f>
        <v>2.9363333333333332</v>
      </c>
      <c r="CS137" s="43">
        <f>Table2[[#This Row],[groupTime24]]/60</f>
        <v>3.0356666666666663</v>
      </c>
    </row>
    <row r="138" spans="1:97" hidden="1" x14ac:dyDescent="0.25">
      <c r="A138" s="11" t="s">
        <v>352</v>
      </c>
      <c r="B138" s="11" t="s">
        <v>114</v>
      </c>
      <c r="C138" s="11">
        <v>28</v>
      </c>
      <c r="D138" s="11" t="s">
        <v>386</v>
      </c>
      <c r="E138" s="11">
        <v>6</v>
      </c>
      <c r="F138" s="11" t="s">
        <v>79</v>
      </c>
      <c r="G138" s="11">
        <v>1972600175</v>
      </c>
      <c r="H138" s="11" t="s">
        <v>387</v>
      </c>
      <c r="I138" s="11" t="s">
        <v>386</v>
      </c>
      <c r="J138" s="11" t="s">
        <v>80</v>
      </c>
      <c r="K138" s="11" t="str">
        <f>IF(Table2[[#This Row],[priorSuccessRatio]]&lt;1,"yes","no")</f>
        <v>yes</v>
      </c>
      <c r="L138" s="27">
        <f>VLOOKUP(Table2[[#This Row],[prolific]],'Correct calc'!B$16:$AJ$998,6,FALSE)</f>
        <v>0.66666666666666663</v>
      </c>
      <c r="M138" s="27">
        <f>VLOOKUP(Table2[[#This Row],[prolific]],'Correct calc'!B$16:$AJ$998,14,FALSE)</f>
        <v>0.66666666666666663</v>
      </c>
      <c r="N138" s="27">
        <f>VLOOKUP(Table2[[#This Row],[prolific]],'Correct calc'!B$16:$AJ1057,24,FALSE)</f>
        <v>0.75</v>
      </c>
      <c r="O138" s="27">
        <f>VLOOKUP(Table2[[#This Row],[prolific]],'Correct calc'!B$16:$AJ1057,34,FALSE)</f>
        <v>0.875</v>
      </c>
      <c r="P138" s="28">
        <f>VLOOKUP(Table2[[#This Row],[comprescore]],Table3[],2,FALSE)</f>
        <v>3</v>
      </c>
      <c r="Q138" s="16">
        <f>VLOOKUP(Table2[[#This Row],[prolific]],'Correct calc'!B$16:$AK$998,36,FALSE)</f>
        <v>17</v>
      </c>
      <c r="R138" s="16">
        <f>Table2[[#This Row],[interviewminutes]]</f>
        <v>6.9133333333333331</v>
      </c>
      <c r="S138" s="16">
        <f>Table2[[#This Row],[classifyTime]]+Table2[[#This Row],[explainTime]]+Table2[[#This Row],[validateTime]]</f>
        <v>5.0483333333333329</v>
      </c>
      <c r="T138" s="29">
        <f>VLOOKUP(Table2[[#This Row],[prolific]],'Correct calc'!B$16:$AJ$998,35,FALSE)</f>
        <v>0.77272727272727271</v>
      </c>
      <c r="U138" s="15">
        <f>SUM(Table2[[#This Row],[priorKnowledge'[CLUSTERING']]:[priorKnowledge'[ZSCORES']]])/Table2[[#This Row],[priorKnowledgeTechQuestionCount]]</f>
        <v>1</v>
      </c>
      <c r="V138" s="16">
        <f>IF(Table2[[#This Row],[visualization]]="Wordcloud",2,3)</f>
        <v>3</v>
      </c>
      <c r="W138" s="31" t="s">
        <v>1152</v>
      </c>
      <c r="X138" s="31">
        <v>1</v>
      </c>
      <c r="Y138" s="31">
        <v>1</v>
      </c>
      <c r="Z138" s="31">
        <v>1</v>
      </c>
      <c r="AA138" s="31">
        <v>3</v>
      </c>
      <c r="AB138" s="31" t="s">
        <v>97</v>
      </c>
      <c r="AC138" s="31" t="s">
        <v>97</v>
      </c>
      <c r="AD138" s="31" t="s">
        <v>82</v>
      </c>
      <c r="AE138" s="31" t="s">
        <v>83</v>
      </c>
      <c r="AF138" s="31" t="s">
        <v>85</v>
      </c>
      <c r="AG138" s="31" t="s">
        <v>86</v>
      </c>
      <c r="AH138" s="31" t="s">
        <v>84</v>
      </c>
      <c r="AI138" s="31" t="s">
        <v>85</v>
      </c>
      <c r="AJ138" s="31" t="s">
        <v>86</v>
      </c>
      <c r="AK138" s="31" t="s">
        <v>88</v>
      </c>
      <c r="AL138" s="31" t="s">
        <v>87</v>
      </c>
      <c r="AM138" s="31" t="s">
        <v>105</v>
      </c>
      <c r="AN138" s="31" t="s">
        <v>109</v>
      </c>
      <c r="AO138" s="31" t="s">
        <v>83</v>
      </c>
      <c r="AP138" s="31" t="s">
        <v>85</v>
      </c>
      <c r="AQ138" s="31" t="s">
        <v>91</v>
      </c>
      <c r="AR138" s="31" t="s">
        <v>101</v>
      </c>
      <c r="AS138" s="31" t="s">
        <v>94</v>
      </c>
      <c r="AT138" s="31" t="s">
        <v>93</v>
      </c>
      <c r="AU138" s="31" t="s">
        <v>94</v>
      </c>
      <c r="AV138" s="31" t="s">
        <v>93</v>
      </c>
      <c r="AW138" s="31" t="s">
        <v>94</v>
      </c>
      <c r="AX138" s="31" t="s">
        <v>94</v>
      </c>
      <c r="AY138" s="31" t="s">
        <v>94</v>
      </c>
      <c r="AZ138" s="31" t="s">
        <v>93</v>
      </c>
      <c r="BA138" s="31" t="s">
        <v>107</v>
      </c>
      <c r="BB138" s="31" t="s">
        <v>445</v>
      </c>
      <c r="BC138" s="24"/>
      <c r="BD138" s="30">
        <f>Table2[[#This Row],[interviewtime]]/60</f>
        <v>6.9133333333333331</v>
      </c>
      <c r="BE138" s="31">
        <v>414.8</v>
      </c>
      <c r="BF138" s="31">
        <v>54.44</v>
      </c>
      <c r="BG138" s="31"/>
      <c r="BH138" s="31">
        <v>27.61</v>
      </c>
      <c r="BI138" s="31"/>
      <c r="BJ138" s="31"/>
      <c r="BK138" s="31"/>
      <c r="BL138" s="31"/>
      <c r="BM138" s="31">
        <v>119.79</v>
      </c>
      <c r="BN138" s="31"/>
      <c r="BO138" s="31"/>
      <c r="BP138" s="31"/>
      <c r="BQ138" s="31"/>
      <c r="BR138" s="31"/>
      <c r="BS138" s="31"/>
      <c r="BT138" s="31">
        <v>101.19</v>
      </c>
      <c r="BU138" s="31"/>
      <c r="BV138" s="31"/>
      <c r="BW138" s="31"/>
      <c r="BX138" s="31"/>
      <c r="BY138" s="31"/>
      <c r="BZ138" s="31"/>
      <c r="CA138" s="31"/>
      <c r="CB138" s="31"/>
      <c r="CC138" s="31">
        <v>81.92</v>
      </c>
      <c r="CD138" s="31"/>
      <c r="CE138" s="31"/>
      <c r="CF138" s="31"/>
      <c r="CG138" s="31"/>
      <c r="CH138" s="31"/>
      <c r="CI138" s="31"/>
      <c r="CJ138" s="31"/>
      <c r="CK138" s="31"/>
      <c r="CL138" s="31">
        <v>29.85</v>
      </c>
      <c r="CM138" s="31"/>
      <c r="CN138" s="31"/>
      <c r="CO138" s="24"/>
      <c r="CP138" s="24"/>
      <c r="CQ138" s="43">
        <f>Table2[[#This Row],[groupTime22]]/60</f>
        <v>1.9965000000000002</v>
      </c>
      <c r="CR138" s="43">
        <f>Table2[[#This Row],[groupTime23]]/60</f>
        <v>1.6864999999999999</v>
      </c>
      <c r="CS138" s="43">
        <f>Table2[[#This Row],[groupTime24]]/60</f>
        <v>1.3653333333333333</v>
      </c>
    </row>
    <row r="139" spans="1:97" x14ac:dyDescent="0.25">
      <c r="A139" s="11" t="s">
        <v>352</v>
      </c>
      <c r="B139" s="11" t="s">
        <v>114</v>
      </c>
      <c r="C139" s="11">
        <v>11</v>
      </c>
      <c r="D139" s="11" t="s">
        <v>353</v>
      </c>
      <c r="E139" s="11">
        <v>6</v>
      </c>
      <c r="F139" s="11" t="s">
        <v>79</v>
      </c>
      <c r="G139" s="11">
        <v>690725204</v>
      </c>
      <c r="H139" s="11" t="s">
        <v>354</v>
      </c>
      <c r="I139" s="11" t="s">
        <v>353</v>
      </c>
      <c r="J139" s="11" t="s">
        <v>80</v>
      </c>
      <c r="K139" s="11" t="str">
        <f>IF(Table2[[#This Row],[priorSuccessRatio]]&lt;1,"yes","no")</f>
        <v>no</v>
      </c>
      <c r="L139" s="27">
        <f>VLOOKUP(Table2[[#This Row],[prolific]],'Correct calc'!B$16:$AJ$998,6,FALSE)</f>
        <v>1</v>
      </c>
      <c r="M139" s="27">
        <f>VLOOKUP(Table2[[#This Row],[prolific]],'Correct calc'!B$16:$AJ$998,14,FALSE)</f>
        <v>0.83333333333333337</v>
      </c>
      <c r="N139" s="27">
        <f>VLOOKUP(Table2[[#This Row],[prolific]],'Correct calc'!B$16:$AJ1042,24,FALSE)</f>
        <v>1</v>
      </c>
      <c r="O139" s="27">
        <f>VLOOKUP(Table2[[#This Row],[prolific]],'Correct calc'!B$16:$AJ1042,34,FALSE)</f>
        <v>1</v>
      </c>
      <c r="P139" s="28">
        <f>VLOOKUP(Table2[[#This Row],[comprescore]],Table3[],2,FALSE)</f>
        <v>3</v>
      </c>
      <c r="Q139" s="16">
        <f>VLOOKUP(Table2[[#This Row],[prolific]],'Correct calc'!B$16:$AK$998,36,FALSE)</f>
        <v>21</v>
      </c>
      <c r="R139" s="16">
        <f>Table2[[#This Row],[interviewminutes]]</f>
        <v>16.2745</v>
      </c>
      <c r="S139" s="16">
        <f>Table2[[#This Row],[classifyTime]]+Table2[[#This Row],[explainTime]]+Table2[[#This Row],[validateTime]]</f>
        <v>12.423999999999999</v>
      </c>
      <c r="T139" s="29">
        <f>VLOOKUP(Table2[[#This Row],[prolific]],'Correct calc'!B$16:$AJ$998,35,FALSE)</f>
        <v>0.95454545454545459</v>
      </c>
      <c r="U139" s="15">
        <f>SUM(Table2[[#This Row],[priorKnowledge'[CLUSTERING']]:[priorKnowledge'[ZSCORES']]])/Table2[[#This Row],[priorKnowledgeTechQuestionCount]]</f>
        <v>4</v>
      </c>
      <c r="V139" s="16">
        <f>IF(Table2[[#This Row],[visualization]]="Wordcloud",2,3)</f>
        <v>3</v>
      </c>
      <c r="W139" s="31" t="s">
        <v>1153</v>
      </c>
      <c r="X139" s="31">
        <v>4</v>
      </c>
      <c r="Y139" s="31">
        <v>3</v>
      </c>
      <c r="Z139" s="31">
        <v>5</v>
      </c>
      <c r="AA139" s="31">
        <v>6</v>
      </c>
      <c r="AB139" s="31" t="s">
        <v>97</v>
      </c>
      <c r="AC139" s="31" t="s">
        <v>81</v>
      </c>
      <c r="AD139" s="31" t="s">
        <v>82</v>
      </c>
      <c r="AE139" s="31" t="s">
        <v>83</v>
      </c>
      <c r="AF139" s="31" t="s">
        <v>85</v>
      </c>
      <c r="AG139" s="31" t="s">
        <v>86</v>
      </c>
      <c r="AH139" s="31" t="s">
        <v>84</v>
      </c>
      <c r="AI139" s="31" t="s">
        <v>85</v>
      </c>
      <c r="AJ139" s="31" t="s">
        <v>98</v>
      </c>
      <c r="AK139" s="31" t="s">
        <v>88</v>
      </c>
      <c r="AL139" s="31" t="s">
        <v>87</v>
      </c>
      <c r="AM139" s="31" t="s">
        <v>105</v>
      </c>
      <c r="AN139" s="31" t="s">
        <v>90</v>
      </c>
      <c r="AO139" s="31" t="s">
        <v>83</v>
      </c>
      <c r="AP139" s="31" t="s">
        <v>85</v>
      </c>
      <c r="AQ139" s="31" t="s">
        <v>91</v>
      </c>
      <c r="AR139" s="31" t="s">
        <v>102</v>
      </c>
      <c r="AS139" s="31" t="s">
        <v>94</v>
      </c>
      <c r="AT139" s="31" t="s">
        <v>93</v>
      </c>
      <c r="AU139" s="31" t="s">
        <v>94</v>
      </c>
      <c r="AV139" s="31" t="s">
        <v>93</v>
      </c>
      <c r="AW139" s="31" t="s">
        <v>94</v>
      </c>
      <c r="AX139" s="31" t="s">
        <v>93</v>
      </c>
      <c r="AY139" s="31" t="s">
        <v>94</v>
      </c>
      <c r="AZ139" s="31" t="s">
        <v>93</v>
      </c>
      <c r="BA139" s="31" t="s">
        <v>107</v>
      </c>
      <c r="BB139" s="31"/>
      <c r="BC139" s="24"/>
      <c r="BD139" s="30">
        <f>Table2[[#This Row],[interviewtime]]/60</f>
        <v>16.2745</v>
      </c>
      <c r="BE139" s="31">
        <v>976.47</v>
      </c>
      <c r="BF139" s="31">
        <v>13.26</v>
      </c>
      <c r="BG139" s="31"/>
      <c r="BH139" s="31">
        <v>205.34</v>
      </c>
      <c r="BI139" s="31"/>
      <c r="BJ139" s="31"/>
      <c r="BK139" s="31"/>
      <c r="BL139" s="31"/>
      <c r="BM139" s="31">
        <v>386.28</v>
      </c>
      <c r="BN139" s="31"/>
      <c r="BO139" s="31"/>
      <c r="BP139" s="31"/>
      <c r="BQ139" s="31"/>
      <c r="BR139" s="31"/>
      <c r="BS139" s="31"/>
      <c r="BT139" s="31">
        <v>215.18</v>
      </c>
      <c r="BU139" s="31"/>
      <c r="BV139" s="31"/>
      <c r="BW139" s="31"/>
      <c r="BX139" s="31"/>
      <c r="BY139" s="31"/>
      <c r="BZ139" s="31"/>
      <c r="CA139" s="31"/>
      <c r="CB139" s="31"/>
      <c r="CC139" s="31">
        <v>143.97999999999999</v>
      </c>
      <c r="CD139" s="31"/>
      <c r="CE139" s="31"/>
      <c r="CF139" s="31"/>
      <c r="CG139" s="31"/>
      <c r="CH139" s="31"/>
      <c r="CI139" s="31"/>
      <c r="CJ139" s="31"/>
      <c r="CK139" s="31"/>
      <c r="CL139" s="31">
        <v>12.43</v>
      </c>
      <c r="CM139" s="31"/>
      <c r="CN139" s="31"/>
      <c r="CO139" s="24"/>
      <c r="CP139" s="24"/>
      <c r="CQ139" s="43">
        <f>Table2[[#This Row],[groupTime22]]/60</f>
        <v>6.4379999999999997</v>
      </c>
      <c r="CR139" s="43">
        <f>Table2[[#This Row],[groupTime23]]/60</f>
        <v>3.5863333333333336</v>
      </c>
      <c r="CS139" s="43">
        <f>Table2[[#This Row],[groupTime24]]/60</f>
        <v>2.3996666666666666</v>
      </c>
    </row>
    <row r="140" spans="1:97" x14ac:dyDescent="0.25">
      <c r="A140" s="11" t="s">
        <v>352</v>
      </c>
      <c r="B140" s="11" t="s">
        <v>114</v>
      </c>
      <c r="C140" s="11">
        <v>12</v>
      </c>
      <c r="D140" s="11" t="s">
        <v>355</v>
      </c>
      <c r="E140" s="11">
        <v>6</v>
      </c>
      <c r="F140" s="11" t="s">
        <v>79</v>
      </c>
      <c r="G140" s="11">
        <v>1851310758</v>
      </c>
      <c r="H140" s="11" t="s">
        <v>356</v>
      </c>
      <c r="I140" s="11" t="s">
        <v>355</v>
      </c>
      <c r="J140" s="11" t="s">
        <v>80</v>
      </c>
      <c r="K140" s="11" t="str">
        <f>IF(Table2[[#This Row],[priorSuccessRatio]]&lt;1,"yes","no")</f>
        <v>no</v>
      </c>
      <c r="L140" s="27">
        <f>VLOOKUP(Table2[[#This Row],[prolific]],'Correct calc'!B$16:$AJ$998,6,FALSE)</f>
        <v>1</v>
      </c>
      <c r="M140" s="27">
        <f>VLOOKUP(Table2[[#This Row],[prolific]],'Correct calc'!B$16:$AJ$998,14,FALSE)</f>
        <v>0.83333333333333337</v>
      </c>
      <c r="N140" s="27">
        <f>VLOOKUP(Table2[[#This Row],[prolific]],'Correct calc'!B$16:$AJ1043,24,FALSE)</f>
        <v>1</v>
      </c>
      <c r="O140" s="27">
        <f>VLOOKUP(Table2[[#This Row],[prolific]],'Correct calc'!B$16:$AJ1043,34,FALSE)</f>
        <v>0.875</v>
      </c>
      <c r="P140" s="28">
        <f>VLOOKUP(Table2[[#This Row],[comprescore]],Table3[],2,FALSE)</f>
        <v>3</v>
      </c>
      <c r="Q140" s="16">
        <f>VLOOKUP(Table2[[#This Row],[prolific]],'Correct calc'!B$16:$AK$998,36,FALSE)</f>
        <v>20</v>
      </c>
      <c r="R140" s="16">
        <f>Table2[[#This Row],[interviewminutes]]</f>
        <v>10.065333333333333</v>
      </c>
      <c r="S140" s="16">
        <f>Table2[[#This Row],[classifyTime]]+Table2[[#This Row],[explainTime]]+Table2[[#This Row],[validateTime]]</f>
        <v>8.7526666666666664</v>
      </c>
      <c r="T140" s="29">
        <f>VLOOKUP(Table2[[#This Row],[prolific]],'Correct calc'!B$16:$AJ$998,35,FALSE)</f>
        <v>0.90909090909090906</v>
      </c>
      <c r="U140" s="15">
        <f>SUM(Table2[[#This Row],[priorKnowledge'[CLUSTERING']]:[priorKnowledge'[ZSCORES']]])/Table2[[#This Row],[priorKnowledgeTechQuestionCount]]</f>
        <v>5.666666666666667</v>
      </c>
      <c r="V140" s="16">
        <f>IF(Table2[[#This Row],[visualization]]="Wordcloud",2,3)</f>
        <v>3</v>
      </c>
      <c r="W140" s="31" t="s">
        <v>1154</v>
      </c>
      <c r="X140" s="31">
        <v>5</v>
      </c>
      <c r="Y140" s="31">
        <v>4</v>
      </c>
      <c r="Z140" s="31">
        <v>8</v>
      </c>
      <c r="AA140" s="31">
        <v>4</v>
      </c>
      <c r="AB140" s="31" t="s">
        <v>97</v>
      </c>
      <c r="AC140" s="31" t="s">
        <v>81</v>
      </c>
      <c r="AD140" s="31" t="s">
        <v>82</v>
      </c>
      <c r="AE140" s="31" t="s">
        <v>83</v>
      </c>
      <c r="AF140" s="31" t="s">
        <v>85</v>
      </c>
      <c r="AG140" s="31" t="s">
        <v>86</v>
      </c>
      <c r="AH140" s="31" t="s">
        <v>84</v>
      </c>
      <c r="AI140" s="31" t="s">
        <v>85</v>
      </c>
      <c r="AJ140" s="31" t="s">
        <v>98</v>
      </c>
      <c r="AK140" s="31" t="s">
        <v>88</v>
      </c>
      <c r="AL140" s="31" t="s">
        <v>87</v>
      </c>
      <c r="AM140" s="31" t="s">
        <v>105</v>
      </c>
      <c r="AN140" s="31" t="s">
        <v>90</v>
      </c>
      <c r="AO140" s="31" t="s">
        <v>83</v>
      </c>
      <c r="AP140" s="31" t="s">
        <v>85</v>
      </c>
      <c r="AQ140" s="31" t="s">
        <v>91</v>
      </c>
      <c r="AR140" s="31" t="s">
        <v>102</v>
      </c>
      <c r="AS140" s="31" t="s">
        <v>94</v>
      </c>
      <c r="AT140" s="31" t="s">
        <v>93</v>
      </c>
      <c r="AU140" s="31" t="s">
        <v>94</v>
      </c>
      <c r="AV140" s="31" t="s">
        <v>93</v>
      </c>
      <c r="AW140" s="31" t="s">
        <v>93</v>
      </c>
      <c r="AX140" s="31" t="s">
        <v>93</v>
      </c>
      <c r="AY140" s="31" t="s">
        <v>94</v>
      </c>
      <c r="AZ140" s="31" t="s">
        <v>93</v>
      </c>
      <c r="BA140" s="31" t="s">
        <v>107</v>
      </c>
      <c r="BB140" s="31" t="s">
        <v>421</v>
      </c>
      <c r="BC140" s="24"/>
      <c r="BD140" s="30">
        <f>Table2[[#This Row],[interviewtime]]/60</f>
        <v>10.065333333333333</v>
      </c>
      <c r="BE140" s="31">
        <v>603.91999999999996</v>
      </c>
      <c r="BF140" s="31">
        <v>6.07</v>
      </c>
      <c r="BG140" s="31"/>
      <c r="BH140" s="31">
        <v>32.020000000000003</v>
      </c>
      <c r="BI140" s="31"/>
      <c r="BJ140" s="31"/>
      <c r="BK140" s="31"/>
      <c r="BL140" s="31"/>
      <c r="BM140" s="31">
        <v>277.26</v>
      </c>
      <c r="BN140" s="31"/>
      <c r="BO140" s="31"/>
      <c r="BP140" s="31"/>
      <c r="BQ140" s="31"/>
      <c r="BR140" s="31"/>
      <c r="BS140" s="31"/>
      <c r="BT140" s="31">
        <v>156.27000000000001</v>
      </c>
      <c r="BU140" s="31"/>
      <c r="BV140" s="31"/>
      <c r="BW140" s="31"/>
      <c r="BX140" s="31"/>
      <c r="BY140" s="31"/>
      <c r="BZ140" s="31"/>
      <c r="CA140" s="31"/>
      <c r="CB140" s="31"/>
      <c r="CC140" s="31">
        <v>91.63</v>
      </c>
      <c r="CD140" s="31"/>
      <c r="CE140" s="31"/>
      <c r="CF140" s="31"/>
      <c r="CG140" s="31"/>
      <c r="CH140" s="31"/>
      <c r="CI140" s="31"/>
      <c r="CJ140" s="31"/>
      <c r="CK140" s="31"/>
      <c r="CL140" s="31">
        <v>40.67</v>
      </c>
      <c r="CM140" s="31"/>
      <c r="CN140" s="31"/>
      <c r="CO140" s="24"/>
      <c r="CP140" s="24"/>
      <c r="CQ140" s="43">
        <f>Table2[[#This Row],[groupTime22]]/60</f>
        <v>4.6209999999999996</v>
      </c>
      <c r="CR140" s="43">
        <f>Table2[[#This Row],[groupTime23]]/60</f>
        <v>2.6045000000000003</v>
      </c>
      <c r="CS140" s="43">
        <f>Table2[[#This Row],[groupTime24]]/60</f>
        <v>1.5271666666666666</v>
      </c>
    </row>
    <row r="141" spans="1:97" x14ac:dyDescent="0.25">
      <c r="A141" s="11" t="s">
        <v>352</v>
      </c>
      <c r="B141" s="11" t="s">
        <v>114</v>
      </c>
      <c r="C141" s="11">
        <v>13</v>
      </c>
      <c r="D141" s="11" t="s">
        <v>357</v>
      </c>
      <c r="E141" s="11">
        <v>6</v>
      </c>
      <c r="F141" s="11" t="s">
        <v>79</v>
      </c>
      <c r="G141" s="11">
        <v>1262006069</v>
      </c>
      <c r="H141" s="11" t="s">
        <v>358</v>
      </c>
      <c r="I141" s="11" t="s">
        <v>357</v>
      </c>
      <c r="J141" s="11" t="s">
        <v>80</v>
      </c>
      <c r="K141" s="11" t="str">
        <f>IF(Table2[[#This Row],[priorSuccessRatio]]&lt;1,"yes","no")</f>
        <v>no</v>
      </c>
      <c r="L141" s="27">
        <f>VLOOKUP(Table2[[#This Row],[prolific]],'Correct calc'!B$16:$AJ$998,6,FALSE)</f>
        <v>1</v>
      </c>
      <c r="M141" s="27">
        <f>VLOOKUP(Table2[[#This Row],[prolific]],'Correct calc'!B$16:$AJ$998,14,FALSE)</f>
        <v>0.5</v>
      </c>
      <c r="N141" s="27">
        <f>VLOOKUP(Table2[[#This Row],[prolific]],'Correct calc'!B$16:$AJ1044,24,FALSE)</f>
        <v>0.5</v>
      </c>
      <c r="O141" s="27">
        <f>VLOOKUP(Table2[[#This Row],[prolific]],'Correct calc'!B$16:$AJ1044,34,FALSE)</f>
        <v>0.875</v>
      </c>
      <c r="P141" s="28">
        <f>VLOOKUP(Table2[[#This Row],[comprescore]],Table3[],2,FALSE)</f>
        <v>4</v>
      </c>
      <c r="Q141" s="16">
        <f>VLOOKUP(Table2[[#This Row],[prolific]],'Correct calc'!B$16:$AK$998,36,FALSE)</f>
        <v>14</v>
      </c>
      <c r="R141" s="16">
        <f>Table2[[#This Row],[interviewminutes]]</f>
        <v>14.6555</v>
      </c>
      <c r="S141" s="16">
        <f>Table2[[#This Row],[classifyTime]]+Table2[[#This Row],[explainTime]]+Table2[[#This Row],[validateTime]]</f>
        <v>13.405833333333334</v>
      </c>
      <c r="T141" s="29">
        <f>VLOOKUP(Table2[[#This Row],[prolific]],'Correct calc'!B$16:$AJ$998,35,FALSE)</f>
        <v>0.63636363636363635</v>
      </c>
      <c r="U141" s="15">
        <f>SUM(Table2[[#This Row],[priorKnowledge'[CLUSTERING']]:[priorKnowledge'[ZSCORES']]])/Table2[[#This Row],[priorKnowledgeTechQuestionCount]]</f>
        <v>1</v>
      </c>
      <c r="V141" s="16">
        <f>IF(Table2[[#This Row],[visualization]]="Wordcloud",2,3)</f>
        <v>3</v>
      </c>
      <c r="W141" s="31" t="s">
        <v>1155</v>
      </c>
      <c r="X141" s="31">
        <v>1</v>
      </c>
      <c r="Y141" s="31">
        <v>1</v>
      </c>
      <c r="Z141" s="31">
        <v>1</v>
      </c>
      <c r="AA141" s="31">
        <v>5</v>
      </c>
      <c r="AB141" s="31" t="s">
        <v>97</v>
      </c>
      <c r="AC141" s="31" t="s">
        <v>81</v>
      </c>
      <c r="AD141" s="31" t="s">
        <v>82</v>
      </c>
      <c r="AE141" s="31" t="s">
        <v>83</v>
      </c>
      <c r="AF141" s="31" t="s">
        <v>85</v>
      </c>
      <c r="AG141" s="31" t="s">
        <v>98</v>
      </c>
      <c r="AH141" s="31" t="s">
        <v>84</v>
      </c>
      <c r="AI141" s="31" t="s">
        <v>85</v>
      </c>
      <c r="AJ141" s="31" t="s">
        <v>86</v>
      </c>
      <c r="AK141" s="31" t="s">
        <v>88</v>
      </c>
      <c r="AL141" s="31" t="s">
        <v>87</v>
      </c>
      <c r="AM141" s="31" t="s">
        <v>89</v>
      </c>
      <c r="AN141" s="31" t="s">
        <v>109</v>
      </c>
      <c r="AO141" s="31" t="s">
        <v>83</v>
      </c>
      <c r="AP141" s="31" t="s">
        <v>85</v>
      </c>
      <c r="AQ141" s="31" t="s">
        <v>101</v>
      </c>
      <c r="AR141" s="31" t="s">
        <v>91</v>
      </c>
      <c r="AS141" s="31" t="s">
        <v>94</v>
      </c>
      <c r="AT141" s="31" t="s">
        <v>93</v>
      </c>
      <c r="AU141" s="31" t="s">
        <v>94</v>
      </c>
      <c r="AV141" s="31" t="s">
        <v>93</v>
      </c>
      <c r="AW141" s="31" t="s">
        <v>93</v>
      </c>
      <c r="AX141" s="31" t="s">
        <v>93</v>
      </c>
      <c r="AY141" s="31" t="s">
        <v>94</v>
      </c>
      <c r="AZ141" s="31" t="s">
        <v>93</v>
      </c>
      <c r="BA141" s="31" t="s">
        <v>103</v>
      </c>
      <c r="BB141" s="31" t="s">
        <v>423</v>
      </c>
      <c r="BC141" s="24"/>
      <c r="BD141" s="30">
        <f>Table2[[#This Row],[interviewtime]]/60</f>
        <v>14.6555</v>
      </c>
      <c r="BE141" s="31">
        <v>879.33</v>
      </c>
      <c r="BF141" s="31">
        <v>5.3</v>
      </c>
      <c r="BG141" s="31"/>
      <c r="BH141" s="31">
        <v>43.36</v>
      </c>
      <c r="BI141" s="31"/>
      <c r="BJ141" s="31"/>
      <c r="BK141" s="31"/>
      <c r="BL141" s="31"/>
      <c r="BM141" s="31">
        <v>419.75</v>
      </c>
      <c r="BN141" s="31"/>
      <c r="BO141" s="31"/>
      <c r="BP141" s="31"/>
      <c r="BQ141" s="31"/>
      <c r="BR141" s="31"/>
      <c r="BS141" s="31"/>
      <c r="BT141" s="31">
        <v>229.96</v>
      </c>
      <c r="BU141" s="31"/>
      <c r="BV141" s="31"/>
      <c r="BW141" s="31"/>
      <c r="BX141" s="31"/>
      <c r="BY141" s="31"/>
      <c r="BZ141" s="31"/>
      <c r="CA141" s="31"/>
      <c r="CB141" s="31"/>
      <c r="CC141" s="31">
        <v>154.63999999999999</v>
      </c>
      <c r="CD141" s="31"/>
      <c r="CE141" s="31"/>
      <c r="CF141" s="31"/>
      <c r="CG141" s="31"/>
      <c r="CH141" s="31"/>
      <c r="CI141" s="31"/>
      <c r="CJ141" s="31"/>
      <c r="CK141" s="31"/>
      <c r="CL141" s="31">
        <v>26.32</v>
      </c>
      <c r="CM141" s="31"/>
      <c r="CN141" s="31"/>
      <c r="CO141" s="24"/>
      <c r="CP141" s="24"/>
      <c r="CQ141" s="43">
        <f>Table2[[#This Row],[groupTime22]]/60</f>
        <v>6.9958333333333336</v>
      </c>
      <c r="CR141" s="43">
        <f>Table2[[#This Row],[groupTime23]]/60</f>
        <v>3.8326666666666669</v>
      </c>
      <c r="CS141" s="43">
        <f>Table2[[#This Row],[groupTime24]]/60</f>
        <v>2.5773333333333333</v>
      </c>
    </row>
    <row r="142" spans="1:97" x14ac:dyDescent="0.25">
      <c r="A142" s="11" t="s">
        <v>352</v>
      </c>
      <c r="B142" s="11" t="s">
        <v>114</v>
      </c>
      <c r="C142" s="11">
        <v>14</v>
      </c>
      <c r="D142" s="11" t="s">
        <v>359</v>
      </c>
      <c r="E142" s="11">
        <v>6</v>
      </c>
      <c r="F142" s="11" t="s">
        <v>79</v>
      </c>
      <c r="G142" s="11">
        <v>1650433702</v>
      </c>
      <c r="H142" s="11" t="s">
        <v>360</v>
      </c>
      <c r="I142" s="11" t="s">
        <v>359</v>
      </c>
      <c r="J142" s="11" t="s">
        <v>80</v>
      </c>
      <c r="K142" s="11" t="str">
        <f>IF(Table2[[#This Row],[priorSuccessRatio]]&lt;1,"yes","no")</f>
        <v>no</v>
      </c>
      <c r="L142" s="27">
        <f>VLOOKUP(Table2[[#This Row],[prolific]],'Correct calc'!B$16:$AJ$998,6,FALSE)</f>
        <v>1</v>
      </c>
      <c r="M142" s="27">
        <f>VLOOKUP(Table2[[#This Row],[prolific]],'Correct calc'!B$16:$AJ$998,14,FALSE)</f>
        <v>1</v>
      </c>
      <c r="N142" s="27">
        <f>VLOOKUP(Table2[[#This Row],[prolific]],'Correct calc'!B$16:$AJ1045,24,FALSE)</f>
        <v>0.375</v>
      </c>
      <c r="O142" s="27">
        <f>VLOOKUP(Table2[[#This Row],[prolific]],'Correct calc'!B$16:$AJ1045,34,FALSE)</f>
        <v>0.5</v>
      </c>
      <c r="P142" s="28">
        <f>VLOOKUP(Table2[[#This Row],[comprescore]],Table3[],2,FALSE)</f>
        <v>2</v>
      </c>
      <c r="Q142" s="16">
        <f>VLOOKUP(Table2[[#This Row],[prolific]],'Correct calc'!B$16:$AK$998,36,FALSE)</f>
        <v>13</v>
      </c>
      <c r="R142" s="16">
        <f>Table2[[#This Row],[interviewminutes]]</f>
        <v>14.967333333333332</v>
      </c>
      <c r="S142" s="16">
        <f>Table2[[#This Row],[classifyTime]]+Table2[[#This Row],[explainTime]]+Table2[[#This Row],[validateTime]]</f>
        <v>12.571833333333334</v>
      </c>
      <c r="T142" s="29">
        <f>VLOOKUP(Table2[[#This Row],[prolific]],'Correct calc'!B$16:$AJ$998,35,FALSE)</f>
        <v>0.59090909090909094</v>
      </c>
      <c r="U142" s="15">
        <f>SUM(Table2[[#This Row],[priorKnowledge'[CLUSTERING']]:[priorKnowledge'[ZSCORES']]])/Table2[[#This Row],[priorKnowledgeTechQuestionCount]]</f>
        <v>1</v>
      </c>
      <c r="V142" s="16">
        <f>IF(Table2[[#This Row],[visualization]]="Wordcloud",2,3)</f>
        <v>3</v>
      </c>
      <c r="W142" s="31" t="s">
        <v>1156</v>
      </c>
      <c r="X142" s="31">
        <v>1</v>
      </c>
      <c r="Y142" s="31">
        <v>1</v>
      </c>
      <c r="Z142" s="31">
        <v>1</v>
      </c>
      <c r="AA142" s="31">
        <v>3</v>
      </c>
      <c r="AB142" s="31" t="s">
        <v>97</v>
      </c>
      <c r="AC142" s="31" t="s">
        <v>81</v>
      </c>
      <c r="AD142" s="31" t="s">
        <v>82</v>
      </c>
      <c r="AE142" s="31" t="s">
        <v>83</v>
      </c>
      <c r="AF142" s="31" t="s">
        <v>85</v>
      </c>
      <c r="AG142" s="31" t="s">
        <v>86</v>
      </c>
      <c r="AH142" s="31" t="s">
        <v>84</v>
      </c>
      <c r="AI142" s="31" t="s">
        <v>104</v>
      </c>
      <c r="AJ142" s="31" t="s">
        <v>98</v>
      </c>
      <c r="AK142" s="31" t="s">
        <v>88</v>
      </c>
      <c r="AL142" s="31" t="s">
        <v>87</v>
      </c>
      <c r="AM142" s="31" t="s">
        <v>285</v>
      </c>
      <c r="AN142" s="31" t="s">
        <v>100</v>
      </c>
      <c r="AO142" s="31" t="s">
        <v>86</v>
      </c>
      <c r="AP142" s="31" t="s">
        <v>85</v>
      </c>
      <c r="AQ142" s="31" t="s">
        <v>101</v>
      </c>
      <c r="AR142" s="31" t="s">
        <v>91</v>
      </c>
      <c r="AS142" s="31" t="s">
        <v>94</v>
      </c>
      <c r="AT142" s="31" t="s">
        <v>94</v>
      </c>
      <c r="AU142" s="31" t="s">
        <v>94</v>
      </c>
      <c r="AV142" s="31" t="s">
        <v>94</v>
      </c>
      <c r="AW142" s="31" t="s">
        <v>94</v>
      </c>
      <c r="AX142" s="31" t="s">
        <v>94</v>
      </c>
      <c r="AY142" s="31" t="s">
        <v>93</v>
      </c>
      <c r="AZ142" s="31" t="s">
        <v>93</v>
      </c>
      <c r="BA142" s="31" t="s">
        <v>106</v>
      </c>
      <c r="BB142" s="31" t="s">
        <v>425</v>
      </c>
      <c r="BC142" s="24"/>
      <c r="BD142" s="30">
        <f>Table2[[#This Row],[interviewtime]]/60</f>
        <v>14.967333333333332</v>
      </c>
      <c r="BE142" s="31">
        <v>898.04</v>
      </c>
      <c r="BF142" s="31">
        <v>6.13</v>
      </c>
      <c r="BG142" s="31"/>
      <c r="BH142" s="31">
        <v>91.81</v>
      </c>
      <c r="BI142" s="31"/>
      <c r="BJ142" s="31"/>
      <c r="BK142" s="31"/>
      <c r="BL142" s="31"/>
      <c r="BM142" s="31">
        <v>409.32</v>
      </c>
      <c r="BN142" s="31"/>
      <c r="BO142" s="31"/>
      <c r="BP142" s="31"/>
      <c r="BQ142" s="31"/>
      <c r="BR142" s="31"/>
      <c r="BS142" s="31"/>
      <c r="BT142" s="31">
        <v>245.56</v>
      </c>
      <c r="BU142" s="31"/>
      <c r="BV142" s="31"/>
      <c r="BW142" s="31"/>
      <c r="BX142" s="31"/>
      <c r="BY142" s="31"/>
      <c r="BZ142" s="31"/>
      <c r="CA142" s="31"/>
      <c r="CB142" s="31"/>
      <c r="CC142" s="31">
        <v>99.43</v>
      </c>
      <c r="CD142" s="31"/>
      <c r="CE142" s="31"/>
      <c r="CF142" s="31"/>
      <c r="CG142" s="31"/>
      <c r="CH142" s="31"/>
      <c r="CI142" s="31"/>
      <c r="CJ142" s="31"/>
      <c r="CK142" s="31"/>
      <c r="CL142" s="31">
        <v>45.79</v>
      </c>
      <c r="CM142" s="31"/>
      <c r="CN142" s="31"/>
      <c r="CO142" s="24"/>
      <c r="CP142" s="24"/>
      <c r="CQ142" s="43">
        <f>Table2[[#This Row],[groupTime22]]/60</f>
        <v>6.8220000000000001</v>
      </c>
      <c r="CR142" s="43">
        <f>Table2[[#This Row],[groupTime23]]/60</f>
        <v>4.0926666666666671</v>
      </c>
      <c r="CS142" s="43">
        <f>Table2[[#This Row],[groupTime24]]/60</f>
        <v>1.6571666666666667</v>
      </c>
    </row>
    <row r="143" spans="1:97" hidden="1" x14ac:dyDescent="0.25">
      <c r="A143" s="36" t="s">
        <v>638</v>
      </c>
      <c r="B143" s="11" t="s">
        <v>114</v>
      </c>
      <c r="C143" s="11">
        <v>48</v>
      </c>
      <c r="D143" s="11" t="s">
        <v>587</v>
      </c>
      <c r="E143" s="11">
        <v>6</v>
      </c>
      <c r="F143" s="11" t="s">
        <v>79</v>
      </c>
      <c r="G143" s="11">
        <v>881037291</v>
      </c>
      <c r="H143" s="11" t="s">
        <v>588</v>
      </c>
      <c r="I143" s="11" t="s">
        <v>587</v>
      </c>
      <c r="J143" s="11" t="s">
        <v>589</v>
      </c>
      <c r="K143" s="37" t="str">
        <f>IF(Table2[[#This Row],[priorSuccessRatio]]&lt;1,"yes","no")</f>
        <v>yes</v>
      </c>
      <c r="L143" s="38">
        <f>VLOOKUP(Table2[[#This Row],[prolific]],'Correct calc'!B$16:$AJ$998,6,FALSE)</f>
        <v>0.33333333333333331</v>
      </c>
      <c r="M143" s="27">
        <f>VLOOKUP(Table2[[#This Row],[prolific]],'Correct calc'!B$16:$AJ$998,14,FALSE)</f>
        <v>0.33333333333333331</v>
      </c>
      <c r="N143" s="27">
        <f>VLOOKUP(Table2[[#This Row],[prolific]],'Correct calc'!B$16:$AJ1100,24,FALSE)</f>
        <v>0.625</v>
      </c>
      <c r="O143" s="27">
        <f>VLOOKUP(Table2[[#This Row],[prolific]],'Correct calc'!B$16:$AJ1100,34,FALSE)</f>
        <v>0.75</v>
      </c>
      <c r="P143" s="39">
        <f>VLOOKUP(Table2[[#This Row],[comprescore]],Table3[],2,FALSE)</f>
        <v>3</v>
      </c>
      <c r="Q143" s="16">
        <f>VLOOKUP(Table2[[#This Row],[prolific]],'Correct calc'!B$16:$AK$998,36,FALSE)</f>
        <v>13</v>
      </c>
      <c r="R143" s="40">
        <f>Table2[[#This Row],[interviewminutes]]</f>
        <v>13.078666666666667</v>
      </c>
      <c r="S143" s="40">
        <f>Table2[[#This Row],[classifyTime]]+Table2[[#This Row],[explainTime]]+Table2[[#This Row],[validateTime]]</f>
        <v>11.417333333333332</v>
      </c>
      <c r="T143" s="29">
        <f>VLOOKUP(Table2[[#This Row],[prolific]],'Correct calc'!B$16:$AJ$998,35,FALSE)</f>
        <v>0.59090909090909094</v>
      </c>
      <c r="U143" s="42">
        <f>SUM(Table2[[#This Row],[priorKnowledge'[CLUSTERING']]:[priorKnowledge'[ZSCORES']]])/Table2[[#This Row],[priorKnowledgeTechQuestionCount]]</f>
        <v>5.666666666666667</v>
      </c>
      <c r="V143" s="40">
        <f>IF(Table2[[#This Row],[visualization]]="Wordcloud",2,3)</f>
        <v>3</v>
      </c>
      <c r="W143" s="31" t="s">
        <v>1157</v>
      </c>
      <c r="X143" s="31">
        <v>6</v>
      </c>
      <c r="Y143" s="31">
        <v>5</v>
      </c>
      <c r="Z143" s="31">
        <v>6</v>
      </c>
      <c r="AA143" s="31">
        <v>8</v>
      </c>
      <c r="AB143" s="31" t="s">
        <v>81</v>
      </c>
      <c r="AC143" s="31" t="s">
        <v>97</v>
      </c>
      <c r="AD143" s="31" t="s">
        <v>82</v>
      </c>
      <c r="AE143" s="31" t="s">
        <v>83</v>
      </c>
      <c r="AF143" s="31" t="s">
        <v>86</v>
      </c>
      <c r="AG143" s="31" t="s">
        <v>98</v>
      </c>
      <c r="AH143" s="31" t="s">
        <v>84</v>
      </c>
      <c r="AI143" s="31" t="s">
        <v>85</v>
      </c>
      <c r="AJ143" s="31" t="s">
        <v>86</v>
      </c>
      <c r="AK143" s="31" t="s">
        <v>88</v>
      </c>
      <c r="AL143" s="31" t="s">
        <v>87</v>
      </c>
      <c r="AM143" s="31" t="s">
        <v>105</v>
      </c>
      <c r="AN143" s="31" t="s">
        <v>100</v>
      </c>
      <c r="AO143" s="31" t="s">
        <v>83</v>
      </c>
      <c r="AP143" s="31" t="s">
        <v>85</v>
      </c>
      <c r="AQ143" s="31" t="s">
        <v>101</v>
      </c>
      <c r="AR143" s="31" t="s">
        <v>92</v>
      </c>
      <c r="AS143" s="31" t="s">
        <v>94</v>
      </c>
      <c r="AT143" s="31" t="s">
        <v>93</v>
      </c>
      <c r="AU143" s="31" t="s">
        <v>94</v>
      </c>
      <c r="AV143" s="31" t="s">
        <v>94</v>
      </c>
      <c r="AW143" s="31" t="s">
        <v>94</v>
      </c>
      <c r="AX143" s="31" t="s">
        <v>93</v>
      </c>
      <c r="AY143" s="31" t="s">
        <v>94</v>
      </c>
      <c r="AZ143" s="31" t="s">
        <v>94</v>
      </c>
      <c r="BA143" s="31" t="s">
        <v>107</v>
      </c>
      <c r="BB143" s="31" t="s">
        <v>618</v>
      </c>
      <c r="BC143" s="43"/>
      <c r="BD143" s="44">
        <f>Table2[[#This Row],[interviewtime]]/60</f>
        <v>13.078666666666667</v>
      </c>
      <c r="BE143" s="31">
        <v>784.72</v>
      </c>
      <c r="BF143" s="31">
        <v>5.97</v>
      </c>
      <c r="BG143" s="31"/>
      <c r="BH143" s="31">
        <v>55.15</v>
      </c>
      <c r="BI143" s="31"/>
      <c r="BJ143" s="31"/>
      <c r="BK143" s="31"/>
      <c r="BL143" s="31"/>
      <c r="BM143" s="31">
        <v>292.39999999999998</v>
      </c>
      <c r="BN143" s="31"/>
      <c r="BO143" s="31"/>
      <c r="BP143" s="31"/>
      <c r="BQ143" s="31"/>
      <c r="BR143" s="31"/>
      <c r="BS143" s="31"/>
      <c r="BT143" s="31">
        <v>283.76</v>
      </c>
      <c r="BU143" s="31"/>
      <c r="BV143" s="31"/>
      <c r="BW143" s="31"/>
      <c r="BX143" s="31"/>
      <c r="BY143" s="31"/>
      <c r="BZ143" s="31"/>
      <c r="CA143" s="31"/>
      <c r="CB143" s="31"/>
      <c r="CC143" s="31">
        <v>108.88</v>
      </c>
      <c r="CD143" s="31"/>
      <c r="CE143" s="31"/>
      <c r="CF143" s="31"/>
      <c r="CG143" s="31"/>
      <c r="CH143" s="31"/>
      <c r="CI143" s="31"/>
      <c r="CJ143" s="31"/>
      <c r="CK143" s="31"/>
      <c r="CL143" s="31">
        <v>38.56</v>
      </c>
      <c r="CM143" s="43"/>
      <c r="CN143" s="43"/>
      <c r="CO143" s="43"/>
      <c r="CP143" s="43"/>
      <c r="CQ143" s="43">
        <f>Table2[[#This Row],[groupTime22]]/60</f>
        <v>4.8733333333333331</v>
      </c>
      <c r="CR143" s="43">
        <f>Table2[[#This Row],[groupTime23]]/60</f>
        <v>4.7293333333333329</v>
      </c>
      <c r="CS143" s="43">
        <f>Table2[[#This Row],[groupTime24]]/60</f>
        <v>1.8146666666666667</v>
      </c>
    </row>
    <row r="144" spans="1:97" x14ac:dyDescent="0.25">
      <c r="A144" s="11" t="s">
        <v>352</v>
      </c>
      <c r="B144" s="11" t="s">
        <v>114</v>
      </c>
      <c r="C144" s="11">
        <v>16</v>
      </c>
      <c r="D144" s="11" t="s">
        <v>361</v>
      </c>
      <c r="E144" s="11">
        <v>6</v>
      </c>
      <c r="F144" s="11" t="s">
        <v>79</v>
      </c>
      <c r="G144" s="11">
        <v>1875078774</v>
      </c>
      <c r="H144" s="11" t="s">
        <v>362</v>
      </c>
      <c r="I144" s="11" t="s">
        <v>361</v>
      </c>
      <c r="J144" s="11" t="s">
        <v>80</v>
      </c>
      <c r="K144" s="11" t="str">
        <f>IF(Table2[[#This Row],[priorSuccessRatio]]&lt;1,"yes","no")</f>
        <v>no</v>
      </c>
      <c r="L144" s="27">
        <f>VLOOKUP(Table2[[#This Row],[prolific]],'Correct calc'!B$16:$AJ$998,6,FALSE)</f>
        <v>1</v>
      </c>
      <c r="M144" s="27">
        <f>VLOOKUP(Table2[[#This Row],[prolific]],'Correct calc'!B$16:$AJ$998,14,FALSE)</f>
        <v>0.16666666666666666</v>
      </c>
      <c r="N144" s="27">
        <f>VLOOKUP(Table2[[#This Row],[prolific]],'Correct calc'!B$16:$AJ1046,24,FALSE)</f>
        <v>0.5</v>
      </c>
      <c r="O144" s="27">
        <f>VLOOKUP(Table2[[#This Row],[prolific]],'Correct calc'!B$16:$AJ1046,34,FALSE)</f>
        <v>0.75</v>
      </c>
      <c r="P144" s="28">
        <f>VLOOKUP(Table2[[#This Row],[comprescore]],Table3[],2,FALSE)</f>
        <v>2</v>
      </c>
      <c r="Q144" s="16">
        <f>VLOOKUP(Table2[[#This Row],[prolific]],'Correct calc'!B$16:$AK$998,36,FALSE)</f>
        <v>11</v>
      </c>
      <c r="R144" s="16">
        <f>Table2[[#This Row],[interviewminutes]]</f>
        <v>12.818000000000001</v>
      </c>
      <c r="S144" s="16">
        <f>Table2[[#This Row],[classifyTime]]+Table2[[#This Row],[explainTime]]+Table2[[#This Row],[validateTime]]</f>
        <v>10.817166666666665</v>
      </c>
      <c r="T144" s="29">
        <f>VLOOKUP(Table2[[#This Row],[prolific]],'Correct calc'!B$16:$AJ$998,35,FALSE)</f>
        <v>0.5</v>
      </c>
      <c r="U144" s="15">
        <f>SUM(Table2[[#This Row],[priorKnowledge'[CLUSTERING']]:[priorKnowledge'[ZSCORES']]])/Table2[[#This Row],[priorKnowledgeTechQuestionCount]]</f>
        <v>10</v>
      </c>
      <c r="V144" s="16">
        <f>IF(Table2[[#This Row],[visualization]]="Wordcloud",2,3)</f>
        <v>3</v>
      </c>
      <c r="W144" s="31" t="s">
        <v>1158</v>
      </c>
      <c r="X144" s="31">
        <v>10</v>
      </c>
      <c r="Y144" s="31">
        <v>10</v>
      </c>
      <c r="Z144" s="31">
        <v>10</v>
      </c>
      <c r="AA144" s="31">
        <v>10</v>
      </c>
      <c r="AB144" s="31" t="s">
        <v>97</v>
      </c>
      <c r="AC144" s="31" t="s">
        <v>81</v>
      </c>
      <c r="AD144" s="31" t="s">
        <v>82</v>
      </c>
      <c r="AE144" s="31" t="s">
        <v>104</v>
      </c>
      <c r="AF144" s="31" t="s">
        <v>98</v>
      </c>
      <c r="AG144" s="31" t="s">
        <v>86</v>
      </c>
      <c r="AH144" s="31" t="s">
        <v>86</v>
      </c>
      <c r="AI144" s="31" t="s">
        <v>83</v>
      </c>
      <c r="AJ144" s="31" t="s">
        <v>104</v>
      </c>
      <c r="AK144" s="31" t="s">
        <v>88</v>
      </c>
      <c r="AL144" s="31" t="s">
        <v>87</v>
      </c>
      <c r="AM144" s="31" t="s">
        <v>99</v>
      </c>
      <c r="AN144" s="31" t="s">
        <v>100</v>
      </c>
      <c r="AO144" s="31" t="s">
        <v>85</v>
      </c>
      <c r="AP144" s="31" t="s">
        <v>85</v>
      </c>
      <c r="AQ144" s="31" t="s">
        <v>111</v>
      </c>
      <c r="AR144" s="31" t="s">
        <v>102</v>
      </c>
      <c r="AS144" s="31" t="s">
        <v>94</v>
      </c>
      <c r="AT144" s="31" t="s">
        <v>93</v>
      </c>
      <c r="AU144" s="31" t="s">
        <v>94</v>
      </c>
      <c r="AV144" s="31" t="s">
        <v>93</v>
      </c>
      <c r="AW144" s="31" t="s">
        <v>93</v>
      </c>
      <c r="AX144" s="31" t="s">
        <v>93</v>
      </c>
      <c r="AY144" s="31" t="s">
        <v>93</v>
      </c>
      <c r="AZ144" s="31" t="s">
        <v>93</v>
      </c>
      <c r="BA144" s="31" t="s">
        <v>106</v>
      </c>
      <c r="BB144" s="31" t="s">
        <v>427</v>
      </c>
      <c r="BC144" s="24"/>
      <c r="BD144" s="30">
        <f>Table2[[#This Row],[interviewtime]]/60</f>
        <v>12.818000000000001</v>
      </c>
      <c r="BE144" s="31">
        <v>769.08</v>
      </c>
      <c r="BF144" s="31">
        <v>7.11</v>
      </c>
      <c r="BG144" s="31"/>
      <c r="BH144" s="31">
        <v>56.4</v>
      </c>
      <c r="BI144" s="31"/>
      <c r="BJ144" s="31"/>
      <c r="BK144" s="31"/>
      <c r="BL144" s="31"/>
      <c r="BM144" s="31">
        <v>264.63</v>
      </c>
      <c r="BN144" s="31"/>
      <c r="BO144" s="31"/>
      <c r="BP144" s="31"/>
      <c r="BQ144" s="31"/>
      <c r="BR144" s="31"/>
      <c r="BS144" s="31"/>
      <c r="BT144" s="31">
        <v>243.34</v>
      </c>
      <c r="BU144" s="31"/>
      <c r="BV144" s="31"/>
      <c r="BW144" s="31"/>
      <c r="BX144" s="31"/>
      <c r="BY144" s="31"/>
      <c r="BZ144" s="31"/>
      <c r="CA144" s="31"/>
      <c r="CB144" s="31"/>
      <c r="CC144" s="31">
        <v>141.06</v>
      </c>
      <c r="CD144" s="31"/>
      <c r="CE144" s="31"/>
      <c r="CF144" s="31"/>
      <c r="CG144" s="31"/>
      <c r="CH144" s="31"/>
      <c r="CI144" s="31"/>
      <c r="CJ144" s="31"/>
      <c r="CK144" s="31"/>
      <c r="CL144" s="31">
        <v>56.54</v>
      </c>
      <c r="CM144" s="31"/>
      <c r="CN144" s="31"/>
      <c r="CO144" s="24"/>
      <c r="CP144" s="24"/>
      <c r="CQ144" s="43">
        <f>Table2[[#This Row],[groupTime22]]/60</f>
        <v>4.4104999999999999</v>
      </c>
      <c r="CR144" s="43">
        <f>Table2[[#This Row],[groupTime23]]/60</f>
        <v>4.0556666666666663</v>
      </c>
      <c r="CS144" s="43">
        <f>Table2[[#This Row],[groupTime24]]/60</f>
        <v>2.351</v>
      </c>
    </row>
    <row r="145" spans="1:97" x14ac:dyDescent="0.25">
      <c r="A145" s="11" t="s">
        <v>352</v>
      </c>
      <c r="B145" s="11" t="s">
        <v>114</v>
      </c>
      <c r="C145" s="11">
        <v>19</v>
      </c>
      <c r="D145" s="11" t="s">
        <v>365</v>
      </c>
      <c r="E145" s="11">
        <v>6</v>
      </c>
      <c r="F145" s="11" t="s">
        <v>79</v>
      </c>
      <c r="G145" s="11">
        <v>900863003</v>
      </c>
      <c r="H145" s="11" t="s">
        <v>366</v>
      </c>
      <c r="I145" s="11" t="s">
        <v>365</v>
      </c>
      <c r="J145" s="11" t="s">
        <v>80</v>
      </c>
      <c r="K145" s="11" t="str">
        <f>IF(Table2[[#This Row],[priorSuccessRatio]]&lt;1,"yes","no")</f>
        <v>no</v>
      </c>
      <c r="L145" s="27">
        <f>VLOOKUP(Table2[[#This Row],[prolific]],'Correct calc'!B$16:$AJ$998,6,FALSE)</f>
        <v>1</v>
      </c>
      <c r="M145" s="27">
        <f>VLOOKUP(Table2[[#This Row],[prolific]],'Correct calc'!B$16:$AJ$998,14,FALSE)</f>
        <v>1</v>
      </c>
      <c r="N145" s="27">
        <f>VLOOKUP(Table2[[#This Row],[prolific]],'Correct calc'!B$16:$AJ1048,24,FALSE)</f>
        <v>0.75</v>
      </c>
      <c r="O145" s="27">
        <f>VLOOKUP(Table2[[#This Row],[prolific]],'Correct calc'!B$16:$AJ1048,34,FALSE)</f>
        <v>1</v>
      </c>
      <c r="P145" s="28">
        <f>VLOOKUP(Table2[[#This Row],[comprescore]],Table3[],2,FALSE)</f>
        <v>2</v>
      </c>
      <c r="Q145" s="16">
        <f>VLOOKUP(Table2[[#This Row],[prolific]],'Correct calc'!B$16:$AK$998,36,FALSE)</f>
        <v>20</v>
      </c>
      <c r="R145" s="16">
        <f>Table2[[#This Row],[interviewminutes]]</f>
        <v>17.853999999999999</v>
      </c>
      <c r="S145" s="16">
        <f>Table2[[#This Row],[classifyTime]]+Table2[[#This Row],[explainTime]]+Table2[[#This Row],[validateTime]]</f>
        <v>16.149333333333335</v>
      </c>
      <c r="T145" s="29">
        <f>VLOOKUP(Table2[[#This Row],[prolific]],'Correct calc'!B$16:$AJ$998,35,FALSE)</f>
        <v>0.90909090909090906</v>
      </c>
      <c r="U145" s="15">
        <f>SUM(Table2[[#This Row],[priorKnowledge'[CLUSTERING']]:[priorKnowledge'[ZSCORES']]])/Table2[[#This Row],[priorKnowledgeTechQuestionCount]]</f>
        <v>1.3333333333333333</v>
      </c>
      <c r="V145" s="16">
        <f>IF(Table2[[#This Row],[visualization]]="Wordcloud",2,3)</f>
        <v>3</v>
      </c>
      <c r="W145" s="31" t="s">
        <v>1159</v>
      </c>
      <c r="X145" s="31">
        <v>1</v>
      </c>
      <c r="Y145" s="31">
        <v>1</v>
      </c>
      <c r="Z145" s="31">
        <v>2</v>
      </c>
      <c r="AA145" s="31">
        <v>5</v>
      </c>
      <c r="AB145" s="31" t="s">
        <v>97</v>
      </c>
      <c r="AC145" s="31" t="s">
        <v>81</v>
      </c>
      <c r="AD145" s="31" t="s">
        <v>82</v>
      </c>
      <c r="AE145" s="31" t="s">
        <v>83</v>
      </c>
      <c r="AF145" s="31" t="s">
        <v>85</v>
      </c>
      <c r="AG145" s="31" t="s">
        <v>86</v>
      </c>
      <c r="AH145" s="31" t="s">
        <v>84</v>
      </c>
      <c r="AI145" s="31" t="s">
        <v>104</v>
      </c>
      <c r="AJ145" s="31" t="s">
        <v>98</v>
      </c>
      <c r="AK145" s="31" t="s">
        <v>88</v>
      </c>
      <c r="AL145" s="31" t="s">
        <v>87</v>
      </c>
      <c r="AM145" s="31" t="s">
        <v>285</v>
      </c>
      <c r="AN145" s="31" t="s">
        <v>100</v>
      </c>
      <c r="AO145" s="31" t="s">
        <v>83</v>
      </c>
      <c r="AP145" s="31" t="s">
        <v>85</v>
      </c>
      <c r="AQ145" s="31" t="s">
        <v>91</v>
      </c>
      <c r="AR145" s="31" t="s">
        <v>102</v>
      </c>
      <c r="AS145" s="31" t="s">
        <v>94</v>
      </c>
      <c r="AT145" s="31" t="s">
        <v>93</v>
      </c>
      <c r="AU145" s="31" t="s">
        <v>94</v>
      </c>
      <c r="AV145" s="31" t="s">
        <v>93</v>
      </c>
      <c r="AW145" s="31" t="s">
        <v>94</v>
      </c>
      <c r="AX145" s="31" t="s">
        <v>93</v>
      </c>
      <c r="AY145" s="31" t="s">
        <v>94</v>
      </c>
      <c r="AZ145" s="31" t="s">
        <v>93</v>
      </c>
      <c r="BA145" s="31" t="s">
        <v>106</v>
      </c>
      <c r="BB145" s="31" t="s">
        <v>430</v>
      </c>
      <c r="BC145" s="24"/>
      <c r="BD145" s="30">
        <f>Table2[[#This Row],[interviewtime]]/60</f>
        <v>17.853999999999999</v>
      </c>
      <c r="BE145" s="31">
        <v>1071.24</v>
      </c>
      <c r="BF145" s="31">
        <v>7.67</v>
      </c>
      <c r="BG145" s="31"/>
      <c r="BH145" s="31">
        <v>62.06</v>
      </c>
      <c r="BI145" s="31"/>
      <c r="BJ145" s="31"/>
      <c r="BK145" s="31"/>
      <c r="BL145" s="31"/>
      <c r="BM145" s="31">
        <v>277.69</v>
      </c>
      <c r="BN145" s="31"/>
      <c r="BO145" s="31"/>
      <c r="BP145" s="31"/>
      <c r="BQ145" s="31"/>
      <c r="BR145" s="31"/>
      <c r="BS145" s="31"/>
      <c r="BT145" s="31">
        <v>602.17999999999995</v>
      </c>
      <c r="BU145" s="31"/>
      <c r="BV145" s="31"/>
      <c r="BW145" s="31"/>
      <c r="BX145" s="31"/>
      <c r="BY145" s="31"/>
      <c r="BZ145" s="31"/>
      <c r="CA145" s="31"/>
      <c r="CB145" s="31"/>
      <c r="CC145" s="31">
        <v>89.09</v>
      </c>
      <c r="CD145" s="31"/>
      <c r="CE145" s="31"/>
      <c r="CF145" s="31"/>
      <c r="CG145" s="31"/>
      <c r="CH145" s="31"/>
      <c r="CI145" s="31"/>
      <c r="CJ145" s="31"/>
      <c r="CK145" s="31"/>
      <c r="CL145" s="31">
        <v>32.549999999999997</v>
      </c>
      <c r="CM145" s="31"/>
      <c r="CN145" s="31"/>
      <c r="CO145" s="24"/>
      <c r="CP145" s="24"/>
      <c r="CQ145" s="43">
        <f>Table2[[#This Row],[groupTime22]]/60</f>
        <v>4.628166666666667</v>
      </c>
      <c r="CR145" s="43">
        <f>Table2[[#This Row],[groupTime23]]/60</f>
        <v>10.036333333333333</v>
      </c>
      <c r="CS145" s="43">
        <f>Table2[[#This Row],[groupTime24]]/60</f>
        <v>1.4848333333333334</v>
      </c>
    </row>
    <row r="146" spans="1:97" x14ac:dyDescent="0.25">
      <c r="A146" s="11" t="s">
        <v>352</v>
      </c>
      <c r="B146" s="11" t="s">
        <v>114</v>
      </c>
      <c r="C146" s="11">
        <v>20</v>
      </c>
      <c r="D146" s="11" t="s">
        <v>367</v>
      </c>
      <c r="E146" s="11">
        <v>6</v>
      </c>
      <c r="F146" s="11" t="s">
        <v>79</v>
      </c>
      <c r="G146" s="11">
        <v>22906913</v>
      </c>
      <c r="H146" s="11" t="s">
        <v>368</v>
      </c>
      <c r="I146" s="11" t="s">
        <v>367</v>
      </c>
      <c r="J146" s="11" t="s">
        <v>80</v>
      </c>
      <c r="K146" s="11" t="str">
        <f>IF(Table2[[#This Row],[priorSuccessRatio]]&lt;1,"yes","no")</f>
        <v>no</v>
      </c>
      <c r="L146" s="27">
        <f>VLOOKUP(Table2[[#This Row],[prolific]],'Correct calc'!B$16:$AJ$998,6,FALSE)</f>
        <v>1</v>
      </c>
      <c r="M146" s="27">
        <f>VLOOKUP(Table2[[#This Row],[prolific]],'Correct calc'!B$16:$AJ$998,14,FALSE)</f>
        <v>1</v>
      </c>
      <c r="N146" s="27">
        <f>VLOOKUP(Table2[[#This Row],[prolific]],'Correct calc'!B$16:$AJ1049,24,FALSE)</f>
        <v>1</v>
      </c>
      <c r="O146" s="27">
        <f>VLOOKUP(Table2[[#This Row],[prolific]],'Correct calc'!B$16:$AJ1049,34,FALSE)</f>
        <v>0.875</v>
      </c>
      <c r="P146" s="28">
        <f>VLOOKUP(Table2[[#This Row],[comprescore]],Table3[],2,FALSE)</f>
        <v>2</v>
      </c>
      <c r="Q146" s="16">
        <f>VLOOKUP(Table2[[#This Row],[prolific]],'Correct calc'!B$16:$AK$998,36,FALSE)</f>
        <v>21</v>
      </c>
      <c r="R146" s="16">
        <f>Table2[[#This Row],[interviewminutes]]</f>
        <v>19.118833333333335</v>
      </c>
      <c r="S146" s="16">
        <f>Table2[[#This Row],[classifyTime]]+Table2[[#This Row],[explainTime]]+Table2[[#This Row],[validateTime]]</f>
        <v>14.666166666666665</v>
      </c>
      <c r="T146" s="29">
        <f>VLOOKUP(Table2[[#This Row],[prolific]],'Correct calc'!B$16:$AJ$998,35,FALSE)</f>
        <v>0.95454545454545459</v>
      </c>
      <c r="U146" s="15">
        <f>SUM(Table2[[#This Row],[priorKnowledge'[CLUSTERING']]:[priorKnowledge'[ZSCORES']]])/Table2[[#This Row],[priorKnowledgeTechQuestionCount]]</f>
        <v>1</v>
      </c>
      <c r="V146" s="16">
        <f>IF(Table2[[#This Row],[visualization]]="Wordcloud",2,3)</f>
        <v>3</v>
      </c>
      <c r="W146" s="31" t="s">
        <v>1160</v>
      </c>
      <c r="X146" s="31">
        <v>1</v>
      </c>
      <c r="Y146" s="31">
        <v>1</v>
      </c>
      <c r="Z146" s="31">
        <v>1</v>
      </c>
      <c r="AA146" s="31">
        <v>6</v>
      </c>
      <c r="AB146" s="31" t="s">
        <v>97</v>
      </c>
      <c r="AC146" s="31" t="s">
        <v>81</v>
      </c>
      <c r="AD146" s="31" t="s">
        <v>82</v>
      </c>
      <c r="AE146" s="31" t="s">
        <v>83</v>
      </c>
      <c r="AF146" s="31" t="s">
        <v>85</v>
      </c>
      <c r="AG146" s="31" t="s">
        <v>86</v>
      </c>
      <c r="AH146" s="31" t="s">
        <v>84</v>
      </c>
      <c r="AI146" s="31" t="s">
        <v>104</v>
      </c>
      <c r="AJ146" s="31" t="s">
        <v>98</v>
      </c>
      <c r="AK146" s="31" t="s">
        <v>88</v>
      </c>
      <c r="AL146" s="31" t="s">
        <v>87</v>
      </c>
      <c r="AM146" s="31" t="s">
        <v>105</v>
      </c>
      <c r="AN146" s="31" t="s">
        <v>90</v>
      </c>
      <c r="AO146" s="31" t="s">
        <v>83</v>
      </c>
      <c r="AP146" s="31" t="s">
        <v>85</v>
      </c>
      <c r="AQ146" s="31" t="s">
        <v>91</v>
      </c>
      <c r="AR146" s="31" t="s">
        <v>102</v>
      </c>
      <c r="AS146" s="31" t="s">
        <v>94</v>
      </c>
      <c r="AT146" s="31" t="s">
        <v>93</v>
      </c>
      <c r="AU146" s="31" t="s">
        <v>94</v>
      </c>
      <c r="AV146" s="31" t="s">
        <v>93</v>
      </c>
      <c r="AW146" s="31" t="s">
        <v>93</v>
      </c>
      <c r="AX146" s="31" t="s">
        <v>93</v>
      </c>
      <c r="AY146" s="31" t="s">
        <v>94</v>
      </c>
      <c r="AZ146" s="31" t="s">
        <v>93</v>
      </c>
      <c r="BA146" s="31" t="s">
        <v>106</v>
      </c>
      <c r="BB146" s="31" t="s">
        <v>432</v>
      </c>
      <c r="BC146" s="24"/>
      <c r="BD146" s="30">
        <f>Table2[[#This Row],[interviewtime]]/60</f>
        <v>19.118833333333335</v>
      </c>
      <c r="BE146" s="31">
        <v>1147.1300000000001</v>
      </c>
      <c r="BF146" s="31">
        <v>11.32</v>
      </c>
      <c r="BG146" s="31"/>
      <c r="BH146" s="31">
        <v>133.06</v>
      </c>
      <c r="BI146" s="31"/>
      <c r="BJ146" s="31"/>
      <c r="BK146" s="31"/>
      <c r="BL146" s="31"/>
      <c r="BM146" s="31">
        <v>433.4</v>
      </c>
      <c r="BN146" s="31"/>
      <c r="BO146" s="31"/>
      <c r="BP146" s="31"/>
      <c r="BQ146" s="31"/>
      <c r="BR146" s="31"/>
      <c r="BS146" s="31"/>
      <c r="BT146" s="31">
        <v>245.94</v>
      </c>
      <c r="BU146" s="31"/>
      <c r="BV146" s="31"/>
      <c r="BW146" s="31"/>
      <c r="BX146" s="31"/>
      <c r="BY146" s="31"/>
      <c r="BZ146" s="31"/>
      <c r="CA146" s="31"/>
      <c r="CB146" s="31"/>
      <c r="CC146" s="31">
        <v>200.63</v>
      </c>
      <c r="CD146" s="31"/>
      <c r="CE146" s="31"/>
      <c r="CF146" s="31"/>
      <c r="CG146" s="31"/>
      <c r="CH146" s="31"/>
      <c r="CI146" s="31"/>
      <c r="CJ146" s="31"/>
      <c r="CK146" s="31"/>
      <c r="CL146" s="31">
        <v>122.78</v>
      </c>
      <c r="CM146" s="31"/>
      <c r="CN146" s="31"/>
      <c r="CO146" s="24"/>
      <c r="CP146" s="24"/>
      <c r="CQ146" s="43">
        <f>Table2[[#This Row],[groupTime22]]/60</f>
        <v>7.2233333333333327</v>
      </c>
      <c r="CR146" s="43">
        <f>Table2[[#This Row],[groupTime23]]/60</f>
        <v>4.0990000000000002</v>
      </c>
      <c r="CS146" s="43">
        <f>Table2[[#This Row],[groupTime24]]/60</f>
        <v>3.3438333333333334</v>
      </c>
    </row>
    <row r="147" spans="1:97" hidden="1" x14ac:dyDescent="0.25">
      <c r="A147" s="36" t="s">
        <v>638</v>
      </c>
      <c r="B147" s="11" t="s">
        <v>114</v>
      </c>
      <c r="C147" s="11">
        <v>52</v>
      </c>
      <c r="D147" s="11" t="s">
        <v>597</v>
      </c>
      <c r="E147" s="11">
        <v>6</v>
      </c>
      <c r="F147" s="11" t="s">
        <v>79</v>
      </c>
      <c r="G147" s="11">
        <v>1453061674</v>
      </c>
      <c r="H147" s="11" t="s">
        <v>598</v>
      </c>
      <c r="I147" s="11" t="s">
        <v>599</v>
      </c>
      <c r="J147" s="11" t="s">
        <v>586</v>
      </c>
      <c r="K147" s="37" t="str">
        <f>IF(Table2[[#This Row],[priorSuccessRatio]]&lt;1,"yes","no")</f>
        <v>yes</v>
      </c>
      <c r="L147" s="38">
        <f>VLOOKUP(Table2[[#This Row],[prolific]],'Correct calc'!B$16:$AJ$998,6,FALSE)</f>
        <v>0.33333333333333331</v>
      </c>
      <c r="M147" s="27">
        <f>VLOOKUP(Table2[[#This Row],[prolific]],'Correct calc'!B$16:$AJ$998,14,FALSE)</f>
        <v>0.5</v>
      </c>
      <c r="N147" s="27">
        <f>VLOOKUP(Table2[[#This Row],[prolific]],'Correct calc'!B$16:$AJ1104,24,FALSE)</f>
        <v>0.5</v>
      </c>
      <c r="O147" s="27">
        <f>VLOOKUP(Table2[[#This Row],[prolific]],'Correct calc'!B$16:$AJ1104,34,FALSE)</f>
        <v>0.75</v>
      </c>
      <c r="P147" s="39">
        <f>VLOOKUP(Table2[[#This Row],[comprescore]],Table3[],2,FALSE)</f>
        <v>2</v>
      </c>
      <c r="Q147" s="16">
        <f>VLOOKUP(Table2[[#This Row],[prolific]],'Correct calc'!B$16:$AK$998,36,FALSE)</f>
        <v>13</v>
      </c>
      <c r="R147" s="40">
        <f>Table2[[#This Row],[interviewminutes]]</f>
        <v>6.65</v>
      </c>
      <c r="S147" s="40">
        <f>Table2[[#This Row],[classifyTime]]+Table2[[#This Row],[explainTime]]+Table2[[#This Row],[validateTime]]</f>
        <v>5.8098333333333336</v>
      </c>
      <c r="T147" s="29">
        <f>VLOOKUP(Table2[[#This Row],[prolific]],'Correct calc'!B$16:$AJ$998,35,FALSE)</f>
        <v>0.59090909090909094</v>
      </c>
      <c r="U147" s="42">
        <f>SUM(Table2[[#This Row],[priorKnowledge'[CLUSTERING']]:[priorKnowledge'[ZSCORES']]])/Table2[[#This Row],[priorKnowledgeTechQuestionCount]]</f>
        <v>2</v>
      </c>
      <c r="V147" s="40">
        <f>IF(Table2[[#This Row],[visualization]]="Wordcloud",2,3)</f>
        <v>3</v>
      </c>
      <c r="W147" s="31" t="s">
        <v>1161</v>
      </c>
      <c r="X147" s="31">
        <v>2</v>
      </c>
      <c r="Y147" s="31">
        <v>2</v>
      </c>
      <c r="Z147" s="31">
        <v>2</v>
      </c>
      <c r="AA147" s="31">
        <v>6</v>
      </c>
      <c r="AB147" s="31" t="s">
        <v>81</v>
      </c>
      <c r="AC147" s="31" t="s">
        <v>97</v>
      </c>
      <c r="AD147" s="31" t="s">
        <v>82</v>
      </c>
      <c r="AE147" s="31" t="s">
        <v>83</v>
      </c>
      <c r="AF147" s="31" t="s">
        <v>85</v>
      </c>
      <c r="AG147" s="31" t="s">
        <v>98</v>
      </c>
      <c r="AH147" s="31" t="s">
        <v>84</v>
      </c>
      <c r="AI147" s="31" t="s">
        <v>86</v>
      </c>
      <c r="AJ147" s="31" t="s">
        <v>83</v>
      </c>
      <c r="AK147" s="31" t="s">
        <v>88</v>
      </c>
      <c r="AL147" s="31" t="s">
        <v>87</v>
      </c>
      <c r="AM147" s="31" t="s">
        <v>285</v>
      </c>
      <c r="AN147" s="31" t="s">
        <v>109</v>
      </c>
      <c r="AO147" s="31" t="s">
        <v>83</v>
      </c>
      <c r="AP147" s="31" t="s">
        <v>104</v>
      </c>
      <c r="AQ147" s="31" t="s">
        <v>101</v>
      </c>
      <c r="AR147" s="31" t="s">
        <v>102</v>
      </c>
      <c r="AS147" s="31" t="s">
        <v>94</v>
      </c>
      <c r="AT147" s="31" t="s">
        <v>93</v>
      </c>
      <c r="AU147" s="31" t="s">
        <v>94</v>
      </c>
      <c r="AV147" s="31" t="s">
        <v>93</v>
      </c>
      <c r="AW147" s="31" t="s">
        <v>94</v>
      </c>
      <c r="AX147" s="31" t="s">
        <v>94</v>
      </c>
      <c r="AY147" s="31" t="s">
        <v>93</v>
      </c>
      <c r="AZ147" s="31" t="s">
        <v>93</v>
      </c>
      <c r="BA147" s="31" t="s">
        <v>106</v>
      </c>
      <c r="BB147" s="31"/>
      <c r="BC147" s="43"/>
      <c r="BD147" s="44">
        <f>Table2[[#This Row],[interviewtime]]/60</f>
        <v>6.65</v>
      </c>
      <c r="BE147" s="31">
        <v>399</v>
      </c>
      <c r="BF147" s="31">
        <v>13.59</v>
      </c>
      <c r="BG147" s="31"/>
      <c r="BH147" s="31">
        <v>27.8</v>
      </c>
      <c r="BI147" s="31"/>
      <c r="BJ147" s="31"/>
      <c r="BK147" s="31"/>
      <c r="BL147" s="31"/>
      <c r="BM147" s="31">
        <v>175.07</v>
      </c>
      <c r="BN147" s="31"/>
      <c r="BO147" s="31"/>
      <c r="BP147" s="31"/>
      <c r="BQ147" s="31"/>
      <c r="BR147" s="31"/>
      <c r="BS147" s="31"/>
      <c r="BT147" s="31">
        <v>79.27</v>
      </c>
      <c r="BU147" s="31"/>
      <c r="BV147" s="31"/>
      <c r="BW147" s="31"/>
      <c r="BX147" s="31"/>
      <c r="BY147" s="31"/>
      <c r="BZ147" s="31"/>
      <c r="CA147" s="31"/>
      <c r="CB147" s="31"/>
      <c r="CC147" s="31">
        <v>94.25</v>
      </c>
      <c r="CD147" s="31"/>
      <c r="CE147" s="31"/>
      <c r="CF147" s="31"/>
      <c r="CG147" s="31"/>
      <c r="CH147" s="31"/>
      <c r="CI147" s="31"/>
      <c r="CJ147" s="31"/>
      <c r="CK147" s="31"/>
      <c r="CL147" s="31">
        <v>9.02</v>
      </c>
      <c r="CM147" s="43"/>
      <c r="CN147" s="43"/>
      <c r="CO147" s="43"/>
      <c r="CP147" s="43"/>
      <c r="CQ147" s="43">
        <f>Table2[[#This Row],[groupTime22]]/60</f>
        <v>2.9178333333333333</v>
      </c>
      <c r="CR147" s="43">
        <f>Table2[[#This Row],[groupTime23]]/60</f>
        <v>1.3211666666666666</v>
      </c>
      <c r="CS147" s="43">
        <f>Table2[[#This Row],[groupTime24]]/60</f>
        <v>1.5708333333333333</v>
      </c>
    </row>
    <row r="148" spans="1:97" x14ac:dyDescent="0.25">
      <c r="A148" s="11" t="s">
        <v>352</v>
      </c>
      <c r="B148" s="11" t="s">
        <v>114</v>
      </c>
      <c r="C148" s="11">
        <v>22</v>
      </c>
      <c r="D148" s="11" t="s">
        <v>372</v>
      </c>
      <c r="E148" s="11">
        <v>6</v>
      </c>
      <c r="F148" s="11" t="s">
        <v>79</v>
      </c>
      <c r="G148" s="11">
        <v>1803635809</v>
      </c>
      <c r="H148" s="11" t="s">
        <v>373</v>
      </c>
      <c r="I148" s="11" t="s">
        <v>372</v>
      </c>
      <c r="J148" s="11" t="s">
        <v>96</v>
      </c>
      <c r="K148" s="11" t="str">
        <f>IF(Table2[[#This Row],[priorSuccessRatio]]&lt;1,"yes","no")</f>
        <v>no</v>
      </c>
      <c r="L148" s="27">
        <f>VLOOKUP(Table2[[#This Row],[prolific]],'Correct calc'!B$16:$AJ$998,6,FALSE)</f>
        <v>1</v>
      </c>
      <c r="M148" s="27">
        <f>VLOOKUP(Table2[[#This Row],[prolific]],'Correct calc'!B$16:$AJ$998,14,FALSE)</f>
        <v>1</v>
      </c>
      <c r="N148" s="27">
        <f>VLOOKUP(Table2[[#This Row],[prolific]],'Correct calc'!B$16:$AJ1051,24,FALSE)</f>
        <v>0.625</v>
      </c>
      <c r="O148" s="27">
        <f>VLOOKUP(Table2[[#This Row],[prolific]],'Correct calc'!B$16:$AJ1051,34,FALSE)</f>
        <v>0.625</v>
      </c>
      <c r="P148" s="28">
        <f>VLOOKUP(Table2[[#This Row],[comprescore]],Table3[],2,FALSE)</f>
        <v>2</v>
      </c>
      <c r="Q148" s="16">
        <f>VLOOKUP(Table2[[#This Row],[prolific]],'Correct calc'!B$16:$AK$998,36,FALSE)</f>
        <v>16</v>
      </c>
      <c r="R148" s="16">
        <f>Table2[[#This Row],[interviewminutes]]</f>
        <v>15.906000000000001</v>
      </c>
      <c r="S148" s="16">
        <f>Table2[[#This Row],[classifyTime]]+Table2[[#This Row],[explainTime]]+Table2[[#This Row],[validateTime]]</f>
        <v>12.779333333333332</v>
      </c>
      <c r="T148" s="29">
        <f>VLOOKUP(Table2[[#This Row],[prolific]],'Correct calc'!B$16:$AJ$998,35,FALSE)</f>
        <v>0.72727272727272729</v>
      </c>
      <c r="U148" s="15">
        <f>SUM(Table2[[#This Row],[priorKnowledge'[CLUSTERING']]:[priorKnowledge'[ZSCORES']]])/Table2[[#This Row],[priorKnowledgeTechQuestionCount]]</f>
        <v>2.3333333333333335</v>
      </c>
      <c r="V148" s="16">
        <f>IF(Table2[[#This Row],[visualization]]="Wordcloud",2,3)</f>
        <v>3</v>
      </c>
      <c r="W148" s="31" t="s">
        <v>1162</v>
      </c>
      <c r="X148" s="31">
        <v>3</v>
      </c>
      <c r="Y148" s="31">
        <v>3</v>
      </c>
      <c r="Z148" s="31">
        <v>1</v>
      </c>
      <c r="AA148" s="31">
        <v>5</v>
      </c>
      <c r="AB148" s="31" t="s">
        <v>97</v>
      </c>
      <c r="AC148" s="31" t="s">
        <v>81</v>
      </c>
      <c r="AD148" s="31" t="s">
        <v>82</v>
      </c>
      <c r="AE148" s="31" t="s">
        <v>83</v>
      </c>
      <c r="AF148" s="31" t="s">
        <v>85</v>
      </c>
      <c r="AG148" s="31" t="s">
        <v>86</v>
      </c>
      <c r="AH148" s="31" t="s">
        <v>84</v>
      </c>
      <c r="AI148" s="31" t="s">
        <v>104</v>
      </c>
      <c r="AJ148" s="31" t="s">
        <v>98</v>
      </c>
      <c r="AK148" s="31" t="s">
        <v>88</v>
      </c>
      <c r="AL148" s="31" t="s">
        <v>87</v>
      </c>
      <c r="AM148" s="31" t="s">
        <v>285</v>
      </c>
      <c r="AN148" s="31" t="s">
        <v>109</v>
      </c>
      <c r="AO148" s="31" t="s">
        <v>83</v>
      </c>
      <c r="AP148" s="31" t="s">
        <v>85</v>
      </c>
      <c r="AQ148" s="31" t="s">
        <v>101</v>
      </c>
      <c r="AR148" s="31" t="s">
        <v>102</v>
      </c>
      <c r="AS148" s="31" t="s">
        <v>94</v>
      </c>
      <c r="AT148" s="31" t="s">
        <v>93</v>
      </c>
      <c r="AU148" s="31" t="s">
        <v>93</v>
      </c>
      <c r="AV148" s="31" t="s">
        <v>93</v>
      </c>
      <c r="AW148" s="31" t="s">
        <v>93</v>
      </c>
      <c r="AX148" s="31" t="s">
        <v>93</v>
      </c>
      <c r="AY148" s="31" t="s">
        <v>94</v>
      </c>
      <c r="AZ148" s="31" t="s">
        <v>94</v>
      </c>
      <c r="BA148" s="31" t="s">
        <v>106</v>
      </c>
      <c r="BB148" s="31" t="s">
        <v>435</v>
      </c>
      <c r="BC148" s="24"/>
      <c r="BD148" s="30">
        <f>Table2[[#This Row],[interviewtime]]/60</f>
        <v>15.906000000000001</v>
      </c>
      <c r="BE148" s="31">
        <v>954.36</v>
      </c>
      <c r="BF148" s="31">
        <v>39.200000000000003</v>
      </c>
      <c r="BG148" s="31"/>
      <c r="BH148" s="31">
        <v>82.75</v>
      </c>
      <c r="BI148" s="31"/>
      <c r="BJ148" s="31"/>
      <c r="BK148" s="31"/>
      <c r="BL148" s="31"/>
      <c r="BM148" s="31">
        <v>343.17</v>
      </c>
      <c r="BN148" s="31"/>
      <c r="BO148" s="31"/>
      <c r="BP148" s="31"/>
      <c r="BQ148" s="31"/>
      <c r="BR148" s="31"/>
      <c r="BS148" s="31"/>
      <c r="BT148" s="31">
        <v>290.88</v>
      </c>
      <c r="BU148" s="31"/>
      <c r="BV148" s="31"/>
      <c r="BW148" s="31"/>
      <c r="BX148" s="31"/>
      <c r="BY148" s="31"/>
      <c r="BZ148" s="31"/>
      <c r="CA148" s="31"/>
      <c r="CB148" s="31"/>
      <c r="CC148" s="31">
        <v>132.71</v>
      </c>
      <c r="CD148" s="31"/>
      <c r="CE148" s="31"/>
      <c r="CF148" s="31"/>
      <c r="CG148" s="31"/>
      <c r="CH148" s="31"/>
      <c r="CI148" s="31"/>
      <c r="CJ148" s="31"/>
      <c r="CK148" s="31"/>
      <c r="CL148" s="31">
        <v>65.650000000000006</v>
      </c>
      <c r="CM148" s="31"/>
      <c r="CN148" s="31"/>
      <c r="CO148" s="24"/>
      <c r="CP148" s="24"/>
      <c r="CQ148" s="43">
        <f>Table2[[#This Row],[groupTime22]]/60</f>
        <v>5.7195</v>
      </c>
      <c r="CR148" s="43">
        <f>Table2[[#This Row],[groupTime23]]/60</f>
        <v>4.8479999999999999</v>
      </c>
      <c r="CS148" s="43">
        <f>Table2[[#This Row],[groupTime24]]/60</f>
        <v>2.2118333333333333</v>
      </c>
    </row>
    <row r="149" spans="1:97" hidden="1" x14ac:dyDescent="0.25">
      <c r="A149" s="36" t="s">
        <v>638</v>
      </c>
      <c r="B149" s="11" t="s">
        <v>114</v>
      </c>
      <c r="C149" s="11">
        <v>54</v>
      </c>
      <c r="D149" s="11" t="s">
        <v>602</v>
      </c>
      <c r="E149" s="11">
        <v>6</v>
      </c>
      <c r="F149" s="11" t="s">
        <v>79</v>
      </c>
      <c r="G149" s="11">
        <v>1349928397</v>
      </c>
      <c r="H149" s="11" t="s">
        <v>603</v>
      </c>
      <c r="I149" s="11" t="s">
        <v>602</v>
      </c>
      <c r="J149" s="11" t="s">
        <v>589</v>
      </c>
      <c r="K149" s="37" t="str">
        <f>IF(Table2[[#This Row],[priorSuccessRatio]]&lt;1,"yes","no")</f>
        <v>yes</v>
      </c>
      <c r="L149" s="38">
        <f>VLOOKUP(Table2[[#This Row],[prolific]],'Correct calc'!B$16:$AJ$998,6,FALSE)</f>
        <v>0</v>
      </c>
      <c r="M149" s="27">
        <f>VLOOKUP(Table2[[#This Row],[prolific]],'Correct calc'!B$16:$AJ$998,14,FALSE)</f>
        <v>0.66666666666666663</v>
      </c>
      <c r="N149" s="27">
        <f>VLOOKUP(Table2[[#This Row],[prolific]],'Correct calc'!B$16:$AJ1106,24,FALSE)</f>
        <v>0.875</v>
      </c>
      <c r="O149" s="27">
        <f>VLOOKUP(Table2[[#This Row],[prolific]],'Correct calc'!B$16:$AJ1106,34,FALSE)</f>
        <v>0.75</v>
      </c>
      <c r="P149" s="39">
        <f>VLOOKUP(Table2[[#This Row],[comprescore]],Table3[],2,FALSE)</f>
        <v>4</v>
      </c>
      <c r="Q149" s="16">
        <f>VLOOKUP(Table2[[#This Row],[prolific]],'Correct calc'!B$16:$AK$998,36,FALSE)</f>
        <v>17</v>
      </c>
      <c r="R149" s="40">
        <f>Table2[[#This Row],[interviewminutes]]</f>
        <v>11.340833333333334</v>
      </c>
      <c r="S149" s="40">
        <f>Table2[[#This Row],[classifyTime]]+Table2[[#This Row],[explainTime]]+Table2[[#This Row],[validateTime]]</f>
        <v>10.3735</v>
      </c>
      <c r="T149" s="29">
        <f>VLOOKUP(Table2[[#This Row],[prolific]],'Correct calc'!B$16:$AJ$998,35,FALSE)</f>
        <v>0.77272727272727271</v>
      </c>
      <c r="U149" s="42">
        <f>SUM(Table2[[#This Row],[priorKnowledge'[CLUSTERING']]:[priorKnowledge'[ZSCORES']]])/Table2[[#This Row],[priorKnowledgeTechQuestionCount]]</f>
        <v>1</v>
      </c>
      <c r="V149" s="40">
        <f>IF(Table2[[#This Row],[visualization]]="Wordcloud",2,3)</f>
        <v>3</v>
      </c>
      <c r="W149" s="31" t="s">
        <v>1163</v>
      </c>
      <c r="X149" s="31">
        <v>1</v>
      </c>
      <c r="Y149" s="31">
        <v>1</v>
      </c>
      <c r="Z149" s="31">
        <v>1</v>
      </c>
      <c r="AA149" s="31">
        <v>1</v>
      </c>
      <c r="AB149" s="31" t="s">
        <v>327</v>
      </c>
      <c r="AC149" s="31" t="s">
        <v>327</v>
      </c>
      <c r="AD149" s="31" t="s">
        <v>627</v>
      </c>
      <c r="AE149" s="31" t="s">
        <v>83</v>
      </c>
      <c r="AF149" s="31" t="s">
        <v>85</v>
      </c>
      <c r="AG149" s="31" t="s">
        <v>98</v>
      </c>
      <c r="AH149" s="31" t="s">
        <v>84</v>
      </c>
      <c r="AI149" s="31" t="s">
        <v>86</v>
      </c>
      <c r="AJ149" s="31" t="s">
        <v>98</v>
      </c>
      <c r="AK149" s="31" t="s">
        <v>88</v>
      </c>
      <c r="AL149" s="31" t="s">
        <v>87</v>
      </c>
      <c r="AM149" s="31" t="s">
        <v>105</v>
      </c>
      <c r="AN149" s="31" t="s">
        <v>90</v>
      </c>
      <c r="AO149" s="31" t="s">
        <v>83</v>
      </c>
      <c r="AP149" s="31" t="s">
        <v>85</v>
      </c>
      <c r="AQ149" s="31" t="s">
        <v>91</v>
      </c>
      <c r="AR149" s="31" t="s">
        <v>101</v>
      </c>
      <c r="AS149" s="31" t="s">
        <v>94</v>
      </c>
      <c r="AT149" s="31" t="s">
        <v>93</v>
      </c>
      <c r="AU149" s="31" t="s">
        <v>94</v>
      </c>
      <c r="AV149" s="31" t="s">
        <v>93</v>
      </c>
      <c r="AW149" s="31" t="s">
        <v>94</v>
      </c>
      <c r="AX149" s="31" t="s">
        <v>93</v>
      </c>
      <c r="AY149" s="31" t="s">
        <v>93</v>
      </c>
      <c r="AZ149" s="31" t="s">
        <v>94</v>
      </c>
      <c r="BA149" s="31" t="s">
        <v>103</v>
      </c>
      <c r="BB149" s="31"/>
      <c r="BC149" s="43"/>
      <c r="BD149" s="44">
        <f>Table2[[#This Row],[interviewtime]]/60</f>
        <v>11.340833333333334</v>
      </c>
      <c r="BE149" s="31">
        <v>680.45</v>
      </c>
      <c r="BF149" s="31">
        <v>9.76</v>
      </c>
      <c r="BG149" s="31"/>
      <c r="BH149" s="31">
        <v>34.659999999999997</v>
      </c>
      <c r="BI149" s="31"/>
      <c r="BJ149" s="31"/>
      <c r="BK149" s="31"/>
      <c r="BL149" s="31"/>
      <c r="BM149" s="31">
        <v>329.18</v>
      </c>
      <c r="BN149" s="31"/>
      <c r="BO149" s="31"/>
      <c r="BP149" s="31"/>
      <c r="BQ149" s="31"/>
      <c r="BR149" s="31"/>
      <c r="BS149" s="31"/>
      <c r="BT149" s="31">
        <v>196.42</v>
      </c>
      <c r="BU149" s="31"/>
      <c r="BV149" s="31"/>
      <c r="BW149" s="31"/>
      <c r="BX149" s="31"/>
      <c r="BY149" s="31"/>
      <c r="BZ149" s="31"/>
      <c r="CA149" s="31"/>
      <c r="CB149" s="31"/>
      <c r="CC149" s="31">
        <v>96.81</v>
      </c>
      <c r="CD149" s="31"/>
      <c r="CE149" s="31"/>
      <c r="CF149" s="31"/>
      <c r="CG149" s="31"/>
      <c r="CH149" s="31"/>
      <c r="CI149" s="31"/>
      <c r="CJ149" s="31"/>
      <c r="CK149" s="31"/>
      <c r="CL149" s="31">
        <v>13.62</v>
      </c>
      <c r="CM149" s="43"/>
      <c r="CN149" s="43"/>
      <c r="CO149" s="43"/>
      <c r="CP149" s="43"/>
      <c r="CQ149" s="43">
        <f>Table2[[#This Row],[groupTime22]]/60</f>
        <v>5.4863333333333335</v>
      </c>
      <c r="CR149" s="43">
        <f>Table2[[#This Row],[groupTime23]]/60</f>
        <v>3.2736666666666663</v>
      </c>
      <c r="CS149" s="43">
        <f>Table2[[#This Row],[groupTime24]]/60</f>
        <v>1.6134999999999999</v>
      </c>
    </row>
    <row r="150" spans="1:97" x14ac:dyDescent="0.25">
      <c r="A150" s="11" t="s">
        <v>352</v>
      </c>
      <c r="B150" s="11" t="s">
        <v>114</v>
      </c>
      <c r="C150" s="11">
        <v>23</v>
      </c>
      <c r="D150" s="11" t="s">
        <v>374</v>
      </c>
      <c r="E150" s="11">
        <v>6</v>
      </c>
      <c r="F150" s="11" t="s">
        <v>79</v>
      </c>
      <c r="G150" s="11">
        <v>1522083513</v>
      </c>
      <c r="H150" s="11" t="s">
        <v>375</v>
      </c>
      <c r="I150" s="11" t="s">
        <v>374</v>
      </c>
      <c r="J150" s="11" t="s">
        <v>80</v>
      </c>
      <c r="K150" s="11" t="str">
        <f>IF(Table2[[#This Row],[priorSuccessRatio]]&lt;1,"yes","no")</f>
        <v>no</v>
      </c>
      <c r="L150" s="27">
        <f>VLOOKUP(Table2[[#This Row],[prolific]],'Correct calc'!B$16:$AJ$998,6,FALSE)</f>
        <v>1</v>
      </c>
      <c r="M150" s="27">
        <f>VLOOKUP(Table2[[#This Row],[prolific]],'Correct calc'!B$16:$AJ$998,14,FALSE)</f>
        <v>0.66666666666666663</v>
      </c>
      <c r="N150" s="27">
        <f>VLOOKUP(Table2[[#This Row],[prolific]],'Correct calc'!B$16:$AJ1052,24,FALSE)</f>
        <v>1</v>
      </c>
      <c r="O150" s="27">
        <f>VLOOKUP(Table2[[#This Row],[prolific]],'Correct calc'!B$16:$AJ1052,34,FALSE)</f>
        <v>1</v>
      </c>
      <c r="P150" s="28">
        <f>VLOOKUP(Table2[[#This Row],[comprescore]],Table3[],2,FALSE)</f>
        <v>3</v>
      </c>
      <c r="Q150" s="16">
        <f>VLOOKUP(Table2[[#This Row],[prolific]],'Correct calc'!B$16:$AK$998,36,FALSE)</f>
        <v>20</v>
      </c>
      <c r="R150" s="16">
        <f>Table2[[#This Row],[interviewminutes]]</f>
        <v>9.1278333333333332</v>
      </c>
      <c r="S150" s="16">
        <f>Table2[[#This Row],[classifyTime]]+Table2[[#This Row],[explainTime]]+Table2[[#This Row],[validateTime]]</f>
        <v>7.6991666666666667</v>
      </c>
      <c r="T150" s="29">
        <f>VLOOKUP(Table2[[#This Row],[prolific]],'Correct calc'!B$16:$AJ$998,35,FALSE)</f>
        <v>0.90909090909090906</v>
      </c>
      <c r="U150" s="15">
        <f>SUM(Table2[[#This Row],[priorKnowledge'[CLUSTERING']]:[priorKnowledge'[ZSCORES']]])/Table2[[#This Row],[priorKnowledgeTechQuestionCount]]</f>
        <v>1.6666666666666667</v>
      </c>
      <c r="V150" s="16">
        <f>IF(Table2[[#This Row],[visualization]]="Wordcloud",2,3)</f>
        <v>3</v>
      </c>
      <c r="W150" s="31" t="s">
        <v>1164</v>
      </c>
      <c r="X150" s="31">
        <v>3</v>
      </c>
      <c r="Y150" s="31">
        <v>1</v>
      </c>
      <c r="Z150" s="31">
        <v>1</v>
      </c>
      <c r="AA150" s="31">
        <v>5</v>
      </c>
      <c r="AB150" s="31" t="s">
        <v>97</v>
      </c>
      <c r="AC150" s="31" t="s">
        <v>81</v>
      </c>
      <c r="AD150" s="31" t="s">
        <v>82</v>
      </c>
      <c r="AE150" s="31" t="s">
        <v>83</v>
      </c>
      <c r="AF150" s="31" t="s">
        <v>86</v>
      </c>
      <c r="AG150" s="31" t="s">
        <v>86</v>
      </c>
      <c r="AH150" s="31" t="s">
        <v>84</v>
      </c>
      <c r="AI150" s="31" t="s">
        <v>85</v>
      </c>
      <c r="AJ150" s="31" t="s">
        <v>98</v>
      </c>
      <c r="AK150" s="31" t="s">
        <v>88</v>
      </c>
      <c r="AL150" s="31" t="s">
        <v>87</v>
      </c>
      <c r="AM150" s="31" t="s">
        <v>105</v>
      </c>
      <c r="AN150" s="31" t="s">
        <v>90</v>
      </c>
      <c r="AO150" s="31" t="s">
        <v>83</v>
      </c>
      <c r="AP150" s="31" t="s">
        <v>85</v>
      </c>
      <c r="AQ150" s="31" t="s">
        <v>91</v>
      </c>
      <c r="AR150" s="31" t="s">
        <v>102</v>
      </c>
      <c r="AS150" s="31" t="s">
        <v>94</v>
      </c>
      <c r="AT150" s="31" t="s">
        <v>93</v>
      </c>
      <c r="AU150" s="31" t="s">
        <v>94</v>
      </c>
      <c r="AV150" s="31" t="s">
        <v>93</v>
      </c>
      <c r="AW150" s="31" t="s">
        <v>94</v>
      </c>
      <c r="AX150" s="31" t="s">
        <v>93</v>
      </c>
      <c r="AY150" s="31" t="s">
        <v>94</v>
      </c>
      <c r="AZ150" s="31" t="s">
        <v>93</v>
      </c>
      <c r="BA150" s="31" t="s">
        <v>107</v>
      </c>
      <c r="BB150" s="31" t="s">
        <v>437</v>
      </c>
      <c r="BC150" s="24"/>
      <c r="BD150" s="30">
        <f>Table2[[#This Row],[interviewtime]]/60</f>
        <v>9.1278333333333332</v>
      </c>
      <c r="BE150" s="31">
        <v>547.66999999999996</v>
      </c>
      <c r="BF150" s="31">
        <v>10.4</v>
      </c>
      <c r="BG150" s="31"/>
      <c r="BH150" s="31">
        <v>43.67</v>
      </c>
      <c r="BI150" s="31"/>
      <c r="BJ150" s="31"/>
      <c r="BK150" s="31"/>
      <c r="BL150" s="31"/>
      <c r="BM150" s="31">
        <v>262.32</v>
      </c>
      <c r="BN150" s="31"/>
      <c r="BO150" s="31"/>
      <c r="BP150" s="31"/>
      <c r="BQ150" s="31"/>
      <c r="BR150" s="31"/>
      <c r="BS150" s="31"/>
      <c r="BT150" s="31">
        <v>64.45</v>
      </c>
      <c r="BU150" s="31"/>
      <c r="BV150" s="31"/>
      <c r="BW150" s="31"/>
      <c r="BX150" s="31"/>
      <c r="BY150" s="31"/>
      <c r="BZ150" s="31"/>
      <c r="CA150" s="31"/>
      <c r="CB150" s="31"/>
      <c r="CC150" s="31">
        <v>135.18</v>
      </c>
      <c r="CD150" s="31"/>
      <c r="CE150" s="31"/>
      <c r="CF150" s="31"/>
      <c r="CG150" s="31"/>
      <c r="CH150" s="31"/>
      <c r="CI150" s="31"/>
      <c r="CJ150" s="31"/>
      <c r="CK150" s="31"/>
      <c r="CL150" s="31">
        <v>31.65</v>
      </c>
      <c r="CM150" s="31"/>
      <c r="CN150" s="31"/>
      <c r="CO150" s="24"/>
      <c r="CP150" s="24"/>
      <c r="CQ150" s="43">
        <f>Table2[[#This Row],[groupTime22]]/60</f>
        <v>4.3719999999999999</v>
      </c>
      <c r="CR150" s="43">
        <f>Table2[[#This Row],[groupTime23]]/60</f>
        <v>1.0741666666666667</v>
      </c>
      <c r="CS150" s="43">
        <f>Table2[[#This Row],[groupTime24]]/60</f>
        <v>2.2530000000000001</v>
      </c>
    </row>
    <row r="151" spans="1:97" x14ac:dyDescent="0.25">
      <c r="A151" s="11" t="s">
        <v>352</v>
      </c>
      <c r="B151" s="11" t="s">
        <v>114</v>
      </c>
      <c r="C151" s="11">
        <v>24</v>
      </c>
      <c r="D151" s="11" t="s">
        <v>376</v>
      </c>
      <c r="E151" s="11">
        <v>6</v>
      </c>
      <c r="F151" s="11" t="s">
        <v>79</v>
      </c>
      <c r="G151" s="11">
        <v>1455806997</v>
      </c>
      <c r="H151" s="11" t="s">
        <v>377</v>
      </c>
      <c r="I151" s="11" t="s">
        <v>376</v>
      </c>
      <c r="J151" s="11" t="s">
        <v>80</v>
      </c>
      <c r="K151" s="11" t="str">
        <f>IF(Table2[[#This Row],[priorSuccessRatio]]&lt;1,"yes","no")</f>
        <v>no</v>
      </c>
      <c r="L151" s="27">
        <f>VLOOKUP(Table2[[#This Row],[prolific]],'Correct calc'!B$16:$AJ$998,6,FALSE)</f>
        <v>1</v>
      </c>
      <c r="M151" s="27">
        <f>VLOOKUP(Table2[[#This Row],[prolific]],'Correct calc'!B$16:$AJ$998,14,FALSE)</f>
        <v>0.66666666666666663</v>
      </c>
      <c r="N151" s="27">
        <f>VLOOKUP(Table2[[#This Row],[prolific]],'Correct calc'!B$16:$AJ1053,24,FALSE)</f>
        <v>0.625</v>
      </c>
      <c r="O151" s="27">
        <f>VLOOKUP(Table2[[#This Row],[prolific]],'Correct calc'!B$16:$AJ1053,34,FALSE)</f>
        <v>0.625</v>
      </c>
      <c r="P151" s="28">
        <f>VLOOKUP(Table2[[#This Row],[comprescore]],Table3[],2,FALSE)</f>
        <v>3</v>
      </c>
      <c r="Q151" s="16">
        <f>VLOOKUP(Table2[[#This Row],[prolific]],'Correct calc'!B$16:$AK$998,36,FALSE)</f>
        <v>14</v>
      </c>
      <c r="R151" s="16">
        <f>Table2[[#This Row],[interviewminutes]]</f>
        <v>13.265666666666668</v>
      </c>
      <c r="S151" s="16">
        <f>Table2[[#This Row],[classifyTime]]+Table2[[#This Row],[explainTime]]+Table2[[#This Row],[validateTime]]</f>
        <v>11.767833333333334</v>
      </c>
      <c r="T151" s="29">
        <f>VLOOKUP(Table2[[#This Row],[prolific]],'Correct calc'!B$16:$AJ$998,35,FALSE)</f>
        <v>0.63636363636363635</v>
      </c>
      <c r="U151" s="15">
        <f>SUM(Table2[[#This Row],[priorKnowledge'[CLUSTERING']]:[priorKnowledge'[ZSCORES']]])/Table2[[#This Row],[priorKnowledgeTechQuestionCount]]</f>
        <v>2</v>
      </c>
      <c r="V151" s="16">
        <f>IF(Table2[[#This Row],[visualization]]="Wordcloud",2,3)</f>
        <v>3</v>
      </c>
      <c r="W151" s="31" t="s">
        <v>1165</v>
      </c>
      <c r="X151" s="31">
        <v>2</v>
      </c>
      <c r="Y151" s="31">
        <v>2</v>
      </c>
      <c r="Z151" s="31">
        <v>2</v>
      </c>
      <c r="AA151" s="31">
        <v>5</v>
      </c>
      <c r="AB151" s="31" t="s">
        <v>97</v>
      </c>
      <c r="AC151" s="31" t="s">
        <v>81</v>
      </c>
      <c r="AD151" s="31" t="s">
        <v>82</v>
      </c>
      <c r="AE151" s="31" t="s">
        <v>83</v>
      </c>
      <c r="AF151" s="31" t="s">
        <v>98</v>
      </c>
      <c r="AG151" s="31" t="s">
        <v>86</v>
      </c>
      <c r="AH151" s="31" t="s">
        <v>84</v>
      </c>
      <c r="AI151" s="31" t="s">
        <v>104</v>
      </c>
      <c r="AJ151" s="31" t="s">
        <v>85</v>
      </c>
      <c r="AK151" s="31" t="s">
        <v>88</v>
      </c>
      <c r="AL151" s="31" t="s">
        <v>87</v>
      </c>
      <c r="AM151" s="31" t="s">
        <v>105</v>
      </c>
      <c r="AN151" s="31" t="s">
        <v>109</v>
      </c>
      <c r="AO151" s="31" t="s">
        <v>83</v>
      </c>
      <c r="AP151" s="31" t="s">
        <v>86</v>
      </c>
      <c r="AQ151" s="31" t="s">
        <v>101</v>
      </c>
      <c r="AR151" s="31" t="s">
        <v>102</v>
      </c>
      <c r="AS151" s="31" t="s">
        <v>94</v>
      </c>
      <c r="AT151" s="31" t="s">
        <v>93</v>
      </c>
      <c r="AU151" s="31" t="s">
        <v>93</v>
      </c>
      <c r="AV151" s="31" t="s">
        <v>93</v>
      </c>
      <c r="AW151" s="31" t="s">
        <v>93</v>
      </c>
      <c r="AX151" s="31" t="s">
        <v>93</v>
      </c>
      <c r="AY151" s="31" t="s">
        <v>94</v>
      </c>
      <c r="AZ151" s="31" t="s">
        <v>94</v>
      </c>
      <c r="BA151" s="31" t="s">
        <v>107</v>
      </c>
      <c r="BB151" s="31" t="s">
        <v>439</v>
      </c>
      <c r="BC151" s="24"/>
      <c r="BD151" s="30">
        <f>Table2[[#This Row],[interviewtime]]/60</f>
        <v>13.265666666666668</v>
      </c>
      <c r="BE151" s="31">
        <v>795.94</v>
      </c>
      <c r="BF151" s="31">
        <v>6.91</v>
      </c>
      <c r="BG151" s="31"/>
      <c r="BH151" s="31">
        <v>37.270000000000003</v>
      </c>
      <c r="BI151" s="31"/>
      <c r="BJ151" s="31"/>
      <c r="BK151" s="31"/>
      <c r="BL151" s="31"/>
      <c r="BM151" s="31">
        <v>269.58</v>
      </c>
      <c r="BN151" s="31"/>
      <c r="BO151" s="31"/>
      <c r="BP151" s="31"/>
      <c r="BQ151" s="31"/>
      <c r="BR151" s="31"/>
      <c r="BS151" s="31"/>
      <c r="BT151" s="31">
        <v>285.5</v>
      </c>
      <c r="BU151" s="31"/>
      <c r="BV151" s="31"/>
      <c r="BW151" s="31"/>
      <c r="BX151" s="31"/>
      <c r="BY151" s="31"/>
      <c r="BZ151" s="31"/>
      <c r="CA151" s="31"/>
      <c r="CB151" s="31"/>
      <c r="CC151" s="31">
        <v>150.99</v>
      </c>
      <c r="CD151" s="31"/>
      <c r="CE151" s="31"/>
      <c r="CF151" s="31"/>
      <c r="CG151" s="31"/>
      <c r="CH151" s="31"/>
      <c r="CI151" s="31"/>
      <c r="CJ151" s="31"/>
      <c r="CK151" s="31"/>
      <c r="CL151" s="31">
        <v>45.69</v>
      </c>
      <c r="CM151" s="31"/>
      <c r="CN151" s="31"/>
      <c r="CO151" s="24"/>
      <c r="CP151" s="24"/>
      <c r="CQ151" s="43">
        <f>Table2[[#This Row],[groupTime22]]/60</f>
        <v>4.4929999999999994</v>
      </c>
      <c r="CR151" s="43">
        <f>Table2[[#This Row],[groupTime23]]/60</f>
        <v>4.7583333333333337</v>
      </c>
      <c r="CS151" s="43">
        <f>Table2[[#This Row],[groupTime24]]/60</f>
        <v>2.5165000000000002</v>
      </c>
    </row>
    <row r="152" spans="1:97" x14ac:dyDescent="0.25">
      <c r="A152" s="11" t="s">
        <v>352</v>
      </c>
      <c r="B152" s="11" t="s">
        <v>114</v>
      </c>
      <c r="C152" s="11">
        <v>25</v>
      </c>
      <c r="D152" s="11" t="s">
        <v>378</v>
      </c>
      <c r="E152" s="11">
        <v>6</v>
      </c>
      <c r="F152" s="11" t="s">
        <v>79</v>
      </c>
      <c r="G152" s="11">
        <v>1265249746</v>
      </c>
      <c r="H152" s="11" t="s">
        <v>379</v>
      </c>
      <c r="I152" s="11" t="s">
        <v>378</v>
      </c>
      <c r="J152" s="11" t="s">
        <v>80</v>
      </c>
      <c r="K152" s="11" t="str">
        <f>IF(Table2[[#This Row],[priorSuccessRatio]]&lt;1,"yes","no")</f>
        <v>no</v>
      </c>
      <c r="L152" s="27">
        <f>VLOOKUP(Table2[[#This Row],[prolific]],'Correct calc'!B$16:$AJ$998,6,FALSE)</f>
        <v>1</v>
      </c>
      <c r="M152" s="27">
        <f>VLOOKUP(Table2[[#This Row],[prolific]],'Correct calc'!B$16:$AJ$998,14,FALSE)</f>
        <v>1</v>
      </c>
      <c r="N152" s="27">
        <f>VLOOKUP(Table2[[#This Row],[prolific]],'Correct calc'!B$16:$AJ1054,24,FALSE)</f>
        <v>0.875</v>
      </c>
      <c r="O152" s="27">
        <f>VLOOKUP(Table2[[#This Row],[prolific]],'Correct calc'!B$16:$AJ1054,34,FALSE)</f>
        <v>0.875</v>
      </c>
      <c r="P152" s="28">
        <f>VLOOKUP(Table2[[#This Row],[comprescore]],Table3[],2,FALSE)</f>
        <v>2</v>
      </c>
      <c r="Q152" s="16">
        <f>VLOOKUP(Table2[[#This Row],[prolific]],'Correct calc'!B$16:$AK$998,36,FALSE)</f>
        <v>20</v>
      </c>
      <c r="R152" s="16">
        <f>Table2[[#This Row],[interviewminutes]]</f>
        <v>10.6075</v>
      </c>
      <c r="S152" s="16">
        <f>Table2[[#This Row],[classifyTime]]+Table2[[#This Row],[explainTime]]+Table2[[#This Row],[validateTime]]</f>
        <v>9.0306666666666668</v>
      </c>
      <c r="T152" s="29">
        <f>VLOOKUP(Table2[[#This Row],[prolific]],'Correct calc'!B$16:$AJ$998,35,FALSE)</f>
        <v>0.90909090909090906</v>
      </c>
      <c r="U152" s="15">
        <f>SUM(Table2[[#This Row],[priorKnowledge'[CLUSTERING']]:[priorKnowledge'[ZSCORES']]])/Table2[[#This Row],[priorKnowledgeTechQuestionCount]]</f>
        <v>1.6666666666666667</v>
      </c>
      <c r="V152" s="16">
        <f>IF(Table2[[#This Row],[visualization]]="Wordcloud",2,3)</f>
        <v>3</v>
      </c>
      <c r="W152" s="31" t="s">
        <v>1166</v>
      </c>
      <c r="X152" s="31">
        <v>2</v>
      </c>
      <c r="Y152" s="31">
        <v>2</v>
      </c>
      <c r="Z152" s="31">
        <v>1</v>
      </c>
      <c r="AA152" s="31">
        <v>5</v>
      </c>
      <c r="AB152" s="31" t="s">
        <v>97</v>
      </c>
      <c r="AC152" s="31" t="s">
        <v>81</v>
      </c>
      <c r="AD152" s="31" t="s">
        <v>82</v>
      </c>
      <c r="AE152" s="31" t="s">
        <v>83</v>
      </c>
      <c r="AF152" s="31" t="s">
        <v>85</v>
      </c>
      <c r="AG152" s="31" t="s">
        <v>86</v>
      </c>
      <c r="AH152" s="31" t="s">
        <v>84</v>
      </c>
      <c r="AI152" s="31" t="s">
        <v>104</v>
      </c>
      <c r="AJ152" s="31" t="s">
        <v>98</v>
      </c>
      <c r="AK152" s="31" t="s">
        <v>88</v>
      </c>
      <c r="AL152" s="31" t="s">
        <v>87</v>
      </c>
      <c r="AM152" s="31" t="s">
        <v>105</v>
      </c>
      <c r="AN152" s="31" t="s">
        <v>100</v>
      </c>
      <c r="AO152" s="31" t="s">
        <v>83</v>
      </c>
      <c r="AP152" s="31" t="s">
        <v>85</v>
      </c>
      <c r="AQ152" s="31" t="s">
        <v>91</v>
      </c>
      <c r="AR152" s="31" t="s">
        <v>102</v>
      </c>
      <c r="AS152" s="31" t="s">
        <v>94</v>
      </c>
      <c r="AT152" s="31" t="s">
        <v>93</v>
      </c>
      <c r="AU152" s="31" t="s">
        <v>94</v>
      </c>
      <c r="AV152" s="31" t="s">
        <v>93</v>
      </c>
      <c r="AW152" s="31" t="s">
        <v>93</v>
      </c>
      <c r="AX152" s="31" t="s">
        <v>93</v>
      </c>
      <c r="AY152" s="31" t="s">
        <v>94</v>
      </c>
      <c r="AZ152" s="31" t="s">
        <v>93</v>
      </c>
      <c r="BA152" s="31" t="s">
        <v>106</v>
      </c>
      <c r="BB152" s="31" t="s">
        <v>441</v>
      </c>
      <c r="BC152" s="24"/>
      <c r="BD152" s="30">
        <f>Table2[[#This Row],[interviewtime]]/60</f>
        <v>10.6075</v>
      </c>
      <c r="BE152" s="31">
        <v>636.45000000000005</v>
      </c>
      <c r="BF152" s="31">
        <v>6.8</v>
      </c>
      <c r="BG152" s="31"/>
      <c r="BH152" s="31">
        <v>49.93</v>
      </c>
      <c r="BI152" s="31"/>
      <c r="BJ152" s="31"/>
      <c r="BK152" s="31"/>
      <c r="BL152" s="31"/>
      <c r="BM152" s="31">
        <v>274.60000000000002</v>
      </c>
      <c r="BN152" s="31"/>
      <c r="BO152" s="31"/>
      <c r="BP152" s="31"/>
      <c r="BQ152" s="31"/>
      <c r="BR152" s="31"/>
      <c r="BS152" s="31"/>
      <c r="BT152" s="31">
        <v>158.12</v>
      </c>
      <c r="BU152" s="31"/>
      <c r="BV152" s="31"/>
      <c r="BW152" s="31"/>
      <c r="BX152" s="31"/>
      <c r="BY152" s="31"/>
      <c r="BZ152" s="31"/>
      <c r="CA152" s="31"/>
      <c r="CB152" s="31"/>
      <c r="CC152" s="31">
        <v>109.12</v>
      </c>
      <c r="CD152" s="31"/>
      <c r="CE152" s="31"/>
      <c r="CF152" s="31"/>
      <c r="CG152" s="31"/>
      <c r="CH152" s="31"/>
      <c r="CI152" s="31"/>
      <c r="CJ152" s="31"/>
      <c r="CK152" s="31"/>
      <c r="CL152" s="31">
        <v>37.880000000000003</v>
      </c>
      <c r="CM152" s="31"/>
      <c r="CN152" s="31"/>
      <c r="CO152" s="24"/>
      <c r="CP152" s="24"/>
      <c r="CQ152" s="43">
        <f>Table2[[#This Row],[groupTime22]]/60</f>
        <v>4.5766666666666671</v>
      </c>
      <c r="CR152" s="43">
        <f>Table2[[#This Row],[groupTime23]]/60</f>
        <v>2.6353333333333335</v>
      </c>
      <c r="CS152" s="43">
        <f>Table2[[#This Row],[groupTime24]]/60</f>
        <v>1.8186666666666667</v>
      </c>
    </row>
    <row r="153" spans="1:97" x14ac:dyDescent="0.25">
      <c r="A153" s="11" t="s">
        <v>352</v>
      </c>
      <c r="B153" s="11" t="s">
        <v>114</v>
      </c>
      <c r="C153" s="11">
        <v>27</v>
      </c>
      <c r="D153" s="11" t="s">
        <v>383</v>
      </c>
      <c r="E153" s="11">
        <v>6</v>
      </c>
      <c r="F153" s="11" t="s">
        <v>79</v>
      </c>
      <c r="G153" s="11">
        <v>1293126632</v>
      </c>
      <c r="H153" s="11" t="s">
        <v>384</v>
      </c>
      <c r="I153" s="11" t="s">
        <v>385</v>
      </c>
      <c r="J153" s="11" t="s">
        <v>80</v>
      </c>
      <c r="K153" s="11" t="str">
        <f>IF(Table2[[#This Row],[priorSuccessRatio]]&lt;1,"yes","no")</f>
        <v>no</v>
      </c>
      <c r="L153" s="27">
        <f>VLOOKUP(Table2[[#This Row],[prolific]],'Correct calc'!B$16:$AJ$998,6,FALSE)</f>
        <v>1</v>
      </c>
      <c r="M153" s="27">
        <f>VLOOKUP(Table2[[#This Row],[prolific]],'Correct calc'!B$16:$AJ$998,14,FALSE)</f>
        <v>0.33333333333333331</v>
      </c>
      <c r="N153" s="27">
        <f>VLOOKUP(Table2[[#This Row],[prolific]],'Correct calc'!B$16:$AJ1056,24,FALSE)</f>
        <v>0.25</v>
      </c>
      <c r="O153" s="27">
        <f>VLOOKUP(Table2[[#This Row],[prolific]],'Correct calc'!B$16:$AJ1056,34,FALSE)</f>
        <v>0.75</v>
      </c>
      <c r="P153" s="28">
        <f>VLOOKUP(Table2[[#This Row],[comprescore]],Table3[],2,FALSE)</f>
        <v>5</v>
      </c>
      <c r="Q153" s="16">
        <f>VLOOKUP(Table2[[#This Row],[prolific]],'Correct calc'!B$16:$AK$998,36,FALSE)</f>
        <v>10</v>
      </c>
      <c r="R153" s="16">
        <f>Table2[[#This Row],[interviewminutes]]</f>
        <v>24.136666666666667</v>
      </c>
      <c r="S153" s="16">
        <f>Table2[[#This Row],[classifyTime]]+Table2[[#This Row],[explainTime]]+Table2[[#This Row],[validateTime]]</f>
        <v>17.038666666666668</v>
      </c>
      <c r="T153" s="29">
        <f>VLOOKUP(Table2[[#This Row],[prolific]],'Correct calc'!B$16:$AJ$998,35,FALSE)</f>
        <v>0.45454545454545453</v>
      </c>
      <c r="U153" s="15">
        <f>SUM(Table2[[#This Row],[priorKnowledge'[CLUSTERING']]:[priorKnowledge'[ZSCORES']]])/Table2[[#This Row],[priorKnowledgeTechQuestionCount]]</f>
        <v>1</v>
      </c>
      <c r="V153" s="16">
        <f>IF(Table2[[#This Row],[visualization]]="Wordcloud",2,3)</f>
        <v>3</v>
      </c>
      <c r="W153" s="31" t="s">
        <v>1167</v>
      </c>
      <c r="X153" s="31">
        <v>1</v>
      </c>
      <c r="Y153" s="31">
        <v>1</v>
      </c>
      <c r="Z153" s="31">
        <v>1</v>
      </c>
      <c r="AA153" s="31">
        <v>1</v>
      </c>
      <c r="AB153" s="31" t="s">
        <v>97</v>
      </c>
      <c r="AC153" s="31" t="s">
        <v>81</v>
      </c>
      <c r="AD153" s="31" t="s">
        <v>82</v>
      </c>
      <c r="AE153" s="31" t="s">
        <v>83</v>
      </c>
      <c r="AF153" s="31" t="s">
        <v>86</v>
      </c>
      <c r="AG153" s="31" t="s">
        <v>98</v>
      </c>
      <c r="AH153" s="31" t="s">
        <v>104</v>
      </c>
      <c r="AI153" s="31" t="s">
        <v>86</v>
      </c>
      <c r="AJ153" s="31" t="s">
        <v>98</v>
      </c>
      <c r="AK153" s="31" t="s">
        <v>88</v>
      </c>
      <c r="AL153" s="31" t="s">
        <v>87</v>
      </c>
      <c r="AM153" s="31" t="s">
        <v>99</v>
      </c>
      <c r="AN153" s="31" t="s">
        <v>100</v>
      </c>
      <c r="AO153" s="31" t="s">
        <v>104</v>
      </c>
      <c r="AP153" s="31" t="s">
        <v>86</v>
      </c>
      <c r="AQ153" s="31" t="s">
        <v>101</v>
      </c>
      <c r="AR153" s="31" t="s">
        <v>101</v>
      </c>
      <c r="AS153" s="31" t="s">
        <v>94</v>
      </c>
      <c r="AT153" s="31" t="s">
        <v>93</v>
      </c>
      <c r="AU153" s="31" t="s">
        <v>94</v>
      </c>
      <c r="AV153" s="31" t="s">
        <v>94</v>
      </c>
      <c r="AW153" s="31" t="s">
        <v>94</v>
      </c>
      <c r="AX153" s="31" t="s">
        <v>93</v>
      </c>
      <c r="AY153" s="31" t="s">
        <v>94</v>
      </c>
      <c r="AZ153" s="31" t="s">
        <v>94</v>
      </c>
      <c r="BA153" s="31" t="s">
        <v>110</v>
      </c>
      <c r="BB153" s="31" t="s">
        <v>444</v>
      </c>
      <c r="BC153" s="24"/>
      <c r="BD153" s="30">
        <f>Table2[[#This Row],[interviewtime]]/60</f>
        <v>24.136666666666667</v>
      </c>
      <c r="BE153" s="31">
        <v>1448.2</v>
      </c>
      <c r="BF153" s="31">
        <v>9.26</v>
      </c>
      <c r="BG153" s="31"/>
      <c r="BH153" s="31">
        <v>367.62</v>
      </c>
      <c r="BI153" s="31"/>
      <c r="BJ153" s="31"/>
      <c r="BK153" s="31"/>
      <c r="BL153" s="31"/>
      <c r="BM153" s="31">
        <v>826.45</v>
      </c>
      <c r="BN153" s="31"/>
      <c r="BO153" s="31"/>
      <c r="BP153" s="31"/>
      <c r="BQ153" s="31"/>
      <c r="BR153" s="31"/>
      <c r="BS153" s="31"/>
      <c r="BT153" s="31">
        <v>132.86000000000001</v>
      </c>
      <c r="BU153" s="31"/>
      <c r="BV153" s="31"/>
      <c r="BW153" s="31"/>
      <c r="BX153" s="31"/>
      <c r="BY153" s="31"/>
      <c r="BZ153" s="31"/>
      <c r="CA153" s="31"/>
      <c r="CB153" s="31"/>
      <c r="CC153" s="31">
        <v>63.01</v>
      </c>
      <c r="CD153" s="31"/>
      <c r="CE153" s="31"/>
      <c r="CF153" s="31"/>
      <c r="CG153" s="31"/>
      <c r="CH153" s="31"/>
      <c r="CI153" s="31"/>
      <c r="CJ153" s="31"/>
      <c r="CK153" s="31"/>
      <c r="CL153" s="31">
        <v>49</v>
      </c>
      <c r="CM153" s="31"/>
      <c r="CN153" s="31"/>
      <c r="CO153" s="24"/>
      <c r="CP153" s="24"/>
      <c r="CQ153" s="43">
        <f>Table2[[#This Row],[groupTime22]]/60</f>
        <v>13.774166666666668</v>
      </c>
      <c r="CR153" s="43">
        <f>Table2[[#This Row],[groupTime23]]/60</f>
        <v>2.2143333333333337</v>
      </c>
      <c r="CS153" s="43">
        <f>Table2[[#This Row],[groupTime24]]/60</f>
        <v>1.0501666666666667</v>
      </c>
    </row>
    <row r="154" spans="1:97" x14ac:dyDescent="0.25">
      <c r="A154" s="11" t="s">
        <v>352</v>
      </c>
      <c r="B154" s="11" t="s">
        <v>114</v>
      </c>
      <c r="C154" s="11">
        <v>29</v>
      </c>
      <c r="D154" s="11" t="s">
        <v>388</v>
      </c>
      <c r="E154" s="11">
        <v>6</v>
      </c>
      <c r="F154" s="11" t="s">
        <v>79</v>
      </c>
      <c r="G154" s="11">
        <v>43927946</v>
      </c>
      <c r="H154" s="11" t="s">
        <v>389</v>
      </c>
      <c r="I154" s="11" t="s">
        <v>388</v>
      </c>
      <c r="J154" s="11" t="s">
        <v>80</v>
      </c>
      <c r="K154" s="11" t="str">
        <f>IF(Table2[[#This Row],[priorSuccessRatio]]&lt;1,"yes","no")</f>
        <v>no</v>
      </c>
      <c r="L154" s="27">
        <f>VLOOKUP(Table2[[#This Row],[prolific]],'Correct calc'!B$16:$AJ$998,6,FALSE)</f>
        <v>1</v>
      </c>
      <c r="M154" s="27">
        <f>VLOOKUP(Table2[[#This Row],[prolific]],'Correct calc'!B$16:$AJ$998,14,FALSE)</f>
        <v>1</v>
      </c>
      <c r="N154" s="27">
        <f>VLOOKUP(Table2[[#This Row],[prolific]],'Correct calc'!B$16:$AJ1058,24,FALSE)</f>
        <v>0.875</v>
      </c>
      <c r="O154" s="27">
        <f>VLOOKUP(Table2[[#This Row],[prolific]],'Correct calc'!B$16:$AJ1058,34,FALSE)</f>
        <v>0.875</v>
      </c>
      <c r="P154" s="28">
        <f>VLOOKUP(Table2[[#This Row],[comprescore]],Table3[],2,FALSE)</f>
        <v>3</v>
      </c>
      <c r="Q154" s="16">
        <f>VLOOKUP(Table2[[#This Row],[prolific]],'Correct calc'!B$16:$AK$998,36,FALSE)</f>
        <v>20</v>
      </c>
      <c r="R154" s="16">
        <f>Table2[[#This Row],[interviewminutes]]</f>
        <v>17.154666666666667</v>
      </c>
      <c r="S154" s="16">
        <f>Table2[[#This Row],[classifyTime]]+Table2[[#This Row],[explainTime]]+Table2[[#This Row],[validateTime]]</f>
        <v>12.975999999999999</v>
      </c>
      <c r="T154" s="29">
        <f>VLOOKUP(Table2[[#This Row],[prolific]],'Correct calc'!B$16:$AJ$998,35,FALSE)</f>
        <v>0.90909090909090906</v>
      </c>
      <c r="U154" s="15">
        <f>SUM(Table2[[#This Row],[priorKnowledge'[CLUSTERING']]:[priorKnowledge'[ZSCORES']]])/Table2[[#This Row],[priorKnowledgeTechQuestionCount]]</f>
        <v>7.666666666666667</v>
      </c>
      <c r="V154" s="16">
        <f>IF(Table2[[#This Row],[visualization]]="Wordcloud",2,3)</f>
        <v>3</v>
      </c>
      <c r="W154" s="31" t="s">
        <v>1168</v>
      </c>
      <c r="X154" s="31">
        <v>7</v>
      </c>
      <c r="Y154" s="31">
        <v>8</v>
      </c>
      <c r="Z154" s="31">
        <v>8</v>
      </c>
      <c r="AA154" s="31">
        <v>7</v>
      </c>
      <c r="AB154" s="31" t="s">
        <v>97</v>
      </c>
      <c r="AC154" s="31" t="s">
        <v>81</v>
      </c>
      <c r="AD154" s="31" t="s">
        <v>82</v>
      </c>
      <c r="AE154" s="31" t="s">
        <v>83</v>
      </c>
      <c r="AF154" s="31" t="s">
        <v>85</v>
      </c>
      <c r="AG154" s="31" t="s">
        <v>86</v>
      </c>
      <c r="AH154" s="31" t="s">
        <v>84</v>
      </c>
      <c r="AI154" s="31" t="s">
        <v>104</v>
      </c>
      <c r="AJ154" s="31" t="s">
        <v>98</v>
      </c>
      <c r="AK154" s="31" t="s">
        <v>88</v>
      </c>
      <c r="AL154" s="31" t="s">
        <v>87</v>
      </c>
      <c r="AM154" s="31" t="s">
        <v>105</v>
      </c>
      <c r="AN154" s="31" t="s">
        <v>90</v>
      </c>
      <c r="AO154" s="31" t="s">
        <v>83</v>
      </c>
      <c r="AP154" s="31" t="s">
        <v>98</v>
      </c>
      <c r="AQ154" s="31" t="s">
        <v>91</v>
      </c>
      <c r="AR154" s="31" t="s">
        <v>102</v>
      </c>
      <c r="AS154" s="31" t="s">
        <v>94</v>
      </c>
      <c r="AT154" s="31" t="s">
        <v>93</v>
      </c>
      <c r="AU154" s="31" t="s">
        <v>93</v>
      </c>
      <c r="AV154" s="31" t="s">
        <v>93</v>
      </c>
      <c r="AW154" s="31" t="s">
        <v>94</v>
      </c>
      <c r="AX154" s="31" t="s">
        <v>93</v>
      </c>
      <c r="AY154" s="31" t="s">
        <v>94</v>
      </c>
      <c r="AZ154" s="31" t="s">
        <v>93</v>
      </c>
      <c r="BA154" s="31" t="s">
        <v>107</v>
      </c>
      <c r="BB154" s="31" t="s">
        <v>447</v>
      </c>
      <c r="BC154" s="24"/>
      <c r="BD154" s="30">
        <f>Table2[[#This Row],[interviewtime]]/60</f>
        <v>17.154666666666667</v>
      </c>
      <c r="BE154" s="31">
        <v>1029.28</v>
      </c>
      <c r="BF154" s="31">
        <v>11.43</v>
      </c>
      <c r="BG154" s="31"/>
      <c r="BH154" s="31">
        <v>162.09</v>
      </c>
      <c r="BI154" s="31"/>
      <c r="BJ154" s="31"/>
      <c r="BK154" s="31"/>
      <c r="BL154" s="31"/>
      <c r="BM154" s="31">
        <v>382.54</v>
      </c>
      <c r="BN154" s="31"/>
      <c r="BO154" s="31"/>
      <c r="BP154" s="31"/>
      <c r="BQ154" s="31"/>
      <c r="BR154" s="31"/>
      <c r="BS154" s="31"/>
      <c r="BT154" s="31">
        <v>224.43</v>
      </c>
      <c r="BU154" s="31"/>
      <c r="BV154" s="31"/>
      <c r="BW154" s="31"/>
      <c r="BX154" s="31"/>
      <c r="BY154" s="31"/>
      <c r="BZ154" s="31"/>
      <c r="CA154" s="31"/>
      <c r="CB154" s="31"/>
      <c r="CC154" s="31">
        <v>171.59</v>
      </c>
      <c r="CD154" s="31"/>
      <c r="CE154" s="31"/>
      <c r="CF154" s="31"/>
      <c r="CG154" s="31"/>
      <c r="CH154" s="31"/>
      <c r="CI154" s="31"/>
      <c r="CJ154" s="31"/>
      <c r="CK154" s="31"/>
      <c r="CL154" s="31">
        <v>77.2</v>
      </c>
      <c r="CM154" s="31"/>
      <c r="CN154" s="31"/>
      <c r="CO154" s="24"/>
      <c r="CP154" s="24"/>
      <c r="CQ154" s="43">
        <f>Table2[[#This Row],[groupTime22]]/60</f>
        <v>6.3756666666666666</v>
      </c>
      <c r="CR154" s="43">
        <f>Table2[[#This Row],[groupTime23]]/60</f>
        <v>3.7404999999999999</v>
      </c>
      <c r="CS154" s="43">
        <f>Table2[[#This Row],[groupTime24]]/60</f>
        <v>2.8598333333333334</v>
      </c>
    </row>
    <row r="155" spans="1:97" hidden="1" x14ac:dyDescent="0.25">
      <c r="A155" s="36" t="s">
        <v>638</v>
      </c>
      <c r="B155" s="11" t="s">
        <v>114</v>
      </c>
      <c r="C155" s="11">
        <v>60</v>
      </c>
      <c r="D155" s="11" t="s">
        <v>614</v>
      </c>
      <c r="E155" s="11">
        <v>6</v>
      </c>
      <c r="F155" s="11" t="s">
        <v>79</v>
      </c>
      <c r="G155" s="11">
        <v>717618868</v>
      </c>
      <c r="H155" s="11" t="s">
        <v>615</v>
      </c>
      <c r="I155" s="11" t="s">
        <v>614</v>
      </c>
      <c r="J155" s="11" t="s">
        <v>586</v>
      </c>
      <c r="K155" s="37" t="str">
        <f>IF(Table2[[#This Row],[priorSuccessRatio]]&lt;1,"yes","no")</f>
        <v>yes</v>
      </c>
      <c r="L155" s="38">
        <f>VLOOKUP(Table2[[#This Row],[prolific]],'Correct calc'!B$16:$AJ$998,6,FALSE)</f>
        <v>0.66666666666666663</v>
      </c>
      <c r="M155" s="27">
        <f>VLOOKUP(Table2[[#This Row],[prolific]],'Correct calc'!B$16:$AJ$998,14,FALSE)</f>
        <v>0.83333333333333337</v>
      </c>
      <c r="N155" s="27">
        <f>VLOOKUP(Table2[[#This Row],[prolific]],'Correct calc'!B$16:$AJ1112,24,FALSE)</f>
        <v>1</v>
      </c>
      <c r="O155" s="27">
        <f>VLOOKUP(Table2[[#This Row],[prolific]],'Correct calc'!B$16:$AJ1112,34,FALSE)</f>
        <v>0.75</v>
      </c>
      <c r="P155" s="39">
        <f>VLOOKUP(Table2[[#This Row],[comprescore]],Table3[],2,FALSE)</f>
        <v>1</v>
      </c>
      <c r="Q155" s="16">
        <f>VLOOKUP(Table2[[#This Row],[prolific]],'Correct calc'!B$16:$AK$998,36,FALSE)</f>
        <v>19</v>
      </c>
      <c r="R155" s="40">
        <f>Table2[[#This Row],[interviewminutes]]</f>
        <v>8.5851666666666677</v>
      </c>
      <c r="S155" s="40">
        <f>Table2[[#This Row],[classifyTime]]+Table2[[#This Row],[explainTime]]+Table2[[#This Row],[validateTime]]</f>
        <v>7.2690000000000001</v>
      </c>
      <c r="T155" s="29">
        <f>VLOOKUP(Table2[[#This Row],[prolific]],'Correct calc'!B$16:$AJ$998,35,FALSE)</f>
        <v>0.86363636363636365</v>
      </c>
      <c r="U155" s="42">
        <f>SUM(Table2[[#This Row],[priorKnowledge'[CLUSTERING']]:[priorKnowledge'[ZSCORES']]])/Table2[[#This Row],[priorKnowledgeTechQuestionCount]]</f>
        <v>3</v>
      </c>
      <c r="V155" s="40">
        <f>IF(Table2[[#This Row],[visualization]]="Wordcloud",2,3)</f>
        <v>3</v>
      </c>
      <c r="W155" s="31" t="s">
        <v>1169</v>
      </c>
      <c r="X155" s="31">
        <v>3</v>
      </c>
      <c r="Y155" s="31">
        <v>3</v>
      </c>
      <c r="Z155" s="31">
        <v>3</v>
      </c>
      <c r="AA155" s="31">
        <v>3</v>
      </c>
      <c r="AB155" s="31" t="s">
        <v>97</v>
      </c>
      <c r="AC155" s="31" t="s">
        <v>81</v>
      </c>
      <c r="AD155" s="31" t="s">
        <v>627</v>
      </c>
      <c r="AE155" s="31" t="s">
        <v>83</v>
      </c>
      <c r="AF155" s="31" t="s">
        <v>85</v>
      </c>
      <c r="AG155" s="31" t="s">
        <v>86</v>
      </c>
      <c r="AH155" s="31" t="s">
        <v>84</v>
      </c>
      <c r="AI155" s="31" t="s">
        <v>104</v>
      </c>
      <c r="AJ155" s="31" t="s">
        <v>85</v>
      </c>
      <c r="AK155" s="31" t="s">
        <v>88</v>
      </c>
      <c r="AL155" s="31" t="s">
        <v>87</v>
      </c>
      <c r="AM155" s="31" t="s">
        <v>105</v>
      </c>
      <c r="AN155" s="31" t="s">
        <v>90</v>
      </c>
      <c r="AO155" s="31" t="s">
        <v>83</v>
      </c>
      <c r="AP155" s="31" t="s">
        <v>85</v>
      </c>
      <c r="AQ155" s="31" t="s">
        <v>91</v>
      </c>
      <c r="AR155" s="31" t="s">
        <v>102</v>
      </c>
      <c r="AS155" s="31" t="s">
        <v>94</v>
      </c>
      <c r="AT155" s="31" t="s">
        <v>93</v>
      </c>
      <c r="AU155" s="31" t="s">
        <v>94</v>
      </c>
      <c r="AV155" s="31" t="s">
        <v>93</v>
      </c>
      <c r="AW155" s="31" t="s">
        <v>93</v>
      </c>
      <c r="AX155" s="31" t="s">
        <v>94</v>
      </c>
      <c r="AY155" s="31" t="s">
        <v>94</v>
      </c>
      <c r="AZ155" s="31" t="s">
        <v>93</v>
      </c>
      <c r="BA155" s="31" t="s">
        <v>95</v>
      </c>
      <c r="BB155" s="31" t="s">
        <v>637</v>
      </c>
      <c r="BC155" s="43"/>
      <c r="BD155" s="44">
        <f>Table2[[#This Row],[interviewtime]]/60</f>
        <v>8.5851666666666677</v>
      </c>
      <c r="BE155" s="31">
        <v>515.11</v>
      </c>
      <c r="BF155" s="31">
        <v>17.98</v>
      </c>
      <c r="BG155" s="31"/>
      <c r="BH155" s="31">
        <v>38.229999999999997</v>
      </c>
      <c r="BI155" s="31"/>
      <c r="BJ155" s="31"/>
      <c r="BK155" s="31"/>
      <c r="BL155" s="31"/>
      <c r="BM155" s="31">
        <v>238.21</v>
      </c>
      <c r="BN155" s="31"/>
      <c r="BO155" s="31"/>
      <c r="BP155" s="31"/>
      <c r="BQ155" s="31"/>
      <c r="BR155" s="31"/>
      <c r="BS155" s="31"/>
      <c r="BT155" s="31">
        <v>115.36</v>
      </c>
      <c r="BU155" s="31"/>
      <c r="BV155" s="31"/>
      <c r="BW155" s="31"/>
      <c r="BX155" s="31"/>
      <c r="BY155" s="31"/>
      <c r="BZ155" s="31"/>
      <c r="CA155" s="31"/>
      <c r="CB155" s="31"/>
      <c r="CC155" s="31">
        <v>82.57</v>
      </c>
      <c r="CD155" s="31"/>
      <c r="CE155" s="31"/>
      <c r="CF155" s="31"/>
      <c r="CG155" s="31"/>
      <c r="CH155" s="31"/>
      <c r="CI155" s="31"/>
      <c r="CJ155" s="31"/>
      <c r="CK155" s="31"/>
      <c r="CL155" s="31">
        <v>22.76</v>
      </c>
      <c r="CM155" s="43"/>
      <c r="CN155" s="43"/>
      <c r="CO155" s="43"/>
      <c r="CP155" s="43"/>
      <c r="CQ155" s="43">
        <f>Table2[[#This Row],[groupTime22]]/60</f>
        <v>3.9701666666666666</v>
      </c>
      <c r="CR155" s="43">
        <f>Table2[[#This Row],[groupTime23]]/60</f>
        <v>1.9226666666666667</v>
      </c>
      <c r="CS155" s="43">
        <f>Table2[[#This Row],[groupTime24]]/60</f>
        <v>1.3761666666666665</v>
      </c>
    </row>
    <row r="156" spans="1:97" x14ac:dyDescent="0.25">
      <c r="A156" s="11" t="s">
        <v>352</v>
      </c>
      <c r="B156" s="11" t="s">
        <v>114</v>
      </c>
      <c r="C156" s="11">
        <v>30</v>
      </c>
      <c r="D156" s="11" t="s">
        <v>390</v>
      </c>
      <c r="E156" s="11">
        <v>6</v>
      </c>
      <c r="F156" s="11" t="s">
        <v>79</v>
      </c>
      <c r="G156" s="11">
        <v>1644166497</v>
      </c>
      <c r="H156" s="11" t="s">
        <v>391</v>
      </c>
      <c r="I156" s="11" t="s">
        <v>392</v>
      </c>
      <c r="J156" s="11" t="s">
        <v>80</v>
      </c>
      <c r="K156" s="11" t="str">
        <f>IF(Table2[[#This Row],[priorSuccessRatio]]&lt;1,"yes","no")</f>
        <v>no</v>
      </c>
      <c r="L156" s="27">
        <f>VLOOKUP(Table2[[#This Row],[prolific]],'Correct calc'!B$16:$AJ$998,6,FALSE)</f>
        <v>1</v>
      </c>
      <c r="M156" s="27">
        <f>VLOOKUP(Table2[[#This Row],[prolific]],'Correct calc'!B$16:$AJ$998,14,FALSE)</f>
        <v>0.83333333333333337</v>
      </c>
      <c r="N156" s="27">
        <f>VLOOKUP(Table2[[#This Row],[prolific]],'Correct calc'!B$16:$AJ1059,24,FALSE)</f>
        <v>0.875</v>
      </c>
      <c r="O156" s="27">
        <f>VLOOKUP(Table2[[#This Row],[prolific]],'Correct calc'!B$16:$AJ1059,34,FALSE)</f>
        <v>1</v>
      </c>
      <c r="P156" s="28">
        <f>VLOOKUP(Table2[[#This Row],[comprescore]],Table3[],2,FALSE)</f>
        <v>3</v>
      </c>
      <c r="Q156" s="16">
        <f>VLOOKUP(Table2[[#This Row],[prolific]],'Correct calc'!B$16:$AK$998,36,FALSE)</f>
        <v>20</v>
      </c>
      <c r="R156" s="16">
        <f>Table2[[#This Row],[interviewminutes]]</f>
        <v>9.9671666666666656</v>
      </c>
      <c r="S156" s="16">
        <f>Table2[[#This Row],[classifyTime]]+Table2[[#This Row],[explainTime]]+Table2[[#This Row],[validateTime]]</f>
        <v>8.5824999999999996</v>
      </c>
      <c r="T156" s="29">
        <f>VLOOKUP(Table2[[#This Row],[prolific]],'Correct calc'!B$16:$AJ$998,35,FALSE)</f>
        <v>0.90909090909090906</v>
      </c>
      <c r="U156" s="15">
        <f>SUM(Table2[[#This Row],[priorKnowledge'[CLUSTERING']]:[priorKnowledge'[ZSCORES']]])/Table2[[#This Row],[priorKnowledgeTechQuestionCount]]</f>
        <v>1</v>
      </c>
      <c r="V156" s="16">
        <f>IF(Table2[[#This Row],[visualization]]="Wordcloud",2,3)</f>
        <v>3</v>
      </c>
      <c r="W156" s="31" t="s">
        <v>1170</v>
      </c>
      <c r="X156" s="31">
        <v>1</v>
      </c>
      <c r="Y156" s="31">
        <v>1</v>
      </c>
      <c r="Z156" s="31">
        <v>1</v>
      </c>
      <c r="AA156" s="31">
        <v>6</v>
      </c>
      <c r="AB156" s="31" t="s">
        <v>97</v>
      </c>
      <c r="AC156" s="31" t="s">
        <v>81</v>
      </c>
      <c r="AD156" s="31" t="s">
        <v>82</v>
      </c>
      <c r="AE156" s="31" t="s">
        <v>83</v>
      </c>
      <c r="AF156" s="31" t="s">
        <v>85</v>
      </c>
      <c r="AG156" s="31" t="s">
        <v>86</v>
      </c>
      <c r="AH156" s="31" t="s">
        <v>84</v>
      </c>
      <c r="AI156" s="31" t="s">
        <v>104</v>
      </c>
      <c r="AJ156" s="31" t="s">
        <v>86</v>
      </c>
      <c r="AK156" s="31" t="s">
        <v>88</v>
      </c>
      <c r="AL156" s="31" t="s">
        <v>87</v>
      </c>
      <c r="AM156" s="31" t="s">
        <v>105</v>
      </c>
      <c r="AN156" s="31" t="s">
        <v>90</v>
      </c>
      <c r="AO156" s="31" t="s">
        <v>83</v>
      </c>
      <c r="AP156" s="31" t="s">
        <v>85</v>
      </c>
      <c r="AQ156" s="31" t="s">
        <v>101</v>
      </c>
      <c r="AR156" s="31" t="s">
        <v>102</v>
      </c>
      <c r="AS156" s="31" t="s">
        <v>94</v>
      </c>
      <c r="AT156" s="31" t="s">
        <v>93</v>
      </c>
      <c r="AU156" s="31" t="s">
        <v>94</v>
      </c>
      <c r="AV156" s="31" t="s">
        <v>93</v>
      </c>
      <c r="AW156" s="31" t="s">
        <v>94</v>
      </c>
      <c r="AX156" s="31" t="s">
        <v>93</v>
      </c>
      <c r="AY156" s="31" t="s">
        <v>94</v>
      </c>
      <c r="AZ156" s="31" t="s">
        <v>93</v>
      </c>
      <c r="BA156" s="31" t="s">
        <v>107</v>
      </c>
      <c r="BB156" s="31" t="s">
        <v>449</v>
      </c>
      <c r="BC156" s="24"/>
      <c r="BD156" s="30">
        <f>Table2[[#This Row],[interviewtime]]/60</f>
        <v>9.9671666666666656</v>
      </c>
      <c r="BE156" s="31">
        <v>598.03</v>
      </c>
      <c r="BF156" s="31">
        <v>4.17</v>
      </c>
      <c r="BG156" s="31"/>
      <c r="BH156" s="31">
        <v>22.89</v>
      </c>
      <c r="BI156" s="31"/>
      <c r="BJ156" s="31"/>
      <c r="BK156" s="31"/>
      <c r="BL156" s="31"/>
      <c r="BM156" s="31">
        <v>262.95</v>
      </c>
      <c r="BN156" s="31"/>
      <c r="BO156" s="31"/>
      <c r="BP156" s="31"/>
      <c r="BQ156" s="31"/>
      <c r="BR156" s="31"/>
      <c r="BS156" s="31"/>
      <c r="BT156" s="31">
        <v>156.34</v>
      </c>
      <c r="BU156" s="31"/>
      <c r="BV156" s="31"/>
      <c r="BW156" s="31"/>
      <c r="BX156" s="31"/>
      <c r="BY156" s="31"/>
      <c r="BZ156" s="31"/>
      <c r="CA156" s="31"/>
      <c r="CB156" s="31"/>
      <c r="CC156" s="31">
        <v>95.66</v>
      </c>
      <c r="CD156" s="31"/>
      <c r="CE156" s="31"/>
      <c r="CF156" s="31"/>
      <c r="CG156" s="31"/>
      <c r="CH156" s="31"/>
      <c r="CI156" s="31"/>
      <c r="CJ156" s="31"/>
      <c r="CK156" s="31"/>
      <c r="CL156" s="31">
        <v>56.02</v>
      </c>
      <c r="CM156" s="31"/>
      <c r="CN156" s="31"/>
      <c r="CO156" s="24"/>
      <c r="CP156" s="24"/>
      <c r="CQ156" s="43">
        <f>Table2[[#This Row],[groupTime22]]/60</f>
        <v>4.3824999999999994</v>
      </c>
      <c r="CR156" s="43">
        <f>Table2[[#This Row],[groupTime23]]/60</f>
        <v>2.6056666666666666</v>
      </c>
      <c r="CS156" s="43">
        <f>Table2[[#This Row],[groupTime24]]/60</f>
        <v>1.5943333333333334</v>
      </c>
    </row>
    <row r="157" spans="1:97" x14ac:dyDescent="0.25">
      <c r="A157" s="11" t="s">
        <v>352</v>
      </c>
      <c r="B157" s="11" t="s">
        <v>114</v>
      </c>
      <c r="C157" s="11">
        <v>31</v>
      </c>
      <c r="D157" s="11" t="s">
        <v>393</v>
      </c>
      <c r="E157" s="11">
        <v>6</v>
      </c>
      <c r="F157" s="11" t="s">
        <v>79</v>
      </c>
      <c r="G157" s="11">
        <v>103966002</v>
      </c>
      <c r="H157" s="11" t="s">
        <v>394</v>
      </c>
      <c r="I157" s="11" t="s">
        <v>393</v>
      </c>
      <c r="J157" s="11" t="s">
        <v>80</v>
      </c>
      <c r="K157" s="11" t="str">
        <f>IF(Table2[[#This Row],[priorSuccessRatio]]&lt;1,"yes","no")</f>
        <v>no</v>
      </c>
      <c r="L157" s="27">
        <f>VLOOKUP(Table2[[#This Row],[prolific]],'Correct calc'!B$16:$AJ$998,6,FALSE)</f>
        <v>1</v>
      </c>
      <c r="M157" s="27">
        <f>VLOOKUP(Table2[[#This Row],[prolific]],'Correct calc'!B$16:$AJ$998,14,FALSE)</f>
        <v>1</v>
      </c>
      <c r="N157" s="27">
        <f>VLOOKUP(Table2[[#This Row],[prolific]],'Correct calc'!B$16:$AJ1060,24,FALSE)</f>
        <v>1</v>
      </c>
      <c r="O157" s="27">
        <f>VLOOKUP(Table2[[#This Row],[prolific]],'Correct calc'!B$16:$AJ1060,34,FALSE)</f>
        <v>0.875</v>
      </c>
      <c r="P157" s="28">
        <f>VLOOKUP(Table2[[#This Row],[comprescore]],Table3[],2,FALSE)</f>
        <v>2</v>
      </c>
      <c r="Q157" s="16">
        <f>VLOOKUP(Table2[[#This Row],[prolific]],'Correct calc'!B$16:$AK$998,36,FALSE)</f>
        <v>21</v>
      </c>
      <c r="R157" s="16">
        <f>Table2[[#This Row],[interviewminutes]]</f>
        <v>11.555333333333333</v>
      </c>
      <c r="S157" s="16">
        <f>Table2[[#This Row],[classifyTime]]+Table2[[#This Row],[explainTime]]+Table2[[#This Row],[validateTime]]</f>
        <v>7.5211666666666668</v>
      </c>
      <c r="T157" s="29">
        <f>VLOOKUP(Table2[[#This Row],[prolific]],'Correct calc'!B$16:$AJ$998,35,FALSE)</f>
        <v>0.95454545454545459</v>
      </c>
      <c r="U157" s="15">
        <f>SUM(Table2[[#This Row],[priorKnowledge'[CLUSTERING']]:[priorKnowledge'[ZSCORES']]])/Table2[[#This Row],[priorKnowledgeTechQuestionCount]]</f>
        <v>2.6666666666666665</v>
      </c>
      <c r="V157" s="16">
        <f>IF(Table2[[#This Row],[visualization]]="Wordcloud",2,3)</f>
        <v>3</v>
      </c>
      <c r="W157" s="31" t="s">
        <v>1171</v>
      </c>
      <c r="X157" s="31">
        <v>5</v>
      </c>
      <c r="Y157" s="31">
        <v>1</v>
      </c>
      <c r="Z157" s="31">
        <v>2</v>
      </c>
      <c r="AA157" s="31">
        <v>6</v>
      </c>
      <c r="AB157" s="31" t="s">
        <v>97</v>
      </c>
      <c r="AC157" s="31" t="s">
        <v>81</v>
      </c>
      <c r="AD157" s="31" t="s">
        <v>82</v>
      </c>
      <c r="AE157" s="31" t="s">
        <v>83</v>
      </c>
      <c r="AF157" s="31" t="s">
        <v>85</v>
      </c>
      <c r="AG157" s="31" t="s">
        <v>86</v>
      </c>
      <c r="AH157" s="31" t="s">
        <v>84</v>
      </c>
      <c r="AI157" s="31" t="s">
        <v>104</v>
      </c>
      <c r="AJ157" s="31" t="s">
        <v>98</v>
      </c>
      <c r="AK157" s="31" t="s">
        <v>88</v>
      </c>
      <c r="AL157" s="31" t="s">
        <v>87</v>
      </c>
      <c r="AM157" s="31" t="s">
        <v>105</v>
      </c>
      <c r="AN157" s="31" t="s">
        <v>90</v>
      </c>
      <c r="AO157" s="31" t="s">
        <v>83</v>
      </c>
      <c r="AP157" s="31" t="s">
        <v>85</v>
      </c>
      <c r="AQ157" s="31" t="s">
        <v>91</v>
      </c>
      <c r="AR157" s="31" t="s">
        <v>102</v>
      </c>
      <c r="AS157" s="31" t="s">
        <v>94</v>
      </c>
      <c r="AT157" s="31" t="s">
        <v>93</v>
      </c>
      <c r="AU157" s="31" t="s">
        <v>94</v>
      </c>
      <c r="AV157" s="31" t="s">
        <v>93</v>
      </c>
      <c r="AW157" s="31" t="s">
        <v>93</v>
      </c>
      <c r="AX157" s="31" t="s">
        <v>93</v>
      </c>
      <c r="AY157" s="31" t="s">
        <v>94</v>
      </c>
      <c r="AZ157" s="31" t="s">
        <v>93</v>
      </c>
      <c r="BA157" s="31" t="s">
        <v>106</v>
      </c>
      <c r="BB157" s="31" t="s">
        <v>451</v>
      </c>
      <c r="BC157" s="24"/>
      <c r="BD157" s="30">
        <f>Table2[[#This Row],[interviewtime]]/60</f>
        <v>11.555333333333333</v>
      </c>
      <c r="BE157" s="31">
        <v>693.32</v>
      </c>
      <c r="BF157" s="31">
        <v>7.83</v>
      </c>
      <c r="BG157" s="31"/>
      <c r="BH157" s="31">
        <v>157.88</v>
      </c>
      <c r="BI157" s="31"/>
      <c r="BJ157" s="31"/>
      <c r="BK157" s="31"/>
      <c r="BL157" s="31"/>
      <c r="BM157" s="31">
        <v>218.18</v>
      </c>
      <c r="BN157" s="31"/>
      <c r="BO157" s="31"/>
      <c r="BP157" s="31"/>
      <c r="BQ157" s="31"/>
      <c r="BR157" s="31"/>
      <c r="BS157" s="31"/>
      <c r="BT157" s="31">
        <v>139.31</v>
      </c>
      <c r="BU157" s="31"/>
      <c r="BV157" s="31"/>
      <c r="BW157" s="31"/>
      <c r="BX157" s="31"/>
      <c r="BY157" s="31"/>
      <c r="BZ157" s="31"/>
      <c r="CA157" s="31"/>
      <c r="CB157" s="31"/>
      <c r="CC157" s="31">
        <v>93.78</v>
      </c>
      <c r="CD157" s="31"/>
      <c r="CE157" s="31"/>
      <c r="CF157" s="31"/>
      <c r="CG157" s="31"/>
      <c r="CH157" s="31"/>
      <c r="CI157" s="31"/>
      <c r="CJ157" s="31"/>
      <c r="CK157" s="31"/>
      <c r="CL157" s="31">
        <v>76.34</v>
      </c>
      <c r="CM157" s="31"/>
      <c r="CN157" s="31"/>
      <c r="CO157" s="24"/>
      <c r="CP157" s="24"/>
      <c r="CQ157" s="43">
        <f>Table2[[#This Row],[groupTime22]]/60</f>
        <v>3.6363333333333334</v>
      </c>
      <c r="CR157" s="43">
        <f>Table2[[#This Row],[groupTime23]]/60</f>
        <v>2.3218333333333332</v>
      </c>
      <c r="CS157" s="43">
        <f>Table2[[#This Row],[groupTime24]]/60</f>
        <v>1.5629999999999999</v>
      </c>
    </row>
    <row r="158" spans="1:97" x14ac:dyDescent="0.25">
      <c r="A158" s="11" t="s">
        <v>352</v>
      </c>
      <c r="B158" s="11" t="s">
        <v>114</v>
      </c>
      <c r="C158" s="11">
        <v>32</v>
      </c>
      <c r="D158" s="11" t="s">
        <v>395</v>
      </c>
      <c r="E158" s="11">
        <v>6</v>
      </c>
      <c r="F158" s="11" t="s">
        <v>79</v>
      </c>
      <c r="G158" s="11">
        <v>84294098</v>
      </c>
      <c r="H158" s="11" t="s">
        <v>396</v>
      </c>
      <c r="I158" s="11" t="s">
        <v>395</v>
      </c>
      <c r="J158" s="11" t="s">
        <v>80</v>
      </c>
      <c r="K158" s="11" t="str">
        <f>IF(Table2[[#This Row],[priorSuccessRatio]]&lt;1,"yes","no")</f>
        <v>no</v>
      </c>
      <c r="L158" s="27">
        <f>VLOOKUP(Table2[[#This Row],[prolific]],'Correct calc'!B$16:$AJ$998,6,FALSE)</f>
        <v>1</v>
      </c>
      <c r="M158" s="27">
        <f>VLOOKUP(Table2[[#This Row],[prolific]],'Correct calc'!B$16:$AJ$998,14,FALSE)</f>
        <v>0.33333333333333331</v>
      </c>
      <c r="N158" s="27">
        <f>VLOOKUP(Table2[[#This Row],[prolific]],'Correct calc'!B$16:$AJ1061,24,FALSE)</f>
        <v>0.625</v>
      </c>
      <c r="O158" s="27">
        <f>VLOOKUP(Table2[[#This Row],[prolific]],'Correct calc'!B$16:$AJ1061,34,FALSE)</f>
        <v>0.75</v>
      </c>
      <c r="P158" s="28">
        <f>VLOOKUP(Table2[[#This Row],[comprescore]],Table3[],2,FALSE)</f>
        <v>1</v>
      </c>
      <c r="Q158" s="16">
        <f>VLOOKUP(Table2[[#This Row],[prolific]],'Correct calc'!B$16:$AK$998,36,FALSE)</f>
        <v>13</v>
      </c>
      <c r="R158" s="16">
        <f>Table2[[#This Row],[interviewminutes]]</f>
        <v>12.387166666666667</v>
      </c>
      <c r="S158" s="16">
        <f>Table2[[#This Row],[classifyTime]]+Table2[[#This Row],[explainTime]]+Table2[[#This Row],[validateTime]]</f>
        <v>10.557499999999999</v>
      </c>
      <c r="T158" s="29">
        <f>VLOOKUP(Table2[[#This Row],[prolific]],'Correct calc'!B$16:$AJ$998,35,FALSE)</f>
        <v>0.59090909090909094</v>
      </c>
      <c r="U158" s="15">
        <f>SUM(Table2[[#This Row],[priorKnowledge'[CLUSTERING']]:[priorKnowledge'[ZSCORES']]])/Table2[[#This Row],[priorKnowledgeTechQuestionCount]]</f>
        <v>5.666666666666667</v>
      </c>
      <c r="V158" s="16">
        <f>IF(Table2[[#This Row],[visualization]]="Wordcloud",2,3)</f>
        <v>3</v>
      </c>
      <c r="W158" s="31" t="s">
        <v>1172</v>
      </c>
      <c r="X158" s="31">
        <v>7</v>
      </c>
      <c r="Y158" s="31">
        <v>6</v>
      </c>
      <c r="Z158" s="31">
        <v>4</v>
      </c>
      <c r="AA158" s="31">
        <v>8</v>
      </c>
      <c r="AB158" s="31" t="s">
        <v>97</v>
      </c>
      <c r="AC158" s="31" t="s">
        <v>81</v>
      </c>
      <c r="AD158" s="31" t="s">
        <v>82</v>
      </c>
      <c r="AE158" s="31" t="s">
        <v>83</v>
      </c>
      <c r="AF158" s="31" t="s">
        <v>86</v>
      </c>
      <c r="AG158" s="31" t="s">
        <v>98</v>
      </c>
      <c r="AH158" s="31" t="s">
        <v>85</v>
      </c>
      <c r="AI158" s="31" t="s">
        <v>83</v>
      </c>
      <c r="AJ158" s="31" t="s">
        <v>98</v>
      </c>
      <c r="AK158" s="31" t="s">
        <v>88</v>
      </c>
      <c r="AL158" s="31" t="s">
        <v>87</v>
      </c>
      <c r="AM158" s="31" t="s">
        <v>285</v>
      </c>
      <c r="AN158" s="31" t="s">
        <v>90</v>
      </c>
      <c r="AO158" s="31" t="s">
        <v>83</v>
      </c>
      <c r="AP158" s="31" t="s">
        <v>85</v>
      </c>
      <c r="AQ158" s="31" t="s">
        <v>101</v>
      </c>
      <c r="AR158" s="31" t="s">
        <v>101</v>
      </c>
      <c r="AS158" s="31" t="s">
        <v>94</v>
      </c>
      <c r="AT158" s="31" t="s">
        <v>93</v>
      </c>
      <c r="AU158" s="31" t="s">
        <v>94</v>
      </c>
      <c r="AV158" s="31" t="s">
        <v>93</v>
      </c>
      <c r="AW158" s="31" t="s">
        <v>93</v>
      </c>
      <c r="AX158" s="31" t="s">
        <v>93</v>
      </c>
      <c r="AY158" s="31" t="s">
        <v>94</v>
      </c>
      <c r="AZ158" s="31" t="s">
        <v>94</v>
      </c>
      <c r="BA158" s="31" t="s">
        <v>95</v>
      </c>
      <c r="BB158" s="31" t="s">
        <v>453</v>
      </c>
      <c r="BC158" s="24"/>
      <c r="BD158" s="30">
        <f>Table2[[#This Row],[interviewtime]]/60</f>
        <v>12.387166666666667</v>
      </c>
      <c r="BE158" s="31">
        <v>743.23</v>
      </c>
      <c r="BF158" s="31">
        <v>8.3699999999999992</v>
      </c>
      <c r="BG158" s="31"/>
      <c r="BH158" s="31">
        <v>57.4</v>
      </c>
      <c r="BI158" s="31"/>
      <c r="BJ158" s="31"/>
      <c r="BK158" s="31"/>
      <c r="BL158" s="31"/>
      <c r="BM158" s="31">
        <v>183.29</v>
      </c>
      <c r="BN158" s="31"/>
      <c r="BO158" s="31"/>
      <c r="BP158" s="31"/>
      <c r="BQ158" s="31"/>
      <c r="BR158" s="31"/>
      <c r="BS158" s="31"/>
      <c r="BT158" s="31">
        <v>194.56</v>
      </c>
      <c r="BU158" s="31"/>
      <c r="BV158" s="31"/>
      <c r="BW158" s="31"/>
      <c r="BX158" s="31"/>
      <c r="BY158" s="31"/>
      <c r="BZ158" s="31"/>
      <c r="CA158" s="31"/>
      <c r="CB158" s="31"/>
      <c r="CC158" s="31">
        <v>255.6</v>
      </c>
      <c r="CD158" s="31"/>
      <c r="CE158" s="31"/>
      <c r="CF158" s="31"/>
      <c r="CG158" s="31"/>
      <c r="CH158" s="31"/>
      <c r="CI158" s="31"/>
      <c r="CJ158" s="31"/>
      <c r="CK158" s="31"/>
      <c r="CL158" s="31">
        <v>44.01</v>
      </c>
      <c r="CM158" s="31"/>
      <c r="CN158" s="31"/>
      <c r="CO158" s="24"/>
      <c r="CP158" s="24"/>
      <c r="CQ158" s="43">
        <f>Table2[[#This Row],[groupTime22]]/60</f>
        <v>3.0548333333333333</v>
      </c>
      <c r="CR158" s="43">
        <f>Table2[[#This Row],[groupTime23]]/60</f>
        <v>3.2426666666666666</v>
      </c>
      <c r="CS158" s="43">
        <f>Table2[[#This Row],[groupTime24]]/60</f>
        <v>4.26</v>
      </c>
    </row>
    <row r="159" spans="1:97" x14ac:dyDescent="0.25">
      <c r="A159" s="11" t="s">
        <v>352</v>
      </c>
      <c r="B159" s="11" t="s">
        <v>114</v>
      </c>
      <c r="C159" s="11">
        <v>33</v>
      </c>
      <c r="D159" s="11" t="s">
        <v>397</v>
      </c>
      <c r="E159" s="11">
        <v>6</v>
      </c>
      <c r="F159" s="11" t="s">
        <v>79</v>
      </c>
      <c r="G159" s="11">
        <v>1278679174</v>
      </c>
      <c r="H159" s="11" t="s">
        <v>398</v>
      </c>
      <c r="I159" s="11" t="s">
        <v>397</v>
      </c>
      <c r="J159" s="11" t="s">
        <v>80</v>
      </c>
      <c r="K159" s="11" t="str">
        <f>IF(Table2[[#This Row],[priorSuccessRatio]]&lt;1,"yes","no")</f>
        <v>no</v>
      </c>
      <c r="L159" s="27">
        <f>VLOOKUP(Table2[[#This Row],[prolific]],'Correct calc'!B$16:$AJ$998,6,FALSE)</f>
        <v>1</v>
      </c>
      <c r="M159" s="27">
        <f>VLOOKUP(Table2[[#This Row],[prolific]],'Correct calc'!B$16:$AJ$998,14,FALSE)</f>
        <v>1</v>
      </c>
      <c r="N159" s="27">
        <f>VLOOKUP(Table2[[#This Row],[prolific]],'Correct calc'!B$16:$AJ1062,24,FALSE)</f>
        <v>0.875</v>
      </c>
      <c r="O159" s="27">
        <f>VLOOKUP(Table2[[#This Row],[prolific]],'Correct calc'!B$16:$AJ1062,34,FALSE)</f>
        <v>0.875</v>
      </c>
      <c r="P159" s="28">
        <f>VLOOKUP(Table2[[#This Row],[comprescore]],Table3[],2,FALSE)</f>
        <v>1</v>
      </c>
      <c r="Q159" s="16">
        <f>VLOOKUP(Table2[[#This Row],[prolific]],'Correct calc'!B$16:$AK$998,36,FALSE)</f>
        <v>20</v>
      </c>
      <c r="R159" s="16">
        <f>Table2[[#This Row],[interviewminutes]]</f>
        <v>8.0846666666666671</v>
      </c>
      <c r="S159" s="16">
        <f>Table2[[#This Row],[classifyTime]]+Table2[[#This Row],[explainTime]]+Table2[[#This Row],[validateTime]]</f>
        <v>6.0308333333333337</v>
      </c>
      <c r="T159" s="29">
        <f>VLOOKUP(Table2[[#This Row],[prolific]],'Correct calc'!B$16:$AJ$998,35,FALSE)</f>
        <v>0.90909090909090906</v>
      </c>
      <c r="U159" s="15">
        <f>SUM(Table2[[#This Row],[priorKnowledge'[CLUSTERING']]:[priorKnowledge'[ZSCORES']]])/Table2[[#This Row],[priorKnowledgeTechQuestionCount]]</f>
        <v>1</v>
      </c>
      <c r="V159" s="16">
        <f>IF(Table2[[#This Row],[visualization]]="Wordcloud",2,3)</f>
        <v>3</v>
      </c>
      <c r="W159" s="31" t="s">
        <v>1173</v>
      </c>
      <c r="X159" s="31">
        <v>1</v>
      </c>
      <c r="Y159" s="31">
        <v>1</v>
      </c>
      <c r="Z159" s="31">
        <v>1</v>
      </c>
      <c r="AA159" s="31">
        <v>3</v>
      </c>
      <c r="AB159" s="31" t="s">
        <v>97</v>
      </c>
      <c r="AC159" s="31" t="s">
        <v>81</v>
      </c>
      <c r="AD159" s="31" t="s">
        <v>82</v>
      </c>
      <c r="AE159" s="31" t="s">
        <v>83</v>
      </c>
      <c r="AF159" s="31" t="s">
        <v>85</v>
      </c>
      <c r="AG159" s="31" t="s">
        <v>86</v>
      </c>
      <c r="AH159" s="31" t="s">
        <v>84</v>
      </c>
      <c r="AI159" s="31" t="s">
        <v>104</v>
      </c>
      <c r="AJ159" s="31" t="s">
        <v>98</v>
      </c>
      <c r="AK159" s="31" t="s">
        <v>88</v>
      </c>
      <c r="AL159" s="31" t="s">
        <v>87</v>
      </c>
      <c r="AM159" s="31" t="s">
        <v>105</v>
      </c>
      <c r="AN159" s="31" t="s">
        <v>90</v>
      </c>
      <c r="AO159" s="31" t="s">
        <v>83</v>
      </c>
      <c r="AP159" s="31" t="s">
        <v>85</v>
      </c>
      <c r="AQ159" s="31" t="s">
        <v>101</v>
      </c>
      <c r="AR159" s="31" t="s">
        <v>102</v>
      </c>
      <c r="AS159" s="31" t="s">
        <v>94</v>
      </c>
      <c r="AT159" s="31" t="s">
        <v>93</v>
      </c>
      <c r="AU159" s="31" t="s">
        <v>94</v>
      </c>
      <c r="AV159" s="31" t="s">
        <v>93</v>
      </c>
      <c r="AW159" s="31" t="s">
        <v>93</v>
      </c>
      <c r="AX159" s="31" t="s">
        <v>93</v>
      </c>
      <c r="AY159" s="31" t="s">
        <v>94</v>
      </c>
      <c r="AZ159" s="31" t="s">
        <v>93</v>
      </c>
      <c r="BA159" s="31" t="s">
        <v>95</v>
      </c>
      <c r="BB159" s="31" t="s">
        <v>455</v>
      </c>
      <c r="BC159" s="24"/>
      <c r="BD159" s="30">
        <f>Table2[[#This Row],[interviewtime]]/60</f>
        <v>8.0846666666666671</v>
      </c>
      <c r="BE159" s="31">
        <v>485.08</v>
      </c>
      <c r="BF159" s="31">
        <v>10.1</v>
      </c>
      <c r="BG159" s="31"/>
      <c r="BH159" s="31">
        <v>18.48</v>
      </c>
      <c r="BI159" s="31"/>
      <c r="BJ159" s="31"/>
      <c r="BK159" s="31"/>
      <c r="BL159" s="31"/>
      <c r="BM159" s="31">
        <v>191.71</v>
      </c>
      <c r="BN159" s="31"/>
      <c r="BO159" s="31"/>
      <c r="BP159" s="31"/>
      <c r="BQ159" s="31"/>
      <c r="BR159" s="31"/>
      <c r="BS159" s="31"/>
      <c r="BT159" s="31">
        <v>86.75</v>
      </c>
      <c r="BU159" s="31"/>
      <c r="BV159" s="31"/>
      <c r="BW159" s="31"/>
      <c r="BX159" s="31"/>
      <c r="BY159" s="31"/>
      <c r="BZ159" s="31"/>
      <c r="CA159" s="31"/>
      <c r="CB159" s="31"/>
      <c r="CC159" s="31">
        <v>83.39</v>
      </c>
      <c r="CD159" s="31"/>
      <c r="CE159" s="31"/>
      <c r="CF159" s="31"/>
      <c r="CG159" s="31"/>
      <c r="CH159" s="31"/>
      <c r="CI159" s="31"/>
      <c r="CJ159" s="31"/>
      <c r="CK159" s="31"/>
      <c r="CL159" s="31">
        <v>94.65</v>
      </c>
      <c r="CM159" s="31"/>
      <c r="CN159" s="31"/>
      <c r="CO159" s="24"/>
      <c r="CP159" s="24"/>
      <c r="CQ159" s="43">
        <f>Table2[[#This Row],[groupTime22]]/60</f>
        <v>3.1951666666666667</v>
      </c>
      <c r="CR159" s="43">
        <f>Table2[[#This Row],[groupTime23]]/60</f>
        <v>1.4458333333333333</v>
      </c>
      <c r="CS159" s="43">
        <f>Table2[[#This Row],[groupTime24]]/60</f>
        <v>1.3898333333333333</v>
      </c>
    </row>
    <row r="160" spans="1:97" x14ac:dyDescent="0.25">
      <c r="A160" s="11" t="s">
        <v>352</v>
      </c>
      <c r="B160" s="11" t="s">
        <v>114</v>
      </c>
      <c r="C160" s="11">
        <v>35</v>
      </c>
      <c r="D160" s="11" t="s">
        <v>399</v>
      </c>
      <c r="E160" s="11">
        <v>6</v>
      </c>
      <c r="F160" s="11" t="s">
        <v>79</v>
      </c>
      <c r="G160" s="11">
        <v>1310219017</v>
      </c>
      <c r="H160" s="11" t="s">
        <v>400</v>
      </c>
      <c r="I160" s="11" t="s">
        <v>399</v>
      </c>
      <c r="J160" s="11" t="s">
        <v>80</v>
      </c>
      <c r="K160" s="11" t="str">
        <f>IF(Table2[[#This Row],[priorSuccessRatio]]&lt;1,"yes","no")</f>
        <v>no</v>
      </c>
      <c r="L160" s="27">
        <f>VLOOKUP(Table2[[#This Row],[prolific]],'Correct calc'!B$16:$AJ$998,6,FALSE)</f>
        <v>1</v>
      </c>
      <c r="M160" s="27">
        <f>VLOOKUP(Table2[[#This Row],[prolific]],'Correct calc'!B$16:$AJ$998,14,FALSE)</f>
        <v>0.83333333333333337</v>
      </c>
      <c r="N160" s="27">
        <f>VLOOKUP(Table2[[#This Row],[prolific]],'Correct calc'!B$16:$AJ1063,24,FALSE)</f>
        <v>0.75</v>
      </c>
      <c r="O160" s="27">
        <f>VLOOKUP(Table2[[#This Row],[prolific]],'Correct calc'!B$16:$AJ1063,34,FALSE)</f>
        <v>1</v>
      </c>
      <c r="P160" s="28">
        <f>VLOOKUP(Table2[[#This Row],[comprescore]],Table3[],2,FALSE)</f>
        <v>3</v>
      </c>
      <c r="Q160" s="16">
        <f>VLOOKUP(Table2[[#This Row],[prolific]],'Correct calc'!B$16:$AK$998,36,FALSE)</f>
        <v>19</v>
      </c>
      <c r="R160" s="16">
        <f>Table2[[#This Row],[interviewminutes]]</f>
        <v>30.574333333333335</v>
      </c>
      <c r="S160" s="16">
        <f>Table2[[#This Row],[classifyTime]]+Table2[[#This Row],[explainTime]]+Table2[[#This Row],[validateTime]]</f>
        <v>27.297499999999999</v>
      </c>
      <c r="T160" s="29">
        <f>VLOOKUP(Table2[[#This Row],[prolific]],'Correct calc'!B$16:$AJ$998,35,FALSE)</f>
        <v>0.86363636363636365</v>
      </c>
      <c r="U160" s="15">
        <f>SUM(Table2[[#This Row],[priorKnowledge'[CLUSTERING']]:[priorKnowledge'[ZSCORES']]])/Table2[[#This Row],[priorKnowledgeTechQuestionCount]]</f>
        <v>7</v>
      </c>
      <c r="V160" s="16">
        <f>IF(Table2[[#This Row],[visualization]]="Wordcloud",2,3)</f>
        <v>3</v>
      </c>
      <c r="W160" s="31" t="s">
        <v>1174</v>
      </c>
      <c r="X160" s="31">
        <v>7</v>
      </c>
      <c r="Y160" s="31">
        <v>7</v>
      </c>
      <c r="Z160" s="31">
        <v>7</v>
      </c>
      <c r="AA160" s="31">
        <v>9</v>
      </c>
      <c r="AB160" s="31" t="s">
        <v>97</v>
      </c>
      <c r="AC160" s="31" t="s">
        <v>81</v>
      </c>
      <c r="AD160" s="31" t="s">
        <v>82</v>
      </c>
      <c r="AE160" s="31" t="s">
        <v>83</v>
      </c>
      <c r="AF160" s="31" t="s">
        <v>85</v>
      </c>
      <c r="AG160" s="31" t="s">
        <v>86</v>
      </c>
      <c r="AH160" s="31" t="s">
        <v>84</v>
      </c>
      <c r="AI160" s="31" t="s">
        <v>104</v>
      </c>
      <c r="AJ160" s="31" t="s">
        <v>104</v>
      </c>
      <c r="AK160" s="31" t="s">
        <v>88</v>
      </c>
      <c r="AL160" s="31" t="s">
        <v>87</v>
      </c>
      <c r="AM160" s="31" t="s">
        <v>105</v>
      </c>
      <c r="AN160" s="31" t="s">
        <v>90</v>
      </c>
      <c r="AO160" s="31" t="s">
        <v>83</v>
      </c>
      <c r="AP160" s="31" t="s">
        <v>104</v>
      </c>
      <c r="AQ160" s="31" t="s">
        <v>101</v>
      </c>
      <c r="AR160" s="31" t="s">
        <v>102</v>
      </c>
      <c r="AS160" s="31" t="s">
        <v>94</v>
      </c>
      <c r="AT160" s="31" t="s">
        <v>93</v>
      </c>
      <c r="AU160" s="31" t="s">
        <v>94</v>
      </c>
      <c r="AV160" s="31" t="s">
        <v>93</v>
      </c>
      <c r="AW160" s="31" t="s">
        <v>94</v>
      </c>
      <c r="AX160" s="31" t="s">
        <v>93</v>
      </c>
      <c r="AY160" s="31" t="s">
        <v>94</v>
      </c>
      <c r="AZ160" s="31" t="s">
        <v>93</v>
      </c>
      <c r="BA160" s="31" t="s">
        <v>107</v>
      </c>
      <c r="BB160" s="31" t="s">
        <v>458</v>
      </c>
      <c r="BC160" s="24"/>
      <c r="BD160" s="30">
        <f>Table2[[#This Row],[interviewtime]]/60</f>
        <v>30.574333333333335</v>
      </c>
      <c r="BE160" s="31">
        <v>1834.46</v>
      </c>
      <c r="BF160" s="31">
        <v>5.78</v>
      </c>
      <c r="BG160" s="31"/>
      <c r="BH160" s="31">
        <v>85.05</v>
      </c>
      <c r="BI160" s="31"/>
      <c r="BJ160" s="31"/>
      <c r="BK160" s="31"/>
      <c r="BL160" s="31"/>
      <c r="BM160" s="31">
        <v>1240.78</v>
      </c>
      <c r="BN160" s="31"/>
      <c r="BO160" s="31"/>
      <c r="BP160" s="31"/>
      <c r="BQ160" s="31"/>
      <c r="BR160" s="31"/>
      <c r="BS160" s="31"/>
      <c r="BT160" s="31">
        <v>211.58</v>
      </c>
      <c r="BU160" s="31"/>
      <c r="BV160" s="31"/>
      <c r="BW160" s="31"/>
      <c r="BX160" s="31"/>
      <c r="BY160" s="31"/>
      <c r="BZ160" s="31"/>
      <c r="CA160" s="31"/>
      <c r="CB160" s="31"/>
      <c r="CC160" s="31">
        <v>185.49</v>
      </c>
      <c r="CD160" s="31"/>
      <c r="CE160" s="31"/>
      <c r="CF160" s="31"/>
      <c r="CG160" s="31"/>
      <c r="CH160" s="31"/>
      <c r="CI160" s="31"/>
      <c r="CJ160" s="31"/>
      <c r="CK160" s="31"/>
      <c r="CL160" s="31">
        <v>105.78</v>
      </c>
      <c r="CM160" s="31"/>
      <c r="CN160" s="31"/>
      <c r="CO160" s="24"/>
      <c r="CP160" s="24"/>
      <c r="CQ160" s="43">
        <f>Table2[[#This Row],[groupTime22]]/60</f>
        <v>20.679666666666666</v>
      </c>
      <c r="CR160" s="43">
        <f>Table2[[#This Row],[groupTime23]]/60</f>
        <v>3.5263333333333335</v>
      </c>
      <c r="CS160" s="43">
        <f>Table2[[#This Row],[groupTime24]]/60</f>
        <v>3.0915000000000004</v>
      </c>
    </row>
    <row r="161" spans="1:97" x14ac:dyDescent="0.25">
      <c r="A161" s="11" t="s">
        <v>352</v>
      </c>
      <c r="B161" s="11" t="s">
        <v>114</v>
      </c>
      <c r="C161" s="11">
        <v>37</v>
      </c>
      <c r="D161" s="11" t="s">
        <v>401</v>
      </c>
      <c r="E161" s="11">
        <v>6</v>
      </c>
      <c r="F161" s="11" t="s">
        <v>79</v>
      </c>
      <c r="G161" s="11">
        <v>1393218271</v>
      </c>
      <c r="H161" s="11" t="s">
        <v>402</v>
      </c>
      <c r="I161" s="11" t="s">
        <v>401</v>
      </c>
      <c r="J161" s="11" t="s">
        <v>371</v>
      </c>
      <c r="K161" s="11" t="str">
        <f>IF(Table2[[#This Row],[priorSuccessRatio]]&lt;1,"yes","no")</f>
        <v>no</v>
      </c>
      <c r="L161" s="27">
        <f>VLOOKUP(Table2[[#This Row],[prolific]],'Correct calc'!B$16:$AJ$998,6,FALSE)</f>
        <v>1</v>
      </c>
      <c r="M161" s="27">
        <f>VLOOKUP(Table2[[#This Row],[prolific]],'Correct calc'!B$16:$AJ$998,14,FALSE)</f>
        <v>0.83333333333333337</v>
      </c>
      <c r="N161" s="27">
        <f>VLOOKUP(Table2[[#This Row],[prolific]],'Correct calc'!B$16:$AJ1064,24,FALSE)</f>
        <v>0.875</v>
      </c>
      <c r="O161" s="27">
        <f>VLOOKUP(Table2[[#This Row],[prolific]],'Correct calc'!B$16:$AJ1064,34,FALSE)</f>
        <v>0.875</v>
      </c>
      <c r="P161" s="28">
        <f>VLOOKUP(Table2[[#This Row],[comprescore]],Table3[],2,FALSE)</f>
        <v>3</v>
      </c>
      <c r="Q161" s="16">
        <f>VLOOKUP(Table2[[#This Row],[prolific]],'Correct calc'!B$16:$AK$998,36,FALSE)</f>
        <v>19</v>
      </c>
      <c r="R161" s="16">
        <f>Table2[[#This Row],[interviewminutes]]</f>
        <v>9.0126666666666662</v>
      </c>
      <c r="S161" s="16">
        <f>Table2[[#This Row],[classifyTime]]+Table2[[#This Row],[explainTime]]+Table2[[#This Row],[validateTime]]</f>
        <v>8.0296666666666656</v>
      </c>
      <c r="T161" s="29">
        <f>VLOOKUP(Table2[[#This Row],[prolific]],'Correct calc'!B$16:$AJ$998,35,FALSE)</f>
        <v>0.86363636363636365</v>
      </c>
      <c r="U161" s="15">
        <f>SUM(Table2[[#This Row],[priorKnowledge'[CLUSTERING']]:[priorKnowledge'[ZSCORES']]])/Table2[[#This Row],[priorKnowledgeTechQuestionCount]]</f>
        <v>1</v>
      </c>
      <c r="V161" s="16">
        <f>IF(Table2[[#This Row],[visualization]]="Wordcloud",2,3)</f>
        <v>3</v>
      </c>
      <c r="W161" s="31" t="s">
        <v>1175</v>
      </c>
      <c r="X161" s="31">
        <v>1</v>
      </c>
      <c r="Y161" s="31">
        <v>1</v>
      </c>
      <c r="Z161" s="31">
        <v>1</v>
      </c>
      <c r="AA161" s="31">
        <v>3</v>
      </c>
      <c r="AB161" s="31" t="s">
        <v>97</v>
      </c>
      <c r="AC161" s="31" t="s">
        <v>81</v>
      </c>
      <c r="AD161" s="31" t="s">
        <v>82</v>
      </c>
      <c r="AE161" s="31" t="s">
        <v>83</v>
      </c>
      <c r="AF161" s="31" t="s">
        <v>85</v>
      </c>
      <c r="AG161" s="31" t="s">
        <v>86</v>
      </c>
      <c r="AH161" s="31" t="s">
        <v>84</v>
      </c>
      <c r="AI161" s="31" t="s">
        <v>104</v>
      </c>
      <c r="AJ161" s="31" t="s">
        <v>86</v>
      </c>
      <c r="AK161" s="31" t="s">
        <v>88</v>
      </c>
      <c r="AL161" s="31" t="s">
        <v>87</v>
      </c>
      <c r="AM161" s="31" t="s">
        <v>105</v>
      </c>
      <c r="AN161" s="31" t="s">
        <v>109</v>
      </c>
      <c r="AO161" s="31" t="s">
        <v>83</v>
      </c>
      <c r="AP161" s="31" t="s">
        <v>85</v>
      </c>
      <c r="AQ161" s="31" t="s">
        <v>91</v>
      </c>
      <c r="AR161" s="31" t="s">
        <v>102</v>
      </c>
      <c r="AS161" s="31" t="s">
        <v>94</v>
      </c>
      <c r="AT161" s="31" t="s">
        <v>93</v>
      </c>
      <c r="AU161" s="31" t="s">
        <v>94</v>
      </c>
      <c r="AV161" s="31" t="s">
        <v>93</v>
      </c>
      <c r="AW161" s="31" t="s">
        <v>94</v>
      </c>
      <c r="AX161" s="31" t="s">
        <v>94</v>
      </c>
      <c r="AY161" s="31" t="s">
        <v>94</v>
      </c>
      <c r="AZ161" s="31" t="s">
        <v>93</v>
      </c>
      <c r="BA161" s="31" t="s">
        <v>107</v>
      </c>
      <c r="BB161" s="31"/>
      <c r="BC161" s="24"/>
      <c r="BD161" s="30">
        <f>Table2[[#This Row],[interviewtime]]/60</f>
        <v>9.0126666666666662</v>
      </c>
      <c r="BE161" s="31">
        <v>540.76</v>
      </c>
      <c r="BF161" s="31">
        <v>10.34</v>
      </c>
      <c r="BG161" s="31"/>
      <c r="BH161" s="31">
        <v>38.83</v>
      </c>
      <c r="BI161" s="31"/>
      <c r="BJ161" s="31"/>
      <c r="BK161" s="31"/>
      <c r="BL161" s="31"/>
      <c r="BM161" s="31">
        <v>176.57</v>
      </c>
      <c r="BN161" s="31"/>
      <c r="BO161" s="31"/>
      <c r="BP161" s="31"/>
      <c r="BQ161" s="31"/>
      <c r="BR161" s="31"/>
      <c r="BS161" s="31"/>
      <c r="BT161" s="31">
        <v>247.76</v>
      </c>
      <c r="BU161" s="31"/>
      <c r="BV161" s="31"/>
      <c r="BW161" s="31"/>
      <c r="BX161" s="31"/>
      <c r="BY161" s="31"/>
      <c r="BZ161" s="31"/>
      <c r="CA161" s="31"/>
      <c r="CB161" s="31"/>
      <c r="CC161" s="31">
        <v>57.45</v>
      </c>
      <c r="CD161" s="31"/>
      <c r="CE161" s="31"/>
      <c r="CF161" s="31"/>
      <c r="CG161" s="31"/>
      <c r="CH161" s="31"/>
      <c r="CI161" s="31"/>
      <c r="CJ161" s="31"/>
      <c r="CK161" s="31"/>
      <c r="CL161" s="31">
        <v>9.81</v>
      </c>
      <c r="CM161" s="31"/>
      <c r="CN161" s="31"/>
      <c r="CO161" s="24"/>
      <c r="CP161" s="24"/>
      <c r="CQ161" s="43">
        <f>Table2[[#This Row],[groupTime22]]/60</f>
        <v>2.9428333333333332</v>
      </c>
      <c r="CR161" s="43">
        <f>Table2[[#This Row],[groupTime23]]/60</f>
        <v>4.1293333333333333</v>
      </c>
      <c r="CS161" s="43">
        <f>Table2[[#This Row],[groupTime24]]/60</f>
        <v>0.95750000000000002</v>
      </c>
    </row>
    <row r="162" spans="1:97" x14ac:dyDescent="0.25">
      <c r="A162" s="11" t="s">
        <v>352</v>
      </c>
      <c r="B162" s="11" t="s">
        <v>114</v>
      </c>
      <c r="C162" s="11">
        <v>38</v>
      </c>
      <c r="D162" s="11" t="s">
        <v>403</v>
      </c>
      <c r="E162" s="11">
        <v>6</v>
      </c>
      <c r="F162" s="11" t="s">
        <v>79</v>
      </c>
      <c r="G162" s="11">
        <v>1872107446</v>
      </c>
      <c r="H162" s="11" t="s">
        <v>404</v>
      </c>
      <c r="I162" s="11" t="s">
        <v>403</v>
      </c>
      <c r="J162" s="11" t="s">
        <v>80</v>
      </c>
      <c r="K162" s="11" t="str">
        <f>IF(Table2[[#This Row],[priorSuccessRatio]]&lt;1,"yes","no")</f>
        <v>no</v>
      </c>
      <c r="L162" s="27">
        <f>VLOOKUP(Table2[[#This Row],[prolific]],'Correct calc'!B$16:$AJ$998,6,FALSE)</f>
        <v>1</v>
      </c>
      <c r="M162" s="27">
        <f>VLOOKUP(Table2[[#This Row],[prolific]],'Correct calc'!B$16:$AJ$998,14,FALSE)</f>
        <v>1</v>
      </c>
      <c r="N162" s="27">
        <f>VLOOKUP(Table2[[#This Row],[prolific]],'Correct calc'!B$16:$AJ1065,24,FALSE)</f>
        <v>1</v>
      </c>
      <c r="O162" s="27">
        <f>VLOOKUP(Table2[[#This Row],[prolific]],'Correct calc'!B$16:$AJ1065,34,FALSE)</f>
        <v>0.75</v>
      </c>
      <c r="P162" s="28">
        <f>VLOOKUP(Table2[[#This Row],[comprescore]],Table3[],2,FALSE)</f>
        <v>2</v>
      </c>
      <c r="Q162" s="16">
        <f>VLOOKUP(Table2[[#This Row],[prolific]],'Correct calc'!B$16:$AK$998,36,FALSE)</f>
        <v>20</v>
      </c>
      <c r="R162" s="16">
        <f>Table2[[#This Row],[interviewminutes]]</f>
        <v>12.614666666666666</v>
      </c>
      <c r="S162" s="16">
        <f>Table2[[#This Row],[classifyTime]]+Table2[[#This Row],[explainTime]]+Table2[[#This Row],[validateTime]]</f>
        <v>8.8773333333333326</v>
      </c>
      <c r="T162" s="29">
        <f>VLOOKUP(Table2[[#This Row],[prolific]],'Correct calc'!B$16:$AJ$998,35,FALSE)</f>
        <v>0.90909090909090906</v>
      </c>
      <c r="U162" s="15">
        <f>SUM(Table2[[#This Row],[priorKnowledge'[CLUSTERING']]:[priorKnowledge'[ZSCORES']]])/Table2[[#This Row],[priorKnowledgeTechQuestionCount]]</f>
        <v>1</v>
      </c>
      <c r="V162" s="16">
        <f>IF(Table2[[#This Row],[visualization]]="Wordcloud",2,3)</f>
        <v>3</v>
      </c>
      <c r="W162" s="31" t="s">
        <v>1176</v>
      </c>
      <c r="X162" s="31">
        <v>1</v>
      </c>
      <c r="Y162" s="31">
        <v>1</v>
      </c>
      <c r="Z162" s="31">
        <v>1</v>
      </c>
      <c r="AA162" s="31">
        <v>3</v>
      </c>
      <c r="AB162" s="31" t="s">
        <v>97</v>
      </c>
      <c r="AC162" s="31" t="s">
        <v>81</v>
      </c>
      <c r="AD162" s="31" t="s">
        <v>82</v>
      </c>
      <c r="AE162" s="31" t="s">
        <v>83</v>
      </c>
      <c r="AF162" s="31" t="s">
        <v>85</v>
      </c>
      <c r="AG162" s="31" t="s">
        <v>86</v>
      </c>
      <c r="AH162" s="31" t="s">
        <v>84</v>
      </c>
      <c r="AI162" s="31" t="s">
        <v>104</v>
      </c>
      <c r="AJ162" s="31" t="s">
        <v>98</v>
      </c>
      <c r="AK162" s="31" t="s">
        <v>88</v>
      </c>
      <c r="AL162" s="31" t="s">
        <v>87</v>
      </c>
      <c r="AM162" s="31" t="s">
        <v>105</v>
      </c>
      <c r="AN162" s="31" t="s">
        <v>90</v>
      </c>
      <c r="AO162" s="31" t="s">
        <v>83</v>
      </c>
      <c r="AP162" s="31" t="s">
        <v>85</v>
      </c>
      <c r="AQ162" s="31" t="s">
        <v>91</v>
      </c>
      <c r="AR162" s="31" t="s">
        <v>102</v>
      </c>
      <c r="AS162" s="31" t="s">
        <v>94</v>
      </c>
      <c r="AT162" s="31" t="s">
        <v>93</v>
      </c>
      <c r="AU162" s="31" t="s">
        <v>93</v>
      </c>
      <c r="AV162" s="31" t="s">
        <v>93</v>
      </c>
      <c r="AW162" s="31" t="s">
        <v>93</v>
      </c>
      <c r="AX162" s="31" t="s">
        <v>93</v>
      </c>
      <c r="AY162" s="31" t="s">
        <v>94</v>
      </c>
      <c r="AZ162" s="31" t="s">
        <v>93</v>
      </c>
      <c r="BA162" s="31" t="s">
        <v>106</v>
      </c>
      <c r="BB162" s="31" t="s">
        <v>461</v>
      </c>
      <c r="BC162" s="24"/>
      <c r="BD162" s="30">
        <f>Table2[[#This Row],[interviewtime]]/60</f>
        <v>12.614666666666666</v>
      </c>
      <c r="BE162" s="31">
        <v>756.88</v>
      </c>
      <c r="BF162" s="31">
        <v>13.47</v>
      </c>
      <c r="BG162" s="31"/>
      <c r="BH162" s="31">
        <v>70.56</v>
      </c>
      <c r="BI162" s="31"/>
      <c r="BJ162" s="31"/>
      <c r="BK162" s="31"/>
      <c r="BL162" s="31"/>
      <c r="BM162" s="31">
        <v>199.48</v>
      </c>
      <c r="BN162" s="31"/>
      <c r="BO162" s="31"/>
      <c r="BP162" s="31"/>
      <c r="BQ162" s="31"/>
      <c r="BR162" s="31"/>
      <c r="BS162" s="31"/>
      <c r="BT162" s="31">
        <v>182.15</v>
      </c>
      <c r="BU162" s="31"/>
      <c r="BV162" s="31"/>
      <c r="BW162" s="31"/>
      <c r="BX162" s="31"/>
      <c r="BY162" s="31"/>
      <c r="BZ162" s="31"/>
      <c r="CA162" s="31"/>
      <c r="CB162" s="31"/>
      <c r="CC162" s="31">
        <v>151.01</v>
      </c>
      <c r="CD162" s="31"/>
      <c r="CE162" s="31"/>
      <c r="CF162" s="31"/>
      <c r="CG162" s="31"/>
      <c r="CH162" s="31"/>
      <c r="CI162" s="31"/>
      <c r="CJ162" s="31"/>
      <c r="CK162" s="31"/>
      <c r="CL162" s="31">
        <v>140.21</v>
      </c>
      <c r="CM162" s="31"/>
      <c r="CN162" s="31"/>
      <c r="CO162" s="24"/>
      <c r="CP162" s="24"/>
      <c r="CQ162" s="43">
        <f>Table2[[#This Row],[groupTime22]]/60</f>
        <v>3.3246666666666664</v>
      </c>
      <c r="CR162" s="43">
        <f>Table2[[#This Row],[groupTime23]]/60</f>
        <v>3.0358333333333336</v>
      </c>
      <c r="CS162" s="43">
        <f>Table2[[#This Row],[groupTime24]]/60</f>
        <v>2.516833333333333</v>
      </c>
    </row>
    <row r="163" spans="1:97" x14ac:dyDescent="0.25">
      <c r="A163" s="11" t="s">
        <v>352</v>
      </c>
      <c r="B163" s="11" t="s">
        <v>114</v>
      </c>
      <c r="C163" s="11">
        <v>40</v>
      </c>
      <c r="D163" s="11" t="s">
        <v>405</v>
      </c>
      <c r="E163" s="11">
        <v>6</v>
      </c>
      <c r="F163" s="11" t="s">
        <v>79</v>
      </c>
      <c r="G163" s="11">
        <v>1628413605</v>
      </c>
      <c r="H163" s="11" t="s">
        <v>406</v>
      </c>
      <c r="I163" s="11" t="s">
        <v>405</v>
      </c>
      <c r="J163" s="11" t="s">
        <v>80</v>
      </c>
      <c r="K163" s="11" t="str">
        <f>IF(Table2[[#This Row],[priorSuccessRatio]]&lt;1,"yes","no")</f>
        <v>no</v>
      </c>
      <c r="L163" s="27">
        <f>VLOOKUP(Table2[[#This Row],[prolific]],'Correct calc'!B$16:$AJ$998,6,FALSE)</f>
        <v>1</v>
      </c>
      <c r="M163" s="27">
        <f>VLOOKUP(Table2[[#This Row],[prolific]],'Correct calc'!B$16:$AJ$998,14,FALSE)</f>
        <v>0.5</v>
      </c>
      <c r="N163" s="27">
        <f>VLOOKUP(Table2[[#This Row],[prolific]],'Correct calc'!B$16:$AJ1066,24,FALSE)</f>
        <v>0.875</v>
      </c>
      <c r="O163" s="27">
        <f>VLOOKUP(Table2[[#This Row],[prolific]],'Correct calc'!B$16:$AJ1066,34,FALSE)</f>
        <v>1</v>
      </c>
      <c r="P163" s="28">
        <f>VLOOKUP(Table2[[#This Row],[comprescore]],Table3[],2,FALSE)</f>
        <v>3</v>
      </c>
      <c r="Q163" s="16">
        <f>VLOOKUP(Table2[[#This Row],[prolific]],'Correct calc'!B$16:$AK$998,36,FALSE)</f>
        <v>18</v>
      </c>
      <c r="R163" s="16">
        <f>Table2[[#This Row],[interviewminutes]]</f>
        <v>9.3178333333333345</v>
      </c>
      <c r="S163" s="16">
        <f>Table2[[#This Row],[classifyTime]]+Table2[[#This Row],[explainTime]]+Table2[[#This Row],[validateTime]]</f>
        <v>8.285166666666667</v>
      </c>
      <c r="T163" s="29">
        <f>VLOOKUP(Table2[[#This Row],[prolific]],'Correct calc'!B$16:$AJ$998,35,FALSE)</f>
        <v>0.81818181818181823</v>
      </c>
      <c r="U163" s="15">
        <f>SUM(Table2[[#This Row],[priorKnowledge'[CLUSTERING']]:[priorKnowledge'[ZSCORES']]])/Table2[[#This Row],[priorKnowledgeTechQuestionCount]]</f>
        <v>1</v>
      </c>
      <c r="V163" s="16">
        <f>IF(Table2[[#This Row],[visualization]]="Wordcloud",2,3)</f>
        <v>3</v>
      </c>
      <c r="W163" s="31" t="s">
        <v>1177</v>
      </c>
      <c r="X163" s="31">
        <v>1</v>
      </c>
      <c r="Y163" s="31">
        <v>1</v>
      </c>
      <c r="Z163" s="31">
        <v>1</v>
      </c>
      <c r="AA163" s="31">
        <v>7</v>
      </c>
      <c r="AB163" s="31" t="s">
        <v>97</v>
      </c>
      <c r="AC163" s="31" t="s">
        <v>81</v>
      </c>
      <c r="AD163" s="31" t="s">
        <v>82</v>
      </c>
      <c r="AE163" s="31" t="s">
        <v>83</v>
      </c>
      <c r="AF163" s="31" t="s">
        <v>85</v>
      </c>
      <c r="AG163" s="31" t="s">
        <v>98</v>
      </c>
      <c r="AH163" s="31" t="s">
        <v>84</v>
      </c>
      <c r="AI163" s="31" t="s">
        <v>86</v>
      </c>
      <c r="AJ163" s="31" t="s">
        <v>104</v>
      </c>
      <c r="AK163" s="31" t="s">
        <v>88</v>
      </c>
      <c r="AL163" s="31" t="s">
        <v>87</v>
      </c>
      <c r="AM163" s="31" t="s">
        <v>105</v>
      </c>
      <c r="AN163" s="31" t="s">
        <v>278</v>
      </c>
      <c r="AO163" s="31" t="s">
        <v>83</v>
      </c>
      <c r="AP163" s="31" t="s">
        <v>85</v>
      </c>
      <c r="AQ163" s="31" t="s">
        <v>91</v>
      </c>
      <c r="AR163" s="31" t="s">
        <v>102</v>
      </c>
      <c r="AS163" s="31" t="s">
        <v>94</v>
      </c>
      <c r="AT163" s="31" t="s">
        <v>93</v>
      </c>
      <c r="AU163" s="31" t="s">
        <v>94</v>
      </c>
      <c r="AV163" s="31" t="s">
        <v>93</v>
      </c>
      <c r="AW163" s="31" t="s">
        <v>94</v>
      </c>
      <c r="AX163" s="31" t="s">
        <v>93</v>
      </c>
      <c r="AY163" s="31" t="s">
        <v>94</v>
      </c>
      <c r="AZ163" s="31" t="s">
        <v>93</v>
      </c>
      <c r="BA163" s="31" t="s">
        <v>107</v>
      </c>
      <c r="BB163" s="31"/>
      <c r="BC163" s="24"/>
      <c r="BD163" s="30">
        <f>Table2[[#This Row],[interviewtime]]/60</f>
        <v>9.3178333333333345</v>
      </c>
      <c r="BE163" s="31">
        <v>559.07000000000005</v>
      </c>
      <c r="BF163" s="31">
        <v>5.05</v>
      </c>
      <c r="BG163" s="31"/>
      <c r="BH163" s="31">
        <v>35.76</v>
      </c>
      <c r="BI163" s="31"/>
      <c r="BJ163" s="31"/>
      <c r="BK163" s="31"/>
      <c r="BL163" s="31"/>
      <c r="BM163" s="31">
        <v>265.43</v>
      </c>
      <c r="BN163" s="31"/>
      <c r="BO163" s="31"/>
      <c r="BP163" s="31"/>
      <c r="BQ163" s="31"/>
      <c r="BR163" s="31"/>
      <c r="BS163" s="31"/>
      <c r="BT163" s="31">
        <v>137.85</v>
      </c>
      <c r="BU163" s="31"/>
      <c r="BV163" s="31"/>
      <c r="BW163" s="31"/>
      <c r="BX163" s="31"/>
      <c r="BY163" s="31"/>
      <c r="BZ163" s="31"/>
      <c r="CA163" s="31"/>
      <c r="CB163" s="31"/>
      <c r="CC163" s="31">
        <v>93.83</v>
      </c>
      <c r="CD163" s="31"/>
      <c r="CE163" s="31"/>
      <c r="CF163" s="31"/>
      <c r="CG163" s="31"/>
      <c r="CH163" s="31"/>
      <c r="CI163" s="31"/>
      <c r="CJ163" s="31"/>
      <c r="CK163" s="31"/>
      <c r="CL163" s="31">
        <v>21.15</v>
      </c>
      <c r="CM163" s="31"/>
      <c r="CN163" s="31"/>
      <c r="CO163" s="24"/>
      <c r="CP163" s="24"/>
      <c r="CQ163" s="43">
        <f>Table2[[#This Row],[groupTime22]]/60</f>
        <v>4.4238333333333335</v>
      </c>
      <c r="CR163" s="43">
        <f>Table2[[#This Row],[groupTime23]]/60</f>
        <v>2.2974999999999999</v>
      </c>
      <c r="CS163" s="43">
        <f>Table2[[#This Row],[groupTime24]]/60</f>
        <v>1.5638333333333334</v>
      </c>
    </row>
    <row r="164" spans="1:97" x14ac:dyDescent="0.25">
      <c r="A164" s="11" t="s">
        <v>352</v>
      </c>
      <c r="B164" s="11" t="s">
        <v>114</v>
      </c>
      <c r="C164" s="11">
        <v>41</v>
      </c>
      <c r="D164" s="11" t="s">
        <v>407</v>
      </c>
      <c r="E164" s="11">
        <v>6</v>
      </c>
      <c r="F164" s="11" t="s">
        <v>79</v>
      </c>
      <c r="G164" s="11">
        <v>2093967612</v>
      </c>
      <c r="H164" s="11" t="s">
        <v>408</v>
      </c>
      <c r="I164" s="11" t="s">
        <v>407</v>
      </c>
      <c r="J164" s="11" t="s">
        <v>80</v>
      </c>
      <c r="K164" s="11" t="str">
        <f>IF(Table2[[#This Row],[priorSuccessRatio]]&lt;1,"yes","no")</f>
        <v>no</v>
      </c>
      <c r="L164" s="27">
        <f>VLOOKUP(Table2[[#This Row],[prolific]],'Correct calc'!B$16:$AJ$998,6,FALSE)</f>
        <v>1</v>
      </c>
      <c r="M164" s="27">
        <f>VLOOKUP(Table2[[#This Row],[prolific]],'Correct calc'!B$16:$AJ$998,14,FALSE)</f>
        <v>1</v>
      </c>
      <c r="N164" s="27">
        <f>VLOOKUP(Table2[[#This Row],[prolific]],'Correct calc'!B$16:$AJ1067,24,FALSE)</f>
        <v>1</v>
      </c>
      <c r="O164" s="27">
        <f>VLOOKUP(Table2[[#This Row],[prolific]],'Correct calc'!B$16:$AJ1067,34,FALSE)</f>
        <v>0.875</v>
      </c>
      <c r="P164" s="28">
        <f>VLOOKUP(Table2[[#This Row],[comprescore]],Table3[],2,FALSE)</f>
        <v>2</v>
      </c>
      <c r="Q164" s="16">
        <f>VLOOKUP(Table2[[#This Row],[prolific]],'Correct calc'!B$16:$AK$998,36,FALSE)</f>
        <v>21</v>
      </c>
      <c r="R164" s="16">
        <f>Table2[[#This Row],[interviewminutes]]</f>
        <v>7.639333333333334</v>
      </c>
      <c r="S164" s="16">
        <f>Table2[[#This Row],[classifyTime]]+Table2[[#This Row],[explainTime]]+Table2[[#This Row],[validateTime]]</f>
        <v>6.226</v>
      </c>
      <c r="T164" s="29">
        <f>VLOOKUP(Table2[[#This Row],[prolific]],'Correct calc'!B$16:$AJ$998,35,FALSE)</f>
        <v>0.95454545454545459</v>
      </c>
      <c r="U164" s="15">
        <f>SUM(Table2[[#This Row],[priorKnowledge'[CLUSTERING']]:[priorKnowledge'[ZSCORES']]])/Table2[[#This Row],[priorKnowledgeTechQuestionCount]]</f>
        <v>1</v>
      </c>
      <c r="V164" s="16">
        <f>IF(Table2[[#This Row],[visualization]]="Wordcloud",2,3)</f>
        <v>3</v>
      </c>
      <c r="W164" s="31" t="s">
        <v>1178</v>
      </c>
      <c r="X164" s="31">
        <v>1</v>
      </c>
      <c r="Y164" s="31">
        <v>1</v>
      </c>
      <c r="Z164" s="31">
        <v>1</v>
      </c>
      <c r="AA164" s="31">
        <v>1</v>
      </c>
      <c r="AB164" s="31" t="s">
        <v>97</v>
      </c>
      <c r="AC164" s="31" t="s">
        <v>81</v>
      </c>
      <c r="AD164" s="31" t="s">
        <v>82</v>
      </c>
      <c r="AE164" s="31" t="s">
        <v>83</v>
      </c>
      <c r="AF164" s="31" t="s">
        <v>85</v>
      </c>
      <c r="AG164" s="31" t="s">
        <v>86</v>
      </c>
      <c r="AH164" s="31" t="s">
        <v>84</v>
      </c>
      <c r="AI164" s="31" t="s">
        <v>104</v>
      </c>
      <c r="AJ164" s="31" t="s">
        <v>98</v>
      </c>
      <c r="AK164" s="31" t="s">
        <v>88</v>
      </c>
      <c r="AL164" s="31" t="s">
        <v>87</v>
      </c>
      <c r="AM164" s="31" t="s">
        <v>105</v>
      </c>
      <c r="AN164" s="31" t="s">
        <v>90</v>
      </c>
      <c r="AO164" s="31" t="s">
        <v>83</v>
      </c>
      <c r="AP164" s="31" t="s">
        <v>85</v>
      </c>
      <c r="AQ164" s="31" t="s">
        <v>91</v>
      </c>
      <c r="AR164" s="31" t="s">
        <v>102</v>
      </c>
      <c r="AS164" s="31" t="s">
        <v>94</v>
      </c>
      <c r="AT164" s="31" t="s">
        <v>93</v>
      </c>
      <c r="AU164" s="31" t="s">
        <v>94</v>
      </c>
      <c r="AV164" s="31" t="s">
        <v>93</v>
      </c>
      <c r="AW164" s="31" t="s">
        <v>93</v>
      </c>
      <c r="AX164" s="31" t="s">
        <v>93</v>
      </c>
      <c r="AY164" s="31" t="s">
        <v>94</v>
      </c>
      <c r="AZ164" s="31" t="s">
        <v>93</v>
      </c>
      <c r="BA164" s="31" t="s">
        <v>106</v>
      </c>
      <c r="BB164" s="31" t="s">
        <v>464</v>
      </c>
      <c r="BC164" s="24"/>
      <c r="BD164" s="30">
        <f>Table2[[#This Row],[interviewtime]]/60</f>
        <v>7.639333333333334</v>
      </c>
      <c r="BE164" s="31">
        <v>458.36</v>
      </c>
      <c r="BF164" s="31">
        <v>5.35</v>
      </c>
      <c r="BG164" s="31"/>
      <c r="BH164" s="31">
        <v>30.77</v>
      </c>
      <c r="BI164" s="31"/>
      <c r="BJ164" s="31"/>
      <c r="BK164" s="31"/>
      <c r="BL164" s="31"/>
      <c r="BM164" s="31">
        <v>168.34</v>
      </c>
      <c r="BN164" s="31"/>
      <c r="BO164" s="31"/>
      <c r="BP164" s="31"/>
      <c r="BQ164" s="31"/>
      <c r="BR164" s="31"/>
      <c r="BS164" s="31"/>
      <c r="BT164" s="31">
        <v>121.32</v>
      </c>
      <c r="BU164" s="31"/>
      <c r="BV164" s="31"/>
      <c r="BW164" s="31"/>
      <c r="BX164" s="31"/>
      <c r="BY164" s="31"/>
      <c r="BZ164" s="31"/>
      <c r="CA164" s="31"/>
      <c r="CB164" s="31"/>
      <c r="CC164" s="31">
        <v>83.9</v>
      </c>
      <c r="CD164" s="31"/>
      <c r="CE164" s="31"/>
      <c r="CF164" s="31"/>
      <c r="CG164" s="31"/>
      <c r="CH164" s="31"/>
      <c r="CI164" s="31"/>
      <c r="CJ164" s="31"/>
      <c r="CK164" s="31"/>
      <c r="CL164" s="31">
        <v>48.68</v>
      </c>
      <c r="CM164" s="31"/>
      <c r="CN164" s="31"/>
      <c r="CO164" s="24"/>
      <c r="CP164" s="24"/>
      <c r="CQ164" s="43">
        <f>Table2[[#This Row],[groupTime22]]/60</f>
        <v>2.8056666666666668</v>
      </c>
      <c r="CR164" s="43">
        <f>Table2[[#This Row],[groupTime23]]/60</f>
        <v>2.0219999999999998</v>
      </c>
      <c r="CS164" s="43">
        <f>Table2[[#This Row],[groupTime24]]/60</f>
        <v>1.3983333333333334</v>
      </c>
    </row>
    <row r="165" spans="1:97" x14ac:dyDescent="0.25">
      <c r="A165" s="11" t="s">
        <v>352</v>
      </c>
      <c r="B165" s="11" t="s">
        <v>114</v>
      </c>
      <c r="C165" s="11">
        <v>42</v>
      </c>
      <c r="D165" s="11" t="s">
        <v>409</v>
      </c>
      <c r="E165" s="11">
        <v>6</v>
      </c>
      <c r="F165" s="11" t="s">
        <v>79</v>
      </c>
      <c r="G165" s="11">
        <v>2108751654</v>
      </c>
      <c r="H165" s="11" t="s">
        <v>410</v>
      </c>
      <c r="I165" s="11" t="s">
        <v>409</v>
      </c>
      <c r="J165" s="11" t="s">
        <v>80</v>
      </c>
      <c r="K165" s="11" t="str">
        <f>IF(Table2[[#This Row],[priorSuccessRatio]]&lt;1,"yes","no")</f>
        <v>no</v>
      </c>
      <c r="L165" s="27">
        <f>VLOOKUP(Table2[[#This Row],[prolific]],'Correct calc'!B$16:$AJ$998,6,FALSE)</f>
        <v>1</v>
      </c>
      <c r="M165" s="27">
        <f>VLOOKUP(Table2[[#This Row],[prolific]],'Correct calc'!B$16:$AJ$998,14,FALSE)</f>
        <v>0.33333333333333331</v>
      </c>
      <c r="N165" s="27">
        <f>VLOOKUP(Table2[[#This Row],[prolific]],'Correct calc'!B$16:$AJ1068,24,FALSE)</f>
        <v>0.75</v>
      </c>
      <c r="O165" s="27">
        <f>VLOOKUP(Table2[[#This Row],[prolific]],'Correct calc'!B$16:$AJ1068,34,FALSE)</f>
        <v>0.75</v>
      </c>
      <c r="P165" s="28">
        <f>VLOOKUP(Table2[[#This Row],[comprescore]],Table3[],2,FALSE)</f>
        <v>2</v>
      </c>
      <c r="Q165" s="16">
        <f>VLOOKUP(Table2[[#This Row],[prolific]],'Correct calc'!B$16:$AK$998,36,FALSE)</f>
        <v>14</v>
      </c>
      <c r="R165" s="16">
        <f>Table2[[#This Row],[interviewminutes]]</f>
        <v>8.6358333333333324</v>
      </c>
      <c r="S165" s="16">
        <f>Table2[[#This Row],[classifyTime]]+Table2[[#This Row],[explainTime]]+Table2[[#This Row],[validateTime]]</f>
        <v>5.738666666666667</v>
      </c>
      <c r="T165" s="29">
        <f>VLOOKUP(Table2[[#This Row],[prolific]],'Correct calc'!B$16:$AJ$998,35,FALSE)</f>
        <v>0.63636363636363635</v>
      </c>
      <c r="U165" s="15">
        <f>SUM(Table2[[#This Row],[priorKnowledge'[CLUSTERING']]:[priorKnowledge'[ZSCORES']]])/Table2[[#This Row],[priorKnowledgeTechQuestionCount]]</f>
        <v>7.333333333333333</v>
      </c>
      <c r="V165" s="16">
        <f>IF(Table2[[#This Row],[visualization]]="Wordcloud",2,3)</f>
        <v>3</v>
      </c>
      <c r="W165" s="31" t="s">
        <v>1179</v>
      </c>
      <c r="X165" s="31">
        <v>8</v>
      </c>
      <c r="Y165" s="31">
        <v>7</v>
      </c>
      <c r="Z165" s="31">
        <v>7</v>
      </c>
      <c r="AA165" s="31">
        <v>9</v>
      </c>
      <c r="AB165" s="31" t="s">
        <v>97</v>
      </c>
      <c r="AC165" s="31" t="s">
        <v>81</v>
      </c>
      <c r="AD165" s="31" t="s">
        <v>82</v>
      </c>
      <c r="AE165" s="31" t="s">
        <v>98</v>
      </c>
      <c r="AF165" s="31" t="s">
        <v>98</v>
      </c>
      <c r="AG165" s="31" t="s">
        <v>86</v>
      </c>
      <c r="AH165" s="31" t="s">
        <v>85</v>
      </c>
      <c r="AI165" s="31" t="s">
        <v>98</v>
      </c>
      <c r="AJ165" s="31" t="s">
        <v>98</v>
      </c>
      <c r="AK165" s="31" t="s">
        <v>88</v>
      </c>
      <c r="AL165" s="31" t="s">
        <v>87</v>
      </c>
      <c r="AM165" s="31" t="s">
        <v>89</v>
      </c>
      <c r="AN165" s="31" t="s">
        <v>90</v>
      </c>
      <c r="AO165" s="31" t="s">
        <v>83</v>
      </c>
      <c r="AP165" s="31" t="s">
        <v>85</v>
      </c>
      <c r="AQ165" s="31" t="s">
        <v>91</v>
      </c>
      <c r="AR165" s="31" t="s">
        <v>101</v>
      </c>
      <c r="AS165" s="31" t="s">
        <v>94</v>
      </c>
      <c r="AT165" s="31" t="s">
        <v>93</v>
      </c>
      <c r="AU165" s="31" t="s">
        <v>93</v>
      </c>
      <c r="AV165" s="31" t="s">
        <v>93</v>
      </c>
      <c r="AW165" s="31" t="s">
        <v>94</v>
      </c>
      <c r="AX165" s="31" t="s">
        <v>94</v>
      </c>
      <c r="AY165" s="31" t="s">
        <v>94</v>
      </c>
      <c r="AZ165" s="31" t="s">
        <v>93</v>
      </c>
      <c r="BA165" s="31" t="s">
        <v>106</v>
      </c>
      <c r="BB165" s="31" t="s">
        <v>466</v>
      </c>
      <c r="BC165" s="24"/>
      <c r="BD165" s="30">
        <f>Table2[[#This Row],[interviewtime]]/60</f>
        <v>8.6358333333333324</v>
      </c>
      <c r="BE165" s="31">
        <v>518.15</v>
      </c>
      <c r="BF165" s="31">
        <v>13.64</v>
      </c>
      <c r="BG165" s="31"/>
      <c r="BH165" s="31">
        <v>79.14</v>
      </c>
      <c r="BI165" s="31"/>
      <c r="BJ165" s="31"/>
      <c r="BK165" s="31"/>
      <c r="BL165" s="31"/>
      <c r="BM165" s="31">
        <v>148.09</v>
      </c>
      <c r="BN165" s="31"/>
      <c r="BO165" s="31"/>
      <c r="BP165" s="31"/>
      <c r="BQ165" s="31"/>
      <c r="BR165" s="31"/>
      <c r="BS165" s="31"/>
      <c r="BT165" s="31">
        <v>118.39</v>
      </c>
      <c r="BU165" s="31"/>
      <c r="BV165" s="31"/>
      <c r="BW165" s="31"/>
      <c r="BX165" s="31"/>
      <c r="BY165" s="31"/>
      <c r="BZ165" s="31"/>
      <c r="CA165" s="31"/>
      <c r="CB165" s="31"/>
      <c r="CC165" s="31">
        <v>77.84</v>
      </c>
      <c r="CD165" s="31"/>
      <c r="CE165" s="31"/>
      <c r="CF165" s="31"/>
      <c r="CG165" s="31"/>
      <c r="CH165" s="31"/>
      <c r="CI165" s="31"/>
      <c r="CJ165" s="31"/>
      <c r="CK165" s="31"/>
      <c r="CL165" s="31">
        <v>81.05</v>
      </c>
      <c r="CM165" s="31"/>
      <c r="CN165" s="31"/>
      <c r="CO165" s="24"/>
      <c r="CP165" s="24"/>
      <c r="CQ165" s="43">
        <f>Table2[[#This Row],[groupTime22]]/60</f>
        <v>2.4681666666666668</v>
      </c>
      <c r="CR165" s="43">
        <f>Table2[[#This Row],[groupTime23]]/60</f>
        <v>1.9731666666666667</v>
      </c>
      <c r="CS165" s="43">
        <f>Table2[[#This Row],[groupTime24]]/60</f>
        <v>1.2973333333333334</v>
      </c>
    </row>
    <row r="166" spans="1:97" x14ac:dyDescent="0.25">
      <c r="A166" s="11" t="s">
        <v>352</v>
      </c>
      <c r="B166" s="11" t="s">
        <v>114</v>
      </c>
      <c r="C166" s="11">
        <v>43</v>
      </c>
      <c r="D166" s="11" t="s">
        <v>411</v>
      </c>
      <c r="E166" s="11">
        <v>6</v>
      </c>
      <c r="F166" s="11" t="s">
        <v>79</v>
      </c>
      <c r="G166" s="11">
        <v>1512651175</v>
      </c>
      <c r="H166" s="11" t="s">
        <v>412</v>
      </c>
      <c r="I166" s="11" t="s">
        <v>411</v>
      </c>
      <c r="J166" s="11" t="s">
        <v>80</v>
      </c>
      <c r="K166" s="11" t="str">
        <f>IF(Table2[[#This Row],[priorSuccessRatio]]&lt;1,"yes","no")</f>
        <v>no</v>
      </c>
      <c r="L166" s="27">
        <f>VLOOKUP(Table2[[#This Row],[prolific]],'Correct calc'!B$16:$AJ$998,6,FALSE)</f>
        <v>1</v>
      </c>
      <c r="M166" s="27">
        <f>VLOOKUP(Table2[[#This Row],[prolific]],'Correct calc'!B$16:$AJ$998,14,FALSE)</f>
        <v>0.5</v>
      </c>
      <c r="N166" s="27">
        <f>VLOOKUP(Table2[[#This Row],[prolific]],'Correct calc'!B$16:$AJ1069,24,FALSE)</f>
        <v>0.75</v>
      </c>
      <c r="O166" s="27">
        <f>VLOOKUP(Table2[[#This Row],[prolific]],'Correct calc'!B$16:$AJ1069,34,FALSE)</f>
        <v>0.5</v>
      </c>
      <c r="P166" s="28">
        <f>VLOOKUP(Table2[[#This Row],[comprescore]],Table3[],2,FALSE)</f>
        <v>1</v>
      </c>
      <c r="Q166" s="16">
        <f>VLOOKUP(Table2[[#This Row],[prolific]],'Correct calc'!B$16:$AK$998,36,FALSE)</f>
        <v>13</v>
      </c>
      <c r="R166" s="16">
        <f>Table2[[#This Row],[interviewminutes]]</f>
        <v>5.2786666666666671</v>
      </c>
      <c r="S166" s="16">
        <f>Table2[[#This Row],[classifyTime]]+Table2[[#This Row],[explainTime]]+Table2[[#This Row],[validateTime]]</f>
        <v>4.4703333333333335</v>
      </c>
      <c r="T166" s="29">
        <f>VLOOKUP(Table2[[#This Row],[prolific]],'Correct calc'!B$16:$AJ$998,35,FALSE)</f>
        <v>0.59090909090909094</v>
      </c>
      <c r="U166" s="15">
        <f>SUM(Table2[[#This Row],[priorKnowledge'[CLUSTERING']]:[priorKnowledge'[ZSCORES']]])/Table2[[#This Row],[priorKnowledgeTechQuestionCount]]</f>
        <v>1</v>
      </c>
      <c r="V166" s="16">
        <f>IF(Table2[[#This Row],[visualization]]="Wordcloud",2,3)</f>
        <v>3</v>
      </c>
      <c r="W166" s="31" t="s">
        <v>1180</v>
      </c>
      <c r="X166" s="31">
        <v>1</v>
      </c>
      <c r="Y166" s="31">
        <v>1</v>
      </c>
      <c r="Z166" s="31">
        <v>1</v>
      </c>
      <c r="AA166" s="31">
        <v>5</v>
      </c>
      <c r="AB166" s="31" t="s">
        <v>97</v>
      </c>
      <c r="AC166" s="31" t="s">
        <v>81</v>
      </c>
      <c r="AD166" s="31" t="s">
        <v>82</v>
      </c>
      <c r="AE166" s="31" t="s">
        <v>83</v>
      </c>
      <c r="AF166" s="31" t="s">
        <v>86</v>
      </c>
      <c r="AG166" s="31" t="s">
        <v>98</v>
      </c>
      <c r="AH166" s="31" t="s">
        <v>84</v>
      </c>
      <c r="AI166" s="31" t="s">
        <v>104</v>
      </c>
      <c r="AJ166" s="31" t="s">
        <v>85</v>
      </c>
      <c r="AK166" s="31" t="s">
        <v>88</v>
      </c>
      <c r="AL166" s="31" t="s">
        <v>87</v>
      </c>
      <c r="AM166" s="31" t="s">
        <v>105</v>
      </c>
      <c r="AN166" s="31" t="s">
        <v>90</v>
      </c>
      <c r="AO166" s="31" t="s">
        <v>83</v>
      </c>
      <c r="AP166" s="31" t="s">
        <v>85</v>
      </c>
      <c r="AQ166" s="31" t="s">
        <v>101</v>
      </c>
      <c r="AR166" s="31" t="s">
        <v>101</v>
      </c>
      <c r="AS166" s="31" t="s">
        <v>94</v>
      </c>
      <c r="AT166" s="31" t="s">
        <v>93</v>
      </c>
      <c r="AU166" s="31" t="s">
        <v>94</v>
      </c>
      <c r="AV166" s="31" t="s">
        <v>93</v>
      </c>
      <c r="AW166" s="31" t="s">
        <v>93</v>
      </c>
      <c r="AX166" s="31" t="s">
        <v>94</v>
      </c>
      <c r="AY166" s="31" t="s">
        <v>93</v>
      </c>
      <c r="AZ166" s="31" t="s">
        <v>94</v>
      </c>
      <c r="BA166" s="31" t="s">
        <v>95</v>
      </c>
      <c r="BB166" s="31" t="s">
        <v>468</v>
      </c>
      <c r="BC166" s="24"/>
      <c r="BD166" s="30">
        <f>Table2[[#This Row],[interviewtime]]/60</f>
        <v>5.2786666666666671</v>
      </c>
      <c r="BE166" s="31">
        <v>316.72000000000003</v>
      </c>
      <c r="BF166" s="31">
        <v>4.3899999999999997</v>
      </c>
      <c r="BG166" s="31"/>
      <c r="BH166" s="31">
        <v>27.57</v>
      </c>
      <c r="BI166" s="31"/>
      <c r="BJ166" s="31"/>
      <c r="BK166" s="31"/>
      <c r="BL166" s="31"/>
      <c r="BM166" s="31">
        <v>137.9</v>
      </c>
      <c r="BN166" s="31"/>
      <c r="BO166" s="31"/>
      <c r="BP166" s="31"/>
      <c r="BQ166" s="31"/>
      <c r="BR166" s="31"/>
      <c r="BS166" s="31"/>
      <c r="BT166" s="31">
        <v>77.5</v>
      </c>
      <c r="BU166" s="31"/>
      <c r="BV166" s="31"/>
      <c r="BW166" s="31"/>
      <c r="BX166" s="31"/>
      <c r="BY166" s="31"/>
      <c r="BZ166" s="31"/>
      <c r="CA166" s="31"/>
      <c r="CB166" s="31"/>
      <c r="CC166" s="31">
        <v>52.82</v>
      </c>
      <c r="CD166" s="31"/>
      <c r="CE166" s="31"/>
      <c r="CF166" s="31"/>
      <c r="CG166" s="31"/>
      <c r="CH166" s="31"/>
      <c r="CI166" s="31"/>
      <c r="CJ166" s="31"/>
      <c r="CK166" s="31"/>
      <c r="CL166" s="31">
        <v>16.54</v>
      </c>
      <c r="CM166" s="31"/>
      <c r="CN166" s="31"/>
      <c r="CO166" s="24"/>
      <c r="CP166" s="24"/>
      <c r="CQ166" s="43">
        <f>Table2[[#This Row],[groupTime22]]/60</f>
        <v>2.2983333333333333</v>
      </c>
      <c r="CR166" s="43">
        <f>Table2[[#This Row],[groupTime23]]/60</f>
        <v>1.2916666666666667</v>
      </c>
      <c r="CS166" s="43">
        <f>Table2[[#This Row],[groupTime24]]/60</f>
        <v>0.8803333333333333</v>
      </c>
    </row>
    <row r="167" spans="1:97" x14ac:dyDescent="0.25">
      <c r="A167" s="11" t="s">
        <v>352</v>
      </c>
      <c r="B167" s="11" t="s">
        <v>114</v>
      </c>
      <c r="C167" s="11">
        <v>44</v>
      </c>
      <c r="D167" s="11" t="s">
        <v>413</v>
      </c>
      <c r="E167" s="11">
        <v>6</v>
      </c>
      <c r="F167" s="11" t="s">
        <v>79</v>
      </c>
      <c r="G167" s="11">
        <v>1562912602</v>
      </c>
      <c r="H167" s="11" t="s">
        <v>414</v>
      </c>
      <c r="I167" s="11" t="s">
        <v>413</v>
      </c>
      <c r="J167" s="11" t="s">
        <v>80</v>
      </c>
      <c r="K167" s="11" t="str">
        <f>IF(Table2[[#This Row],[priorSuccessRatio]]&lt;1,"yes","no")</f>
        <v>no</v>
      </c>
      <c r="L167" s="27">
        <f>VLOOKUP(Table2[[#This Row],[prolific]],'Correct calc'!B$16:$AJ$998,6,FALSE)</f>
        <v>1</v>
      </c>
      <c r="M167" s="27">
        <f>VLOOKUP(Table2[[#This Row],[prolific]],'Correct calc'!B$16:$AJ$998,14,FALSE)</f>
        <v>1</v>
      </c>
      <c r="N167" s="27">
        <f>VLOOKUP(Table2[[#This Row],[prolific]],'Correct calc'!B$16:$AJ1070,24,FALSE)</f>
        <v>1</v>
      </c>
      <c r="O167" s="27">
        <f>VLOOKUP(Table2[[#This Row],[prolific]],'Correct calc'!B$16:$AJ1070,34,FALSE)</f>
        <v>0.875</v>
      </c>
      <c r="P167" s="28">
        <f>VLOOKUP(Table2[[#This Row],[comprescore]],Table3[],2,FALSE)</f>
        <v>2</v>
      </c>
      <c r="Q167" s="16">
        <f>VLOOKUP(Table2[[#This Row],[prolific]],'Correct calc'!B$16:$AK$998,36,FALSE)</f>
        <v>21</v>
      </c>
      <c r="R167" s="16">
        <f>Table2[[#This Row],[interviewminutes]]</f>
        <v>10.173666666666666</v>
      </c>
      <c r="S167" s="16">
        <f>Table2[[#This Row],[classifyTime]]+Table2[[#This Row],[explainTime]]+Table2[[#This Row],[validateTime]]</f>
        <v>8.5690000000000008</v>
      </c>
      <c r="T167" s="29">
        <f>VLOOKUP(Table2[[#This Row],[prolific]],'Correct calc'!B$16:$AJ$998,35,FALSE)</f>
        <v>0.95454545454545459</v>
      </c>
      <c r="U167" s="15">
        <f>SUM(Table2[[#This Row],[priorKnowledge'[CLUSTERING']]:[priorKnowledge'[ZSCORES']]])/Table2[[#This Row],[priorKnowledgeTechQuestionCount]]</f>
        <v>2</v>
      </c>
      <c r="V167" s="16">
        <f>IF(Table2[[#This Row],[visualization]]="Wordcloud",2,3)</f>
        <v>3</v>
      </c>
      <c r="W167" s="31" t="s">
        <v>1181</v>
      </c>
      <c r="X167" s="31">
        <v>2</v>
      </c>
      <c r="Y167" s="31">
        <v>2</v>
      </c>
      <c r="Z167" s="31">
        <v>2</v>
      </c>
      <c r="AA167" s="31">
        <v>5</v>
      </c>
      <c r="AB167" s="31" t="s">
        <v>97</v>
      </c>
      <c r="AC167" s="31" t="s">
        <v>81</v>
      </c>
      <c r="AD167" s="31" t="s">
        <v>82</v>
      </c>
      <c r="AE167" s="31" t="s">
        <v>83</v>
      </c>
      <c r="AF167" s="31" t="s">
        <v>85</v>
      </c>
      <c r="AG167" s="31" t="s">
        <v>86</v>
      </c>
      <c r="AH167" s="31" t="s">
        <v>84</v>
      </c>
      <c r="AI167" s="31" t="s">
        <v>104</v>
      </c>
      <c r="AJ167" s="31" t="s">
        <v>98</v>
      </c>
      <c r="AK167" s="31" t="s">
        <v>88</v>
      </c>
      <c r="AL167" s="31" t="s">
        <v>87</v>
      </c>
      <c r="AM167" s="31" t="s">
        <v>105</v>
      </c>
      <c r="AN167" s="31" t="s">
        <v>90</v>
      </c>
      <c r="AO167" s="31" t="s">
        <v>83</v>
      </c>
      <c r="AP167" s="31" t="s">
        <v>85</v>
      </c>
      <c r="AQ167" s="31" t="s">
        <v>91</v>
      </c>
      <c r="AR167" s="31" t="s">
        <v>102</v>
      </c>
      <c r="AS167" s="31" t="s">
        <v>94</v>
      </c>
      <c r="AT167" s="31" t="s">
        <v>93</v>
      </c>
      <c r="AU167" s="31" t="s">
        <v>94</v>
      </c>
      <c r="AV167" s="31" t="s">
        <v>93</v>
      </c>
      <c r="AW167" s="31" t="s">
        <v>93</v>
      </c>
      <c r="AX167" s="31" t="s">
        <v>93</v>
      </c>
      <c r="AY167" s="31" t="s">
        <v>94</v>
      </c>
      <c r="AZ167" s="31" t="s">
        <v>93</v>
      </c>
      <c r="BA167" s="31" t="s">
        <v>106</v>
      </c>
      <c r="BB167" s="31" t="s">
        <v>470</v>
      </c>
      <c r="BC167" s="24"/>
      <c r="BD167" s="30">
        <f>Table2[[#This Row],[interviewtime]]/60</f>
        <v>10.173666666666666</v>
      </c>
      <c r="BE167" s="31">
        <v>610.41999999999996</v>
      </c>
      <c r="BF167" s="31">
        <v>11.54</v>
      </c>
      <c r="BG167" s="31"/>
      <c r="BH167" s="31">
        <v>42.09</v>
      </c>
      <c r="BI167" s="31"/>
      <c r="BJ167" s="31"/>
      <c r="BK167" s="31"/>
      <c r="BL167" s="31"/>
      <c r="BM167" s="31">
        <v>301.66000000000003</v>
      </c>
      <c r="BN167" s="31"/>
      <c r="BO167" s="31"/>
      <c r="BP167" s="31"/>
      <c r="BQ167" s="31"/>
      <c r="BR167" s="31"/>
      <c r="BS167" s="31"/>
      <c r="BT167" s="31">
        <v>108.86</v>
      </c>
      <c r="BU167" s="31"/>
      <c r="BV167" s="31"/>
      <c r="BW167" s="31"/>
      <c r="BX167" s="31"/>
      <c r="BY167" s="31"/>
      <c r="BZ167" s="31"/>
      <c r="CA167" s="31"/>
      <c r="CB167" s="31"/>
      <c r="CC167" s="31">
        <v>103.62</v>
      </c>
      <c r="CD167" s="31"/>
      <c r="CE167" s="31"/>
      <c r="CF167" s="31"/>
      <c r="CG167" s="31"/>
      <c r="CH167" s="31"/>
      <c r="CI167" s="31"/>
      <c r="CJ167" s="31"/>
      <c r="CK167" s="31"/>
      <c r="CL167" s="31">
        <v>42.65</v>
      </c>
      <c r="CM167" s="31"/>
      <c r="CN167" s="31"/>
      <c r="CO167" s="24"/>
      <c r="CP167" s="24"/>
      <c r="CQ167" s="43">
        <f>Table2[[#This Row],[groupTime22]]/60</f>
        <v>5.0276666666666667</v>
      </c>
      <c r="CR167" s="43">
        <f>Table2[[#This Row],[groupTime23]]/60</f>
        <v>1.8143333333333334</v>
      </c>
      <c r="CS167" s="43">
        <f>Table2[[#This Row],[groupTime24]]/60</f>
        <v>1.7270000000000001</v>
      </c>
    </row>
    <row r="168" spans="1:97" x14ac:dyDescent="0.25">
      <c r="A168" s="11" t="s">
        <v>352</v>
      </c>
      <c r="B168" s="11" t="s">
        <v>114</v>
      </c>
      <c r="C168" s="11">
        <v>45</v>
      </c>
      <c r="D168" s="11" t="s">
        <v>415</v>
      </c>
      <c r="E168" s="11">
        <v>6</v>
      </c>
      <c r="F168" s="11" t="s">
        <v>79</v>
      </c>
      <c r="G168" s="11">
        <v>438296573</v>
      </c>
      <c r="H168" s="11" t="s">
        <v>416</v>
      </c>
      <c r="I168" s="11" t="s">
        <v>415</v>
      </c>
      <c r="J168" s="11" t="s">
        <v>96</v>
      </c>
      <c r="K168" s="11" t="str">
        <f>IF(Table2[[#This Row],[priorSuccessRatio]]&lt;1,"yes","no")</f>
        <v>no</v>
      </c>
      <c r="L168" s="27">
        <f>VLOOKUP(Table2[[#This Row],[prolific]],'Correct calc'!B$16:$AJ$998,6,FALSE)</f>
        <v>1</v>
      </c>
      <c r="M168" s="27">
        <f>VLOOKUP(Table2[[#This Row],[prolific]],'Correct calc'!B$16:$AJ$998,14,FALSE)</f>
        <v>0.66666666666666663</v>
      </c>
      <c r="N168" s="27">
        <f>VLOOKUP(Table2[[#This Row],[prolific]],'Correct calc'!B$16:$AJ1071,24,FALSE)</f>
        <v>0.75</v>
      </c>
      <c r="O168" s="27">
        <f>VLOOKUP(Table2[[#This Row],[prolific]],'Correct calc'!B$16:$AJ1071,34,FALSE)</f>
        <v>0.875</v>
      </c>
      <c r="P168" s="28">
        <f>VLOOKUP(Table2[[#This Row],[comprescore]],Table3[],2,FALSE)</f>
        <v>1</v>
      </c>
      <c r="Q168" s="16">
        <f>VLOOKUP(Table2[[#This Row],[prolific]],'Correct calc'!B$16:$AK$998,36,FALSE)</f>
        <v>17</v>
      </c>
      <c r="R168" s="16">
        <f>Table2[[#This Row],[interviewminutes]]</f>
        <v>12.147166666666667</v>
      </c>
      <c r="S168" s="16">
        <f>Table2[[#This Row],[classifyTime]]+Table2[[#This Row],[explainTime]]+Table2[[#This Row],[validateTime]]</f>
        <v>10.356</v>
      </c>
      <c r="T168" s="29">
        <f>VLOOKUP(Table2[[#This Row],[prolific]],'Correct calc'!B$16:$AJ$998,35,FALSE)</f>
        <v>0.77272727272727271</v>
      </c>
      <c r="U168" s="15">
        <f>SUM(Table2[[#This Row],[priorKnowledge'[CLUSTERING']]:[priorKnowledge'[ZSCORES']]])/Table2[[#This Row],[priorKnowledgeTechQuestionCount]]</f>
        <v>2.3333333333333335</v>
      </c>
      <c r="V168" s="16">
        <f>IF(Table2[[#This Row],[visualization]]="Wordcloud",2,3)</f>
        <v>3</v>
      </c>
      <c r="W168" s="31" t="s">
        <v>1182</v>
      </c>
      <c r="X168" s="31">
        <v>3</v>
      </c>
      <c r="Y168" s="31">
        <v>2</v>
      </c>
      <c r="Z168" s="31">
        <v>2</v>
      </c>
      <c r="AA168" s="31">
        <v>4</v>
      </c>
      <c r="AB168" s="31" t="s">
        <v>97</v>
      </c>
      <c r="AC168" s="31" t="s">
        <v>81</v>
      </c>
      <c r="AD168" s="31" t="s">
        <v>82</v>
      </c>
      <c r="AE168" s="31" t="s">
        <v>83</v>
      </c>
      <c r="AF168" s="31" t="s">
        <v>85</v>
      </c>
      <c r="AG168" s="31" t="s">
        <v>86</v>
      </c>
      <c r="AH168" s="31" t="s">
        <v>84</v>
      </c>
      <c r="AI168" s="31" t="s">
        <v>85</v>
      </c>
      <c r="AJ168" s="31" t="s">
        <v>104</v>
      </c>
      <c r="AK168" s="31" t="s">
        <v>88</v>
      </c>
      <c r="AL168" s="31" t="s">
        <v>87</v>
      </c>
      <c r="AM168" s="31" t="s">
        <v>99</v>
      </c>
      <c r="AN168" s="31" t="s">
        <v>90</v>
      </c>
      <c r="AO168" s="31" t="s">
        <v>83</v>
      </c>
      <c r="AP168" s="31" t="s">
        <v>85</v>
      </c>
      <c r="AQ168" s="31" t="s">
        <v>111</v>
      </c>
      <c r="AR168" s="31" t="s">
        <v>102</v>
      </c>
      <c r="AS168" s="31" t="s">
        <v>94</v>
      </c>
      <c r="AT168" s="31" t="s">
        <v>93</v>
      </c>
      <c r="AU168" s="31" t="s">
        <v>94</v>
      </c>
      <c r="AV168" s="31" t="s">
        <v>93</v>
      </c>
      <c r="AW168" s="31" t="s">
        <v>94</v>
      </c>
      <c r="AX168" s="31" t="s">
        <v>94</v>
      </c>
      <c r="AY168" s="31" t="s">
        <v>94</v>
      </c>
      <c r="AZ168" s="31" t="s">
        <v>93</v>
      </c>
      <c r="BA168" s="31" t="s">
        <v>95</v>
      </c>
      <c r="BB168" s="31" t="s">
        <v>472</v>
      </c>
      <c r="BC168" s="24"/>
      <c r="BD168" s="30">
        <f>Table2[[#This Row],[interviewtime]]/60</f>
        <v>12.147166666666667</v>
      </c>
      <c r="BE168" s="31">
        <v>728.83</v>
      </c>
      <c r="BF168" s="31">
        <v>13.49</v>
      </c>
      <c r="BG168" s="31"/>
      <c r="BH168" s="31">
        <v>35.49</v>
      </c>
      <c r="BI168" s="31"/>
      <c r="BJ168" s="31"/>
      <c r="BK168" s="31"/>
      <c r="BL168" s="31"/>
      <c r="BM168" s="31">
        <v>273.86</v>
      </c>
      <c r="BN168" s="31"/>
      <c r="BO168" s="31"/>
      <c r="BP168" s="31"/>
      <c r="BQ168" s="31"/>
      <c r="BR168" s="31"/>
      <c r="BS168" s="31"/>
      <c r="BT168" s="31">
        <v>196.51</v>
      </c>
      <c r="BU168" s="31"/>
      <c r="BV168" s="31"/>
      <c r="BW168" s="31"/>
      <c r="BX168" s="31"/>
      <c r="BY168" s="31"/>
      <c r="BZ168" s="31"/>
      <c r="CA168" s="31"/>
      <c r="CB168" s="31"/>
      <c r="CC168" s="31">
        <v>150.99</v>
      </c>
      <c r="CD168" s="31"/>
      <c r="CE168" s="31"/>
      <c r="CF168" s="31"/>
      <c r="CG168" s="31"/>
      <c r="CH168" s="31"/>
      <c r="CI168" s="31"/>
      <c r="CJ168" s="31"/>
      <c r="CK168" s="31"/>
      <c r="CL168" s="31">
        <v>58.49</v>
      </c>
      <c r="CM168" s="31"/>
      <c r="CN168" s="31"/>
      <c r="CO168" s="24"/>
      <c r="CP168" s="24"/>
      <c r="CQ168" s="43">
        <f>Table2[[#This Row],[groupTime22]]/60</f>
        <v>4.5643333333333338</v>
      </c>
      <c r="CR168" s="43">
        <f>Table2[[#This Row],[groupTime23]]/60</f>
        <v>3.2751666666666663</v>
      </c>
      <c r="CS168" s="43">
        <f>Table2[[#This Row],[groupTime24]]/60</f>
        <v>2.5165000000000002</v>
      </c>
    </row>
    <row r="169" spans="1:97" x14ac:dyDescent="0.25">
      <c r="A169" s="11" t="s">
        <v>352</v>
      </c>
      <c r="B169" s="11" t="s">
        <v>114</v>
      </c>
      <c r="C169" s="11">
        <v>46</v>
      </c>
      <c r="D169" s="11" t="s">
        <v>417</v>
      </c>
      <c r="E169" s="11">
        <v>6</v>
      </c>
      <c r="F169" s="11" t="s">
        <v>79</v>
      </c>
      <c r="G169" s="11">
        <v>1868723857</v>
      </c>
      <c r="H169" s="11" t="s">
        <v>418</v>
      </c>
      <c r="I169" s="11" t="s">
        <v>417</v>
      </c>
      <c r="J169" s="11" t="s">
        <v>80</v>
      </c>
      <c r="K169" s="11" t="str">
        <f>IF(Table2[[#This Row],[priorSuccessRatio]]&lt;1,"yes","no")</f>
        <v>no</v>
      </c>
      <c r="L169" s="27">
        <f>VLOOKUP(Table2[[#This Row],[prolific]],'Correct calc'!B$16:$AJ$998,6,FALSE)</f>
        <v>1</v>
      </c>
      <c r="M169" s="27">
        <f>VLOOKUP(Table2[[#This Row],[prolific]],'Correct calc'!B$16:$AJ$998,14,FALSE)</f>
        <v>1</v>
      </c>
      <c r="N169" s="27">
        <f>VLOOKUP(Table2[[#This Row],[prolific]],'Correct calc'!B$16:$AJ1072,24,FALSE)</f>
        <v>1</v>
      </c>
      <c r="O169" s="27">
        <f>VLOOKUP(Table2[[#This Row],[prolific]],'Correct calc'!B$16:$AJ1072,34,FALSE)</f>
        <v>0.875</v>
      </c>
      <c r="P169" s="28">
        <f>VLOOKUP(Table2[[#This Row],[comprescore]],Table3[],2,FALSE)</f>
        <v>2</v>
      </c>
      <c r="Q169" s="16">
        <f>VLOOKUP(Table2[[#This Row],[prolific]],'Correct calc'!B$16:$AK$998,36,FALSE)</f>
        <v>21</v>
      </c>
      <c r="R169" s="16">
        <f>Table2[[#This Row],[interviewminutes]]</f>
        <v>8.4373333333333331</v>
      </c>
      <c r="S169" s="16">
        <f>Table2[[#This Row],[classifyTime]]+Table2[[#This Row],[explainTime]]+Table2[[#This Row],[validateTime]]</f>
        <v>6.8585000000000003</v>
      </c>
      <c r="T169" s="29">
        <f>VLOOKUP(Table2[[#This Row],[prolific]],'Correct calc'!B$16:$AJ$998,35,FALSE)</f>
        <v>0.95454545454545459</v>
      </c>
      <c r="U169" s="15">
        <f>SUM(Table2[[#This Row],[priorKnowledge'[CLUSTERING']]:[priorKnowledge'[ZSCORES']]])/Table2[[#This Row],[priorKnowledgeTechQuestionCount]]</f>
        <v>3</v>
      </c>
      <c r="V169" s="16">
        <f>IF(Table2[[#This Row],[visualization]]="Wordcloud",2,3)</f>
        <v>3</v>
      </c>
      <c r="W169" s="31" t="s">
        <v>1183</v>
      </c>
      <c r="X169" s="31">
        <v>3</v>
      </c>
      <c r="Y169" s="31">
        <v>3</v>
      </c>
      <c r="Z169" s="31">
        <v>3</v>
      </c>
      <c r="AA169" s="31">
        <v>7</v>
      </c>
      <c r="AB169" s="31" t="s">
        <v>97</v>
      </c>
      <c r="AC169" s="31" t="s">
        <v>81</v>
      </c>
      <c r="AD169" s="31" t="s">
        <v>82</v>
      </c>
      <c r="AE169" s="31" t="s">
        <v>83</v>
      </c>
      <c r="AF169" s="31" t="s">
        <v>85</v>
      </c>
      <c r="AG169" s="31" t="s">
        <v>86</v>
      </c>
      <c r="AH169" s="31" t="s">
        <v>84</v>
      </c>
      <c r="AI169" s="31" t="s">
        <v>104</v>
      </c>
      <c r="AJ169" s="31" t="s">
        <v>98</v>
      </c>
      <c r="AK169" s="31" t="s">
        <v>88</v>
      </c>
      <c r="AL169" s="31" t="s">
        <v>87</v>
      </c>
      <c r="AM169" s="31" t="s">
        <v>105</v>
      </c>
      <c r="AN169" s="31" t="s">
        <v>90</v>
      </c>
      <c r="AO169" s="31" t="s">
        <v>83</v>
      </c>
      <c r="AP169" s="31" t="s">
        <v>85</v>
      </c>
      <c r="AQ169" s="31" t="s">
        <v>91</v>
      </c>
      <c r="AR169" s="31" t="s">
        <v>102</v>
      </c>
      <c r="AS169" s="31" t="s">
        <v>94</v>
      </c>
      <c r="AT169" s="31" t="s">
        <v>93</v>
      </c>
      <c r="AU169" s="31" t="s">
        <v>94</v>
      </c>
      <c r="AV169" s="31" t="s">
        <v>93</v>
      </c>
      <c r="AW169" s="31" t="s">
        <v>94</v>
      </c>
      <c r="AX169" s="31" t="s">
        <v>93</v>
      </c>
      <c r="AY169" s="31" t="s">
        <v>94</v>
      </c>
      <c r="AZ169" s="31" t="s">
        <v>94</v>
      </c>
      <c r="BA169" s="31" t="s">
        <v>106</v>
      </c>
      <c r="BB169" s="31" t="s">
        <v>474</v>
      </c>
      <c r="BC169" s="24"/>
      <c r="BD169" s="30">
        <f>Table2[[#This Row],[interviewtime]]/60</f>
        <v>8.4373333333333331</v>
      </c>
      <c r="BE169" s="31">
        <v>506.24</v>
      </c>
      <c r="BF169" s="31">
        <v>7.56</v>
      </c>
      <c r="BG169" s="31"/>
      <c r="BH169" s="31">
        <v>24.22</v>
      </c>
      <c r="BI169" s="31"/>
      <c r="BJ169" s="31"/>
      <c r="BK169" s="31"/>
      <c r="BL169" s="31"/>
      <c r="BM169" s="31">
        <v>233.19</v>
      </c>
      <c r="BN169" s="31"/>
      <c r="BO169" s="31"/>
      <c r="BP169" s="31"/>
      <c r="BQ169" s="31"/>
      <c r="BR169" s="31"/>
      <c r="BS169" s="31"/>
      <c r="BT169" s="31">
        <v>102.53</v>
      </c>
      <c r="BU169" s="31"/>
      <c r="BV169" s="31"/>
      <c r="BW169" s="31"/>
      <c r="BX169" s="31"/>
      <c r="BY169" s="31"/>
      <c r="BZ169" s="31"/>
      <c r="CA169" s="31"/>
      <c r="CB169" s="31"/>
      <c r="CC169" s="31">
        <v>75.790000000000006</v>
      </c>
      <c r="CD169" s="31"/>
      <c r="CE169" s="31"/>
      <c r="CF169" s="31"/>
      <c r="CG169" s="31"/>
      <c r="CH169" s="31"/>
      <c r="CI169" s="31"/>
      <c r="CJ169" s="31"/>
      <c r="CK169" s="31"/>
      <c r="CL169" s="31">
        <v>62.95</v>
      </c>
      <c r="CM169" s="31"/>
      <c r="CN169" s="31"/>
      <c r="CO169" s="24"/>
      <c r="CP169" s="24"/>
      <c r="CQ169" s="43">
        <f>Table2[[#This Row],[groupTime22]]/60</f>
        <v>3.8864999999999998</v>
      </c>
      <c r="CR169" s="43">
        <f>Table2[[#This Row],[groupTime23]]/60</f>
        <v>1.7088333333333334</v>
      </c>
      <c r="CS169" s="43">
        <f>Table2[[#This Row],[groupTime24]]/60</f>
        <v>1.2631666666666668</v>
      </c>
    </row>
    <row r="170" spans="1:97" x14ac:dyDescent="0.25">
      <c r="A170" s="36" t="s">
        <v>638</v>
      </c>
      <c r="B170" s="11" t="s">
        <v>114</v>
      </c>
      <c r="C170" s="11">
        <v>47</v>
      </c>
      <c r="D170" s="11" t="s">
        <v>584</v>
      </c>
      <c r="E170" s="11">
        <v>6</v>
      </c>
      <c r="F170" s="11" t="s">
        <v>79</v>
      </c>
      <c r="G170" s="11">
        <v>1948413496</v>
      </c>
      <c r="H170" s="11" t="s">
        <v>585</v>
      </c>
      <c r="I170" s="11" t="s">
        <v>584</v>
      </c>
      <c r="J170" s="11" t="s">
        <v>586</v>
      </c>
      <c r="K170" s="37" t="str">
        <f>IF(Table2[[#This Row],[priorSuccessRatio]]&lt;1,"yes","no")</f>
        <v>no</v>
      </c>
      <c r="L170" s="38">
        <f>VLOOKUP(Table2[[#This Row],[prolific]],'Correct calc'!B$16:$AJ$998,6,FALSE)</f>
        <v>1</v>
      </c>
      <c r="M170" s="27">
        <f>VLOOKUP(Table2[[#This Row],[prolific]],'Correct calc'!B$16:$AJ$998,14,FALSE)</f>
        <v>0.83333333333333337</v>
      </c>
      <c r="N170" s="27">
        <f>VLOOKUP(Table2[[#This Row],[prolific]],'Correct calc'!B$16:$AJ1099,24,FALSE)</f>
        <v>0.875</v>
      </c>
      <c r="O170" s="27">
        <f>VLOOKUP(Table2[[#This Row],[prolific]],'Correct calc'!B$16:$AJ1099,34,FALSE)</f>
        <v>0.875</v>
      </c>
      <c r="P170" s="39">
        <f>VLOOKUP(Table2[[#This Row],[comprescore]],Table3[],2,FALSE)</f>
        <v>3</v>
      </c>
      <c r="Q170" s="16">
        <f>VLOOKUP(Table2[[#This Row],[prolific]],'Correct calc'!B$16:$AK$998,36,FALSE)</f>
        <v>19</v>
      </c>
      <c r="R170" s="40">
        <f>Table2[[#This Row],[interviewminutes]]</f>
        <v>15.798</v>
      </c>
      <c r="S170" s="40">
        <f>Table2[[#This Row],[classifyTime]]+Table2[[#This Row],[explainTime]]+Table2[[#This Row],[validateTime]]</f>
        <v>11.727833333333333</v>
      </c>
      <c r="T170" s="29">
        <f>VLOOKUP(Table2[[#This Row],[prolific]],'Correct calc'!B$16:$AJ$998,35,FALSE)</f>
        <v>0.86363636363636365</v>
      </c>
      <c r="U170" s="42">
        <f>SUM(Table2[[#This Row],[priorKnowledge'[CLUSTERING']]:[priorKnowledge'[ZSCORES']]])/Table2[[#This Row],[priorKnowledgeTechQuestionCount]]</f>
        <v>3.6666666666666665</v>
      </c>
      <c r="V170" s="40">
        <f>IF(Table2[[#This Row],[visualization]]="Wordcloud",2,3)</f>
        <v>3</v>
      </c>
      <c r="W170" s="31" t="s">
        <v>1184</v>
      </c>
      <c r="X170" s="31">
        <v>2</v>
      </c>
      <c r="Y170" s="31">
        <v>1</v>
      </c>
      <c r="Z170" s="31">
        <v>8</v>
      </c>
      <c r="AA170" s="31">
        <v>5</v>
      </c>
      <c r="AB170" s="31" t="s">
        <v>97</v>
      </c>
      <c r="AC170" s="31" t="s">
        <v>81</v>
      </c>
      <c r="AD170" s="31" t="s">
        <v>82</v>
      </c>
      <c r="AE170" s="31" t="s">
        <v>83</v>
      </c>
      <c r="AF170" s="31" t="s">
        <v>85</v>
      </c>
      <c r="AG170" s="31" t="s">
        <v>86</v>
      </c>
      <c r="AH170" s="31" t="s">
        <v>84</v>
      </c>
      <c r="AI170" s="31" t="s">
        <v>104</v>
      </c>
      <c r="AJ170" s="31" t="s">
        <v>85</v>
      </c>
      <c r="AK170" s="31" t="s">
        <v>88</v>
      </c>
      <c r="AL170" s="31" t="s">
        <v>87</v>
      </c>
      <c r="AM170" s="31" t="s">
        <v>105</v>
      </c>
      <c r="AN170" s="31" t="s">
        <v>90</v>
      </c>
      <c r="AO170" s="31" t="s">
        <v>83</v>
      </c>
      <c r="AP170" s="31" t="s">
        <v>85</v>
      </c>
      <c r="AQ170" s="31" t="s">
        <v>101</v>
      </c>
      <c r="AR170" s="31" t="s">
        <v>102</v>
      </c>
      <c r="AS170" s="31" t="s">
        <v>94</v>
      </c>
      <c r="AT170" s="31" t="s">
        <v>94</v>
      </c>
      <c r="AU170" s="31" t="s">
        <v>94</v>
      </c>
      <c r="AV170" s="31" t="s">
        <v>93</v>
      </c>
      <c r="AW170" s="31" t="s">
        <v>94</v>
      </c>
      <c r="AX170" s="31" t="s">
        <v>93</v>
      </c>
      <c r="AY170" s="31" t="s">
        <v>94</v>
      </c>
      <c r="AZ170" s="31" t="s">
        <v>93</v>
      </c>
      <c r="BA170" s="31" t="s">
        <v>107</v>
      </c>
      <c r="BB170" s="31" t="s">
        <v>617</v>
      </c>
      <c r="BC170" s="43"/>
      <c r="BD170" s="44">
        <f>Table2[[#This Row],[interviewtime]]/60</f>
        <v>15.798</v>
      </c>
      <c r="BE170" s="31">
        <v>947.88</v>
      </c>
      <c r="BF170" s="31">
        <v>67.27</v>
      </c>
      <c r="BG170" s="31"/>
      <c r="BH170" s="31">
        <v>124.07</v>
      </c>
      <c r="BI170" s="31"/>
      <c r="BJ170" s="31"/>
      <c r="BK170" s="31"/>
      <c r="BL170" s="31"/>
      <c r="BM170" s="31">
        <v>392.51</v>
      </c>
      <c r="BN170" s="31"/>
      <c r="BO170" s="31"/>
      <c r="BP170" s="31"/>
      <c r="BQ170" s="31"/>
      <c r="BR170" s="31"/>
      <c r="BS170" s="31"/>
      <c r="BT170" s="31">
        <v>164.12</v>
      </c>
      <c r="BU170" s="31"/>
      <c r="BV170" s="31"/>
      <c r="BW170" s="31"/>
      <c r="BX170" s="31"/>
      <c r="BY170" s="31"/>
      <c r="BZ170" s="31"/>
      <c r="CA170" s="31"/>
      <c r="CB170" s="31"/>
      <c r="CC170" s="31">
        <v>147.04</v>
      </c>
      <c r="CD170" s="31"/>
      <c r="CE170" s="31"/>
      <c r="CF170" s="31"/>
      <c r="CG170" s="31"/>
      <c r="CH170" s="31"/>
      <c r="CI170" s="31"/>
      <c r="CJ170" s="31"/>
      <c r="CK170" s="31"/>
      <c r="CL170" s="31">
        <v>52.87</v>
      </c>
      <c r="CM170" s="43"/>
      <c r="CN170" s="43"/>
      <c r="CO170" s="43"/>
      <c r="CP170" s="43"/>
      <c r="CQ170" s="43">
        <f>Table2[[#This Row],[groupTime22]]/60</f>
        <v>6.5418333333333329</v>
      </c>
      <c r="CR170" s="43">
        <f>Table2[[#This Row],[groupTime23]]/60</f>
        <v>2.7353333333333336</v>
      </c>
      <c r="CS170" s="43">
        <f>Table2[[#This Row],[groupTime24]]/60</f>
        <v>2.4506666666666663</v>
      </c>
    </row>
    <row r="171" spans="1:97" x14ac:dyDescent="0.25">
      <c r="A171" s="36" t="s">
        <v>638</v>
      </c>
      <c r="B171" s="11" t="s">
        <v>114</v>
      </c>
      <c r="C171" s="11">
        <v>49</v>
      </c>
      <c r="D171" s="11" t="s">
        <v>590</v>
      </c>
      <c r="E171" s="11">
        <v>6</v>
      </c>
      <c r="F171" s="11" t="s">
        <v>79</v>
      </c>
      <c r="G171" s="11">
        <v>1717302400</v>
      </c>
      <c r="H171" s="11" t="s">
        <v>591</v>
      </c>
      <c r="I171" s="11" t="s">
        <v>590</v>
      </c>
      <c r="J171" s="11" t="s">
        <v>589</v>
      </c>
      <c r="K171" s="37" t="str">
        <f>IF(Table2[[#This Row],[priorSuccessRatio]]&lt;1,"yes","no")</f>
        <v>no</v>
      </c>
      <c r="L171" s="38">
        <f>VLOOKUP(Table2[[#This Row],[prolific]],'Correct calc'!B$16:$AJ$998,6,FALSE)</f>
        <v>1</v>
      </c>
      <c r="M171" s="27">
        <f>VLOOKUP(Table2[[#This Row],[prolific]],'Correct calc'!B$16:$AJ$998,14,FALSE)</f>
        <v>1</v>
      </c>
      <c r="N171" s="27">
        <f>VLOOKUP(Table2[[#This Row],[prolific]],'Correct calc'!B$16:$AJ1101,24,FALSE)</f>
        <v>0.875</v>
      </c>
      <c r="O171" s="27">
        <f>VLOOKUP(Table2[[#This Row],[prolific]],'Correct calc'!B$16:$AJ1101,34,FALSE)</f>
        <v>0.875</v>
      </c>
      <c r="P171" s="39">
        <f>VLOOKUP(Table2[[#This Row],[comprescore]],Table3[],2,FALSE)</f>
        <v>2</v>
      </c>
      <c r="Q171" s="16">
        <f>VLOOKUP(Table2[[#This Row],[prolific]],'Correct calc'!B$16:$AK$998,36,FALSE)</f>
        <v>20</v>
      </c>
      <c r="R171" s="40">
        <f>Table2[[#This Row],[interviewminutes]]</f>
        <v>9.5048333333333321</v>
      </c>
      <c r="S171" s="40">
        <f>Table2[[#This Row],[classifyTime]]+Table2[[#This Row],[explainTime]]+Table2[[#This Row],[validateTime]]</f>
        <v>7.7676666666666669</v>
      </c>
      <c r="T171" s="29">
        <f>VLOOKUP(Table2[[#This Row],[prolific]],'Correct calc'!B$16:$AJ$998,35,FALSE)</f>
        <v>0.90909090909090906</v>
      </c>
      <c r="U171" s="42">
        <f>SUM(Table2[[#This Row],[priorKnowledge'[CLUSTERING']]:[priorKnowledge'[ZSCORES']]])/Table2[[#This Row],[priorKnowledgeTechQuestionCount]]</f>
        <v>1.3333333333333333</v>
      </c>
      <c r="V171" s="40">
        <f>IF(Table2[[#This Row],[visualization]]="Wordcloud",2,3)</f>
        <v>3</v>
      </c>
      <c r="W171" s="31" t="s">
        <v>1185</v>
      </c>
      <c r="X171" s="31">
        <v>2</v>
      </c>
      <c r="Y171" s="31">
        <v>1</v>
      </c>
      <c r="Z171" s="31">
        <v>1</v>
      </c>
      <c r="AA171" s="31">
        <v>8</v>
      </c>
      <c r="AB171" s="31" t="s">
        <v>97</v>
      </c>
      <c r="AC171" s="31" t="s">
        <v>81</v>
      </c>
      <c r="AD171" s="31" t="s">
        <v>82</v>
      </c>
      <c r="AE171" s="31" t="s">
        <v>83</v>
      </c>
      <c r="AF171" s="31" t="s">
        <v>85</v>
      </c>
      <c r="AG171" s="31" t="s">
        <v>86</v>
      </c>
      <c r="AH171" s="31" t="s">
        <v>84</v>
      </c>
      <c r="AI171" s="31" t="s">
        <v>104</v>
      </c>
      <c r="AJ171" s="31" t="s">
        <v>98</v>
      </c>
      <c r="AK171" s="31" t="s">
        <v>88</v>
      </c>
      <c r="AL171" s="31" t="s">
        <v>87</v>
      </c>
      <c r="AM171" s="31" t="s">
        <v>105</v>
      </c>
      <c r="AN171" s="31" t="s">
        <v>90</v>
      </c>
      <c r="AO171" s="31" t="s">
        <v>83</v>
      </c>
      <c r="AP171" s="31" t="s">
        <v>85</v>
      </c>
      <c r="AQ171" s="31" t="s">
        <v>91</v>
      </c>
      <c r="AR171" s="31" t="s">
        <v>101</v>
      </c>
      <c r="AS171" s="31" t="s">
        <v>94</v>
      </c>
      <c r="AT171" s="31" t="s">
        <v>93</v>
      </c>
      <c r="AU171" s="31" t="s">
        <v>94</v>
      </c>
      <c r="AV171" s="31" t="s">
        <v>93</v>
      </c>
      <c r="AW171" s="31" t="s">
        <v>94</v>
      </c>
      <c r="AX171" s="31" t="s">
        <v>93</v>
      </c>
      <c r="AY171" s="31" t="s">
        <v>94</v>
      </c>
      <c r="AZ171" s="31" t="s">
        <v>94</v>
      </c>
      <c r="BA171" s="31" t="s">
        <v>106</v>
      </c>
      <c r="BB171" s="31" t="s">
        <v>620</v>
      </c>
      <c r="BC171" s="43"/>
      <c r="BD171" s="44">
        <f>Table2[[#This Row],[interviewtime]]/60</f>
        <v>9.5048333333333321</v>
      </c>
      <c r="BE171" s="31">
        <v>570.29</v>
      </c>
      <c r="BF171" s="31">
        <v>3.86</v>
      </c>
      <c r="BG171" s="31"/>
      <c r="BH171" s="31">
        <v>31.22</v>
      </c>
      <c r="BI171" s="31"/>
      <c r="BJ171" s="31"/>
      <c r="BK171" s="31"/>
      <c r="BL171" s="31"/>
      <c r="BM171" s="31">
        <v>215.4</v>
      </c>
      <c r="BN171" s="31"/>
      <c r="BO171" s="31"/>
      <c r="BP171" s="31"/>
      <c r="BQ171" s="31"/>
      <c r="BR171" s="31"/>
      <c r="BS171" s="31"/>
      <c r="BT171" s="31">
        <v>127.68</v>
      </c>
      <c r="BU171" s="31"/>
      <c r="BV171" s="31"/>
      <c r="BW171" s="31"/>
      <c r="BX171" s="31"/>
      <c r="BY171" s="31"/>
      <c r="BZ171" s="31"/>
      <c r="CA171" s="31"/>
      <c r="CB171" s="31"/>
      <c r="CC171" s="31">
        <v>122.98</v>
      </c>
      <c r="CD171" s="31"/>
      <c r="CE171" s="31"/>
      <c r="CF171" s="31"/>
      <c r="CG171" s="31"/>
      <c r="CH171" s="31"/>
      <c r="CI171" s="31"/>
      <c r="CJ171" s="31"/>
      <c r="CK171" s="31"/>
      <c r="CL171" s="31">
        <v>69.150000000000006</v>
      </c>
      <c r="CM171" s="43"/>
      <c r="CN171" s="43"/>
      <c r="CO171" s="43"/>
      <c r="CP171" s="43"/>
      <c r="CQ171" s="43">
        <f>Table2[[#This Row],[groupTime22]]/60</f>
        <v>3.5900000000000003</v>
      </c>
      <c r="CR171" s="43">
        <f>Table2[[#This Row],[groupTime23]]/60</f>
        <v>2.1280000000000001</v>
      </c>
      <c r="CS171" s="43">
        <f>Table2[[#This Row],[groupTime24]]/60</f>
        <v>2.0496666666666665</v>
      </c>
    </row>
    <row r="172" spans="1:97" x14ac:dyDescent="0.25">
      <c r="A172" s="36" t="s">
        <v>638</v>
      </c>
      <c r="B172" s="11" t="s">
        <v>114</v>
      </c>
      <c r="C172" s="11">
        <v>50</v>
      </c>
      <c r="D172" s="11" t="s">
        <v>592</v>
      </c>
      <c r="E172" s="11">
        <v>6</v>
      </c>
      <c r="F172" s="11" t="s">
        <v>79</v>
      </c>
      <c r="G172" s="11">
        <v>1503602381</v>
      </c>
      <c r="H172" s="11" t="s">
        <v>593</v>
      </c>
      <c r="I172" s="11" t="s">
        <v>592</v>
      </c>
      <c r="J172" s="11" t="s">
        <v>594</v>
      </c>
      <c r="K172" s="37" t="str">
        <f>IF(Table2[[#This Row],[priorSuccessRatio]]&lt;1,"yes","no")</f>
        <v>no</v>
      </c>
      <c r="L172" s="38">
        <f>VLOOKUP(Table2[[#This Row],[prolific]],'Correct calc'!B$16:$AJ$998,6,FALSE)</f>
        <v>1</v>
      </c>
      <c r="M172" s="27">
        <f>VLOOKUP(Table2[[#This Row],[prolific]],'Correct calc'!B$16:$AJ$998,14,FALSE)</f>
        <v>1</v>
      </c>
      <c r="N172" s="27">
        <f>VLOOKUP(Table2[[#This Row],[prolific]],'Correct calc'!B$16:$AJ1102,24,FALSE)</f>
        <v>0.875</v>
      </c>
      <c r="O172" s="27">
        <f>VLOOKUP(Table2[[#This Row],[prolific]],'Correct calc'!B$16:$AJ1102,34,FALSE)</f>
        <v>1</v>
      </c>
      <c r="P172" s="39">
        <f>VLOOKUP(Table2[[#This Row],[comprescore]],Table3[],2,FALSE)</f>
        <v>1</v>
      </c>
      <c r="Q172" s="16">
        <f>VLOOKUP(Table2[[#This Row],[prolific]],'Correct calc'!B$16:$AK$998,36,FALSE)</f>
        <v>21</v>
      </c>
      <c r="R172" s="40">
        <f>Table2[[#This Row],[interviewminutes]]</f>
        <v>9.4610000000000003</v>
      </c>
      <c r="S172" s="40">
        <f>Table2[[#This Row],[classifyTime]]+Table2[[#This Row],[explainTime]]+Table2[[#This Row],[validateTime]]</f>
        <v>8.3659999999999997</v>
      </c>
      <c r="T172" s="29">
        <f>VLOOKUP(Table2[[#This Row],[prolific]],'Correct calc'!B$16:$AJ$998,35,FALSE)</f>
        <v>0.95454545454545459</v>
      </c>
      <c r="U172" s="42">
        <f>SUM(Table2[[#This Row],[priorKnowledge'[CLUSTERING']]:[priorKnowledge'[ZSCORES']]])/Table2[[#This Row],[priorKnowledgeTechQuestionCount]]</f>
        <v>1</v>
      </c>
      <c r="V172" s="40">
        <f>IF(Table2[[#This Row],[visualization]]="Wordcloud",2,3)</f>
        <v>3</v>
      </c>
      <c r="W172" s="31" t="s">
        <v>1186</v>
      </c>
      <c r="X172" s="31">
        <v>1</v>
      </c>
      <c r="Y172" s="31">
        <v>1</v>
      </c>
      <c r="Z172" s="31">
        <v>1</v>
      </c>
      <c r="AA172" s="31">
        <v>3</v>
      </c>
      <c r="AB172" s="31" t="s">
        <v>97</v>
      </c>
      <c r="AC172" s="31" t="s">
        <v>81</v>
      </c>
      <c r="AD172" s="31" t="s">
        <v>82</v>
      </c>
      <c r="AE172" s="31" t="s">
        <v>83</v>
      </c>
      <c r="AF172" s="31" t="s">
        <v>85</v>
      </c>
      <c r="AG172" s="31" t="s">
        <v>86</v>
      </c>
      <c r="AH172" s="31" t="s">
        <v>84</v>
      </c>
      <c r="AI172" s="31" t="s">
        <v>104</v>
      </c>
      <c r="AJ172" s="31" t="s">
        <v>98</v>
      </c>
      <c r="AK172" s="31" t="s">
        <v>88</v>
      </c>
      <c r="AL172" s="31" t="s">
        <v>87</v>
      </c>
      <c r="AM172" s="31" t="s">
        <v>105</v>
      </c>
      <c r="AN172" s="31" t="s">
        <v>90</v>
      </c>
      <c r="AO172" s="31" t="s">
        <v>83</v>
      </c>
      <c r="AP172" s="31" t="s">
        <v>85</v>
      </c>
      <c r="AQ172" s="31" t="s">
        <v>101</v>
      </c>
      <c r="AR172" s="31" t="s">
        <v>102</v>
      </c>
      <c r="AS172" s="31" t="s">
        <v>94</v>
      </c>
      <c r="AT172" s="31" t="s">
        <v>93</v>
      </c>
      <c r="AU172" s="31" t="s">
        <v>94</v>
      </c>
      <c r="AV172" s="31" t="s">
        <v>93</v>
      </c>
      <c r="AW172" s="31" t="s">
        <v>94</v>
      </c>
      <c r="AX172" s="31" t="s">
        <v>93</v>
      </c>
      <c r="AY172" s="31" t="s">
        <v>94</v>
      </c>
      <c r="AZ172" s="31" t="s">
        <v>93</v>
      </c>
      <c r="BA172" s="31" t="s">
        <v>95</v>
      </c>
      <c r="BB172" s="31" t="s">
        <v>622</v>
      </c>
      <c r="BC172" s="43"/>
      <c r="BD172" s="44">
        <f>Table2[[#This Row],[interviewtime]]/60</f>
        <v>9.4610000000000003</v>
      </c>
      <c r="BE172" s="31">
        <v>567.66</v>
      </c>
      <c r="BF172" s="31">
        <v>7.15</v>
      </c>
      <c r="BG172" s="31"/>
      <c r="BH172" s="31">
        <v>26.47</v>
      </c>
      <c r="BI172" s="31"/>
      <c r="BJ172" s="31"/>
      <c r="BK172" s="31"/>
      <c r="BL172" s="31"/>
      <c r="BM172" s="31">
        <v>228.9</v>
      </c>
      <c r="BN172" s="31"/>
      <c r="BO172" s="31"/>
      <c r="BP172" s="31"/>
      <c r="BQ172" s="31"/>
      <c r="BR172" s="31"/>
      <c r="BS172" s="31"/>
      <c r="BT172" s="31">
        <v>114.36</v>
      </c>
      <c r="BU172" s="31"/>
      <c r="BV172" s="31"/>
      <c r="BW172" s="31"/>
      <c r="BX172" s="31"/>
      <c r="BY172" s="31"/>
      <c r="BZ172" s="31"/>
      <c r="CA172" s="31"/>
      <c r="CB172" s="31"/>
      <c r="CC172" s="31">
        <v>158.69999999999999</v>
      </c>
      <c r="CD172" s="31"/>
      <c r="CE172" s="31"/>
      <c r="CF172" s="31"/>
      <c r="CG172" s="31"/>
      <c r="CH172" s="31"/>
      <c r="CI172" s="31"/>
      <c r="CJ172" s="31"/>
      <c r="CK172" s="31"/>
      <c r="CL172" s="31">
        <v>32.08</v>
      </c>
      <c r="CM172" s="43"/>
      <c r="CN172" s="43"/>
      <c r="CO172" s="43"/>
      <c r="CP172" s="43"/>
      <c r="CQ172" s="43">
        <f>Table2[[#This Row],[groupTime22]]/60</f>
        <v>3.8149999999999999</v>
      </c>
      <c r="CR172" s="43">
        <f>Table2[[#This Row],[groupTime23]]/60</f>
        <v>1.9059999999999999</v>
      </c>
      <c r="CS172" s="43">
        <f>Table2[[#This Row],[groupTime24]]/60</f>
        <v>2.645</v>
      </c>
    </row>
    <row r="173" spans="1:97" x14ac:dyDescent="0.25">
      <c r="A173" s="36" t="s">
        <v>638</v>
      </c>
      <c r="B173" s="11" t="s">
        <v>114</v>
      </c>
      <c r="C173" s="11">
        <v>51</v>
      </c>
      <c r="D173" s="11" t="s">
        <v>595</v>
      </c>
      <c r="E173" s="11">
        <v>6</v>
      </c>
      <c r="F173" s="11" t="s">
        <v>79</v>
      </c>
      <c r="G173" s="11">
        <v>889917716</v>
      </c>
      <c r="H173" s="11" t="s">
        <v>596</v>
      </c>
      <c r="I173" s="11" t="s">
        <v>595</v>
      </c>
      <c r="J173" s="11" t="s">
        <v>586</v>
      </c>
      <c r="K173" s="37" t="str">
        <f>IF(Table2[[#This Row],[priorSuccessRatio]]&lt;1,"yes","no")</f>
        <v>no</v>
      </c>
      <c r="L173" s="38">
        <f>VLOOKUP(Table2[[#This Row],[prolific]],'Correct calc'!B$16:$AJ$998,6,FALSE)</f>
        <v>1</v>
      </c>
      <c r="M173" s="27">
        <f>VLOOKUP(Table2[[#This Row],[prolific]],'Correct calc'!B$16:$AJ$998,14,FALSE)</f>
        <v>1</v>
      </c>
      <c r="N173" s="27">
        <f>VLOOKUP(Table2[[#This Row],[prolific]],'Correct calc'!B$16:$AJ1103,24,FALSE)</f>
        <v>0.625</v>
      </c>
      <c r="O173" s="27">
        <f>VLOOKUP(Table2[[#This Row],[prolific]],'Correct calc'!B$16:$AJ1103,34,FALSE)</f>
        <v>0.875</v>
      </c>
      <c r="P173" s="39">
        <f>VLOOKUP(Table2[[#This Row],[comprescore]],Table3[],2,FALSE)</f>
        <v>2</v>
      </c>
      <c r="Q173" s="16">
        <f>VLOOKUP(Table2[[#This Row],[prolific]],'Correct calc'!B$16:$AK$998,36,FALSE)</f>
        <v>18</v>
      </c>
      <c r="R173" s="40">
        <f>Table2[[#This Row],[interviewminutes]]</f>
        <v>11.506</v>
      </c>
      <c r="S173" s="40">
        <f>Table2[[#This Row],[classifyTime]]+Table2[[#This Row],[explainTime]]+Table2[[#This Row],[validateTime]]</f>
        <v>10.050833333333333</v>
      </c>
      <c r="T173" s="29">
        <f>VLOOKUP(Table2[[#This Row],[prolific]],'Correct calc'!B$16:$AJ$998,35,FALSE)</f>
        <v>0.81818181818181823</v>
      </c>
      <c r="U173" s="42">
        <f>SUM(Table2[[#This Row],[priorKnowledge'[CLUSTERING']]:[priorKnowledge'[ZSCORES']]])/Table2[[#This Row],[priorKnowledgeTechQuestionCount]]</f>
        <v>5</v>
      </c>
      <c r="V173" s="40">
        <f>IF(Table2[[#This Row],[visualization]]="Wordcloud",2,3)</f>
        <v>3</v>
      </c>
      <c r="W173" s="31" t="s">
        <v>1187</v>
      </c>
      <c r="X173" s="31">
        <v>6</v>
      </c>
      <c r="Y173" s="31">
        <v>4</v>
      </c>
      <c r="Z173" s="31">
        <v>5</v>
      </c>
      <c r="AA173" s="31">
        <v>7</v>
      </c>
      <c r="AB173" s="31" t="s">
        <v>97</v>
      </c>
      <c r="AC173" s="31" t="s">
        <v>81</v>
      </c>
      <c r="AD173" s="31" t="s">
        <v>82</v>
      </c>
      <c r="AE173" s="31" t="s">
        <v>83</v>
      </c>
      <c r="AF173" s="31" t="s">
        <v>85</v>
      </c>
      <c r="AG173" s="31" t="s">
        <v>86</v>
      </c>
      <c r="AH173" s="31" t="s">
        <v>84</v>
      </c>
      <c r="AI173" s="31" t="s">
        <v>104</v>
      </c>
      <c r="AJ173" s="31" t="s">
        <v>98</v>
      </c>
      <c r="AK173" s="31" t="s">
        <v>88</v>
      </c>
      <c r="AL173" s="31" t="s">
        <v>87</v>
      </c>
      <c r="AM173" s="31" t="s">
        <v>285</v>
      </c>
      <c r="AN173" s="31" t="s">
        <v>109</v>
      </c>
      <c r="AO173" s="31" t="s">
        <v>83</v>
      </c>
      <c r="AP173" s="31" t="s">
        <v>104</v>
      </c>
      <c r="AQ173" s="31" t="s">
        <v>91</v>
      </c>
      <c r="AR173" s="31" t="s">
        <v>102</v>
      </c>
      <c r="AS173" s="31" t="s">
        <v>94</v>
      </c>
      <c r="AT173" s="31" t="s">
        <v>93</v>
      </c>
      <c r="AU173" s="31" t="s">
        <v>93</v>
      </c>
      <c r="AV173" s="31" t="s">
        <v>93</v>
      </c>
      <c r="AW173" s="31" t="s">
        <v>94</v>
      </c>
      <c r="AX173" s="31" t="s">
        <v>93</v>
      </c>
      <c r="AY173" s="31" t="s">
        <v>94</v>
      </c>
      <c r="AZ173" s="31" t="s">
        <v>93</v>
      </c>
      <c r="BA173" s="31" t="s">
        <v>106</v>
      </c>
      <c r="BB173" s="31" t="s">
        <v>624</v>
      </c>
      <c r="BC173" s="43"/>
      <c r="BD173" s="44">
        <f>Table2[[#This Row],[interviewtime]]/60</f>
        <v>11.506</v>
      </c>
      <c r="BE173" s="31">
        <v>690.36</v>
      </c>
      <c r="BF173" s="31">
        <v>6.36</v>
      </c>
      <c r="BG173" s="31"/>
      <c r="BH173" s="31">
        <v>41.74</v>
      </c>
      <c r="BI173" s="31"/>
      <c r="BJ173" s="31"/>
      <c r="BK173" s="31"/>
      <c r="BL173" s="31"/>
      <c r="BM173" s="31">
        <v>298.13</v>
      </c>
      <c r="BN173" s="31"/>
      <c r="BO173" s="31"/>
      <c r="BP173" s="31"/>
      <c r="BQ173" s="31"/>
      <c r="BR173" s="31"/>
      <c r="BS173" s="31"/>
      <c r="BT173" s="31">
        <v>190.13</v>
      </c>
      <c r="BU173" s="31"/>
      <c r="BV173" s="31"/>
      <c r="BW173" s="31"/>
      <c r="BX173" s="31"/>
      <c r="BY173" s="31"/>
      <c r="BZ173" s="31"/>
      <c r="CA173" s="31"/>
      <c r="CB173" s="31"/>
      <c r="CC173" s="31">
        <v>114.79</v>
      </c>
      <c r="CD173" s="31"/>
      <c r="CE173" s="31"/>
      <c r="CF173" s="31"/>
      <c r="CG173" s="31"/>
      <c r="CH173" s="31"/>
      <c r="CI173" s="31"/>
      <c r="CJ173" s="31"/>
      <c r="CK173" s="31"/>
      <c r="CL173" s="31">
        <v>39.21</v>
      </c>
      <c r="CM173" s="43"/>
      <c r="CN173" s="43"/>
      <c r="CO173" s="43"/>
      <c r="CP173" s="43"/>
      <c r="CQ173" s="43">
        <f>Table2[[#This Row],[groupTime22]]/60</f>
        <v>4.9688333333333334</v>
      </c>
      <c r="CR173" s="43">
        <f>Table2[[#This Row],[groupTime23]]/60</f>
        <v>3.1688333333333332</v>
      </c>
      <c r="CS173" s="43">
        <f>Table2[[#This Row],[groupTime24]]/60</f>
        <v>1.9131666666666667</v>
      </c>
    </row>
    <row r="174" spans="1:97" x14ac:dyDescent="0.25">
      <c r="A174" s="36" t="s">
        <v>638</v>
      </c>
      <c r="B174" s="11" t="s">
        <v>114</v>
      </c>
      <c r="C174" s="11">
        <v>53</v>
      </c>
      <c r="D174" s="11" t="s">
        <v>600</v>
      </c>
      <c r="E174" s="11">
        <v>6</v>
      </c>
      <c r="F174" s="11" t="s">
        <v>79</v>
      </c>
      <c r="G174" s="11">
        <v>2098191236</v>
      </c>
      <c r="H174" s="11" t="s">
        <v>601</v>
      </c>
      <c r="I174" s="11" t="s">
        <v>600</v>
      </c>
      <c r="J174" s="11" t="s">
        <v>589</v>
      </c>
      <c r="K174" s="37" t="str">
        <f>IF(Table2[[#This Row],[priorSuccessRatio]]&lt;1,"yes","no")</f>
        <v>no</v>
      </c>
      <c r="L174" s="38">
        <f>VLOOKUP(Table2[[#This Row],[prolific]],'Correct calc'!B$16:$AJ$998,6,FALSE)</f>
        <v>1</v>
      </c>
      <c r="M174" s="27">
        <f>VLOOKUP(Table2[[#This Row],[prolific]],'Correct calc'!B$16:$AJ$998,14,FALSE)</f>
        <v>0.83333333333333337</v>
      </c>
      <c r="N174" s="27">
        <f>VLOOKUP(Table2[[#This Row],[prolific]],'Correct calc'!B$16:$AJ1105,24,FALSE)</f>
        <v>0.75</v>
      </c>
      <c r="O174" s="27">
        <f>VLOOKUP(Table2[[#This Row],[prolific]],'Correct calc'!B$16:$AJ1105,34,FALSE)</f>
        <v>1</v>
      </c>
      <c r="P174" s="39">
        <f>VLOOKUP(Table2[[#This Row],[comprescore]],Table3[],2,FALSE)</f>
        <v>2</v>
      </c>
      <c r="Q174" s="16">
        <f>VLOOKUP(Table2[[#This Row],[prolific]],'Correct calc'!B$16:$AK$998,36,FALSE)</f>
        <v>19</v>
      </c>
      <c r="R174" s="40">
        <f>Table2[[#This Row],[interviewminutes]]</f>
        <v>8.9178333333333342</v>
      </c>
      <c r="S174" s="40">
        <f>Table2[[#This Row],[classifyTime]]+Table2[[#This Row],[explainTime]]+Table2[[#This Row],[validateTime]]</f>
        <v>6.9833333333333334</v>
      </c>
      <c r="T174" s="29">
        <f>VLOOKUP(Table2[[#This Row],[prolific]],'Correct calc'!B$16:$AJ$998,35,FALSE)</f>
        <v>0.86363636363636365</v>
      </c>
      <c r="U174" s="42">
        <f>SUM(Table2[[#This Row],[priorKnowledge'[CLUSTERING']]:[priorKnowledge'[ZSCORES']]])/Table2[[#This Row],[priorKnowledgeTechQuestionCount]]</f>
        <v>1</v>
      </c>
      <c r="V174" s="40">
        <f>IF(Table2[[#This Row],[visualization]]="Wordcloud",2,3)</f>
        <v>3</v>
      </c>
      <c r="W174" s="31" t="s">
        <v>1188</v>
      </c>
      <c r="X174" s="31">
        <v>1</v>
      </c>
      <c r="Y174" s="31">
        <v>1</v>
      </c>
      <c r="Z174" s="31">
        <v>1</v>
      </c>
      <c r="AA174" s="31">
        <v>1</v>
      </c>
      <c r="AB174" s="31" t="s">
        <v>97</v>
      </c>
      <c r="AC174" s="31" t="s">
        <v>81</v>
      </c>
      <c r="AD174" s="31" t="s">
        <v>82</v>
      </c>
      <c r="AE174" s="31" t="s">
        <v>83</v>
      </c>
      <c r="AF174" s="31" t="s">
        <v>85</v>
      </c>
      <c r="AG174" s="31" t="s">
        <v>104</v>
      </c>
      <c r="AH174" s="31" t="s">
        <v>84</v>
      </c>
      <c r="AI174" s="31" t="s">
        <v>104</v>
      </c>
      <c r="AJ174" s="31" t="s">
        <v>98</v>
      </c>
      <c r="AK174" s="31" t="s">
        <v>88</v>
      </c>
      <c r="AL174" s="31" t="s">
        <v>87</v>
      </c>
      <c r="AM174" s="31" t="s">
        <v>105</v>
      </c>
      <c r="AN174" s="31" t="s">
        <v>90</v>
      </c>
      <c r="AO174" s="31" t="s">
        <v>83</v>
      </c>
      <c r="AP174" s="31" t="s">
        <v>85</v>
      </c>
      <c r="AQ174" s="31" t="s">
        <v>111</v>
      </c>
      <c r="AR174" s="31" t="s">
        <v>101</v>
      </c>
      <c r="AS174" s="31" t="s">
        <v>94</v>
      </c>
      <c r="AT174" s="31" t="s">
        <v>93</v>
      </c>
      <c r="AU174" s="31" t="s">
        <v>94</v>
      </c>
      <c r="AV174" s="31" t="s">
        <v>93</v>
      </c>
      <c r="AW174" s="31" t="s">
        <v>94</v>
      </c>
      <c r="AX174" s="31" t="s">
        <v>93</v>
      </c>
      <c r="AY174" s="31" t="s">
        <v>94</v>
      </c>
      <c r="AZ174" s="31" t="s">
        <v>93</v>
      </c>
      <c r="BA174" s="31" t="s">
        <v>106</v>
      </c>
      <c r="BB174" s="31" t="s">
        <v>626</v>
      </c>
      <c r="BC174" s="43"/>
      <c r="BD174" s="44">
        <f>Table2[[#This Row],[interviewtime]]/60</f>
        <v>8.9178333333333342</v>
      </c>
      <c r="BE174" s="31">
        <v>535.07000000000005</v>
      </c>
      <c r="BF174" s="31">
        <v>4.88</v>
      </c>
      <c r="BG174" s="31"/>
      <c r="BH174" s="31">
        <v>68.78</v>
      </c>
      <c r="BI174" s="31"/>
      <c r="BJ174" s="31"/>
      <c r="BK174" s="31"/>
      <c r="BL174" s="31"/>
      <c r="BM174" s="31">
        <v>186.5</v>
      </c>
      <c r="BN174" s="31"/>
      <c r="BO174" s="31"/>
      <c r="BP174" s="31"/>
      <c r="BQ174" s="31"/>
      <c r="BR174" s="31"/>
      <c r="BS174" s="31"/>
      <c r="BT174" s="31">
        <v>129.76</v>
      </c>
      <c r="BU174" s="31"/>
      <c r="BV174" s="31"/>
      <c r="BW174" s="31"/>
      <c r="BX174" s="31"/>
      <c r="BY174" s="31"/>
      <c r="BZ174" s="31"/>
      <c r="CA174" s="31"/>
      <c r="CB174" s="31"/>
      <c r="CC174" s="31">
        <v>102.74</v>
      </c>
      <c r="CD174" s="31"/>
      <c r="CE174" s="31"/>
      <c r="CF174" s="31"/>
      <c r="CG174" s="31"/>
      <c r="CH174" s="31"/>
      <c r="CI174" s="31"/>
      <c r="CJ174" s="31"/>
      <c r="CK174" s="31"/>
      <c r="CL174" s="31">
        <v>42.41</v>
      </c>
      <c r="CM174" s="43"/>
      <c r="CN174" s="43"/>
      <c r="CO174" s="43"/>
      <c r="CP174" s="43"/>
      <c r="CQ174" s="43">
        <f>Table2[[#This Row],[groupTime22]]/60</f>
        <v>3.1083333333333334</v>
      </c>
      <c r="CR174" s="43">
        <f>Table2[[#This Row],[groupTime23]]/60</f>
        <v>2.1626666666666665</v>
      </c>
      <c r="CS174" s="43">
        <f>Table2[[#This Row],[groupTime24]]/60</f>
        <v>1.7123333333333333</v>
      </c>
    </row>
    <row r="175" spans="1:97" x14ac:dyDescent="0.25">
      <c r="A175" s="36" t="s">
        <v>638</v>
      </c>
      <c r="B175" s="11" t="s">
        <v>114</v>
      </c>
      <c r="C175" s="11">
        <v>55</v>
      </c>
      <c r="D175" s="11" t="s">
        <v>604</v>
      </c>
      <c r="E175" s="11">
        <v>6</v>
      </c>
      <c r="F175" s="11" t="s">
        <v>79</v>
      </c>
      <c r="G175" s="11">
        <v>1031121528</v>
      </c>
      <c r="H175" s="11" t="s">
        <v>605</v>
      </c>
      <c r="I175" s="11" t="s">
        <v>604</v>
      </c>
      <c r="J175" s="11" t="s">
        <v>589</v>
      </c>
      <c r="K175" s="37" t="str">
        <f>IF(Table2[[#This Row],[priorSuccessRatio]]&lt;1,"yes","no")</f>
        <v>no</v>
      </c>
      <c r="L175" s="38">
        <f>VLOOKUP(Table2[[#This Row],[prolific]],'Correct calc'!B$16:$AJ$998,6,FALSE)</f>
        <v>1</v>
      </c>
      <c r="M175" s="27">
        <f>VLOOKUP(Table2[[#This Row],[prolific]],'Correct calc'!B$16:$AJ$998,14,FALSE)</f>
        <v>0.5</v>
      </c>
      <c r="N175" s="27">
        <f>VLOOKUP(Table2[[#This Row],[prolific]],'Correct calc'!B$16:$AJ1107,24,FALSE)</f>
        <v>0.75</v>
      </c>
      <c r="O175" s="27">
        <f>VLOOKUP(Table2[[#This Row],[prolific]],'Correct calc'!B$16:$AJ1107,34,FALSE)</f>
        <v>0.75</v>
      </c>
      <c r="P175" s="39">
        <f>VLOOKUP(Table2[[#This Row],[comprescore]],Table3[],2,FALSE)</f>
        <v>3</v>
      </c>
      <c r="Q175" s="16">
        <f>VLOOKUP(Table2[[#This Row],[prolific]],'Correct calc'!B$16:$AK$998,36,FALSE)</f>
        <v>15</v>
      </c>
      <c r="R175" s="40">
        <f>Table2[[#This Row],[interviewminutes]]</f>
        <v>13.679499999999999</v>
      </c>
      <c r="S175" s="40">
        <f>Table2[[#This Row],[classifyTime]]+Table2[[#This Row],[explainTime]]+Table2[[#This Row],[validateTime]]</f>
        <v>10.141666666666666</v>
      </c>
      <c r="T175" s="29">
        <f>VLOOKUP(Table2[[#This Row],[prolific]],'Correct calc'!B$16:$AJ$998,35,FALSE)</f>
        <v>0.68181818181818177</v>
      </c>
      <c r="U175" s="42">
        <f>SUM(Table2[[#This Row],[priorKnowledge'[CLUSTERING']]:[priorKnowledge'[ZSCORES']]])/Table2[[#This Row],[priorKnowledgeTechQuestionCount]]</f>
        <v>2.3333333333333335</v>
      </c>
      <c r="V175" s="40">
        <f>IF(Table2[[#This Row],[visualization]]="Wordcloud",2,3)</f>
        <v>3</v>
      </c>
      <c r="W175" s="31" t="s">
        <v>1189</v>
      </c>
      <c r="X175" s="31">
        <v>2</v>
      </c>
      <c r="Y175" s="31">
        <v>3</v>
      </c>
      <c r="Z175" s="31">
        <v>2</v>
      </c>
      <c r="AA175" s="31">
        <v>5</v>
      </c>
      <c r="AB175" s="31" t="s">
        <v>97</v>
      </c>
      <c r="AC175" s="31" t="s">
        <v>81</v>
      </c>
      <c r="AD175" s="31" t="s">
        <v>82</v>
      </c>
      <c r="AE175" s="31" t="s">
        <v>83</v>
      </c>
      <c r="AF175" s="31" t="s">
        <v>98</v>
      </c>
      <c r="AG175" s="31" t="s">
        <v>86</v>
      </c>
      <c r="AH175" s="31" t="s">
        <v>84</v>
      </c>
      <c r="AI175" s="31" t="s">
        <v>85</v>
      </c>
      <c r="AJ175" s="31" t="s">
        <v>83</v>
      </c>
      <c r="AK175" s="31" t="s">
        <v>88</v>
      </c>
      <c r="AL175" s="31" t="s">
        <v>87</v>
      </c>
      <c r="AM175" s="31" t="s">
        <v>285</v>
      </c>
      <c r="AN175" s="31" t="s">
        <v>100</v>
      </c>
      <c r="AO175" s="31" t="s">
        <v>83</v>
      </c>
      <c r="AP175" s="31" t="s">
        <v>85</v>
      </c>
      <c r="AQ175" s="31" t="s">
        <v>91</v>
      </c>
      <c r="AR175" s="31" t="s">
        <v>102</v>
      </c>
      <c r="AS175" s="31" t="s">
        <v>94</v>
      </c>
      <c r="AT175" s="31" t="s">
        <v>93</v>
      </c>
      <c r="AU175" s="31" t="s">
        <v>94</v>
      </c>
      <c r="AV175" s="31" t="s">
        <v>93</v>
      </c>
      <c r="AW175" s="31" t="s">
        <v>93</v>
      </c>
      <c r="AX175" s="31" t="s">
        <v>94</v>
      </c>
      <c r="AY175" s="31" t="s">
        <v>94</v>
      </c>
      <c r="AZ175" s="31" t="s">
        <v>93</v>
      </c>
      <c r="BA175" s="31" t="s">
        <v>107</v>
      </c>
      <c r="BB175" s="31" t="s">
        <v>629</v>
      </c>
      <c r="BC175" s="43"/>
      <c r="BD175" s="44">
        <f>Table2[[#This Row],[interviewtime]]/60</f>
        <v>13.679499999999999</v>
      </c>
      <c r="BE175" s="31">
        <v>820.77</v>
      </c>
      <c r="BF175" s="31">
        <v>26.49</v>
      </c>
      <c r="BG175" s="31"/>
      <c r="BH175" s="31">
        <v>92.13</v>
      </c>
      <c r="BI175" s="31"/>
      <c r="BJ175" s="31"/>
      <c r="BK175" s="31"/>
      <c r="BL175" s="31"/>
      <c r="BM175" s="31">
        <v>287.26</v>
      </c>
      <c r="BN175" s="31"/>
      <c r="BO175" s="31"/>
      <c r="BP175" s="31"/>
      <c r="BQ175" s="31"/>
      <c r="BR175" s="31"/>
      <c r="BS175" s="31"/>
      <c r="BT175" s="31">
        <v>199.8</v>
      </c>
      <c r="BU175" s="31"/>
      <c r="BV175" s="31"/>
      <c r="BW175" s="31"/>
      <c r="BX175" s="31"/>
      <c r="BY175" s="31"/>
      <c r="BZ175" s="31"/>
      <c r="CA175" s="31"/>
      <c r="CB175" s="31"/>
      <c r="CC175" s="31">
        <v>121.44</v>
      </c>
      <c r="CD175" s="31"/>
      <c r="CE175" s="31"/>
      <c r="CF175" s="31"/>
      <c r="CG175" s="31"/>
      <c r="CH175" s="31"/>
      <c r="CI175" s="31"/>
      <c r="CJ175" s="31"/>
      <c r="CK175" s="31"/>
      <c r="CL175" s="31">
        <v>93.65</v>
      </c>
      <c r="CM175" s="43"/>
      <c r="CN175" s="43"/>
      <c r="CO175" s="43"/>
      <c r="CP175" s="43"/>
      <c r="CQ175" s="43">
        <f>Table2[[#This Row],[groupTime22]]/60</f>
        <v>4.7876666666666665</v>
      </c>
      <c r="CR175" s="43">
        <f>Table2[[#This Row],[groupTime23]]/60</f>
        <v>3.33</v>
      </c>
      <c r="CS175" s="43">
        <f>Table2[[#This Row],[groupTime24]]/60</f>
        <v>2.024</v>
      </c>
    </row>
    <row r="176" spans="1:97" x14ac:dyDescent="0.25">
      <c r="A176" s="36" t="s">
        <v>638</v>
      </c>
      <c r="B176" s="11" t="s">
        <v>114</v>
      </c>
      <c r="C176" s="11">
        <v>56</v>
      </c>
      <c r="D176" s="11" t="s">
        <v>606</v>
      </c>
      <c r="E176" s="11">
        <v>6</v>
      </c>
      <c r="F176" s="11" t="s">
        <v>79</v>
      </c>
      <c r="G176" s="11">
        <v>1072030295</v>
      </c>
      <c r="H176" s="11" t="s">
        <v>607</v>
      </c>
      <c r="I176" s="11" t="s">
        <v>606</v>
      </c>
      <c r="J176" s="11" t="s">
        <v>589</v>
      </c>
      <c r="K176" s="37" t="str">
        <f>IF(Table2[[#This Row],[priorSuccessRatio]]&lt;1,"yes","no")</f>
        <v>no</v>
      </c>
      <c r="L176" s="38">
        <f>VLOOKUP(Table2[[#This Row],[prolific]],'Correct calc'!B$16:$AJ$998,6,FALSE)</f>
        <v>1</v>
      </c>
      <c r="M176" s="27">
        <f>VLOOKUP(Table2[[#This Row],[prolific]],'Correct calc'!B$16:$AJ$998,14,FALSE)</f>
        <v>0.83333333333333337</v>
      </c>
      <c r="N176" s="27">
        <f>VLOOKUP(Table2[[#This Row],[prolific]],'Correct calc'!B$16:$AJ1108,24,FALSE)</f>
        <v>0.875</v>
      </c>
      <c r="O176" s="27">
        <f>VLOOKUP(Table2[[#This Row],[prolific]],'Correct calc'!B$16:$AJ1108,34,FALSE)</f>
        <v>0.875</v>
      </c>
      <c r="P176" s="39">
        <f>VLOOKUP(Table2[[#This Row],[comprescore]],Table3[],2,FALSE)</f>
        <v>2</v>
      </c>
      <c r="Q176" s="16">
        <f>VLOOKUP(Table2[[#This Row],[prolific]],'Correct calc'!B$16:$AK$998,36,FALSE)</f>
        <v>19</v>
      </c>
      <c r="R176" s="40">
        <f>Table2[[#This Row],[interviewminutes]]</f>
        <v>10.256499999999999</v>
      </c>
      <c r="S176" s="40">
        <f>Table2[[#This Row],[classifyTime]]+Table2[[#This Row],[explainTime]]+Table2[[#This Row],[validateTime]]</f>
        <v>9.221166666666667</v>
      </c>
      <c r="T176" s="29">
        <f>VLOOKUP(Table2[[#This Row],[prolific]],'Correct calc'!B$16:$AJ$998,35,FALSE)</f>
        <v>0.86363636363636365</v>
      </c>
      <c r="U176" s="42">
        <f>SUM(Table2[[#This Row],[priorKnowledge'[CLUSTERING']]:[priorKnowledge'[ZSCORES']]])/Table2[[#This Row],[priorKnowledgeTechQuestionCount]]</f>
        <v>2.3333333333333335</v>
      </c>
      <c r="V176" s="40">
        <f>IF(Table2[[#This Row],[visualization]]="Wordcloud",2,3)</f>
        <v>3</v>
      </c>
      <c r="W176" s="31" t="s">
        <v>1190</v>
      </c>
      <c r="X176" s="31">
        <v>4</v>
      </c>
      <c r="Y176" s="31">
        <v>2</v>
      </c>
      <c r="Z176" s="31">
        <v>1</v>
      </c>
      <c r="AA176" s="31">
        <v>8</v>
      </c>
      <c r="AB176" s="31" t="s">
        <v>97</v>
      </c>
      <c r="AC176" s="31" t="s">
        <v>81</v>
      </c>
      <c r="AD176" s="31" t="s">
        <v>82</v>
      </c>
      <c r="AE176" s="31" t="s">
        <v>83</v>
      </c>
      <c r="AF176" s="31" t="s">
        <v>86</v>
      </c>
      <c r="AG176" s="31" t="s">
        <v>86</v>
      </c>
      <c r="AH176" s="31" t="s">
        <v>84</v>
      </c>
      <c r="AI176" s="31" t="s">
        <v>104</v>
      </c>
      <c r="AJ176" s="31" t="s">
        <v>98</v>
      </c>
      <c r="AK176" s="31" t="s">
        <v>88</v>
      </c>
      <c r="AL176" s="31" t="s">
        <v>87</v>
      </c>
      <c r="AM176" s="31" t="s">
        <v>105</v>
      </c>
      <c r="AN176" s="31" t="s">
        <v>90</v>
      </c>
      <c r="AO176" s="31" t="s">
        <v>83</v>
      </c>
      <c r="AP176" s="31" t="s">
        <v>85</v>
      </c>
      <c r="AQ176" s="31" t="s">
        <v>101</v>
      </c>
      <c r="AR176" s="31" t="s">
        <v>102</v>
      </c>
      <c r="AS176" s="31" t="s">
        <v>94</v>
      </c>
      <c r="AT176" s="31" t="s">
        <v>93</v>
      </c>
      <c r="AU176" s="31" t="s">
        <v>94</v>
      </c>
      <c r="AV176" s="31" t="s">
        <v>93</v>
      </c>
      <c r="AW176" s="31" t="s">
        <v>93</v>
      </c>
      <c r="AX176" s="31" t="s">
        <v>93</v>
      </c>
      <c r="AY176" s="31" t="s">
        <v>94</v>
      </c>
      <c r="AZ176" s="31" t="s">
        <v>93</v>
      </c>
      <c r="BA176" s="31" t="s">
        <v>106</v>
      </c>
      <c r="BB176" s="31" t="s">
        <v>631</v>
      </c>
      <c r="BC176" s="43"/>
      <c r="BD176" s="44">
        <f>Table2[[#This Row],[interviewtime]]/60</f>
        <v>10.256499999999999</v>
      </c>
      <c r="BE176" s="31">
        <v>615.39</v>
      </c>
      <c r="BF176" s="31">
        <v>4.4400000000000004</v>
      </c>
      <c r="BG176" s="31"/>
      <c r="BH176" s="31">
        <v>25.95</v>
      </c>
      <c r="BI176" s="31"/>
      <c r="BJ176" s="31"/>
      <c r="BK176" s="31"/>
      <c r="BL176" s="31"/>
      <c r="BM176" s="31">
        <v>281.49</v>
      </c>
      <c r="BN176" s="31"/>
      <c r="BO176" s="31"/>
      <c r="BP176" s="31"/>
      <c r="BQ176" s="31"/>
      <c r="BR176" s="31"/>
      <c r="BS176" s="31"/>
      <c r="BT176" s="31">
        <v>118.17</v>
      </c>
      <c r="BU176" s="31"/>
      <c r="BV176" s="31"/>
      <c r="BW176" s="31"/>
      <c r="BX176" s="31"/>
      <c r="BY176" s="31"/>
      <c r="BZ176" s="31"/>
      <c r="CA176" s="31"/>
      <c r="CB176" s="31"/>
      <c r="CC176" s="31">
        <v>153.61000000000001</v>
      </c>
      <c r="CD176" s="31"/>
      <c r="CE176" s="31"/>
      <c r="CF176" s="31"/>
      <c r="CG176" s="31"/>
      <c r="CH176" s="31"/>
      <c r="CI176" s="31"/>
      <c r="CJ176" s="31"/>
      <c r="CK176" s="31"/>
      <c r="CL176" s="31">
        <v>31.73</v>
      </c>
      <c r="CM176" s="43"/>
      <c r="CN176" s="43"/>
      <c r="CO176" s="43"/>
      <c r="CP176" s="43"/>
      <c r="CQ176" s="43">
        <f>Table2[[#This Row],[groupTime22]]/60</f>
        <v>4.6915000000000004</v>
      </c>
      <c r="CR176" s="43">
        <f>Table2[[#This Row],[groupTime23]]/60</f>
        <v>1.9695</v>
      </c>
      <c r="CS176" s="43">
        <f>Table2[[#This Row],[groupTime24]]/60</f>
        <v>2.5601666666666669</v>
      </c>
    </row>
    <row r="177" spans="1:97" x14ac:dyDescent="0.25">
      <c r="A177" s="36" t="s">
        <v>638</v>
      </c>
      <c r="B177" s="11" t="s">
        <v>114</v>
      </c>
      <c r="C177" s="11">
        <v>57</v>
      </c>
      <c r="D177" s="11" t="s">
        <v>608</v>
      </c>
      <c r="E177" s="11">
        <v>6</v>
      </c>
      <c r="F177" s="11" t="s">
        <v>79</v>
      </c>
      <c r="G177" s="11">
        <v>11509637</v>
      </c>
      <c r="H177" s="11" t="s">
        <v>609</v>
      </c>
      <c r="I177" s="11" t="s">
        <v>608</v>
      </c>
      <c r="J177" s="11" t="s">
        <v>589</v>
      </c>
      <c r="K177" s="37" t="str">
        <f>IF(Table2[[#This Row],[priorSuccessRatio]]&lt;1,"yes","no")</f>
        <v>no</v>
      </c>
      <c r="L177" s="38">
        <f>VLOOKUP(Table2[[#This Row],[prolific]],'Correct calc'!B$16:$AJ$998,6,FALSE)</f>
        <v>1</v>
      </c>
      <c r="M177" s="27">
        <f>VLOOKUP(Table2[[#This Row],[prolific]],'Correct calc'!B$16:$AJ$998,14,FALSE)</f>
        <v>1</v>
      </c>
      <c r="N177" s="27">
        <f>VLOOKUP(Table2[[#This Row],[prolific]],'Correct calc'!B$16:$AJ1109,24,FALSE)</f>
        <v>0.875</v>
      </c>
      <c r="O177" s="27">
        <f>VLOOKUP(Table2[[#This Row],[prolific]],'Correct calc'!B$16:$AJ1109,34,FALSE)</f>
        <v>0.875</v>
      </c>
      <c r="P177" s="39">
        <f>VLOOKUP(Table2[[#This Row],[comprescore]],Table3[],2,FALSE)</f>
        <v>2</v>
      </c>
      <c r="Q177" s="16">
        <f>VLOOKUP(Table2[[#This Row],[prolific]],'Correct calc'!B$16:$AK$998,36,FALSE)</f>
        <v>20</v>
      </c>
      <c r="R177" s="40">
        <f>Table2[[#This Row],[interviewminutes]]</f>
        <v>7.4046666666666665</v>
      </c>
      <c r="S177" s="40">
        <f>Table2[[#This Row],[classifyTime]]+Table2[[#This Row],[explainTime]]+Table2[[#This Row],[validateTime]]</f>
        <v>5.871833333333333</v>
      </c>
      <c r="T177" s="29">
        <f>VLOOKUP(Table2[[#This Row],[prolific]],'Correct calc'!B$16:$AJ$998,35,FALSE)</f>
        <v>0.90909090909090906</v>
      </c>
      <c r="U177" s="42">
        <f>SUM(Table2[[#This Row],[priorKnowledge'[CLUSTERING']]:[priorKnowledge'[ZSCORES']]])/Table2[[#This Row],[priorKnowledgeTechQuestionCount]]</f>
        <v>1</v>
      </c>
      <c r="V177" s="40">
        <f>IF(Table2[[#This Row],[visualization]]="Wordcloud",2,3)</f>
        <v>3</v>
      </c>
      <c r="W177" s="31" t="s">
        <v>1191</v>
      </c>
      <c r="X177" s="31">
        <v>1</v>
      </c>
      <c r="Y177" s="31">
        <v>1</v>
      </c>
      <c r="Z177" s="31">
        <v>1</v>
      </c>
      <c r="AA177" s="31">
        <v>2</v>
      </c>
      <c r="AB177" s="31" t="s">
        <v>97</v>
      </c>
      <c r="AC177" s="31" t="s">
        <v>81</v>
      </c>
      <c r="AD177" s="31" t="s">
        <v>82</v>
      </c>
      <c r="AE177" s="31" t="s">
        <v>83</v>
      </c>
      <c r="AF177" s="31" t="s">
        <v>85</v>
      </c>
      <c r="AG177" s="31" t="s">
        <v>86</v>
      </c>
      <c r="AH177" s="31" t="s">
        <v>84</v>
      </c>
      <c r="AI177" s="31" t="s">
        <v>104</v>
      </c>
      <c r="AJ177" s="31" t="s">
        <v>98</v>
      </c>
      <c r="AK177" s="31" t="s">
        <v>88</v>
      </c>
      <c r="AL177" s="31" t="s">
        <v>87</v>
      </c>
      <c r="AM177" s="31" t="s">
        <v>105</v>
      </c>
      <c r="AN177" s="31" t="s">
        <v>90</v>
      </c>
      <c r="AO177" s="31" t="s">
        <v>83</v>
      </c>
      <c r="AP177" s="31" t="s">
        <v>85</v>
      </c>
      <c r="AQ177" s="31" t="s">
        <v>91</v>
      </c>
      <c r="AR177" s="31" t="s">
        <v>101</v>
      </c>
      <c r="AS177" s="31" t="s">
        <v>94</v>
      </c>
      <c r="AT177" s="31" t="s">
        <v>93</v>
      </c>
      <c r="AU177" s="31" t="s">
        <v>94</v>
      </c>
      <c r="AV177" s="31" t="s">
        <v>93</v>
      </c>
      <c r="AW177" s="31" t="s">
        <v>93</v>
      </c>
      <c r="AX177" s="31" t="s">
        <v>93</v>
      </c>
      <c r="AY177" s="31" t="s">
        <v>94</v>
      </c>
      <c r="AZ177" s="31" t="s">
        <v>93</v>
      </c>
      <c r="BA177" s="31" t="s">
        <v>106</v>
      </c>
      <c r="BB177" s="31" t="s">
        <v>633</v>
      </c>
      <c r="BC177" s="43"/>
      <c r="BD177" s="44">
        <f>Table2[[#This Row],[interviewtime]]/60</f>
        <v>7.4046666666666665</v>
      </c>
      <c r="BE177" s="31">
        <v>444.28</v>
      </c>
      <c r="BF177" s="31">
        <v>8.1199999999999992</v>
      </c>
      <c r="BG177" s="31"/>
      <c r="BH177" s="31">
        <v>23.31</v>
      </c>
      <c r="BI177" s="31"/>
      <c r="BJ177" s="31"/>
      <c r="BK177" s="31"/>
      <c r="BL177" s="31"/>
      <c r="BM177" s="31">
        <v>137.66999999999999</v>
      </c>
      <c r="BN177" s="31"/>
      <c r="BO177" s="31"/>
      <c r="BP177" s="31"/>
      <c r="BQ177" s="31"/>
      <c r="BR177" s="31"/>
      <c r="BS177" s="31"/>
      <c r="BT177" s="31">
        <v>109.32</v>
      </c>
      <c r="BU177" s="31"/>
      <c r="BV177" s="31"/>
      <c r="BW177" s="31"/>
      <c r="BX177" s="31"/>
      <c r="BY177" s="31"/>
      <c r="BZ177" s="31"/>
      <c r="CA177" s="31"/>
      <c r="CB177" s="31"/>
      <c r="CC177" s="31">
        <v>105.32</v>
      </c>
      <c r="CD177" s="31"/>
      <c r="CE177" s="31"/>
      <c r="CF177" s="31"/>
      <c r="CG177" s="31"/>
      <c r="CH177" s="31"/>
      <c r="CI177" s="31"/>
      <c r="CJ177" s="31"/>
      <c r="CK177" s="31"/>
      <c r="CL177" s="31">
        <v>60.54</v>
      </c>
      <c r="CM177" s="43"/>
      <c r="CN177" s="43"/>
      <c r="CO177" s="43"/>
      <c r="CP177" s="43"/>
      <c r="CQ177" s="43">
        <f>Table2[[#This Row],[groupTime22]]/60</f>
        <v>2.2944999999999998</v>
      </c>
      <c r="CR177" s="43">
        <f>Table2[[#This Row],[groupTime23]]/60</f>
        <v>1.8219999999999998</v>
      </c>
      <c r="CS177" s="43">
        <f>Table2[[#This Row],[groupTime24]]/60</f>
        <v>1.7553333333333332</v>
      </c>
    </row>
    <row r="178" spans="1:97" x14ac:dyDescent="0.25">
      <c r="A178" s="36" t="s">
        <v>638</v>
      </c>
      <c r="B178" s="11" t="s">
        <v>114</v>
      </c>
      <c r="C178" s="11">
        <v>58</v>
      </c>
      <c r="D178" s="11" t="s">
        <v>610</v>
      </c>
      <c r="E178" s="11">
        <v>6</v>
      </c>
      <c r="F178" s="11" t="s">
        <v>79</v>
      </c>
      <c r="G178" s="11">
        <v>1937364120</v>
      </c>
      <c r="H178" s="11" t="s">
        <v>611</v>
      </c>
      <c r="I178" s="11" t="s">
        <v>610</v>
      </c>
      <c r="J178" s="11" t="s">
        <v>589</v>
      </c>
      <c r="K178" s="37" t="str">
        <f>IF(Table2[[#This Row],[priorSuccessRatio]]&lt;1,"yes","no")</f>
        <v>no</v>
      </c>
      <c r="L178" s="38">
        <f>VLOOKUP(Table2[[#This Row],[prolific]],'Correct calc'!B$16:$AJ$998,6,FALSE)</f>
        <v>1</v>
      </c>
      <c r="M178" s="27">
        <f>VLOOKUP(Table2[[#This Row],[prolific]],'Correct calc'!B$16:$AJ$998,14,FALSE)</f>
        <v>1</v>
      </c>
      <c r="N178" s="27">
        <f>VLOOKUP(Table2[[#This Row],[prolific]],'Correct calc'!B$16:$AJ1110,24,FALSE)</f>
        <v>0.625</v>
      </c>
      <c r="O178" s="27">
        <f>VLOOKUP(Table2[[#This Row],[prolific]],'Correct calc'!B$16:$AJ1110,34,FALSE)</f>
        <v>0.875</v>
      </c>
      <c r="P178" s="39">
        <f>VLOOKUP(Table2[[#This Row],[comprescore]],Table3[],2,FALSE)</f>
        <v>2</v>
      </c>
      <c r="Q178" s="16">
        <f>VLOOKUP(Table2[[#This Row],[prolific]],'Correct calc'!B$16:$AK$998,36,FALSE)</f>
        <v>18</v>
      </c>
      <c r="R178" s="40">
        <f>Table2[[#This Row],[interviewminutes]]</f>
        <v>11.667166666666667</v>
      </c>
      <c r="S178" s="40">
        <f>Table2[[#This Row],[classifyTime]]+Table2[[#This Row],[explainTime]]+Table2[[#This Row],[validateTime]]</f>
        <v>10.259333333333334</v>
      </c>
      <c r="T178" s="29">
        <f>VLOOKUP(Table2[[#This Row],[prolific]],'Correct calc'!B$16:$AJ$998,35,FALSE)</f>
        <v>0.81818181818181823</v>
      </c>
      <c r="U178" s="42">
        <f>SUM(Table2[[#This Row],[priorKnowledge'[CLUSTERING']]:[priorKnowledge'[ZSCORES']]])/Table2[[#This Row],[priorKnowledgeTechQuestionCount]]</f>
        <v>1</v>
      </c>
      <c r="V178" s="40">
        <f>IF(Table2[[#This Row],[visualization]]="Wordcloud",2,3)</f>
        <v>3</v>
      </c>
      <c r="W178" s="31" t="s">
        <v>1192</v>
      </c>
      <c r="X178" s="31">
        <v>1</v>
      </c>
      <c r="Y178" s="31">
        <v>1</v>
      </c>
      <c r="Z178" s="31">
        <v>1</v>
      </c>
      <c r="AA178" s="31">
        <v>3</v>
      </c>
      <c r="AB178" s="31" t="s">
        <v>97</v>
      </c>
      <c r="AC178" s="31" t="s">
        <v>81</v>
      </c>
      <c r="AD178" s="31" t="s">
        <v>82</v>
      </c>
      <c r="AE178" s="31" t="s">
        <v>83</v>
      </c>
      <c r="AF178" s="31" t="s">
        <v>85</v>
      </c>
      <c r="AG178" s="31" t="s">
        <v>86</v>
      </c>
      <c r="AH178" s="31" t="s">
        <v>84</v>
      </c>
      <c r="AI178" s="31" t="s">
        <v>104</v>
      </c>
      <c r="AJ178" s="31" t="s">
        <v>98</v>
      </c>
      <c r="AK178" s="31" t="s">
        <v>88</v>
      </c>
      <c r="AL178" s="31" t="s">
        <v>87</v>
      </c>
      <c r="AM178" s="31" t="s">
        <v>285</v>
      </c>
      <c r="AN178" s="31" t="s">
        <v>278</v>
      </c>
      <c r="AO178" s="31" t="s">
        <v>83</v>
      </c>
      <c r="AP178" s="31" t="s">
        <v>85</v>
      </c>
      <c r="AQ178" s="31" t="s">
        <v>101</v>
      </c>
      <c r="AR178" s="31" t="s">
        <v>102</v>
      </c>
      <c r="AS178" s="31" t="s">
        <v>94</v>
      </c>
      <c r="AT178" s="31" t="s">
        <v>93</v>
      </c>
      <c r="AU178" s="31" t="s">
        <v>94</v>
      </c>
      <c r="AV178" s="31" t="s">
        <v>93</v>
      </c>
      <c r="AW178" s="31" t="s">
        <v>93</v>
      </c>
      <c r="AX178" s="31" t="s">
        <v>93</v>
      </c>
      <c r="AY178" s="31" t="s">
        <v>94</v>
      </c>
      <c r="AZ178" s="31" t="s">
        <v>93</v>
      </c>
      <c r="BA178" s="31" t="s">
        <v>106</v>
      </c>
      <c r="BB178" s="31"/>
      <c r="BC178" s="43"/>
      <c r="BD178" s="44">
        <f>Table2[[#This Row],[interviewtime]]/60</f>
        <v>11.667166666666667</v>
      </c>
      <c r="BE178" s="31">
        <v>700.03</v>
      </c>
      <c r="BF178" s="31">
        <v>8.07</v>
      </c>
      <c r="BG178" s="31"/>
      <c r="BH178" s="31">
        <v>58.76</v>
      </c>
      <c r="BI178" s="31"/>
      <c r="BJ178" s="31"/>
      <c r="BK178" s="31"/>
      <c r="BL178" s="31"/>
      <c r="BM178" s="31">
        <v>336.81</v>
      </c>
      <c r="BN178" s="31"/>
      <c r="BO178" s="31"/>
      <c r="BP178" s="31"/>
      <c r="BQ178" s="31"/>
      <c r="BR178" s="31"/>
      <c r="BS178" s="31"/>
      <c r="BT178" s="31">
        <v>189.41</v>
      </c>
      <c r="BU178" s="31"/>
      <c r="BV178" s="31"/>
      <c r="BW178" s="31"/>
      <c r="BX178" s="31"/>
      <c r="BY178" s="31"/>
      <c r="BZ178" s="31"/>
      <c r="CA178" s="31"/>
      <c r="CB178" s="31"/>
      <c r="CC178" s="31">
        <v>89.34</v>
      </c>
      <c r="CD178" s="31"/>
      <c r="CE178" s="31"/>
      <c r="CF178" s="31"/>
      <c r="CG178" s="31"/>
      <c r="CH178" s="31"/>
      <c r="CI178" s="31"/>
      <c r="CJ178" s="31"/>
      <c r="CK178" s="31"/>
      <c r="CL178" s="31">
        <v>17.64</v>
      </c>
      <c r="CM178" s="43"/>
      <c r="CN178" s="43"/>
      <c r="CO178" s="43"/>
      <c r="CP178" s="43"/>
      <c r="CQ178" s="43">
        <f>Table2[[#This Row],[groupTime22]]/60</f>
        <v>5.6135000000000002</v>
      </c>
      <c r="CR178" s="43">
        <f>Table2[[#This Row],[groupTime23]]/60</f>
        <v>3.1568333333333332</v>
      </c>
      <c r="CS178" s="43">
        <f>Table2[[#This Row],[groupTime24]]/60</f>
        <v>1.4890000000000001</v>
      </c>
    </row>
    <row r="179" spans="1:97" x14ac:dyDescent="0.25">
      <c r="A179" s="36" t="s">
        <v>638</v>
      </c>
      <c r="B179" s="11" t="s">
        <v>114</v>
      </c>
      <c r="C179" s="11">
        <v>59</v>
      </c>
      <c r="D179" s="11" t="s">
        <v>612</v>
      </c>
      <c r="E179" s="11">
        <v>6</v>
      </c>
      <c r="F179" s="11" t="s">
        <v>79</v>
      </c>
      <c r="G179" s="11">
        <v>1483865383</v>
      </c>
      <c r="H179" s="11" t="s">
        <v>613</v>
      </c>
      <c r="I179" s="11" t="s">
        <v>612</v>
      </c>
      <c r="J179" s="11" t="s">
        <v>589</v>
      </c>
      <c r="K179" s="37" t="str">
        <f>IF(Table2[[#This Row],[priorSuccessRatio]]&lt;1,"yes","no")</f>
        <v>no</v>
      </c>
      <c r="L179" s="38">
        <f>VLOOKUP(Table2[[#This Row],[prolific]],'Correct calc'!B$16:$AJ$998,6,FALSE)</f>
        <v>1</v>
      </c>
      <c r="M179" s="27">
        <f>VLOOKUP(Table2[[#This Row],[prolific]],'Correct calc'!B$16:$AJ$998,14,FALSE)</f>
        <v>0.66666666666666663</v>
      </c>
      <c r="N179" s="27">
        <f>VLOOKUP(Table2[[#This Row],[prolific]],'Correct calc'!B$16:$AJ1111,24,FALSE)</f>
        <v>0.75</v>
      </c>
      <c r="O179" s="27">
        <f>VLOOKUP(Table2[[#This Row],[prolific]],'Correct calc'!B$16:$AJ1111,34,FALSE)</f>
        <v>1</v>
      </c>
      <c r="P179" s="39">
        <f>VLOOKUP(Table2[[#This Row],[comprescore]],Table3[],2,FALSE)</f>
        <v>2</v>
      </c>
      <c r="Q179" s="16">
        <f>VLOOKUP(Table2[[#This Row],[prolific]],'Correct calc'!B$16:$AK$998,36,FALSE)</f>
        <v>18</v>
      </c>
      <c r="R179" s="40">
        <f>Table2[[#This Row],[interviewminutes]]</f>
        <v>10.341166666666668</v>
      </c>
      <c r="S179" s="40">
        <f>Table2[[#This Row],[classifyTime]]+Table2[[#This Row],[explainTime]]+Table2[[#This Row],[validateTime]]</f>
        <v>8.7008333333333336</v>
      </c>
      <c r="T179" s="29">
        <f>VLOOKUP(Table2[[#This Row],[prolific]],'Correct calc'!B$16:$AJ$998,35,FALSE)</f>
        <v>0.81818181818181823</v>
      </c>
      <c r="U179" s="42">
        <f>SUM(Table2[[#This Row],[priorKnowledge'[CLUSTERING']]:[priorKnowledge'[ZSCORES']]])/Table2[[#This Row],[priorKnowledgeTechQuestionCount]]</f>
        <v>4.333333333333333</v>
      </c>
      <c r="V179" s="40">
        <f>IF(Table2[[#This Row],[visualization]]="Wordcloud",2,3)</f>
        <v>3</v>
      </c>
      <c r="W179" s="31" t="s">
        <v>1193</v>
      </c>
      <c r="X179" s="31">
        <v>3</v>
      </c>
      <c r="Y179" s="31">
        <v>3</v>
      </c>
      <c r="Z179" s="31">
        <v>7</v>
      </c>
      <c r="AA179" s="31">
        <v>9</v>
      </c>
      <c r="AB179" s="31" t="s">
        <v>97</v>
      </c>
      <c r="AC179" s="31" t="s">
        <v>81</v>
      </c>
      <c r="AD179" s="31" t="s">
        <v>82</v>
      </c>
      <c r="AE179" s="31" t="s">
        <v>83</v>
      </c>
      <c r="AF179" s="31" t="s">
        <v>85</v>
      </c>
      <c r="AG179" s="31" t="s">
        <v>98</v>
      </c>
      <c r="AH179" s="31" t="s">
        <v>84</v>
      </c>
      <c r="AI179" s="31" t="s">
        <v>85</v>
      </c>
      <c r="AJ179" s="31" t="s">
        <v>98</v>
      </c>
      <c r="AK179" s="31" t="s">
        <v>88</v>
      </c>
      <c r="AL179" s="31" t="s">
        <v>87</v>
      </c>
      <c r="AM179" s="31" t="s">
        <v>105</v>
      </c>
      <c r="AN179" s="31" t="s">
        <v>90</v>
      </c>
      <c r="AO179" s="31" t="s">
        <v>83</v>
      </c>
      <c r="AP179" s="31" t="s">
        <v>85</v>
      </c>
      <c r="AQ179" s="31" t="s">
        <v>101</v>
      </c>
      <c r="AR179" s="31" t="s">
        <v>101</v>
      </c>
      <c r="AS179" s="31" t="s">
        <v>94</v>
      </c>
      <c r="AT179" s="31" t="s">
        <v>93</v>
      </c>
      <c r="AU179" s="31" t="s">
        <v>94</v>
      </c>
      <c r="AV179" s="31" t="s">
        <v>93</v>
      </c>
      <c r="AW179" s="31" t="s">
        <v>94</v>
      </c>
      <c r="AX179" s="31" t="s">
        <v>93</v>
      </c>
      <c r="AY179" s="31" t="s">
        <v>94</v>
      </c>
      <c r="AZ179" s="31" t="s">
        <v>93</v>
      </c>
      <c r="BA179" s="31" t="s">
        <v>106</v>
      </c>
      <c r="BB179" s="31" t="s">
        <v>636</v>
      </c>
      <c r="BC179" s="43"/>
      <c r="BD179" s="44">
        <f>Table2[[#This Row],[interviewtime]]/60</f>
        <v>10.341166666666668</v>
      </c>
      <c r="BE179" s="31">
        <v>620.47</v>
      </c>
      <c r="BF179" s="31">
        <v>10.42</v>
      </c>
      <c r="BG179" s="31"/>
      <c r="BH179" s="31">
        <v>34.75</v>
      </c>
      <c r="BI179" s="31"/>
      <c r="BJ179" s="31"/>
      <c r="BK179" s="31"/>
      <c r="BL179" s="31"/>
      <c r="BM179" s="31">
        <v>278.05</v>
      </c>
      <c r="BN179" s="31"/>
      <c r="BO179" s="31"/>
      <c r="BP179" s="31"/>
      <c r="BQ179" s="31"/>
      <c r="BR179" s="31"/>
      <c r="BS179" s="31"/>
      <c r="BT179" s="31">
        <v>134.43</v>
      </c>
      <c r="BU179" s="31"/>
      <c r="BV179" s="31"/>
      <c r="BW179" s="31"/>
      <c r="BX179" s="31"/>
      <c r="BY179" s="31"/>
      <c r="BZ179" s="31"/>
      <c r="CA179" s="31"/>
      <c r="CB179" s="31"/>
      <c r="CC179" s="31">
        <v>109.57</v>
      </c>
      <c r="CD179" s="31"/>
      <c r="CE179" s="31"/>
      <c r="CF179" s="31"/>
      <c r="CG179" s="31"/>
      <c r="CH179" s="31"/>
      <c r="CI179" s="31"/>
      <c r="CJ179" s="31"/>
      <c r="CK179" s="31"/>
      <c r="CL179" s="31">
        <v>53.25</v>
      </c>
      <c r="CM179" s="43"/>
      <c r="CN179" s="43"/>
      <c r="CO179" s="43"/>
      <c r="CP179" s="43"/>
      <c r="CQ179" s="43">
        <f>Table2[[#This Row],[groupTime22]]/60</f>
        <v>4.6341666666666672</v>
      </c>
      <c r="CR179" s="43">
        <f>Table2[[#This Row],[groupTime23]]/60</f>
        <v>2.2404999999999999</v>
      </c>
      <c r="CS179" s="43">
        <f>Table2[[#This Row],[groupTime24]]/60</f>
        <v>1.8261666666666665</v>
      </c>
    </row>
    <row r="180" spans="1:97" x14ac:dyDescent="0.25">
      <c r="A180" s="47" t="s">
        <v>821</v>
      </c>
      <c r="B180" s="11" t="s">
        <v>114</v>
      </c>
      <c r="C180" s="11">
        <v>64</v>
      </c>
      <c r="D180" s="11" t="s">
        <v>822</v>
      </c>
      <c r="E180" s="11">
        <v>6</v>
      </c>
      <c r="F180" s="11" t="s">
        <v>79</v>
      </c>
      <c r="G180" s="11">
        <v>1564147110</v>
      </c>
      <c r="H180" s="11" t="s">
        <v>823</v>
      </c>
      <c r="I180" s="11" t="s">
        <v>824</v>
      </c>
      <c r="J180" s="11" t="s">
        <v>586</v>
      </c>
      <c r="K180" s="37" t="str">
        <f>IF(Table2[[#This Row],[priorSuccessRatio]]&lt;1,"yes","no")</f>
        <v>no</v>
      </c>
      <c r="L180" s="27">
        <f>VLOOKUP(Table2[[#This Row],[prolific]],'Correct calc'!B$16:$AJ$998,6,FALSE)</f>
        <v>1</v>
      </c>
      <c r="M180" s="27">
        <f>VLOOKUP(Table2[[#This Row],[prolific]],'Correct calc'!B$16:$AJ$998,14,FALSE)</f>
        <v>0.83333333333333337</v>
      </c>
      <c r="N180" s="27">
        <f>VLOOKUP(Table2[[#This Row],[prolific]],'Correct calc'!B$16:$AJ1159,24,FALSE)</f>
        <v>1</v>
      </c>
      <c r="O180" s="27">
        <f>VLOOKUP(Table2[[#This Row],[prolific]],'Correct calc'!B$16:$AJ1159,34,FALSE)</f>
        <v>1</v>
      </c>
      <c r="P180" s="28">
        <f>VLOOKUP(Table2[[#This Row],[comprescore]],Table3[],2,FALSE)</f>
        <v>2</v>
      </c>
      <c r="Q180" s="16">
        <f>VLOOKUP(Table2[[#This Row],[prolific]],'Correct calc'!B$16:$AK$998,36,FALSE)</f>
        <v>21</v>
      </c>
      <c r="R180" s="16">
        <f>Table2[[#This Row],[interviewminutes]]</f>
        <v>9.0641666666666669</v>
      </c>
      <c r="S180" s="16">
        <f>Table2[[#This Row],[classifyTime]]+Table2[[#This Row],[explainTime]]+Table2[[#This Row],[validateTime]]</f>
        <v>7.6611666666666665</v>
      </c>
      <c r="T180" s="29">
        <f>VLOOKUP(Table2[[#This Row],[prolific]],'Correct calc'!B$16:$AJ$998,35,FALSE)</f>
        <v>0.95454545454545459</v>
      </c>
      <c r="U180" s="15">
        <f>SUM(Table2[[#This Row],[priorKnowledge'[CLUSTERING']]:[priorKnowledge'[ZSCORES']]])/Table2[[#This Row],[priorKnowledgeTechQuestionCount]]</f>
        <v>5</v>
      </c>
      <c r="V180" s="16">
        <f>IF(Table2[[#This Row],[visualization]]="Wordcloud",2,3)</f>
        <v>3</v>
      </c>
      <c r="W180" s="31" t="s">
        <v>1194</v>
      </c>
      <c r="X180" s="31">
        <v>6</v>
      </c>
      <c r="Y180" s="31">
        <v>6</v>
      </c>
      <c r="Z180" s="31">
        <v>3</v>
      </c>
      <c r="AA180" s="31">
        <v>6</v>
      </c>
      <c r="AB180" s="31" t="s">
        <v>97</v>
      </c>
      <c r="AC180" s="31" t="s">
        <v>81</v>
      </c>
      <c r="AD180" s="31" t="s">
        <v>82</v>
      </c>
      <c r="AE180" s="31" t="s">
        <v>83</v>
      </c>
      <c r="AF180" s="31" t="s">
        <v>85</v>
      </c>
      <c r="AG180" s="31" t="s">
        <v>86</v>
      </c>
      <c r="AH180" s="31" t="s">
        <v>84</v>
      </c>
      <c r="AI180" s="31" t="s">
        <v>104</v>
      </c>
      <c r="AJ180" s="31" t="s">
        <v>85</v>
      </c>
      <c r="AK180" s="31" t="s">
        <v>88</v>
      </c>
      <c r="AL180" s="31" t="s">
        <v>87</v>
      </c>
      <c r="AM180" s="31" t="s">
        <v>105</v>
      </c>
      <c r="AN180" s="31" t="s">
        <v>90</v>
      </c>
      <c r="AO180" s="31" t="s">
        <v>83</v>
      </c>
      <c r="AP180" s="31" t="s">
        <v>85</v>
      </c>
      <c r="AQ180" s="31" t="s">
        <v>91</v>
      </c>
      <c r="AR180" s="31" t="s">
        <v>102</v>
      </c>
      <c r="AS180" s="31" t="s">
        <v>94</v>
      </c>
      <c r="AT180" s="31" t="s">
        <v>93</v>
      </c>
      <c r="AU180" s="31" t="s">
        <v>94</v>
      </c>
      <c r="AV180" s="31" t="s">
        <v>93</v>
      </c>
      <c r="AW180" s="31" t="s">
        <v>94</v>
      </c>
      <c r="AX180" s="31" t="s">
        <v>93</v>
      </c>
      <c r="AY180" s="31" t="s">
        <v>94</v>
      </c>
      <c r="AZ180" s="31" t="s">
        <v>93</v>
      </c>
      <c r="BA180" s="31" t="s">
        <v>106</v>
      </c>
      <c r="BB180" s="31"/>
      <c r="BC180" s="24"/>
      <c r="BD180" s="30">
        <f>Table2[[#This Row],[interviewtime]]/60</f>
        <v>9.0641666666666669</v>
      </c>
      <c r="BE180" s="31">
        <v>543.85</v>
      </c>
      <c r="BF180" s="31">
        <v>37.340000000000003</v>
      </c>
      <c r="BG180" s="31"/>
      <c r="BH180" s="31">
        <v>37.81</v>
      </c>
      <c r="BI180" s="31"/>
      <c r="BJ180" s="31"/>
      <c r="BK180" s="31"/>
      <c r="BL180" s="31"/>
      <c r="BM180" s="31">
        <v>212.7</v>
      </c>
      <c r="BN180" s="31"/>
      <c r="BO180" s="31"/>
      <c r="BP180" s="31"/>
      <c r="BQ180" s="31"/>
      <c r="BR180" s="31"/>
      <c r="BS180" s="31"/>
      <c r="BT180" s="31">
        <v>166.91</v>
      </c>
      <c r="BU180" s="31"/>
      <c r="BV180" s="31"/>
      <c r="BW180" s="31"/>
      <c r="BX180" s="31"/>
      <c r="BY180" s="31"/>
      <c r="BZ180" s="31"/>
      <c r="CA180" s="31"/>
      <c r="CB180" s="31"/>
      <c r="CC180" s="31">
        <v>80.06</v>
      </c>
      <c r="CD180" s="24"/>
      <c r="CE180" s="24"/>
      <c r="CF180" s="24"/>
      <c r="CG180" s="24"/>
      <c r="CH180" s="24"/>
      <c r="CI180" s="24"/>
      <c r="CJ180" s="24"/>
      <c r="CK180" s="24"/>
      <c r="CL180" s="31">
        <v>9.0299999999999994</v>
      </c>
      <c r="CM180" s="24"/>
      <c r="CN180" s="24"/>
      <c r="CO180" s="24"/>
      <c r="CP180" s="24"/>
      <c r="CQ180" s="43">
        <f>Table2[[#This Row],[groupTime22]]/60</f>
        <v>3.5449999999999999</v>
      </c>
      <c r="CR180" s="43">
        <f>Table2[[#This Row],[groupTime23]]/60</f>
        <v>2.7818333333333332</v>
      </c>
      <c r="CS180" s="43">
        <f>Table2[[#This Row],[groupTime24]]/60</f>
        <v>1.3343333333333334</v>
      </c>
    </row>
    <row r="181" spans="1:97" x14ac:dyDescent="0.25">
      <c r="A181" s="47" t="s">
        <v>821</v>
      </c>
      <c r="B181" s="11" t="s">
        <v>114</v>
      </c>
      <c r="C181" s="11">
        <v>65</v>
      </c>
      <c r="D181" s="11" t="s">
        <v>825</v>
      </c>
      <c r="E181" s="11">
        <v>6</v>
      </c>
      <c r="F181" s="11" t="s">
        <v>79</v>
      </c>
      <c r="G181" s="11">
        <v>1040808439</v>
      </c>
      <c r="H181" s="11" t="s">
        <v>750</v>
      </c>
      <c r="I181" s="11" t="s">
        <v>825</v>
      </c>
      <c r="J181" s="11" t="s">
        <v>589</v>
      </c>
      <c r="K181" s="37" t="str">
        <f>IF(Table2[[#This Row],[priorSuccessRatio]]&lt;1,"yes","no")</f>
        <v>no</v>
      </c>
      <c r="L181" s="27">
        <f>VLOOKUP(Table2[[#This Row],[prolific]],'Correct calc'!B$16:$AJ$998,6,FALSE)</f>
        <v>1</v>
      </c>
      <c r="M181" s="27">
        <f>VLOOKUP(Table2[[#This Row],[prolific]],'Correct calc'!B$16:$AJ$998,14,FALSE)</f>
        <v>0.5</v>
      </c>
      <c r="N181" s="27">
        <f>VLOOKUP(Table2[[#This Row],[prolific]],'Correct calc'!B$16:$AJ1160,24,FALSE)</f>
        <v>0.875</v>
      </c>
      <c r="O181" s="27">
        <f>VLOOKUP(Table2[[#This Row],[prolific]],'Correct calc'!B$16:$AJ1160,34,FALSE)</f>
        <v>1</v>
      </c>
      <c r="P181" s="28">
        <f>VLOOKUP(Table2[[#This Row],[comprescore]],Table3[],2,FALSE)</f>
        <v>4</v>
      </c>
      <c r="Q181" s="16">
        <f>VLOOKUP(Table2[[#This Row],[prolific]],'Correct calc'!B$16:$AK$998,36,FALSE)</f>
        <v>18</v>
      </c>
      <c r="R181" s="16">
        <f>Table2[[#This Row],[interviewminutes]]</f>
        <v>19.0915</v>
      </c>
      <c r="S181" s="16">
        <f>Table2[[#This Row],[classifyTime]]+Table2[[#This Row],[explainTime]]+Table2[[#This Row],[validateTime]]</f>
        <v>12.477</v>
      </c>
      <c r="T181" s="29">
        <f>VLOOKUP(Table2[[#This Row],[prolific]],'Correct calc'!B$16:$AJ$998,35,FALSE)</f>
        <v>0.81818181818181823</v>
      </c>
      <c r="U181" s="15">
        <f>SUM(Table2[[#This Row],[priorKnowledge'[CLUSTERING']]:[priorKnowledge'[ZSCORES']]])/Table2[[#This Row],[priorKnowledgeTechQuestionCount]]</f>
        <v>1</v>
      </c>
      <c r="V181" s="16">
        <f>IF(Table2[[#This Row],[visualization]]="Wordcloud",2,3)</f>
        <v>3</v>
      </c>
      <c r="W181" s="31" t="s">
        <v>1195</v>
      </c>
      <c r="X181" s="31">
        <v>1</v>
      </c>
      <c r="Y181" s="31">
        <v>1</v>
      </c>
      <c r="Z181" s="31">
        <v>1</v>
      </c>
      <c r="AA181" s="31">
        <v>7</v>
      </c>
      <c r="AB181" s="31" t="s">
        <v>97</v>
      </c>
      <c r="AC181" s="31" t="s">
        <v>81</v>
      </c>
      <c r="AD181" s="31" t="s">
        <v>82</v>
      </c>
      <c r="AE181" s="31" t="s">
        <v>83</v>
      </c>
      <c r="AF181" s="31" t="s">
        <v>85</v>
      </c>
      <c r="AG181" s="31" t="s">
        <v>104</v>
      </c>
      <c r="AH181" s="31" t="s">
        <v>84</v>
      </c>
      <c r="AI181" s="31" t="s">
        <v>85</v>
      </c>
      <c r="AJ181" s="31" t="s">
        <v>85</v>
      </c>
      <c r="AK181" s="31" t="s">
        <v>88</v>
      </c>
      <c r="AL181" s="31" t="s">
        <v>87</v>
      </c>
      <c r="AM181" s="31" t="s">
        <v>105</v>
      </c>
      <c r="AN181" s="31" t="s">
        <v>100</v>
      </c>
      <c r="AO181" s="31" t="s">
        <v>83</v>
      </c>
      <c r="AP181" s="31" t="s">
        <v>85</v>
      </c>
      <c r="AQ181" s="31" t="s">
        <v>91</v>
      </c>
      <c r="AR181" s="31" t="s">
        <v>102</v>
      </c>
      <c r="AS181" s="31" t="s">
        <v>94</v>
      </c>
      <c r="AT181" s="31" t="s">
        <v>93</v>
      </c>
      <c r="AU181" s="31" t="s">
        <v>94</v>
      </c>
      <c r="AV181" s="31" t="s">
        <v>93</v>
      </c>
      <c r="AW181" s="31" t="s">
        <v>94</v>
      </c>
      <c r="AX181" s="31" t="s">
        <v>93</v>
      </c>
      <c r="AY181" s="31" t="s">
        <v>94</v>
      </c>
      <c r="AZ181" s="31" t="s">
        <v>93</v>
      </c>
      <c r="BA181" s="31" t="s">
        <v>103</v>
      </c>
      <c r="BB181" s="31" t="s">
        <v>871</v>
      </c>
      <c r="BC181" s="24"/>
      <c r="BD181" s="30">
        <f>Table2[[#This Row],[interviewtime]]/60</f>
        <v>19.0915</v>
      </c>
      <c r="BE181" s="31">
        <v>1145.49</v>
      </c>
      <c r="BF181" s="31">
        <v>11.32</v>
      </c>
      <c r="BG181" s="31"/>
      <c r="BH181" s="31">
        <v>170.1</v>
      </c>
      <c r="BI181" s="31"/>
      <c r="BJ181" s="31"/>
      <c r="BK181" s="31"/>
      <c r="BL181" s="31"/>
      <c r="BM181" s="31">
        <v>340.85</v>
      </c>
      <c r="BN181" s="31"/>
      <c r="BO181" s="31"/>
      <c r="BP181" s="31"/>
      <c r="BQ181" s="31"/>
      <c r="BR181" s="31"/>
      <c r="BS181" s="31"/>
      <c r="BT181" s="31">
        <v>245.76</v>
      </c>
      <c r="BU181" s="31"/>
      <c r="BV181" s="31"/>
      <c r="BW181" s="31"/>
      <c r="BX181" s="31"/>
      <c r="BY181" s="31"/>
      <c r="BZ181" s="31"/>
      <c r="CA181" s="31"/>
      <c r="CB181" s="31"/>
      <c r="CC181" s="31">
        <v>162.01</v>
      </c>
      <c r="CD181" s="24"/>
      <c r="CE181" s="24"/>
      <c r="CF181" s="24"/>
      <c r="CG181" s="24"/>
      <c r="CH181" s="24"/>
      <c r="CI181" s="24"/>
      <c r="CJ181" s="24"/>
      <c r="CK181" s="24"/>
      <c r="CL181" s="31">
        <v>215.45</v>
      </c>
      <c r="CM181" s="24"/>
      <c r="CN181" s="24"/>
      <c r="CO181" s="24"/>
      <c r="CP181" s="24"/>
      <c r="CQ181" s="43">
        <f>Table2[[#This Row],[groupTime22]]/60</f>
        <v>5.6808333333333341</v>
      </c>
      <c r="CR181" s="43">
        <f>Table2[[#This Row],[groupTime23]]/60</f>
        <v>4.0960000000000001</v>
      </c>
      <c r="CS181" s="43">
        <f>Table2[[#This Row],[groupTime24]]/60</f>
        <v>2.7001666666666666</v>
      </c>
    </row>
    <row r="182" spans="1:97" x14ac:dyDescent="0.25">
      <c r="A182" s="47" t="s">
        <v>821</v>
      </c>
      <c r="B182" s="11" t="s">
        <v>114</v>
      </c>
      <c r="C182" s="11">
        <v>66</v>
      </c>
      <c r="D182" s="11" t="s">
        <v>826</v>
      </c>
      <c r="E182" s="11">
        <v>6</v>
      </c>
      <c r="F182" s="11" t="s">
        <v>79</v>
      </c>
      <c r="G182" s="11">
        <v>652216151</v>
      </c>
      <c r="H182" s="11" t="s">
        <v>827</v>
      </c>
      <c r="I182" s="11" t="s">
        <v>828</v>
      </c>
      <c r="J182" s="11" t="s">
        <v>589</v>
      </c>
      <c r="K182" s="37" t="str">
        <f>IF(Table2[[#This Row],[priorSuccessRatio]]&lt;1,"yes","no")</f>
        <v>no</v>
      </c>
      <c r="L182" s="27">
        <f>VLOOKUP(Table2[[#This Row],[prolific]],'Correct calc'!B$16:$AJ$998,6,FALSE)</f>
        <v>1</v>
      </c>
      <c r="M182" s="27">
        <f>VLOOKUP(Table2[[#This Row],[prolific]],'Correct calc'!B$16:$AJ$998,14,FALSE)</f>
        <v>0.66666666666666663</v>
      </c>
      <c r="N182" s="27">
        <f>VLOOKUP(Table2[[#This Row],[prolific]],'Correct calc'!B$16:$AJ1161,24,FALSE)</f>
        <v>0.625</v>
      </c>
      <c r="O182" s="27">
        <f>VLOOKUP(Table2[[#This Row],[prolific]],'Correct calc'!B$16:$AJ1161,34,FALSE)</f>
        <v>0.75</v>
      </c>
      <c r="P182" s="28">
        <f>VLOOKUP(Table2[[#This Row],[comprescore]],Table3[],2,FALSE)</f>
        <v>1</v>
      </c>
      <c r="Q182" s="16">
        <f>VLOOKUP(Table2[[#This Row],[prolific]],'Correct calc'!B$16:$AK$998,36,FALSE)</f>
        <v>15</v>
      </c>
      <c r="R182" s="16">
        <f>Table2[[#This Row],[interviewminutes]]</f>
        <v>7.7931666666666661</v>
      </c>
      <c r="S182" s="16">
        <f>Table2[[#This Row],[classifyTime]]+Table2[[#This Row],[explainTime]]+Table2[[#This Row],[validateTime]]</f>
        <v>6.8403333333333336</v>
      </c>
      <c r="T182" s="29">
        <f>VLOOKUP(Table2[[#This Row],[prolific]],'Correct calc'!B$16:$AJ$998,35,FALSE)</f>
        <v>0.68181818181818177</v>
      </c>
      <c r="U182" s="15">
        <f>SUM(Table2[[#This Row],[priorKnowledge'[CLUSTERING']]:[priorKnowledge'[ZSCORES']]])/Table2[[#This Row],[priorKnowledgeTechQuestionCount]]</f>
        <v>1</v>
      </c>
      <c r="V182" s="16">
        <f>IF(Table2[[#This Row],[visualization]]="Wordcloud",2,3)</f>
        <v>3</v>
      </c>
      <c r="W182" s="31" t="s">
        <v>1196</v>
      </c>
      <c r="X182" s="31">
        <v>1</v>
      </c>
      <c r="Y182" s="31">
        <v>1</v>
      </c>
      <c r="Z182" s="31">
        <v>1</v>
      </c>
      <c r="AA182" s="31">
        <v>5</v>
      </c>
      <c r="AB182" s="31" t="s">
        <v>97</v>
      </c>
      <c r="AC182" s="31" t="s">
        <v>81</v>
      </c>
      <c r="AD182" s="31" t="s">
        <v>82</v>
      </c>
      <c r="AE182" s="31" t="s">
        <v>83</v>
      </c>
      <c r="AF182" s="31" t="s">
        <v>85</v>
      </c>
      <c r="AG182" s="31" t="s">
        <v>98</v>
      </c>
      <c r="AH182" s="31" t="s">
        <v>84</v>
      </c>
      <c r="AI182" s="31" t="s">
        <v>104</v>
      </c>
      <c r="AJ182" s="31" t="s">
        <v>86</v>
      </c>
      <c r="AK182" s="31" t="s">
        <v>88</v>
      </c>
      <c r="AL182" s="31" t="s">
        <v>87</v>
      </c>
      <c r="AM182" s="31" t="s">
        <v>285</v>
      </c>
      <c r="AN182" s="31" t="s">
        <v>278</v>
      </c>
      <c r="AO182" s="31" t="s">
        <v>83</v>
      </c>
      <c r="AP182" s="31" t="s">
        <v>85</v>
      </c>
      <c r="AQ182" s="31" t="s">
        <v>101</v>
      </c>
      <c r="AR182" s="31" t="s">
        <v>102</v>
      </c>
      <c r="AS182" s="31" t="s">
        <v>94</v>
      </c>
      <c r="AT182" s="31" t="s">
        <v>93</v>
      </c>
      <c r="AU182" s="31" t="s">
        <v>94</v>
      </c>
      <c r="AV182" s="31" t="s">
        <v>93</v>
      </c>
      <c r="AW182" s="31" t="s">
        <v>93</v>
      </c>
      <c r="AX182" s="31" t="s">
        <v>94</v>
      </c>
      <c r="AY182" s="31" t="s">
        <v>94</v>
      </c>
      <c r="AZ182" s="31" t="s">
        <v>93</v>
      </c>
      <c r="BA182" s="31" t="s">
        <v>95</v>
      </c>
      <c r="BB182" s="31" t="s">
        <v>873</v>
      </c>
      <c r="BC182" s="24"/>
      <c r="BD182" s="30">
        <f>Table2[[#This Row],[interviewtime]]/60</f>
        <v>7.7931666666666661</v>
      </c>
      <c r="BE182" s="31">
        <v>467.59</v>
      </c>
      <c r="BF182" s="31">
        <v>4.9000000000000004</v>
      </c>
      <c r="BG182" s="31"/>
      <c r="BH182" s="31">
        <v>28.27</v>
      </c>
      <c r="BI182" s="31"/>
      <c r="BJ182" s="31"/>
      <c r="BK182" s="31"/>
      <c r="BL182" s="31"/>
      <c r="BM182" s="31">
        <v>162</v>
      </c>
      <c r="BN182" s="31"/>
      <c r="BO182" s="31"/>
      <c r="BP182" s="31"/>
      <c r="BQ182" s="31"/>
      <c r="BR182" s="31"/>
      <c r="BS182" s="31"/>
      <c r="BT182" s="31">
        <v>152.76</v>
      </c>
      <c r="BU182" s="31"/>
      <c r="BV182" s="31"/>
      <c r="BW182" s="31"/>
      <c r="BX182" s="31"/>
      <c r="BY182" s="31"/>
      <c r="BZ182" s="31"/>
      <c r="CA182" s="31"/>
      <c r="CB182" s="31"/>
      <c r="CC182" s="31">
        <v>95.66</v>
      </c>
      <c r="CD182" s="24"/>
      <c r="CE182" s="24"/>
      <c r="CF182" s="24"/>
      <c r="CG182" s="24"/>
      <c r="CH182" s="24"/>
      <c r="CI182" s="24"/>
      <c r="CJ182" s="24"/>
      <c r="CK182" s="24"/>
      <c r="CL182" s="31">
        <v>24</v>
      </c>
      <c r="CM182" s="24"/>
      <c r="CN182" s="24"/>
      <c r="CO182" s="24"/>
      <c r="CP182" s="24"/>
      <c r="CQ182" s="43">
        <f>Table2[[#This Row],[groupTime22]]/60</f>
        <v>2.7</v>
      </c>
      <c r="CR182" s="43">
        <f>Table2[[#This Row],[groupTime23]]/60</f>
        <v>2.5459999999999998</v>
      </c>
      <c r="CS182" s="43">
        <f>Table2[[#This Row],[groupTime24]]/60</f>
        <v>1.5943333333333334</v>
      </c>
    </row>
    <row r="183" spans="1:97" x14ac:dyDescent="0.25">
      <c r="A183" s="47" t="s">
        <v>821</v>
      </c>
      <c r="B183" s="11" t="s">
        <v>114</v>
      </c>
      <c r="C183" s="11">
        <v>67</v>
      </c>
      <c r="D183" s="11" t="s">
        <v>829</v>
      </c>
      <c r="E183" s="11">
        <v>6</v>
      </c>
      <c r="F183" s="11" t="s">
        <v>79</v>
      </c>
      <c r="G183" s="11">
        <v>1640913804</v>
      </c>
      <c r="H183" s="11" t="s">
        <v>830</v>
      </c>
      <c r="I183" s="11" t="s">
        <v>829</v>
      </c>
      <c r="J183" s="11" t="s">
        <v>586</v>
      </c>
      <c r="K183" s="37" t="str">
        <f>IF(Table2[[#This Row],[priorSuccessRatio]]&lt;1,"yes","no")</f>
        <v>no</v>
      </c>
      <c r="L183" s="27">
        <f>VLOOKUP(Table2[[#This Row],[prolific]],'Correct calc'!B$16:$AJ$998,6,FALSE)</f>
        <v>1</v>
      </c>
      <c r="M183" s="27">
        <f>VLOOKUP(Table2[[#This Row],[prolific]],'Correct calc'!B$16:$AJ$998,14,FALSE)</f>
        <v>0.83333333333333337</v>
      </c>
      <c r="N183" s="27">
        <f>VLOOKUP(Table2[[#This Row],[prolific]],'Correct calc'!B$16:$AJ1162,24,FALSE)</f>
        <v>0.875</v>
      </c>
      <c r="O183" s="27">
        <f>VLOOKUP(Table2[[#This Row],[prolific]],'Correct calc'!B$16:$AJ1162,34,FALSE)</f>
        <v>0.875</v>
      </c>
      <c r="P183" s="28">
        <f>VLOOKUP(Table2[[#This Row],[comprescore]],Table3[],2,FALSE)</f>
        <v>2</v>
      </c>
      <c r="Q183" s="16">
        <f>VLOOKUP(Table2[[#This Row],[prolific]],'Correct calc'!B$16:$AK$998,36,FALSE)</f>
        <v>19</v>
      </c>
      <c r="R183" s="16">
        <f>Table2[[#This Row],[interviewminutes]]</f>
        <v>6.6276666666666673</v>
      </c>
      <c r="S183" s="16">
        <f>Table2[[#This Row],[classifyTime]]+Table2[[#This Row],[explainTime]]+Table2[[#This Row],[validateTime]]</f>
        <v>5.730500000000001</v>
      </c>
      <c r="T183" s="29">
        <f>VLOOKUP(Table2[[#This Row],[prolific]],'Correct calc'!B$16:$AJ$998,35,FALSE)</f>
        <v>0.86363636363636365</v>
      </c>
      <c r="U183" s="15">
        <f>SUM(Table2[[#This Row],[priorKnowledge'[CLUSTERING']]:[priorKnowledge'[ZSCORES']]])/Table2[[#This Row],[priorKnowledgeTechQuestionCount]]</f>
        <v>1.3333333333333333</v>
      </c>
      <c r="V183" s="16">
        <f>IF(Table2[[#This Row],[visualization]]="Wordcloud",2,3)</f>
        <v>3</v>
      </c>
      <c r="W183" s="31" t="s">
        <v>1197</v>
      </c>
      <c r="X183" s="31">
        <v>2</v>
      </c>
      <c r="Y183" s="31">
        <v>1</v>
      </c>
      <c r="Z183" s="31">
        <v>1</v>
      </c>
      <c r="AA183" s="31">
        <v>3</v>
      </c>
      <c r="AB183" s="31" t="s">
        <v>97</v>
      </c>
      <c r="AC183" s="31" t="s">
        <v>81</v>
      </c>
      <c r="AD183" s="31" t="s">
        <v>82</v>
      </c>
      <c r="AE183" s="31" t="s">
        <v>83</v>
      </c>
      <c r="AF183" s="31" t="s">
        <v>85</v>
      </c>
      <c r="AG183" s="31" t="s">
        <v>86</v>
      </c>
      <c r="AH183" s="31" t="s">
        <v>84</v>
      </c>
      <c r="AI183" s="31" t="s">
        <v>86</v>
      </c>
      <c r="AJ183" s="31" t="s">
        <v>98</v>
      </c>
      <c r="AK183" s="31" t="s">
        <v>88</v>
      </c>
      <c r="AL183" s="31" t="s">
        <v>87</v>
      </c>
      <c r="AM183" s="31" t="s">
        <v>105</v>
      </c>
      <c r="AN183" s="31" t="s">
        <v>90</v>
      </c>
      <c r="AO183" s="31" t="s">
        <v>83</v>
      </c>
      <c r="AP183" s="31" t="s">
        <v>85</v>
      </c>
      <c r="AQ183" s="31" t="s">
        <v>101</v>
      </c>
      <c r="AR183" s="31" t="s">
        <v>102</v>
      </c>
      <c r="AS183" s="31" t="s">
        <v>94</v>
      </c>
      <c r="AT183" s="31" t="s">
        <v>93</v>
      </c>
      <c r="AU183" s="31" t="s">
        <v>94</v>
      </c>
      <c r="AV183" s="31" t="s">
        <v>93</v>
      </c>
      <c r="AW183" s="31" t="s">
        <v>94</v>
      </c>
      <c r="AX183" s="31" t="s">
        <v>94</v>
      </c>
      <c r="AY183" s="31" t="s">
        <v>94</v>
      </c>
      <c r="AZ183" s="31" t="s">
        <v>93</v>
      </c>
      <c r="BA183" s="31" t="s">
        <v>106</v>
      </c>
      <c r="BB183" s="31"/>
      <c r="BC183" s="24"/>
      <c r="BD183" s="30">
        <f>Table2[[#This Row],[interviewtime]]/60</f>
        <v>6.6276666666666673</v>
      </c>
      <c r="BE183" s="31">
        <v>397.66</v>
      </c>
      <c r="BF183" s="31">
        <v>10.02</v>
      </c>
      <c r="BG183" s="31"/>
      <c r="BH183" s="31">
        <v>29.47</v>
      </c>
      <c r="BI183" s="31"/>
      <c r="BJ183" s="31"/>
      <c r="BK183" s="31"/>
      <c r="BL183" s="31"/>
      <c r="BM183" s="31">
        <v>165.16</v>
      </c>
      <c r="BN183" s="31"/>
      <c r="BO183" s="31"/>
      <c r="BP183" s="31"/>
      <c r="BQ183" s="31"/>
      <c r="BR183" s="31"/>
      <c r="BS183" s="31"/>
      <c r="BT183" s="31">
        <v>115.07</v>
      </c>
      <c r="BU183" s="31"/>
      <c r="BV183" s="31"/>
      <c r="BW183" s="31"/>
      <c r="BX183" s="31"/>
      <c r="BY183" s="31"/>
      <c r="BZ183" s="31"/>
      <c r="CA183" s="31"/>
      <c r="CB183" s="31"/>
      <c r="CC183" s="31">
        <v>63.6</v>
      </c>
      <c r="CD183" s="24"/>
      <c r="CE183" s="24"/>
      <c r="CF183" s="24"/>
      <c r="CG183" s="24"/>
      <c r="CH183" s="24"/>
      <c r="CI183" s="24"/>
      <c r="CJ183" s="24"/>
      <c r="CK183" s="24"/>
      <c r="CL183" s="31">
        <v>14.34</v>
      </c>
      <c r="CM183" s="24"/>
      <c r="CN183" s="24"/>
      <c r="CO183" s="24"/>
      <c r="CP183" s="24"/>
      <c r="CQ183" s="43">
        <f>Table2[[#This Row],[groupTime22]]/60</f>
        <v>2.7526666666666668</v>
      </c>
      <c r="CR183" s="43">
        <f>Table2[[#This Row],[groupTime23]]/60</f>
        <v>1.9178333333333333</v>
      </c>
      <c r="CS183" s="43">
        <f>Table2[[#This Row],[groupTime24]]/60</f>
        <v>1.06</v>
      </c>
    </row>
    <row r="184" spans="1:97" x14ac:dyDescent="0.25">
      <c r="A184" s="47" t="s">
        <v>821</v>
      </c>
      <c r="B184" s="11" t="s">
        <v>114</v>
      </c>
      <c r="C184" s="11">
        <v>68</v>
      </c>
      <c r="D184" s="11" t="s">
        <v>831</v>
      </c>
      <c r="E184" s="11">
        <v>6</v>
      </c>
      <c r="F184" s="11" t="s">
        <v>79</v>
      </c>
      <c r="G184" s="11">
        <v>1798859755</v>
      </c>
      <c r="H184" s="11" t="s">
        <v>832</v>
      </c>
      <c r="I184" s="11" t="s">
        <v>831</v>
      </c>
      <c r="J184" s="11" t="s">
        <v>589</v>
      </c>
      <c r="K184" s="37" t="str">
        <f>IF(Table2[[#This Row],[priorSuccessRatio]]&lt;1,"yes","no")</f>
        <v>no</v>
      </c>
      <c r="L184" s="27">
        <f>VLOOKUP(Table2[[#This Row],[prolific]],'Correct calc'!B$16:$AJ$998,6,FALSE)</f>
        <v>1</v>
      </c>
      <c r="M184" s="27">
        <f>VLOOKUP(Table2[[#This Row],[prolific]],'Correct calc'!B$16:$AJ$998,14,FALSE)</f>
        <v>0.5</v>
      </c>
      <c r="N184" s="27">
        <f>VLOOKUP(Table2[[#This Row],[prolific]],'Correct calc'!B$16:$AJ1163,24,FALSE)</f>
        <v>0.75</v>
      </c>
      <c r="O184" s="27">
        <f>VLOOKUP(Table2[[#This Row],[prolific]],'Correct calc'!B$16:$AJ1163,34,FALSE)</f>
        <v>0.75</v>
      </c>
      <c r="P184" s="28">
        <f>VLOOKUP(Table2[[#This Row],[comprescore]],Table3[],2,FALSE)</f>
        <v>4</v>
      </c>
      <c r="Q184" s="16">
        <f>VLOOKUP(Table2[[#This Row],[prolific]],'Correct calc'!B$16:$AK$998,36,FALSE)</f>
        <v>15</v>
      </c>
      <c r="R184" s="16">
        <f>Table2[[#This Row],[interviewminutes]]</f>
        <v>9.7259999999999991</v>
      </c>
      <c r="S184" s="16">
        <f>Table2[[#This Row],[classifyTime]]+Table2[[#This Row],[explainTime]]+Table2[[#This Row],[validateTime]]</f>
        <v>8.6174999999999997</v>
      </c>
      <c r="T184" s="29">
        <f>VLOOKUP(Table2[[#This Row],[prolific]],'Correct calc'!B$16:$AJ$998,35,FALSE)</f>
        <v>0.68181818181818177</v>
      </c>
      <c r="U184" s="15">
        <f>SUM(Table2[[#This Row],[priorKnowledge'[CLUSTERING']]:[priorKnowledge'[ZSCORES']]])/Table2[[#This Row],[priorKnowledgeTechQuestionCount]]</f>
        <v>3</v>
      </c>
      <c r="V184" s="16">
        <f>IF(Table2[[#This Row],[visualization]]="Wordcloud",2,3)</f>
        <v>3</v>
      </c>
      <c r="W184" s="31" t="s">
        <v>1198</v>
      </c>
      <c r="X184" s="31">
        <v>5</v>
      </c>
      <c r="Y184" s="31">
        <v>3</v>
      </c>
      <c r="Z184" s="31">
        <v>1</v>
      </c>
      <c r="AA184" s="31">
        <v>5</v>
      </c>
      <c r="AB184" s="31" t="s">
        <v>97</v>
      </c>
      <c r="AC184" s="31" t="s">
        <v>81</v>
      </c>
      <c r="AD184" s="31" t="s">
        <v>82</v>
      </c>
      <c r="AE184" s="31" t="s">
        <v>83</v>
      </c>
      <c r="AF184" s="31" t="s">
        <v>85</v>
      </c>
      <c r="AG184" s="31" t="s">
        <v>98</v>
      </c>
      <c r="AH184" s="31" t="s">
        <v>84</v>
      </c>
      <c r="AI184" s="31" t="s">
        <v>85</v>
      </c>
      <c r="AJ184" s="31" t="s">
        <v>104</v>
      </c>
      <c r="AK184" s="31" t="s">
        <v>88</v>
      </c>
      <c r="AL184" s="31" t="s">
        <v>87</v>
      </c>
      <c r="AM184" s="31" t="s">
        <v>89</v>
      </c>
      <c r="AN184" s="31" t="s">
        <v>278</v>
      </c>
      <c r="AO184" s="31" t="s">
        <v>83</v>
      </c>
      <c r="AP184" s="31" t="s">
        <v>85</v>
      </c>
      <c r="AQ184" s="31" t="s">
        <v>91</v>
      </c>
      <c r="AR184" s="31" t="s">
        <v>102</v>
      </c>
      <c r="AS184" s="31" t="s">
        <v>94</v>
      </c>
      <c r="AT184" s="31" t="s">
        <v>93</v>
      </c>
      <c r="AU184" s="31" t="s">
        <v>94</v>
      </c>
      <c r="AV184" s="31" t="s">
        <v>93</v>
      </c>
      <c r="AW184" s="31" t="s">
        <v>93</v>
      </c>
      <c r="AX184" s="31" t="s">
        <v>93</v>
      </c>
      <c r="AY184" s="31" t="s">
        <v>94</v>
      </c>
      <c r="AZ184" s="31" t="s">
        <v>94</v>
      </c>
      <c r="BA184" s="31" t="s">
        <v>103</v>
      </c>
      <c r="BB184" s="31" t="s">
        <v>876</v>
      </c>
      <c r="BC184" s="24"/>
      <c r="BD184" s="30">
        <f>Table2[[#This Row],[interviewtime]]/60</f>
        <v>9.7259999999999991</v>
      </c>
      <c r="BE184" s="31">
        <v>583.55999999999995</v>
      </c>
      <c r="BF184" s="31">
        <v>5.0999999999999996</v>
      </c>
      <c r="BG184" s="31"/>
      <c r="BH184" s="31">
        <v>35.880000000000003</v>
      </c>
      <c r="BI184" s="31"/>
      <c r="BJ184" s="31"/>
      <c r="BK184" s="31"/>
      <c r="BL184" s="31"/>
      <c r="BM184" s="31">
        <v>251.88</v>
      </c>
      <c r="BN184" s="31"/>
      <c r="BO184" s="31"/>
      <c r="BP184" s="31"/>
      <c r="BQ184" s="31"/>
      <c r="BR184" s="31"/>
      <c r="BS184" s="31"/>
      <c r="BT184" s="31">
        <v>164.45</v>
      </c>
      <c r="BU184" s="31"/>
      <c r="BV184" s="31"/>
      <c r="BW184" s="31"/>
      <c r="BX184" s="31"/>
      <c r="BY184" s="31"/>
      <c r="BZ184" s="31"/>
      <c r="CA184" s="31"/>
      <c r="CB184" s="31"/>
      <c r="CC184" s="31">
        <v>100.72</v>
      </c>
      <c r="CD184" s="24"/>
      <c r="CE184" s="24"/>
      <c r="CF184" s="24"/>
      <c r="CG184" s="24"/>
      <c r="CH184" s="24"/>
      <c r="CI184" s="24"/>
      <c r="CJ184" s="24"/>
      <c r="CK184" s="24"/>
      <c r="CL184" s="31">
        <v>25.53</v>
      </c>
      <c r="CM184" s="24"/>
      <c r="CN184" s="24"/>
      <c r="CO184" s="24"/>
      <c r="CP184" s="24"/>
      <c r="CQ184" s="43">
        <f>Table2[[#This Row],[groupTime22]]/60</f>
        <v>4.1979999999999995</v>
      </c>
      <c r="CR184" s="43">
        <f>Table2[[#This Row],[groupTime23]]/60</f>
        <v>2.7408333333333332</v>
      </c>
      <c r="CS184" s="43">
        <f>Table2[[#This Row],[groupTime24]]/60</f>
        <v>1.6786666666666668</v>
      </c>
    </row>
    <row r="185" spans="1:97" x14ac:dyDescent="0.25">
      <c r="A185" s="47" t="s">
        <v>821</v>
      </c>
      <c r="B185" s="11" t="s">
        <v>114</v>
      </c>
      <c r="C185" s="11">
        <v>69</v>
      </c>
      <c r="D185" s="11" t="s">
        <v>833</v>
      </c>
      <c r="E185" s="11">
        <v>6</v>
      </c>
      <c r="F185" s="11" t="s">
        <v>79</v>
      </c>
      <c r="G185" s="11">
        <v>921264691</v>
      </c>
      <c r="H185" s="11" t="s">
        <v>834</v>
      </c>
      <c r="I185" s="11" t="s">
        <v>833</v>
      </c>
      <c r="J185" s="11" t="s">
        <v>586</v>
      </c>
      <c r="K185" s="37" t="str">
        <f>IF(Table2[[#This Row],[priorSuccessRatio]]&lt;1,"yes","no")</f>
        <v>no</v>
      </c>
      <c r="L185" s="27">
        <f>VLOOKUP(Table2[[#This Row],[prolific]],'Correct calc'!B$16:$AJ$998,6,FALSE)</f>
        <v>1</v>
      </c>
      <c r="M185" s="27">
        <f>VLOOKUP(Table2[[#This Row],[prolific]],'Correct calc'!B$16:$AJ$998,14,FALSE)</f>
        <v>1</v>
      </c>
      <c r="N185" s="27">
        <f>VLOOKUP(Table2[[#This Row],[prolific]],'Correct calc'!B$16:$AJ1164,24,FALSE)</f>
        <v>1</v>
      </c>
      <c r="O185" s="27">
        <f>VLOOKUP(Table2[[#This Row],[prolific]],'Correct calc'!B$16:$AJ1164,34,FALSE)</f>
        <v>0.875</v>
      </c>
      <c r="P185" s="28">
        <f>VLOOKUP(Table2[[#This Row],[comprescore]],Table3[],2,FALSE)</f>
        <v>1</v>
      </c>
      <c r="Q185" s="16">
        <f>VLOOKUP(Table2[[#This Row],[prolific]],'Correct calc'!B$16:$AK$998,36,FALSE)</f>
        <v>21</v>
      </c>
      <c r="R185" s="16">
        <f>Table2[[#This Row],[interviewminutes]]</f>
        <v>12.225333333333333</v>
      </c>
      <c r="S185" s="16">
        <f>Table2[[#This Row],[classifyTime]]+Table2[[#This Row],[explainTime]]+Table2[[#This Row],[validateTime]]</f>
        <v>11.373333333333333</v>
      </c>
      <c r="T185" s="29">
        <f>VLOOKUP(Table2[[#This Row],[prolific]],'Correct calc'!B$16:$AJ$998,35,FALSE)</f>
        <v>0.95454545454545459</v>
      </c>
      <c r="U185" s="15">
        <f>SUM(Table2[[#This Row],[priorKnowledge'[CLUSTERING']]:[priorKnowledge'[ZSCORES']]])/Table2[[#This Row],[priorKnowledgeTechQuestionCount]]</f>
        <v>1.6666666666666667</v>
      </c>
      <c r="V185" s="16">
        <f>IF(Table2[[#This Row],[visualization]]="Wordcloud",2,3)</f>
        <v>3</v>
      </c>
      <c r="W185" s="31" t="s">
        <v>1199</v>
      </c>
      <c r="X185" s="31">
        <v>2</v>
      </c>
      <c r="Y185" s="31">
        <v>2</v>
      </c>
      <c r="Z185" s="31">
        <v>1</v>
      </c>
      <c r="AA185" s="31">
        <v>5</v>
      </c>
      <c r="AB185" s="31" t="s">
        <v>97</v>
      </c>
      <c r="AC185" s="31" t="s">
        <v>81</v>
      </c>
      <c r="AD185" s="31" t="s">
        <v>82</v>
      </c>
      <c r="AE185" s="31" t="s">
        <v>83</v>
      </c>
      <c r="AF185" s="31" t="s">
        <v>85</v>
      </c>
      <c r="AG185" s="31" t="s">
        <v>86</v>
      </c>
      <c r="AH185" s="31" t="s">
        <v>84</v>
      </c>
      <c r="AI185" s="31" t="s">
        <v>104</v>
      </c>
      <c r="AJ185" s="31" t="s">
        <v>98</v>
      </c>
      <c r="AK185" s="31" t="s">
        <v>88</v>
      </c>
      <c r="AL185" s="31" t="s">
        <v>87</v>
      </c>
      <c r="AM185" s="31" t="s">
        <v>105</v>
      </c>
      <c r="AN185" s="31" t="s">
        <v>90</v>
      </c>
      <c r="AO185" s="31" t="s">
        <v>83</v>
      </c>
      <c r="AP185" s="31" t="s">
        <v>85</v>
      </c>
      <c r="AQ185" s="31" t="s">
        <v>91</v>
      </c>
      <c r="AR185" s="31" t="s">
        <v>102</v>
      </c>
      <c r="AS185" s="31" t="s">
        <v>94</v>
      </c>
      <c r="AT185" s="31" t="s">
        <v>93</v>
      </c>
      <c r="AU185" s="31" t="s">
        <v>94</v>
      </c>
      <c r="AV185" s="31" t="s">
        <v>93</v>
      </c>
      <c r="AW185" s="31" t="s">
        <v>93</v>
      </c>
      <c r="AX185" s="31" t="s">
        <v>93</v>
      </c>
      <c r="AY185" s="31" t="s">
        <v>94</v>
      </c>
      <c r="AZ185" s="31" t="s">
        <v>93</v>
      </c>
      <c r="BA185" s="31" t="s">
        <v>95</v>
      </c>
      <c r="BB185" s="31"/>
      <c r="BC185" s="24"/>
      <c r="BD185" s="30">
        <f>Table2[[#This Row],[interviewtime]]/60</f>
        <v>12.225333333333333</v>
      </c>
      <c r="BE185" s="31">
        <v>733.52</v>
      </c>
      <c r="BF185" s="31">
        <v>12.63</v>
      </c>
      <c r="BG185" s="31"/>
      <c r="BH185" s="31">
        <v>27.6</v>
      </c>
      <c r="BI185" s="31"/>
      <c r="BJ185" s="31"/>
      <c r="BK185" s="31"/>
      <c r="BL185" s="31"/>
      <c r="BM185" s="31">
        <v>363.51</v>
      </c>
      <c r="BN185" s="31"/>
      <c r="BO185" s="31"/>
      <c r="BP185" s="31"/>
      <c r="BQ185" s="31"/>
      <c r="BR185" s="31"/>
      <c r="BS185" s="31"/>
      <c r="BT185" s="31">
        <v>151.9</v>
      </c>
      <c r="BU185" s="31"/>
      <c r="BV185" s="31"/>
      <c r="BW185" s="31"/>
      <c r="BX185" s="31"/>
      <c r="BY185" s="31"/>
      <c r="BZ185" s="31"/>
      <c r="CA185" s="31"/>
      <c r="CB185" s="31"/>
      <c r="CC185" s="31">
        <v>166.99</v>
      </c>
      <c r="CD185" s="24"/>
      <c r="CE185" s="24"/>
      <c r="CF185" s="24"/>
      <c r="CG185" s="24"/>
      <c r="CH185" s="24"/>
      <c r="CI185" s="24"/>
      <c r="CJ185" s="24"/>
      <c r="CK185" s="24"/>
      <c r="CL185" s="31">
        <v>10.89</v>
      </c>
      <c r="CM185" s="24"/>
      <c r="CN185" s="24"/>
      <c r="CO185" s="24"/>
      <c r="CP185" s="24"/>
      <c r="CQ185" s="43">
        <f>Table2[[#This Row],[groupTime22]]/60</f>
        <v>6.0584999999999996</v>
      </c>
      <c r="CR185" s="43">
        <f>Table2[[#This Row],[groupTime23]]/60</f>
        <v>2.5316666666666667</v>
      </c>
      <c r="CS185" s="43">
        <f>Table2[[#This Row],[groupTime24]]/60</f>
        <v>2.7831666666666668</v>
      </c>
    </row>
    <row r="186" spans="1:97" x14ac:dyDescent="0.25">
      <c r="A186" s="47" t="s">
        <v>821</v>
      </c>
      <c r="B186" s="11" t="s">
        <v>114</v>
      </c>
      <c r="C186" s="11">
        <v>70</v>
      </c>
      <c r="D186" s="11" t="s">
        <v>835</v>
      </c>
      <c r="E186" s="11">
        <v>6</v>
      </c>
      <c r="F186" s="11" t="s">
        <v>79</v>
      </c>
      <c r="G186" s="11">
        <v>827171161</v>
      </c>
      <c r="H186" s="11" t="s">
        <v>836</v>
      </c>
      <c r="I186" s="11" t="s">
        <v>837</v>
      </c>
      <c r="J186" s="11"/>
      <c r="K186" s="37" t="str">
        <f>IF(Table2[[#This Row],[priorSuccessRatio]]&lt;1,"yes","no")</f>
        <v>no</v>
      </c>
      <c r="L186" s="27">
        <f>VLOOKUP(Table2[[#This Row],[prolific]],'Correct calc'!B$16:$AJ$998,6,FALSE)</f>
        <v>1</v>
      </c>
      <c r="M186" s="27">
        <f>VLOOKUP(Table2[[#This Row],[prolific]],'Correct calc'!B$16:$AJ$998,14,FALSE)</f>
        <v>1</v>
      </c>
      <c r="N186" s="27">
        <f>VLOOKUP(Table2[[#This Row],[prolific]],'Correct calc'!B$16:$AJ1165,24,FALSE)</f>
        <v>0.625</v>
      </c>
      <c r="O186" s="27">
        <f>VLOOKUP(Table2[[#This Row],[prolific]],'Correct calc'!B$16:$AJ1165,34,FALSE)</f>
        <v>0.875</v>
      </c>
      <c r="P186" s="28">
        <f>VLOOKUP(Table2[[#This Row],[comprescore]],Table3[],2,FALSE)</f>
        <v>3</v>
      </c>
      <c r="Q186" s="16">
        <f>VLOOKUP(Table2[[#This Row],[prolific]],'Correct calc'!B$16:$AK$998,36,FALSE)</f>
        <v>18</v>
      </c>
      <c r="R186" s="16">
        <f>Table2[[#This Row],[interviewminutes]]</f>
        <v>9.4169999999999998</v>
      </c>
      <c r="S186" s="16">
        <f>Table2[[#This Row],[classifyTime]]+Table2[[#This Row],[explainTime]]+Table2[[#This Row],[validateTime]]</f>
        <v>8.105833333333333</v>
      </c>
      <c r="T186" s="29">
        <f>VLOOKUP(Table2[[#This Row],[prolific]],'Correct calc'!B$16:$AJ$998,35,FALSE)</f>
        <v>0.81818181818181823</v>
      </c>
      <c r="U186" s="15">
        <f>SUM(Table2[[#This Row],[priorKnowledge'[CLUSTERING']]:[priorKnowledge'[ZSCORES']]])/Table2[[#This Row],[priorKnowledgeTechQuestionCount]]</f>
        <v>1.3333333333333333</v>
      </c>
      <c r="V186" s="16">
        <f>IF(Table2[[#This Row],[visualization]]="Wordcloud",2,3)</f>
        <v>3</v>
      </c>
      <c r="W186" s="31" t="s">
        <v>1200</v>
      </c>
      <c r="X186" s="31">
        <v>2</v>
      </c>
      <c r="Y186" s="31">
        <v>1</v>
      </c>
      <c r="Z186" s="31">
        <v>1</v>
      </c>
      <c r="AA186" s="31">
        <v>5</v>
      </c>
      <c r="AB186" s="31" t="s">
        <v>97</v>
      </c>
      <c r="AC186" s="31" t="s">
        <v>81</v>
      </c>
      <c r="AD186" s="31" t="s">
        <v>82</v>
      </c>
      <c r="AE186" s="31" t="s">
        <v>83</v>
      </c>
      <c r="AF186" s="31" t="s">
        <v>85</v>
      </c>
      <c r="AG186" s="31" t="s">
        <v>86</v>
      </c>
      <c r="AH186" s="31" t="s">
        <v>84</v>
      </c>
      <c r="AI186" s="31" t="s">
        <v>104</v>
      </c>
      <c r="AJ186" s="31" t="s">
        <v>98</v>
      </c>
      <c r="AK186" s="31" t="s">
        <v>88</v>
      </c>
      <c r="AL186" s="31" t="s">
        <v>87</v>
      </c>
      <c r="AM186" s="31" t="s">
        <v>285</v>
      </c>
      <c r="AN186" s="31" t="s">
        <v>90</v>
      </c>
      <c r="AO186" s="31" t="s">
        <v>83</v>
      </c>
      <c r="AP186" s="31" t="s">
        <v>85</v>
      </c>
      <c r="AQ186" s="31" t="s">
        <v>101</v>
      </c>
      <c r="AR186" s="31" t="s">
        <v>101</v>
      </c>
      <c r="AS186" s="31" t="s">
        <v>94</v>
      </c>
      <c r="AT186" s="31" t="s">
        <v>93</v>
      </c>
      <c r="AU186" s="31" t="s">
        <v>94</v>
      </c>
      <c r="AV186" s="31" t="s">
        <v>93</v>
      </c>
      <c r="AW186" s="31" t="s">
        <v>93</v>
      </c>
      <c r="AX186" s="31" t="s">
        <v>93</v>
      </c>
      <c r="AY186" s="31" t="s">
        <v>94</v>
      </c>
      <c r="AZ186" s="31" t="s">
        <v>93</v>
      </c>
      <c r="BA186" s="31" t="s">
        <v>107</v>
      </c>
      <c r="BB186" s="31" t="s">
        <v>879</v>
      </c>
      <c r="BC186" s="24"/>
      <c r="BD186" s="30">
        <f>Table2[[#This Row],[interviewtime]]/60</f>
        <v>9.4169999999999998</v>
      </c>
      <c r="BE186" s="31">
        <v>565.02</v>
      </c>
      <c r="BF186" s="31">
        <v>7.45</v>
      </c>
      <c r="BG186" s="31"/>
      <c r="BH186" s="31">
        <v>45.21</v>
      </c>
      <c r="BI186" s="31"/>
      <c r="BJ186" s="31"/>
      <c r="BK186" s="31"/>
      <c r="BL186" s="31"/>
      <c r="BM186" s="31">
        <v>198.25</v>
      </c>
      <c r="BN186" s="31"/>
      <c r="BO186" s="31"/>
      <c r="BP186" s="31"/>
      <c r="BQ186" s="31"/>
      <c r="BR186" s="31"/>
      <c r="BS186" s="31"/>
      <c r="BT186" s="31">
        <v>190.57</v>
      </c>
      <c r="BU186" s="31"/>
      <c r="BV186" s="31"/>
      <c r="BW186" s="31"/>
      <c r="BX186" s="31"/>
      <c r="BY186" s="31"/>
      <c r="BZ186" s="31"/>
      <c r="CA186" s="31"/>
      <c r="CB186" s="31"/>
      <c r="CC186" s="31">
        <v>97.53</v>
      </c>
      <c r="CD186" s="24"/>
      <c r="CE186" s="24"/>
      <c r="CF186" s="24"/>
      <c r="CG186" s="24"/>
      <c r="CH186" s="24"/>
      <c r="CI186" s="24"/>
      <c r="CJ186" s="24"/>
      <c r="CK186" s="24"/>
      <c r="CL186" s="31">
        <v>26.01</v>
      </c>
      <c r="CM186" s="24"/>
      <c r="CN186" s="24"/>
      <c r="CO186" s="24"/>
      <c r="CP186" s="24"/>
      <c r="CQ186" s="43">
        <f>Table2[[#This Row],[groupTime22]]/60</f>
        <v>3.3041666666666667</v>
      </c>
      <c r="CR186" s="43">
        <f>Table2[[#This Row],[groupTime23]]/60</f>
        <v>3.1761666666666666</v>
      </c>
      <c r="CS186" s="43">
        <f>Table2[[#This Row],[groupTime24]]/60</f>
        <v>1.6254999999999999</v>
      </c>
    </row>
    <row r="187" spans="1:97" x14ac:dyDescent="0.25">
      <c r="A187" s="47" t="s">
        <v>821</v>
      </c>
      <c r="B187" s="11" t="s">
        <v>114</v>
      </c>
      <c r="C187" s="11">
        <v>71</v>
      </c>
      <c r="D187" s="11" t="s">
        <v>838</v>
      </c>
      <c r="E187" s="11">
        <v>6</v>
      </c>
      <c r="F187" s="11" t="s">
        <v>79</v>
      </c>
      <c r="G187" s="11">
        <v>1842307414</v>
      </c>
      <c r="H187" s="11" t="s">
        <v>839</v>
      </c>
      <c r="I187" s="11" t="s">
        <v>838</v>
      </c>
      <c r="J187" s="11" t="s">
        <v>589</v>
      </c>
      <c r="K187" s="37" t="str">
        <f>IF(Table2[[#This Row],[priorSuccessRatio]]&lt;1,"yes","no")</f>
        <v>no</v>
      </c>
      <c r="L187" s="27">
        <f>VLOOKUP(Table2[[#This Row],[prolific]],'Correct calc'!B$16:$AJ$998,6,FALSE)</f>
        <v>1</v>
      </c>
      <c r="M187" s="27">
        <f>VLOOKUP(Table2[[#This Row],[prolific]],'Correct calc'!B$16:$AJ$998,14,FALSE)</f>
        <v>1</v>
      </c>
      <c r="N187" s="27">
        <f>VLOOKUP(Table2[[#This Row],[prolific]],'Correct calc'!B$16:$AJ1166,24,FALSE)</f>
        <v>1</v>
      </c>
      <c r="O187" s="27">
        <f>VLOOKUP(Table2[[#This Row],[prolific]],'Correct calc'!B$16:$AJ1166,34,FALSE)</f>
        <v>1</v>
      </c>
      <c r="P187" s="28">
        <f>VLOOKUP(Table2[[#This Row],[comprescore]],Table3[],2,FALSE)</f>
        <v>2</v>
      </c>
      <c r="Q187" s="16">
        <f>VLOOKUP(Table2[[#This Row],[prolific]],'Correct calc'!B$16:$AK$998,36,FALSE)</f>
        <v>22</v>
      </c>
      <c r="R187" s="16">
        <f>Table2[[#This Row],[interviewminutes]]</f>
        <v>14.675000000000001</v>
      </c>
      <c r="S187" s="16">
        <f>Table2[[#This Row],[classifyTime]]+Table2[[#This Row],[explainTime]]+Table2[[#This Row],[validateTime]]</f>
        <v>12.0945</v>
      </c>
      <c r="T187" s="29">
        <f>VLOOKUP(Table2[[#This Row],[prolific]],'Correct calc'!B$16:$AJ$998,35,FALSE)</f>
        <v>1</v>
      </c>
      <c r="U187" s="15">
        <f>SUM(Table2[[#This Row],[priorKnowledge'[CLUSTERING']]:[priorKnowledge'[ZSCORES']]])/Table2[[#This Row],[priorKnowledgeTechQuestionCount]]</f>
        <v>1</v>
      </c>
      <c r="V187" s="16">
        <f>IF(Table2[[#This Row],[visualization]]="Wordcloud",2,3)</f>
        <v>3</v>
      </c>
      <c r="W187" s="31" t="s">
        <v>1201</v>
      </c>
      <c r="X187" s="31">
        <v>1</v>
      </c>
      <c r="Y187" s="31">
        <v>1</v>
      </c>
      <c r="Z187" s="31">
        <v>1</v>
      </c>
      <c r="AA187" s="31">
        <v>5</v>
      </c>
      <c r="AB187" s="31" t="s">
        <v>97</v>
      </c>
      <c r="AC187" s="31" t="s">
        <v>81</v>
      </c>
      <c r="AD187" s="31" t="s">
        <v>82</v>
      </c>
      <c r="AE187" s="31" t="s">
        <v>83</v>
      </c>
      <c r="AF187" s="31" t="s">
        <v>85</v>
      </c>
      <c r="AG187" s="31" t="s">
        <v>86</v>
      </c>
      <c r="AH187" s="31" t="s">
        <v>84</v>
      </c>
      <c r="AI187" s="31" t="s">
        <v>104</v>
      </c>
      <c r="AJ187" s="31" t="s">
        <v>98</v>
      </c>
      <c r="AK187" s="31" t="s">
        <v>88</v>
      </c>
      <c r="AL187" s="31" t="s">
        <v>87</v>
      </c>
      <c r="AM187" s="31" t="s">
        <v>105</v>
      </c>
      <c r="AN187" s="31" t="s">
        <v>90</v>
      </c>
      <c r="AO187" s="31" t="s">
        <v>83</v>
      </c>
      <c r="AP187" s="31" t="s">
        <v>85</v>
      </c>
      <c r="AQ187" s="31" t="s">
        <v>91</v>
      </c>
      <c r="AR187" s="31" t="s">
        <v>102</v>
      </c>
      <c r="AS187" s="31" t="s">
        <v>94</v>
      </c>
      <c r="AT187" s="31" t="s">
        <v>93</v>
      </c>
      <c r="AU187" s="31" t="s">
        <v>94</v>
      </c>
      <c r="AV187" s="31" t="s">
        <v>93</v>
      </c>
      <c r="AW187" s="31" t="s">
        <v>94</v>
      </c>
      <c r="AX187" s="31" t="s">
        <v>93</v>
      </c>
      <c r="AY187" s="31" t="s">
        <v>94</v>
      </c>
      <c r="AZ187" s="31" t="s">
        <v>93</v>
      </c>
      <c r="BA187" s="31" t="s">
        <v>106</v>
      </c>
      <c r="BB187" s="31" t="s">
        <v>881</v>
      </c>
      <c r="BC187" s="24"/>
      <c r="BD187" s="30">
        <f>Table2[[#This Row],[interviewtime]]/60</f>
        <v>14.675000000000001</v>
      </c>
      <c r="BE187" s="31">
        <v>880.5</v>
      </c>
      <c r="BF187" s="31">
        <v>6.13</v>
      </c>
      <c r="BG187" s="31"/>
      <c r="BH187" s="31">
        <v>55.38</v>
      </c>
      <c r="BI187" s="31"/>
      <c r="BJ187" s="31"/>
      <c r="BK187" s="31"/>
      <c r="BL187" s="31"/>
      <c r="BM187" s="31">
        <v>350.45</v>
      </c>
      <c r="BN187" s="31"/>
      <c r="BO187" s="31"/>
      <c r="BP187" s="31"/>
      <c r="BQ187" s="31"/>
      <c r="BR187" s="31"/>
      <c r="BS187" s="31"/>
      <c r="BT187" s="31">
        <v>246.32</v>
      </c>
      <c r="BU187" s="31"/>
      <c r="BV187" s="31"/>
      <c r="BW187" s="31"/>
      <c r="BX187" s="31"/>
      <c r="BY187" s="31"/>
      <c r="BZ187" s="31"/>
      <c r="CA187" s="31"/>
      <c r="CB187" s="31"/>
      <c r="CC187" s="31">
        <v>128.9</v>
      </c>
      <c r="CD187" s="24"/>
      <c r="CE187" s="24"/>
      <c r="CF187" s="24"/>
      <c r="CG187" s="24"/>
      <c r="CH187" s="24"/>
      <c r="CI187" s="24"/>
      <c r="CJ187" s="24"/>
      <c r="CK187" s="24"/>
      <c r="CL187" s="31">
        <v>93.32</v>
      </c>
      <c r="CM187" s="24"/>
      <c r="CN187" s="24"/>
      <c r="CO187" s="24"/>
      <c r="CP187" s="24"/>
      <c r="CQ187" s="43">
        <f>Table2[[#This Row],[groupTime22]]/60</f>
        <v>5.8408333333333333</v>
      </c>
      <c r="CR187" s="43">
        <f>Table2[[#This Row],[groupTime23]]/60</f>
        <v>4.1053333333333333</v>
      </c>
      <c r="CS187" s="43">
        <f>Table2[[#This Row],[groupTime24]]/60</f>
        <v>2.1483333333333334</v>
      </c>
    </row>
    <row r="188" spans="1:97" x14ac:dyDescent="0.25">
      <c r="A188" s="47" t="s">
        <v>821</v>
      </c>
      <c r="B188" s="11" t="s">
        <v>114</v>
      </c>
      <c r="C188" s="11">
        <v>72</v>
      </c>
      <c r="D188" s="11" t="s">
        <v>840</v>
      </c>
      <c r="E188" s="11">
        <v>6</v>
      </c>
      <c r="F188" s="11" t="s">
        <v>79</v>
      </c>
      <c r="G188" s="11">
        <v>285215741</v>
      </c>
      <c r="H188" s="11" t="s">
        <v>839</v>
      </c>
      <c r="I188" s="11" t="s">
        <v>840</v>
      </c>
      <c r="J188" s="11" t="s">
        <v>589</v>
      </c>
      <c r="K188" s="37" t="str">
        <f>IF(Table2[[#This Row],[priorSuccessRatio]]&lt;1,"yes","no")</f>
        <v>no</v>
      </c>
      <c r="L188" s="27">
        <f>VLOOKUP(Table2[[#This Row],[prolific]],'Correct calc'!B$16:$AJ$998,6,FALSE)</f>
        <v>1</v>
      </c>
      <c r="M188" s="27">
        <f>VLOOKUP(Table2[[#This Row],[prolific]],'Correct calc'!B$16:$AJ$998,14,FALSE)</f>
        <v>1</v>
      </c>
      <c r="N188" s="27">
        <f>VLOOKUP(Table2[[#This Row],[prolific]],'Correct calc'!B$16:$AJ1167,24,FALSE)</f>
        <v>1</v>
      </c>
      <c r="O188" s="27">
        <f>VLOOKUP(Table2[[#This Row],[prolific]],'Correct calc'!B$16:$AJ1167,34,FALSE)</f>
        <v>0.625</v>
      </c>
      <c r="P188" s="28">
        <f>VLOOKUP(Table2[[#This Row],[comprescore]],Table3[],2,FALSE)</f>
        <v>2</v>
      </c>
      <c r="Q188" s="16">
        <f>VLOOKUP(Table2[[#This Row],[prolific]],'Correct calc'!B$16:$AK$998,36,FALSE)</f>
        <v>19</v>
      </c>
      <c r="R188" s="16">
        <f>Table2[[#This Row],[interviewminutes]]</f>
        <v>16.4315</v>
      </c>
      <c r="S188" s="16">
        <f>Table2[[#This Row],[classifyTime]]+Table2[[#This Row],[explainTime]]+Table2[[#This Row],[validateTime]]</f>
        <v>13.916</v>
      </c>
      <c r="T188" s="29">
        <f>VLOOKUP(Table2[[#This Row],[prolific]],'Correct calc'!B$16:$AJ$998,35,FALSE)</f>
        <v>0.86363636363636365</v>
      </c>
      <c r="U188" s="15">
        <f>SUM(Table2[[#This Row],[priorKnowledge'[CLUSTERING']]:[priorKnowledge'[ZSCORES']]])/Table2[[#This Row],[priorKnowledgeTechQuestionCount]]</f>
        <v>5.666666666666667</v>
      </c>
      <c r="V188" s="16">
        <f>IF(Table2[[#This Row],[visualization]]="Wordcloud",2,3)</f>
        <v>3</v>
      </c>
      <c r="W188" s="31" t="s">
        <v>1202</v>
      </c>
      <c r="X188" s="31">
        <v>5</v>
      </c>
      <c r="Y188" s="31">
        <v>6</v>
      </c>
      <c r="Z188" s="31">
        <v>6</v>
      </c>
      <c r="AA188" s="31">
        <v>6</v>
      </c>
      <c r="AB188" s="31" t="s">
        <v>97</v>
      </c>
      <c r="AC188" s="31" t="s">
        <v>81</v>
      </c>
      <c r="AD188" s="31" t="s">
        <v>82</v>
      </c>
      <c r="AE188" s="31" t="s">
        <v>83</v>
      </c>
      <c r="AF188" s="31" t="s">
        <v>85</v>
      </c>
      <c r="AG188" s="31" t="s">
        <v>86</v>
      </c>
      <c r="AH188" s="31" t="s">
        <v>84</v>
      </c>
      <c r="AI188" s="31" t="s">
        <v>104</v>
      </c>
      <c r="AJ188" s="31" t="s">
        <v>98</v>
      </c>
      <c r="AK188" s="31" t="s">
        <v>88</v>
      </c>
      <c r="AL188" s="31" t="s">
        <v>87</v>
      </c>
      <c r="AM188" s="31" t="s">
        <v>105</v>
      </c>
      <c r="AN188" s="31" t="s">
        <v>90</v>
      </c>
      <c r="AO188" s="31" t="s">
        <v>83</v>
      </c>
      <c r="AP188" s="31" t="s">
        <v>85</v>
      </c>
      <c r="AQ188" s="31" t="s">
        <v>91</v>
      </c>
      <c r="AR188" s="31" t="s">
        <v>102</v>
      </c>
      <c r="AS188" s="31" t="s">
        <v>94</v>
      </c>
      <c r="AT188" s="31" t="s">
        <v>93</v>
      </c>
      <c r="AU188" s="31" t="s">
        <v>94</v>
      </c>
      <c r="AV188" s="31" t="s">
        <v>94</v>
      </c>
      <c r="AW188" s="31" t="s">
        <v>93</v>
      </c>
      <c r="AX188" s="31" t="s">
        <v>93</v>
      </c>
      <c r="AY188" s="31" t="s">
        <v>93</v>
      </c>
      <c r="AZ188" s="31" t="s">
        <v>93</v>
      </c>
      <c r="BA188" s="31" t="s">
        <v>106</v>
      </c>
      <c r="BB188" s="31" t="s">
        <v>883</v>
      </c>
      <c r="BC188" s="24"/>
      <c r="BD188" s="30">
        <f>Table2[[#This Row],[interviewtime]]/60</f>
        <v>16.4315</v>
      </c>
      <c r="BE188" s="31">
        <v>985.89</v>
      </c>
      <c r="BF188" s="31">
        <v>21.67</v>
      </c>
      <c r="BG188" s="31"/>
      <c r="BH188" s="31">
        <v>88.78</v>
      </c>
      <c r="BI188" s="31"/>
      <c r="BJ188" s="31"/>
      <c r="BK188" s="31"/>
      <c r="BL188" s="31"/>
      <c r="BM188" s="31">
        <v>449.63</v>
      </c>
      <c r="BN188" s="31"/>
      <c r="BO188" s="31"/>
      <c r="BP188" s="31"/>
      <c r="BQ188" s="31"/>
      <c r="BR188" s="31"/>
      <c r="BS188" s="31"/>
      <c r="BT188" s="31">
        <v>181.04</v>
      </c>
      <c r="BU188" s="31"/>
      <c r="BV188" s="31"/>
      <c r="BW188" s="31"/>
      <c r="BX188" s="31"/>
      <c r="BY188" s="31"/>
      <c r="BZ188" s="31"/>
      <c r="CA188" s="31"/>
      <c r="CB188" s="31"/>
      <c r="CC188" s="31">
        <v>204.29</v>
      </c>
      <c r="CD188" s="24"/>
      <c r="CE188" s="24"/>
      <c r="CF188" s="24"/>
      <c r="CG188" s="24"/>
      <c r="CH188" s="24"/>
      <c r="CI188" s="24"/>
      <c r="CJ188" s="24"/>
      <c r="CK188" s="24"/>
      <c r="CL188" s="31">
        <v>40.479999999999997</v>
      </c>
      <c r="CM188" s="24"/>
      <c r="CN188" s="24"/>
      <c r="CO188" s="24"/>
      <c r="CP188" s="24"/>
      <c r="CQ188" s="43">
        <f>Table2[[#This Row],[groupTime22]]/60</f>
        <v>7.4938333333333329</v>
      </c>
      <c r="CR188" s="43">
        <f>Table2[[#This Row],[groupTime23]]/60</f>
        <v>3.0173333333333332</v>
      </c>
      <c r="CS188" s="43">
        <f>Table2[[#This Row],[groupTime24]]/60</f>
        <v>3.4048333333333334</v>
      </c>
    </row>
    <row r="189" spans="1:97" x14ac:dyDescent="0.25">
      <c r="A189" s="47" t="s">
        <v>821</v>
      </c>
      <c r="B189" s="11" t="s">
        <v>114</v>
      </c>
      <c r="C189" s="11">
        <v>73</v>
      </c>
      <c r="D189" s="11" t="s">
        <v>841</v>
      </c>
      <c r="E189" s="11">
        <v>6</v>
      </c>
      <c r="F189" s="11" t="s">
        <v>79</v>
      </c>
      <c r="G189" s="11">
        <v>301137185</v>
      </c>
      <c r="H189" s="11" t="s">
        <v>842</v>
      </c>
      <c r="I189" s="11" t="s">
        <v>841</v>
      </c>
      <c r="J189" s="11" t="s">
        <v>589</v>
      </c>
      <c r="K189" s="37" t="str">
        <f>IF(Table2[[#This Row],[priorSuccessRatio]]&lt;1,"yes","no")</f>
        <v>no</v>
      </c>
      <c r="L189" s="27">
        <f>VLOOKUP(Table2[[#This Row],[prolific]],'Correct calc'!B$16:$AJ$998,6,FALSE)</f>
        <v>1</v>
      </c>
      <c r="M189" s="27">
        <f>VLOOKUP(Table2[[#This Row],[prolific]],'Correct calc'!B$16:$AJ$998,14,FALSE)</f>
        <v>0</v>
      </c>
      <c r="N189" s="27">
        <f>VLOOKUP(Table2[[#This Row],[prolific]],'Correct calc'!B$16:$AJ1168,24,FALSE)</f>
        <v>0.875</v>
      </c>
      <c r="O189" s="27">
        <f>VLOOKUP(Table2[[#This Row],[prolific]],'Correct calc'!B$16:$AJ1168,34,FALSE)</f>
        <v>0.75</v>
      </c>
      <c r="P189" s="28">
        <f>VLOOKUP(Table2[[#This Row],[comprescore]],Table3[],2,FALSE)</f>
        <v>4</v>
      </c>
      <c r="Q189" s="16">
        <f>VLOOKUP(Table2[[#This Row],[prolific]],'Correct calc'!B$16:$AK$998,36,FALSE)</f>
        <v>13</v>
      </c>
      <c r="R189" s="16">
        <f>Table2[[#This Row],[interviewminutes]]</f>
        <v>10.020999999999999</v>
      </c>
      <c r="S189" s="16">
        <f>Table2[[#This Row],[classifyTime]]+Table2[[#This Row],[explainTime]]+Table2[[#This Row],[validateTime]]</f>
        <v>4.4628333333333332</v>
      </c>
      <c r="T189" s="29">
        <f>VLOOKUP(Table2[[#This Row],[prolific]],'Correct calc'!B$16:$AJ$998,35,FALSE)</f>
        <v>0.59090909090909094</v>
      </c>
      <c r="U189" s="15">
        <f>SUM(Table2[[#This Row],[priorKnowledge'[CLUSTERING']]:[priorKnowledge'[ZSCORES']]])/Table2[[#This Row],[priorKnowledgeTechQuestionCount]]</f>
        <v>3</v>
      </c>
      <c r="V189" s="16">
        <f>IF(Table2[[#This Row],[visualization]]="Wordcloud",2,3)</f>
        <v>3</v>
      </c>
      <c r="W189" s="31" t="s">
        <v>1203</v>
      </c>
      <c r="X189" s="31">
        <v>1</v>
      </c>
      <c r="Y189" s="31">
        <v>1</v>
      </c>
      <c r="Z189" s="31">
        <v>7</v>
      </c>
      <c r="AA189" s="31">
        <v>4</v>
      </c>
      <c r="AB189" s="31" t="s">
        <v>97</v>
      </c>
      <c r="AC189" s="31" t="s">
        <v>81</v>
      </c>
      <c r="AD189" s="31" t="s">
        <v>82</v>
      </c>
      <c r="AE189" s="31" t="s">
        <v>104</v>
      </c>
      <c r="AF189" s="31" t="s">
        <v>104</v>
      </c>
      <c r="AG189" s="31" t="s">
        <v>83</v>
      </c>
      <c r="AH189" s="31" t="s">
        <v>86</v>
      </c>
      <c r="AI189" s="31" t="s">
        <v>98</v>
      </c>
      <c r="AJ189" s="31" t="s">
        <v>83</v>
      </c>
      <c r="AK189" s="31" t="s">
        <v>88</v>
      </c>
      <c r="AL189" s="31" t="s">
        <v>87</v>
      </c>
      <c r="AM189" s="31" t="s">
        <v>105</v>
      </c>
      <c r="AN189" s="31" t="s">
        <v>90</v>
      </c>
      <c r="AO189" s="31" t="s">
        <v>83</v>
      </c>
      <c r="AP189" s="31" t="s">
        <v>85</v>
      </c>
      <c r="AQ189" s="31" t="s">
        <v>91</v>
      </c>
      <c r="AR189" s="31" t="s">
        <v>101</v>
      </c>
      <c r="AS189" s="31" t="s">
        <v>94</v>
      </c>
      <c r="AT189" s="31" t="s">
        <v>93</v>
      </c>
      <c r="AU189" s="31" t="s">
        <v>94</v>
      </c>
      <c r="AV189" s="31" t="s">
        <v>93</v>
      </c>
      <c r="AW189" s="31" t="s">
        <v>94</v>
      </c>
      <c r="AX189" s="31" t="s">
        <v>94</v>
      </c>
      <c r="AY189" s="31" t="s">
        <v>94</v>
      </c>
      <c r="AZ189" s="31" t="s">
        <v>94</v>
      </c>
      <c r="BA189" s="31" t="s">
        <v>103</v>
      </c>
      <c r="BB189" s="31" t="s">
        <v>885</v>
      </c>
      <c r="BC189" s="24"/>
      <c r="BD189" s="30">
        <f>Table2[[#This Row],[interviewtime]]/60</f>
        <v>10.020999999999999</v>
      </c>
      <c r="BE189" s="31">
        <v>601.26</v>
      </c>
      <c r="BF189" s="31">
        <v>243.02</v>
      </c>
      <c r="BG189" s="31"/>
      <c r="BH189" s="31">
        <v>35.130000000000003</v>
      </c>
      <c r="BI189" s="31"/>
      <c r="BJ189" s="31"/>
      <c r="BK189" s="31"/>
      <c r="BL189" s="31"/>
      <c r="BM189" s="31">
        <v>127.67</v>
      </c>
      <c r="BN189" s="31"/>
      <c r="BO189" s="31"/>
      <c r="BP189" s="31"/>
      <c r="BQ189" s="31"/>
      <c r="BR189" s="31"/>
      <c r="BS189" s="31"/>
      <c r="BT189" s="31">
        <v>76.459999999999994</v>
      </c>
      <c r="BU189" s="31"/>
      <c r="BV189" s="31"/>
      <c r="BW189" s="31"/>
      <c r="BX189" s="31"/>
      <c r="BY189" s="31"/>
      <c r="BZ189" s="31"/>
      <c r="CA189" s="31"/>
      <c r="CB189" s="31"/>
      <c r="CC189" s="31">
        <v>63.64</v>
      </c>
      <c r="CD189" s="24"/>
      <c r="CE189" s="24"/>
      <c r="CF189" s="24"/>
      <c r="CG189" s="24"/>
      <c r="CH189" s="24"/>
      <c r="CI189" s="24"/>
      <c r="CJ189" s="24"/>
      <c r="CK189" s="24"/>
      <c r="CL189" s="31">
        <v>55.34</v>
      </c>
      <c r="CM189" s="24"/>
      <c r="CN189" s="24"/>
      <c r="CO189" s="24"/>
      <c r="CP189" s="24"/>
      <c r="CQ189" s="43">
        <f>Table2[[#This Row],[groupTime22]]/60</f>
        <v>2.1278333333333332</v>
      </c>
      <c r="CR189" s="43">
        <f>Table2[[#This Row],[groupTime23]]/60</f>
        <v>1.2743333333333333</v>
      </c>
      <c r="CS189" s="43">
        <f>Table2[[#This Row],[groupTime24]]/60</f>
        <v>1.0606666666666666</v>
      </c>
    </row>
    <row r="190" spans="1:97" x14ac:dyDescent="0.25">
      <c r="A190" s="47" t="s">
        <v>821</v>
      </c>
      <c r="B190" s="11" t="s">
        <v>114</v>
      </c>
      <c r="C190" s="11">
        <v>74</v>
      </c>
      <c r="D190" s="11" t="s">
        <v>843</v>
      </c>
      <c r="E190" s="11">
        <v>6</v>
      </c>
      <c r="F190" s="11" t="s">
        <v>79</v>
      </c>
      <c r="G190" s="11">
        <v>1435807609</v>
      </c>
      <c r="H190" s="11" t="s">
        <v>844</v>
      </c>
      <c r="I190" s="11" t="s">
        <v>843</v>
      </c>
      <c r="J190" s="11" t="s">
        <v>589</v>
      </c>
      <c r="K190" s="37" t="str">
        <f>IF(Table2[[#This Row],[priorSuccessRatio]]&lt;1,"yes","no")</f>
        <v>no</v>
      </c>
      <c r="L190" s="27">
        <f>VLOOKUP(Table2[[#This Row],[prolific]],'Correct calc'!B$16:$AJ$998,6,FALSE)</f>
        <v>1</v>
      </c>
      <c r="M190" s="27">
        <f>VLOOKUP(Table2[[#This Row],[prolific]],'Correct calc'!B$16:$AJ$998,14,FALSE)</f>
        <v>1</v>
      </c>
      <c r="N190" s="27">
        <f>VLOOKUP(Table2[[#This Row],[prolific]],'Correct calc'!B$16:$AJ1169,24,FALSE)</f>
        <v>0.875</v>
      </c>
      <c r="O190" s="27">
        <f>VLOOKUP(Table2[[#This Row],[prolific]],'Correct calc'!B$16:$AJ1169,34,FALSE)</f>
        <v>1</v>
      </c>
      <c r="P190" s="28">
        <f>VLOOKUP(Table2[[#This Row],[comprescore]],Table3[],2,FALSE)</f>
        <v>3</v>
      </c>
      <c r="Q190" s="16">
        <f>VLOOKUP(Table2[[#This Row],[prolific]],'Correct calc'!B$16:$AK$998,36,FALSE)</f>
        <v>21</v>
      </c>
      <c r="R190" s="16">
        <f>Table2[[#This Row],[interviewminutes]]</f>
        <v>9.43</v>
      </c>
      <c r="S190" s="16">
        <f>Table2[[#This Row],[classifyTime]]+Table2[[#This Row],[explainTime]]+Table2[[#This Row],[validateTime]]</f>
        <v>7.53</v>
      </c>
      <c r="T190" s="29">
        <f>VLOOKUP(Table2[[#This Row],[prolific]],'Correct calc'!B$16:$AJ$998,35,FALSE)</f>
        <v>0.95454545454545459</v>
      </c>
      <c r="U190" s="15">
        <f>SUM(Table2[[#This Row],[priorKnowledge'[CLUSTERING']]:[priorKnowledge'[ZSCORES']]])/Table2[[#This Row],[priorKnowledgeTechQuestionCount]]</f>
        <v>2.3333333333333335</v>
      </c>
      <c r="V190" s="16">
        <f>IF(Table2[[#This Row],[visualization]]="Wordcloud",2,3)</f>
        <v>3</v>
      </c>
      <c r="W190" s="31" t="s">
        <v>1204</v>
      </c>
      <c r="X190" s="31">
        <v>1</v>
      </c>
      <c r="Y190" s="31">
        <v>4</v>
      </c>
      <c r="Z190" s="31">
        <v>2</v>
      </c>
      <c r="AA190" s="31">
        <v>3</v>
      </c>
      <c r="AB190" s="31" t="s">
        <v>97</v>
      </c>
      <c r="AC190" s="31" t="s">
        <v>81</v>
      </c>
      <c r="AD190" s="31" t="s">
        <v>82</v>
      </c>
      <c r="AE190" s="31" t="s">
        <v>83</v>
      </c>
      <c r="AF190" s="31" t="s">
        <v>85</v>
      </c>
      <c r="AG190" s="31" t="s">
        <v>86</v>
      </c>
      <c r="AH190" s="31" t="s">
        <v>84</v>
      </c>
      <c r="AI190" s="31" t="s">
        <v>104</v>
      </c>
      <c r="AJ190" s="31" t="s">
        <v>98</v>
      </c>
      <c r="AK190" s="31" t="s">
        <v>88</v>
      </c>
      <c r="AL190" s="31" t="s">
        <v>87</v>
      </c>
      <c r="AM190" s="31" t="s">
        <v>105</v>
      </c>
      <c r="AN190" s="31" t="s">
        <v>90</v>
      </c>
      <c r="AO190" s="31" t="s">
        <v>83</v>
      </c>
      <c r="AP190" s="31" t="s">
        <v>85</v>
      </c>
      <c r="AQ190" s="31" t="s">
        <v>91</v>
      </c>
      <c r="AR190" s="31" t="s">
        <v>101</v>
      </c>
      <c r="AS190" s="31" t="s">
        <v>94</v>
      </c>
      <c r="AT190" s="31" t="s">
        <v>93</v>
      </c>
      <c r="AU190" s="31" t="s">
        <v>94</v>
      </c>
      <c r="AV190" s="31" t="s">
        <v>93</v>
      </c>
      <c r="AW190" s="31" t="s">
        <v>94</v>
      </c>
      <c r="AX190" s="31" t="s">
        <v>93</v>
      </c>
      <c r="AY190" s="31" t="s">
        <v>94</v>
      </c>
      <c r="AZ190" s="31" t="s">
        <v>93</v>
      </c>
      <c r="BA190" s="31" t="s">
        <v>107</v>
      </c>
      <c r="BB190" s="31" t="s">
        <v>887</v>
      </c>
      <c r="BC190" s="24"/>
      <c r="BD190" s="30">
        <f>Table2[[#This Row],[interviewtime]]/60</f>
        <v>9.43</v>
      </c>
      <c r="BE190" s="31">
        <v>565.79999999999995</v>
      </c>
      <c r="BF190" s="31">
        <v>7.33</v>
      </c>
      <c r="BG190" s="31"/>
      <c r="BH190" s="31">
        <v>33.85</v>
      </c>
      <c r="BI190" s="31"/>
      <c r="BJ190" s="31"/>
      <c r="BK190" s="31"/>
      <c r="BL190" s="31"/>
      <c r="BM190" s="31">
        <v>259.19</v>
      </c>
      <c r="BN190" s="31"/>
      <c r="BO190" s="31"/>
      <c r="BP190" s="31"/>
      <c r="BQ190" s="31"/>
      <c r="BR190" s="31"/>
      <c r="BS190" s="31"/>
      <c r="BT190" s="31">
        <v>109.98</v>
      </c>
      <c r="BU190" s="31"/>
      <c r="BV190" s="31"/>
      <c r="BW190" s="31"/>
      <c r="BX190" s="31"/>
      <c r="BY190" s="31"/>
      <c r="BZ190" s="31"/>
      <c r="CA190" s="31"/>
      <c r="CB190" s="31"/>
      <c r="CC190" s="31">
        <v>82.63</v>
      </c>
      <c r="CD190" s="24"/>
      <c r="CE190" s="24"/>
      <c r="CF190" s="24"/>
      <c r="CG190" s="24"/>
      <c r="CH190" s="24"/>
      <c r="CI190" s="24"/>
      <c r="CJ190" s="24"/>
      <c r="CK190" s="24"/>
      <c r="CL190" s="31">
        <v>72.819999999999993</v>
      </c>
      <c r="CM190" s="24"/>
      <c r="CN190" s="24"/>
      <c r="CO190" s="24"/>
      <c r="CP190" s="24"/>
      <c r="CQ190" s="43">
        <f>Table2[[#This Row],[groupTime22]]/60</f>
        <v>4.3198333333333334</v>
      </c>
      <c r="CR190" s="43">
        <f>Table2[[#This Row],[groupTime23]]/60</f>
        <v>1.833</v>
      </c>
      <c r="CS190" s="43">
        <f>Table2[[#This Row],[groupTime24]]/60</f>
        <v>1.3771666666666667</v>
      </c>
    </row>
    <row r="191" spans="1:97" x14ac:dyDescent="0.25">
      <c r="A191" s="47" t="s">
        <v>821</v>
      </c>
      <c r="B191" s="11" t="s">
        <v>114</v>
      </c>
      <c r="C191" s="11">
        <v>75</v>
      </c>
      <c r="D191" s="11" t="s">
        <v>845</v>
      </c>
      <c r="E191" s="11">
        <v>6</v>
      </c>
      <c r="F191" s="11" t="s">
        <v>79</v>
      </c>
      <c r="G191" s="11">
        <v>1283864860</v>
      </c>
      <c r="H191" s="11" t="s">
        <v>846</v>
      </c>
      <c r="I191" s="11" t="s">
        <v>845</v>
      </c>
      <c r="J191" s="11" t="s">
        <v>586</v>
      </c>
      <c r="K191" s="37" t="str">
        <f>IF(Table2[[#This Row],[priorSuccessRatio]]&lt;1,"yes","no")</f>
        <v>no</v>
      </c>
      <c r="L191" s="27">
        <f>VLOOKUP(Table2[[#This Row],[prolific]],'Correct calc'!B$16:$AJ$998,6,FALSE)</f>
        <v>1</v>
      </c>
      <c r="M191" s="27">
        <f>VLOOKUP(Table2[[#This Row],[prolific]],'Correct calc'!B$16:$AJ$998,14,FALSE)</f>
        <v>1</v>
      </c>
      <c r="N191" s="27">
        <f>VLOOKUP(Table2[[#This Row],[prolific]],'Correct calc'!B$16:$AJ1170,24,FALSE)</f>
        <v>1</v>
      </c>
      <c r="O191" s="27">
        <f>VLOOKUP(Table2[[#This Row],[prolific]],'Correct calc'!B$16:$AJ1170,34,FALSE)</f>
        <v>0.875</v>
      </c>
      <c r="P191" s="28">
        <f>VLOOKUP(Table2[[#This Row],[comprescore]],Table3[],2,FALSE)</f>
        <v>2</v>
      </c>
      <c r="Q191" s="16">
        <f>VLOOKUP(Table2[[#This Row],[prolific]],'Correct calc'!B$16:$AK$998,36,FALSE)</f>
        <v>21</v>
      </c>
      <c r="R191" s="16">
        <f>Table2[[#This Row],[interviewminutes]]</f>
        <v>25.236000000000001</v>
      </c>
      <c r="S191" s="16">
        <f>Table2[[#This Row],[classifyTime]]+Table2[[#This Row],[explainTime]]+Table2[[#This Row],[validateTime]]</f>
        <v>22.336500000000001</v>
      </c>
      <c r="T191" s="29">
        <f>VLOOKUP(Table2[[#This Row],[prolific]],'Correct calc'!B$16:$AJ$998,35,FALSE)</f>
        <v>0.95454545454545459</v>
      </c>
      <c r="U191" s="15">
        <f>SUM(Table2[[#This Row],[priorKnowledge'[CLUSTERING']]:[priorKnowledge'[ZSCORES']]])/Table2[[#This Row],[priorKnowledgeTechQuestionCount]]</f>
        <v>1</v>
      </c>
      <c r="V191" s="16">
        <f>IF(Table2[[#This Row],[visualization]]="Wordcloud",2,3)</f>
        <v>3</v>
      </c>
      <c r="W191" s="31" t="s">
        <v>1205</v>
      </c>
      <c r="X191" s="31">
        <v>1</v>
      </c>
      <c r="Y191" s="31">
        <v>1</v>
      </c>
      <c r="Z191" s="31">
        <v>1</v>
      </c>
      <c r="AA191" s="31">
        <v>2</v>
      </c>
      <c r="AB191" s="31" t="s">
        <v>97</v>
      </c>
      <c r="AC191" s="31" t="s">
        <v>81</v>
      </c>
      <c r="AD191" s="31" t="s">
        <v>82</v>
      </c>
      <c r="AE191" s="31" t="s">
        <v>83</v>
      </c>
      <c r="AF191" s="31" t="s">
        <v>85</v>
      </c>
      <c r="AG191" s="31" t="s">
        <v>86</v>
      </c>
      <c r="AH191" s="31" t="s">
        <v>84</v>
      </c>
      <c r="AI191" s="31" t="s">
        <v>104</v>
      </c>
      <c r="AJ191" s="31" t="s">
        <v>98</v>
      </c>
      <c r="AK191" s="31" t="s">
        <v>88</v>
      </c>
      <c r="AL191" s="31" t="s">
        <v>87</v>
      </c>
      <c r="AM191" s="31" t="s">
        <v>105</v>
      </c>
      <c r="AN191" s="31" t="s">
        <v>90</v>
      </c>
      <c r="AO191" s="31" t="s">
        <v>83</v>
      </c>
      <c r="AP191" s="31" t="s">
        <v>85</v>
      </c>
      <c r="AQ191" s="31" t="s">
        <v>91</v>
      </c>
      <c r="AR191" s="31" t="s">
        <v>102</v>
      </c>
      <c r="AS191" s="31" t="s">
        <v>94</v>
      </c>
      <c r="AT191" s="31" t="s">
        <v>93</v>
      </c>
      <c r="AU191" s="31" t="s">
        <v>94</v>
      </c>
      <c r="AV191" s="31" t="s">
        <v>93</v>
      </c>
      <c r="AW191" s="31" t="s">
        <v>94</v>
      </c>
      <c r="AX191" s="31" t="s">
        <v>94</v>
      </c>
      <c r="AY191" s="31" t="s">
        <v>94</v>
      </c>
      <c r="AZ191" s="31" t="s">
        <v>93</v>
      </c>
      <c r="BA191" s="31" t="s">
        <v>106</v>
      </c>
      <c r="BB191" s="31" t="s">
        <v>889</v>
      </c>
      <c r="BC191" s="24"/>
      <c r="BD191" s="30">
        <f>Table2[[#This Row],[interviewtime]]/60</f>
        <v>25.236000000000001</v>
      </c>
      <c r="BE191" s="31">
        <v>1514.16</v>
      </c>
      <c r="BF191" s="31">
        <v>8.83</v>
      </c>
      <c r="BG191" s="31"/>
      <c r="BH191" s="31">
        <v>81.72</v>
      </c>
      <c r="BI191" s="31"/>
      <c r="BJ191" s="31"/>
      <c r="BK191" s="31"/>
      <c r="BL191" s="31"/>
      <c r="BM191" s="31">
        <v>557.19000000000005</v>
      </c>
      <c r="BN191" s="31"/>
      <c r="BO191" s="31"/>
      <c r="BP191" s="31"/>
      <c r="BQ191" s="31"/>
      <c r="BR191" s="31"/>
      <c r="BS191" s="31"/>
      <c r="BT191" s="31">
        <v>553.41999999999996</v>
      </c>
      <c r="BU191" s="31"/>
      <c r="BV191" s="31"/>
      <c r="BW191" s="31"/>
      <c r="BX191" s="31"/>
      <c r="BY191" s="31"/>
      <c r="BZ191" s="31"/>
      <c r="CA191" s="31"/>
      <c r="CB191" s="31"/>
      <c r="CC191" s="31">
        <v>229.58</v>
      </c>
      <c r="CD191" s="24"/>
      <c r="CE191" s="24"/>
      <c r="CF191" s="24"/>
      <c r="CG191" s="24"/>
      <c r="CH191" s="24"/>
      <c r="CI191" s="24"/>
      <c r="CJ191" s="24"/>
      <c r="CK191" s="24"/>
      <c r="CL191" s="31">
        <v>83.42</v>
      </c>
      <c r="CM191" s="24"/>
      <c r="CN191" s="24"/>
      <c r="CO191" s="24"/>
      <c r="CP191" s="24"/>
      <c r="CQ191" s="43">
        <f>Table2[[#This Row],[groupTime22]]/60</f>
        <v>9.2865000000000002</v>
      </c>
      <c r="CR191" s="43">
        <f>Table2[[#This Row],[groupTime23]]/60</f>
        <v>9.2236666666666665</v>
      </c>
      <c r="CS191" s="43">
        <f>Table2[[#This Row],[groupTime24]]/60</f>
        <v>3.8263333333333334</v>
      </c>
    </row>
    <row r="192" spans="1:97" x14ac:dyDescent="0.25">
      <c r="A192" s="47" t="s">
        <v>821</v>
      </c>
      <c r="B192" s="11" t="s">
        <v>114</v>
      </c>
      <c r="C192" s="11">
        <v>76</v>
      </c>
      <c r="D192" s="11" t="s">
        <v>847</v>
      </c>
      <c r="E192" s="11">
        <v>6</v>
      </c>
      <c r="F192" s="11" t="s">
        <v>79</v>
      </c>
      <c r="G192" s="11">
        <v>278503628</v>
      </c>
      <c r="H192" s="11" t="s">
        <v>846</v>
      </c>
      <c r="I192" s="11" t="s">
        <v>847</v>
      </c>
      <c r="J192" s="11" t="s">
        <v>589</v>
      </c>
      <c r="K192" s="37" t="str">
        <f>IF(Table2[[#This Row],[priorSuccessRatio]]&lt;1,"yes","no")</f>
        <v>no</v>
      </c>
      <c r="L192" s="27">
        <f>VLOOKUP(Table2[[#This Row],[prolific]],'Correct calc'!B$16:$AJ$998,6,FALSE)</f>
        <v>1</v>
      </c>
      <c r="M192" s="27">
        <f>VLOOKUP(Table2[[#This Row],[prolific]],'Correct calc'!B$16:$AJ$998,14,FALSE)</f>
        <v>1</v>
      </c>
      <c r="N192" s="27">
        <f>VLOOKUP(Table2[[#This Row],[prolific]],'Correct calc'!B$16:$AJ1171,24,FALSE)</f>
        <v>0.75</v>
      </c>
      <c r="O192" s="27">
        <f>VLOOKUP(Table2[[#This Row],[prolific]],'Correct calc'!B$16:$AJ1171,34,FALSE)</f>
        <v>1</v>
      </c>
      <c r="P192" s="28">
        <f>VLOOKUP(Table2[[#This Row],[comprescore]],Table3[],2,FALSE)</f>
        <v>3</v>
      </c>
      <c r="Q192" s="16">
        <f>VLOOKUP(Table2[[#This Row],[prolific]],'Correct calc'!B$16:$AK$998,36,FALSE)</f>
        <v>20</v>
      </c>
      <c r="R192" s="16">
        <f>Table2[[#This Row],[interviewminutes]]</f>
        <v>5.3514999999999997</v>
      </c>
      <c r="S192" s="16">
        <f>Table2[[#This Row],[classifyTime]]+Table2[[#This Row],[explainTime]]+Table2[[#This Row],[validateTime]]</f>
        <v>4.1896666666666667</v>
      </c>
      <c r="T192" s="29">
        <f>VLOOKUP(Table2[[#This Row],[prolific]],'Correct calc'!B$16:$AJ$998,35,FALSE)</f>
        <v>0.90909090909090906</v>
      </c>
      <c r="U192" s="15">
        <f>SUM(Table2[[#This Row],[priorKnowledge'[CLUSTERING']]:[priorKnowledge'[ZSCORES']]])/Table2[[#This Row],[priorKnowledgeTechQuestionCount]]</f>
        <v>2.6666666666666665</v>
      </c>
      <c r="V192" s="16">
        <f>IF(Table2[[#This Row],[visualization]]="Wordcloud",2,3)</f>
        <v>3</v>
      </c>
      <c r="W192" s="31" t="s">
        <v>1206</v>
      </c>
      <c r="X192" s="31">
        <v>2</v>
      </c>
      <c r="Y192" s="31">
        <v>3</v>
      </c>
      <c r="Z192" s="31">
        <v>3</v>
      </c>
      <c r="AA192" s="31">
        <v>5</v>
      </c>
      <c r="AB192" s="31" t="s">
        <v>97</v>
      </c>
      <c r="AC192" s="31" t="s">
        <v>81</v>
      </c>
      <c r="AD192" s="31" t="s">
        <v>82</v>
      </c>
      <c r="AE192" s="31" t="s">
        <v>83</v>
      </c>
      <c r="AF192" s="31" t="s">
        <v>85</v>
      </c>
      <c r="AG192" s="31" t="s">
        <v>86</v>
      </c>
      <c r="AH192" s="31" t="s">
        <v>84</v>
      </c>
      <c r="AI192" s="31" t="s">
        <v>104</v>
      </c>
      <c r="AJ192" s="31" t="s">
        <v>98</v>
      </c>
      <c r="AK192" s="31" t="s">
        <v>88</v>
      </c>
      <c r="AL192" s="31" t="s">
        <v>87</v>
      </c>
      <c r="AM192" s="31" t="s">
        <v>105</v>
      </c>
      <c r="AN192" s="31" t="s">
        <v>90</v>
      </c>
      <c r="AO192" s="31" t="s">
        <v>83</v>
      </c>
      <c r="AP192" s="31" t="s">
        <v>104</v>
      </c>
      <c r="AQ192" s="31" t="s">
        <v>101</v>
      </c>
      <c r="AR192" s="31" t="s">
        <v>102</v>
      </c>
      <c r="AS192" s="31" t="s">
        <v>94</v>
      </c>
      <c r="AT192" s="31" t="s">
        <v>93</v>
      </c>
      <c r="AU192" s="31" t="s">
        <v>94</v>
      </c>
      <c r="AV192" s="31" t="s">
        <v>93</v>
      </c>
      <c r="AW192" s="31" t="s">
        <v>94</v>
      </c>
      <c r="AX192" s="31" t="s">
        <v>93</v>
      </c>
      <c r="AY192" s="31" t="s">
        <v>94</v>
      </c>
      <c r="AZ192" s="31" t="s">
        <v>93</v>
      </c>
      <c r="BA192" s="31" t="s">
        <v>107</v>
      </c>
      <c r="BB192" s="31" t="s">
        <v>891</v>
      </c>
      <c r="BC192" s="24"/>
      <c r="BD192" s="30">
        <f>Table2[[#This Row],[interviewtime]]/60</f>
        <v>5.3514999999999997</v>
      </c>
      <c r="BE192" s="31">
        <v>321.08999999999997</v>
      </c>
      <c r="BF192" s="31">
        <v>7.64</v>
      </c>
      <c r="BG192" s="31"/>
      <c r="BH192" s="31">
        <v>32.86</v>
      </c>
      <c r="BI192" s="31"/>
      <c r="BJ192" s="31"/>
      <c r="BK192" s="31"/>
      <c r="BL192" s="31"/>
      <c r="BM192" s="31">
        <v>144</v>
      </c>
      <c r="BN192" s="31"/>
      <c r="BO192" s="31"/>
      <c r="BP192" s="31"/>
      <c r="BQ192" s="31"/>
      <c r="BR192" s="31"/>
      <c r="BS192" s="31"/>
      <c r="BT192" s="31">
        <v>49.39</v>
      </c>
      <c r="BU192" s="31"/>
      <c r="BV192" s="31"/>
      <c r="BW192" s="31"/>
      <c r="BX192" s="31"/>
      <c r="BY192" s="31"/>
      <c r="BZ192" s="31"/>
      <c r="CA192" s="31"/>
      <c r="CB192" s="31"/>
      <c r="CC192" s="31">
        <v>57.99</v>
      </c>
      <c r="CD192" s="24"/>
      <c r="CE192" s="24"/>
      <c r="CF192" s="24"/>
      <c r="CG192" s="24"/>
      <c r="CH192" s="24"/>
      <c r="CI192" s="24"/>
      <c r="CJ192" s="24"/>
      <c r="CK192" s="24"/>
      <c r="CL192" s="31">
        <v>29.21</v>
      </c>
      <c r="CM192" s="24"/>
      <c r="CN192" s="24"/>
      <c r="CO192" s="24"/>
      <c r="CP192" s="24"/>
      <c r="CQ192" s="43">
        <f>Table2[[#This Row],[groupTime22]]/60</f>
        <v>2.4</v>
      </c>
      <c r="CR192" s="43">
        <f>Table2[[#This Row],[groupTime23]]/60</f>
        <v>0.82316666666666671</v>
      </c>
      <c r="CS192" s="43">
        <f>Table2[[#This Row],[groupTime24]]/60</f>
        <v>0.96650000000000003</v>
      </c>
    </row>
    <row r="193" spans="1:97" x14ac:dyDescent="0.25">
      <c r="A193" s="47" t="s">
        <v>821</v>
      </c>
      <c r="B193" s="11" t="s">
        <v>114</v>
      </c>
      <c r="C193" s="11">
        <v>77</v>
      </c>
      <c r="D193" s="11" t="s">
        <v>848</v>
      </c>
      <c r="E193" s="11">
        <v>6</v>
      </c>
      <c r="F193" s="11" t="s">
        <v>79</v>
      </c>
      <c r="G193" s="11">
        <v>1940711448</v>
      </c>
      <c r="H193" s="11" t="s">
        <v>849</v>
      </c>
      <c r="I193" s="11" t="s">
        <v>850</v>
      </c>
      <c r="J193" s="11" t="s">
        <v>589</v>
      </c>
      <c r="K193" s="37" t="str">
        <f>IF(Table2[[#This Row],[priorSuccessRatio]]&lt;1,"yes","no")</f>
        <v>no</v>
      </c>
      <c r="L193" s="27">
        <f>VLOOKUP(Table2[[#This Row],[prolific]],'Correct calc'!B$16:$AJ$998,6,FALSE)</f>
        <v>1</v>
      </c>
      <c r="M193" s="27">
        <f>VLOOKUP(Table2[[#This Row],[prolific]],'Correct calc'!B$16:$AJ$998,14,FALSE)</f>
        <v>1</v>
      </c>
      <c r="N193" s="27">
        <f>VLOOKUP(Table2[[#This Row],[prolific]],'Correct calc'!B$16:$AJ1172,24,FALSE)</f>
        <v>1</v>
      </c>
      <c r="O193" s="27">
        <f>VLOOKUP(Table2[[#This Row],[prolific]],'Correct calc'!B$16:$AJ1172,34,FALSE)</f>
        <v>0.875</v>
      </c>
      <c r="P193" s="28">
        <f>VLOOKUP(Table2[[#This Row],[comprescore]],Table3[],2,FALSE)</f>
        <v>2</v>
      </c>
      <c r="Q193" s="16">
        <f>VLOOKUP(Table2[[#This Row],[prolific]],'Correct calc'!B$16:$AK$998,36,FALSE)</f>
        <v>21</v>
      </c>
      <c r="R193" s="16">
        <f>Table2[[#This Row],[interviewminutes]]</f>
        <v>7.2273333333333332</v>
      </c>
      <c r="S193" s="16">
        <f>Table2[[#This Row],[classifyTime]]+Table2[[#This Row],[explainTime]]+Table2[[#This Row],[validateTime]]</f>
        <v>6.0866666666666669</v>
      </c>
      <c r="T193" s="29">
        <f>VLOOKUP(Table2[[#This Row],[prolific]],'Correct calc'!B$16:$AJ$998,35,FALSE)</f>
        <v>0.95454545454545459</v>
      </c>
      <c r="U193" s="15">
        <f>SUM(Table2[[#This Row],[priorKnowledge'[CLUSTERING']]:[priorKnowledge'[ZSCORES']]])/Table2[[#This Row],[priorKnowledgeTechQuestionCount]]</f>
        <v>4</v>
      </c>
      <c r="V193" s="16">
        <f>IF(Table2[[#This Row],[visualization]]="Wordcloud",2,3)</f>
        <v>3</v>
      </c>
      <c r="W193" s="31" t="s">
        <v>1207</v>
      </c>
      <c r="X193" s="31">
        <v>2</v>
      </c>
      <c r="Y193" s="31">
        <v>2</v>
      </c>
      <c r="Z193" s="31">
        <v>8</v>
      </c>
      <c r="AA193" s="31">
        <v>8</v>
      </c>
      <c r="AB193" s="31" t="s">
        <v>97</v>
      </c>
      <c r="AC193" s="31" t="s">
        <v>81</v>
      </c>
      <c r="AD193" s="31" t="s">
        <v>82</v>
      </c>
      <c r="AE193" s="31" t="s">
        <v>83</v>
      </c>
      <c r="AF193" s="31" t="s">
        <v>85</v>
      </c>
      <c r="AG193" s="31" t="s">
        <v>86</v>
      </c>
      <c r="AH193" s="31" t="s">
        <v>84</v>
      </c>
      <c r="AI193" s="31" t="s">
        <v>104</v>
      </c>
      <c r="AJ193" s="31" t="s">
        <v>98</v>
      </c>
      <c r="AK193" s="31" t="s">
        <v>88</v>
      </c>
      <c r="AL193" s="31" t="s">
        <v>87</v>
      </c>
      <c r="AM193" s="31" t="s">
        <v>105</v>
      </c>
      <c r="AN193" s="31" t="s">
        <v>90</v>
      </c>
      <c r="AO193" s="31" t="s">
        <v>83</v>
      </c>
      <c r="AP193" s="31" t="s">
        <v>85</v>
      </c>
      <c r="AQ193" s="31" t="s">
        <v>91</v>
      </c>
      <c r="AR193" s="31" t="s">
        <v>102</v>
      </c>
      <c r="AS193" s="31" t="s">
        <v>94</v>
      </c>
      <c r="AT193" s="31" t="s">
        <v>93</v>
      </c>
      <c r="AU193" s="31" t="s">
        <v>94</v>
      </c>
      <c r="AV193" s="31" t="s">
        <v>93</v>
      </c>
      <c r="AW193" s="31" t="s">
        <v>93</v>
      </c>
      <c r="AX193" s="31" t="s">
        <v>93</v>
      </c>
      <c r="AY193" s="31" t="s">
        <v>94</v>
      </c>
      <c r="AZ193" s="31" t="s">
        <v>93</v>
      </c>
      <c r="BA193" s="31" t="s">
        <v>106</v>
      </c>
      <c r="BB193" s="31" t="s">
        <v>893</v>
      </c>
      <c r="BC193" s="24"/>
      <c r="BD193" s="30">
        <f>Table2[[#This Row],[interviewtime]]/60</f>
        <v>7.2273333333333332</v>
      </c>
      <c r="BE193" s="31">
        <v>433.64</v>
      </c>
      <c r="BF193" s="31">
        <v>7.18</v>
      </c>
      <c r="BG193" s="31"/>
      <c r="BH193" s="31">
        <v>26.25</v>
      </c>
      <c r="BI193" s="31"/>
      <c r="BJ193" s="31"/>
      <c r="BK193" s="31"/>
      <c r="BL193" s="31"/>
      <c r="BM193" s="31">
        <v>177</v>
      </c>
      <c r="BN193" s="31"/>
      <c r="BO193" s="31"/>
      <c r="BP193" s="31"/>
      <c r="BQ193" s="31"/>
      <c r="BR193" s="31"/>
      <c r="BS193" s="31"/>
      <c r="BT193" s="31">
        <v>78.84</v>
      </c>
      <c r="BU193" s="31"/>
      <c r="BV193" s="31"/>
      <c r="BW193" s="31"/>
      <c r="BX193" s="31"/>
      <c r="BY193" s="31"/>
      <c r="BZ193" s="31"/>
      <c r="CA193" s="31"/>
      <c r="CB193" s="31"/>
      <c r="CC193" s="31">
        <v>109.36</v>
      </c>
      <c r="CD193" s="24"/>
      <c r="CE193" s="24"/>
      <c r="CF193" s="24"/>
      <c r="CG193" s="24"/>
      <c r="CH193" s="24"/>
      <c r="CI193" s="24"/>
      <c r="CJ193" s="24"/>
      <c r="CK193" s="24"/>
      <c r="CL193" s="31">
        <v>35.01</v>
      </c>
      <c r="CM193" s="24"/>
      <c r="CN193" s="24"/>
      <c r="CO193" s="24"/>
      <c r="CP193" s="24"/>
      <c r="CQ193" s="43">
        <f>Table2[[#This Row],[groupTime22]]/60</f>
        <v>2.95</v>
      </c>
      <c r="CR193" s="43">
        <f>Table2[[#This Row],[groupTime23]]/60</f>
        <v>1.3140000000000001</v>
      </c>
      <c r="CS193" s="43">
        <f>Table2[[#This Row],[groupTime24]]/60</f>
        <v>1.8226666666666667</v>
      </c>
    </row>
    <row r="194" spans="1:97" x14ac:dyDescent="0.25">
      <c r="A194" s="47" t="s">
        <v>821</v>
      </c>
      <c r="B194" s="11" t="s">
        <v>114</v>
      </c>
      <c r="C194" s="11">
        <v>78</v>
      </c>
      <c r="D194" s="11" t="s">
        <v>851</v>
      </c>
      <c r="E194" s="11">
        <v>6</v>
      </c>
      <c r="F194" s="11" t="s">
        <v>79</v>
      </c>
      <c r="G194" s="11">
        <v>1924899339</v>
      </c>
      <c r="H194" s="11" t="s">
        <v>852</v>
      </c>
      <c r="I194" s="11" t="s">
        <v>851</v>
      </c>
      <c r="J194" s="11" t="s">
        <v>589</v>
      </c>
      <c r="K194" s="37" t="str">
        <f>IF(Table2[[#This Row],[priorSuccessRatio]]&lt;1,"yes","no")</f>
        <v>no</v>
      </c>
      <c r="L194" s="27">
        <f>VLOOKUP(Table2[[#This Row],[prolific]],'Correct calc'!B$16:$AJ$998,6,FALSE)</f>
        <v>1</v>
      </c>
      <c r="M194" s="27">
        <f>VLOOKUP(Table2[[#This Row],[prolific]],'Correct calc'!B$16:$AJ$998,14,FALSE)</f>
        <v>0.5</v>
      </c>
      <c r="N194" s="27">
        <f>VLOOKUP(Table2[[#This Row],[prolific]],'Correct calc'!B$16:$AJ1173,24,FALSE)</f>
        <v>0.75</v>
      </c>
      <c r="O194" s="27">
        <f>VLOOKUP(Table2[[#This Row],[prolific]],'Correct calc'!B$16:$AJ1173,34,FALSE)</f>
        <v>0.875</v>
      </c>
      <c r="P194" s="28">
        <f>VLOOKUP(Table2[[#This Row],[comprescore]],Table3[],2,FALSE)</f>
        <v>3</v>
      </c>
      <c r="Q194" s="16">
        <f>VLOOKUP(Table2[[#This Row],[prolific]],'Correct calc'!B$16:$AK$998,36,FALSE)</f>
        <v>16</v>
      </c>
      <c r="R194" s="16">
        <f>Table2[[#This Row],[interviewminutes]]</f>
        <v>19.238999999999997</v>
      </c>
      <c r="S194" s="16">
        <f>Table2[[#This Row],[classifyTime]]+Table2[[#This Row],[explainTime]]+Table2[[#This Row],[validateTime]]</f>
        <v>14.153499999999999</v>
      </c>
      <c r="T194" s="29">
        <f>VLOOKUP(Table2[[#This Row],[prolific]],'Correct calc'!B$16:$AJ$998,35,FALSE)</f>
        <v>0.72727272727272729</v>
      </c>
      <c r="U194" s="15">
        <f>SUM(Table2[[#This Row],[priorKnowledge'[CLUSTERING']]:[priorKnowledge'[ZSCORES']]])/Table2[[#This Row],[priorKnowledgeTechQuestionCount]]</f>
        <v>4</v>
      </c>
      <c r="V194" s="16">
        <f>IF(Table2[[#This Row],[visualization]]="Wordcloud",2,3)</f>
        <v>3</v>
      </c>
      <c r="W194" s="31" t="s">
        <v>1208</v>
      </c>
      <c r="X194" s="31">
        <v>4</v>
      </c>
      <c r="Y194" s="31">
        <v>4</v>
      </c>
      <c r="Z194" s="31">
        <v>4</v>
      </c>
      <c r="AA194" s="31">
        <v>10</v>
      </c>
      <c r="AB194" s="31" t="s">
        <v>97</v>
      </c>
      <c r="AC194" s="31" t="s">
        <v>81</v>
      </c>
      <c r="AD194" s="31" t="s">
        <v>82</v>
      </c>
      <c r="AE194" s="31" t="s">
        <v>83</v>
      </c>
      <c r="AF194" s="31" t="s">
        <v>104</v>
      </c>
      <c r="AG194" s="31" t="s">
        <v>86</v>
      </c>
      <c r="AH194" s="31" t="s">
        <v>84</v>
      </c>
      <c r="AI194" s="31" t="s">
        <v>85</v>
      </c>
      <c r="AJ194" s="31" t="s">
        <v>104</v>
      </c>
      <c r="AK194" s="31" t="s">
        <v>88</v>
      </c>
      <c r="AL194" s="31" t="s">
        <v>87</v>
      </c>
      <c r="AM194" s="31" t="s">
        <v>105</v>
      </c>
      <c r="AN194" s="31" t="s">
        <v>100</v>
      </c>
      <c r="AO194" s="31" t="s">
        <v>83</v>
      </c>
      <c r="AP194" s="31" t="s">
        <v>85</v>
      </c>
      <c r="AQ194" s="31" t="s">
        <v>91</v>
      </c>
      <c r="AR194" s="31" t="s">
        <v>101</v>
      </c>
      <c r="AS194" s="31" t="s">
        <v>94</v>
      </c>
      <c r="AT194" s="31" t="s">
        <v>93</v>
      </c>
      <c r="AU194" s="31" t="s">
        <v>94</v>
      </c>
      <c r="AV194" s="31" t="s">
        <v>93</v>
      </c>
      <c r="AW194" s="31" t="s">
        <v>93</v>
      </c>
      <c r="AX194" s="31" t="s">
        <v>93</v>
      </c>
      <c r="AY194" s="31" t="s">
        <v>94</v>
      </c>
      <c r="AZ194" s="31" t="s">
        <v>93</v>
      </c>
      <c r="BA194" s="31" t="s">
        <v>107</v>
      </c>
      <c r="BB194" s="31" t="s">
        <v>895</v>
      </c>
      <c r="BC194" s="24"/>
      <c r="BD194" s="30">
        <f>Table2[[#This Row],[interviewtime]]/60</f>
        <v>19.238999999999997</v>
      </c>
      <c r="BE194" s="31">
        <v>1154.3399999999999</v>
      </c>
      <c r="BF194" s="31">
        <v>10.39</v>
      </c>
      <c r="BG194" s="31"/>
      <c r="BH194" s="31">
        <v>140.76</v>
      </c>
      <c r="BI194" s="31"/>
      <c r="BJ194" s="31"/>
      <c r="BK194" s="31"/>
      <c r="BL194" s="31"/>
      <c r="BM194" s="31">
        <v>322.86</v>
      </c>
      <c r="BN194" s="31"/>
      <c r="BO194" s="31"/>
      <c r="BP194" s="31"/>
      <c r="BQ194" s="31"/>
      <c r="BR194" s="31"/>
      <c r="BS194" s="31"/>
      <c r="BT194" s="31">
        <v>314.52999999999997</v>
      </c>
      <c r="BU194" s="31"/>
      <c r="BV194" s="31"/>
      <c r="BW194" s="31"/>
      <c r="BX194" s="31"/>
      <c r="BY194" s="31"/>
      <c r="BZ194" s="31"/>
      <c r="CA194" s="31"/>
      <c r="CB194" s="31"/>
      <c r="CC194" s="31">
        <v>211.82</v>
      </c>
      <c r="CD194" s="24"/>
      <c r="CE194" s="24"/>
      <c r="CF194" s="24"/>
      <c r="CG194" s="24"/>
      <c r="CH194" s="24"/>
      <c r="CI194" s="24"/>
      <c r="CJ194" s="24"/>
      <c r="CK194" s="24"/>
      <c r="CL194" s="31">
        <v>153.97999999999999</v>
      </c>
      <c r="CM194" s="24"/>
      <c r="CN194" s="24"/>
      <c r="CO194" s="24"/>
      <c r="CP194" s="24"/>
      <c r="CQ194" s="43">
        <f>Table2[[#This Row],[groupTime22]]/60</f>
        <v>5.3810000000000002</v>
      </c>
      <c r="CR194" s="43">
        <f>Table2[[#This Row],[groupTime23]]/60</f>
        <v>5.242166666666666</v>
      </c>
      <c r="CS194" s="43">
        <f>Table2[[#This Row],[groupTime24]]/60</f>
        <v>3.5303333333333331</v>
      </c>
    </row>
    <row r="195" spans="1:97" x14ac:dyDescent="0.25">
      <c r="A195" s="47" t="s">
        <v>821</v>
      </c>
      <c r="B195" s="11" t="s">
        <v>114</v>
      </c>
      <c r="C195" s="11">
        <v>79</v>
      </c>
      <c r="D195" s="11" t="s">
        <v>853</v>
      </c>
      <c r="E195" s="11">
        <v>6</v>
      </c>
      <c r="F195" s="11" t="s">
        <v>79</v>
      </c>
      <c r="G195" s="11">
        <v>1002585204</v>
      </c>
      <c r="H195" s="11" t="s">
        <v>854</v>
      </c>
      <c r="I195" s="11" t="s">
        <v>853</v>
      </c>
      <c r="J195" s="11" t="s">
        <v>589</v>
      </c>
      <c r="K195" s="37" t="str">
        <f>IF(Table2[[#This Row],[priorSuccessRatio]]&lt;1,"yes","no")</f>
        <v>no</v>
      </c>
      <c r="L195" s="27">
        <f>VLOOKUP(Table2[[#This Row],[prolific]],'Correct calc'!B$16:$AJ$998,6,FALSE)</f>
        <v>1</v>
      </c>
      <c r="M195" s="27">
        <f>VLOOKUP(Table2[[#This Row],[prolific]],'Correct calc'!B$16:$AJ$998,14,FALSE)</f>
        <v>0.5</v>
      </c>
      <c r="N195" s="27">
        <f>VLOOKUP(Table2[[#This Row],[prolific]],'Correct calc'!B$16:$AJ1174,24,FALSE)</f>
        <v>1</v>
      </c>
      <c r="O195" s="27">
        <f>VLOOKUP(Table2[[#This Row],[prolific]],'Correct calc'!B$16:$AJ1174,34,FALSE)</f>
        <v>1</v>
      </c>
      <c r="P195" s="28">
        <f>VLOOKUP(Table2[[#This Row],[comprescore]],Table3[],2,FALSE)</f>
        <v>3</v>
      </c>
      <c r="Q195" s="16">
        <f>VLOOKUP(Table2[[#This Row],[prolific]],'Correct calc'!B$16:$AK$998,36,FALSE)</f>
        <v>19</v>
      </c>
      <c r="R195" s="16">
        <f>Table2[[#This Row],[interviewminutes]]</f>
        <v>10.308833333333332</v>
      </c>
      <c r="S195" s="16">
        <f>Table2[[#This Row],[classifyTime]]+Table2[[#This Row],[explainTime]]+Table2[[#This Row],[validateTime]]</f>
        <v>8.2465000000000011</v>
      </c>
      <c r="T195" s="29">
        <f>VLOOKUP(Table2[[#This Row],[prolific]],'Correct calc'!B$16:$AJ$998,35,FALSE)</f>
        <v>0.86363636363636365</v>
      </c>
      <c r="U195" s="15">
        <f>SUM(Table2[[#This Row],[priorKnowledge'[CLUSTERING']]:[priorKnowledge'[ZSCORES']]])/Table2[[#This Row],[priorKnowledgeTechQuestionCount]]</f>
        <v>4.333333333333333</v>
      </c>
      <c r="V195" s="16">
        <f>IF(Table2[[#This Row],[visualization]]="Wordcloud",2,3)</f>
        <v>3</v>
      </c>
      <c r="W195" s="31" t="s">
        <v>1209</v>
      </c>
      <c r="X195" s="31">
        <v>3</v>
      </c>
      <c r="Y195" s="31">
        <v>2</v>
      </c>
      <c r="Z195" s="31">
        <v>8</v>
      </c>
      <c r="AA195" s="31">
        <v>7</v>
      </c>
      <c r="AB195" s="31" t="s">
        <v>97</v>
      </c>
      <c r="AC195" s="31" t="s">
        <v>81</v>
      </c>
      <c r="AD195" s="31" t="s">
        <v>82</v>
      </c>
      <c r="AE195" s="31" t="s">
        <v>83</v>
      </c>
      <c r="AF195" s="31" t="s">
        <v>85</v>
      </c>
      <c r="AG195" s="31" t="s">
        <v>98</v>
      </c>
      <c r="AH195" s="31" t="s">
        <v>84</v>
      </c>
      <c r="AI195" s="31" t="s">
        <v>98</v>
      </c>
      <c r="AJ195" s="31" t="s">
        <v>86</v>
      </c>
      <c r="AK195" s="31" t="s">
        <v>88</v>
      </c>
      <c r="AL195" s="31" t="s">
        <v>87</v>
      </c>
      <c r="AM195" s="31" t="s">
        <v>105</v>
      </c>
      <c r="AN195" s="31" t="s">
        <v>90</v>
      </c>
      <c r="AO195" s="31" t="s">
        <v>83</v>
      </c>
      <c r="AP195" s="31" t="s">
        <v>85</v>
      </c>
      <c r="AQ195" s="31" t="s">
        <v>91</v>
      </c>
      <c r="AR195" s="31" t="s">
        <v>102</v>
      </c>
      <c r="AS195" s="31" t="s">
        <v>94</v>
      </c>
      <c r="AT195" s="31" t="s">
        <v>93</v>
      </c>
      <c r="AU195" s="31" t="s">
        <v>94</v>
      </c>
      <c r="AV195" s="31" t="s">
        <v>93</v>
      </c>
      <c r="AW195" s="31" t="s">
        <v>94</v>
      </c>
      <c r="AX195" s="31" t="s">
        <v>93</v>
      </c>
      <c r="AY195" s="31" t="s">
        <v>94</v>
      </c>
      <c r="AZ195" s="31" t="s">
        <v>93</v>
      </c>
      <c r="BA195" s="31" t="s">
        <v>107</v>
      </c>
      <c r="BB195" s="31" t="s">
        <v>897</v>
      </c>
      <c r="BC195" s="24"/>
      <c r="BD195" s="30">
        <f>Table2[[#This Row],[interviewtime]]/60</f>
        <v>10.308833333333332</v>
      </c>
      <c r="BE195" s="31">
        <v>618.53</v>
      </c>
      <c r="BF195" s="31">
        <v>5.18</v>
      </c>
      <c r="BG195" s="31"/>
      <c r="BH195" s="31">
        <v>28.87</v>
      </c>
      <c r="BI195" s="31"/>
      <c r="BJ195" s="31"/>
      <c r="BK195" s="31"/>
      <c r="BL195" s="31"/>
      <c r="BM195" s="31">
        <v>270.7</v>
      </c>
      <c r="BN195" s="31"/>
      <c r="BO195" s="31"/>
      <c r="BP195" s="31"/>
      <c r="BQ195" s="31"/>
      <c r="BR195" s="31"/>
      <c r="BS195" s="31"/>
      <c r="BT195" s="31">
        <v>117.26</v>
      </c>
      <c r="BU195" s="31"/>
      <c r="BV195" s="31"/>
      <c r="BW195" s="31"/>
      <c r="BX195" s="31"/>
      <c r="BY195" s="31"/>
      <c r="BZ195" s="31"/>
      <c r="CA195" s="31"/>
      <c r="CB195" s="31"/>
      <c r="CC195" s="31">
        <v>106.83</v>
      </c>
      <c r="CD195" s="24"/>
      <c r="CE195" s="24"/>
      <c r="CF195" s="24"/>
      <c r="CG195" s="24"/>
      <c r="CH195" s="24"/>
      <c r="CI195" s="24"/>
      <c r="CJ195" s="24"/>
      <c r="CK195" s="24"/>
      <c r="CL195" s="31">
        <v>89.69</v>
      </c>
      <c r="CM195" s="24"/>
      <c r="CN195" s="24"/>
      <c r="CO195" s="24"/>
      <c r="CP195" s="24"/>
      <c r="CQ195" s="43">
        <f>Table2[[#This Row],[groupTime22]]/60</f>
        <v>4.5116666666666667</v>
      </c>
      <c r="CR195" s="43">
        <f>Table2[[#This Row],[groupTime23]]/60</f>
        <v>1.9543333333333335</v>
      </c>
      <c r="CS195" s="43">
        <f>Table2[[#This Row],[groupTime24]]/60</f>
        <v>1.7805</v>
      </c>
    </row>
    <row r="196" spans="1:97" x14ac:dyDescent="0.25">
      <c r="A196" s="47" t="s">
        <v>821</v>
      </c>
      <c r="B196" s="11" t="s">
        <v>114</v>
      </c>
      <c r="C196" s="11">
        <v>80</v>
      </c>
      <c r="D196" s="11" t="s">
        <v>855</v>
      </c>
      <c r="E196" s="11">
        <v>6</v>
      </c>
      <c r="F196" s="11" t="s">
        <v>79</v>
      </c>
      <c r="G196" s="11">
        <v>1750116217</v>
      </c>
      <c r="H196" s="11" t="s">
        <v>856</v>
      </c>
      <c r="I196" s="11" t="s">
        <v>855</v>
      </c>
      <c r="J196" s="11" t="s">
        <v>589</v>
      </c>
      <c r="K196" s="37" t="str">
        <f>IF(Table2[[#This Row],[priorSuccessRatio]]&lt;1,"yes","no")</f>
        <v>no</v>
      </c>
      <c r="L196" s="27">
        <f>VLOOKUP(Table2[[#This Row],[prolific]],'Correct calc'!B$16:$AJ$998,6,FALSE)</f>
        <v>1</v>
      </c>
      <c r="M196" s="27">
        <f>VLOOKUP(Table2[[#This Row],[prolific]],'Correct calc'!B$16:$AJ$998,14,FALSE)</f>
        <v>0.83333333333333337</v>
      </c>
      <c r="N196" s="27">
        <f>VLOOKUP(Table2[[#This Row],[prolific]],'Correct calc'!B$16:$AJ1175,24,FALSE)</f>
        <v>0.875</v>
      </c>
      <c r="O196" s="27">
        <f>VLOOKUP(Table2[[#This Row],[prolific]],'Correct calc'!B$16:$AJ1175,34,FALSE)</f>
        <v>0.625</v>
      </c>
      <c r="P196" s="28">
        <f>VLOOKUP(Table2[[#This Row],[comprescore]],Table3[],2,FALSE)</f>
        <v>3</v>
      </c>
      <c r="Q196" s="16">
        <f>VLOOKUP(Table2[[#This Row],[prolific]],'Correct calc'!B$16:$AK$998,36,FALSE)</f>
        <v>17</v>
      </c>
      <c r="R196" s="16">
        <f>Table2[[#This Row],[interviewminutes]]</f>
        <v>10.650333333333332</v>
      </c>
      <c r="S196" s="16">
        <f>Table2[[#This Row],[classifyTime]]+Table2[[#This Row],[explainTime]]+Table2[[#This Row],[validateTime]]</f>
        <v>9.0060000000000002</v>
      </c>
      <c r="T196" s="29">
        <f>VLOOKUP(Table2[[#This Row],[prolific]],'Correct calc'!B$16:$AJ$998,35,FALSE)</f>
        <v>0.77272727272727271</v>
      </c>
      <c r="U196" s="15">
        <f>SUM(Table2[[#This Row],[priorKnowledge'[CLUSTERING']]:[priorKnowledge'[ZSCORES']]])/Table2[[#This Row],[priorKnowledgeTechQuestionCount]]</f>
        <v>2.6666666666666665</v>
      </c>
      <c r="V196" s="16">
        <f>IF(Table2[[#This Row],[visualization]]="Wordcloud",2,3)</f>
        <v>3</v>
      </c>
      <c r="W196" s="31" t="s">
        <v>1210</v>
      </c>
      <c r="X196" s="31">
        <v>1</v>
      </c>
      <c r="Y196" s="31">
        <v>1</v>
      </c>
      <c r="Z196" s="31">
        <v>6</v>
      </c>
      <c r="AA196" s="31">
        <v>4</v>
      </c>
      <c r="AB196" s="31" t="s">
        <v>97</v>
      </c>
      <c r="AC196" s="31" t="s">
        <v>81</v>
      </c>
      <c r="AD196" s="31" t="s">
        <v>82</v>
      </c>
      <c r="AE196" s="31" t="s">
        <v>83</v>
      </c>
      <c r="AF196" s="31" t="s">
        <v>85</v>
      </c>
      <c r="AG196" s="31" t="s">
        <v>86</v>
      </c>
      <c r="AH196" s="31" t="s">
        <v>84</v>
      </c>
      <c r="AI196" s="31" t="s">
        <v>85</v>
      </c>
      <c r="AJ196" s="31" t="s">
        <v>98</v>
      </c>
      <c r="AK196" s="31" t="s">
        <v>88</v>
      </c>
      <c r="AL196" s="31" t="s">
        <v>87</v>
      </c>
      <c r="AM196" s="31" t="s">
        <v>105</v>
      </c>
      <c r="AN196" s="31" t="s">
        <v>90</v>
      </c>
      <c r="AO196" s="31" t="s">
        <v>83</v>
      </c>
      <c r="AP196" s="31" t="s">
        <v>85</v>
      </c>
      <c r="AQ196" s="31" t="s">
        <v>91</v>
      </c>
      <c r="AR196" s="31" t="s">
        <v>92</v>
      </c>
      <c r="AS196" s="31" t="s">
        <v>94</v>
      </c>
      <c r="AT196" s="31" t="s">
        <v>93</v>
      </c>
      <c r="AU196" s="31" t="s">
        <v>94</v>
      </c>
      <c r="AV196" s="31" t="s">
        <v>93</v>
      </c>
      <c r="AW196" s="31" t="s">
        <v>93</v>
      </c>
      <c r="AX196" s="31" t="s">
        <v>93</v>
      </c>
      <c r="AY196" s="31" t="s">
        <v>93</v>
      </c>
      <c r="AZ196" s="31" t="s">
        <v>94</v>
      </c>
      <c r="BA196" s="31" t="s">
        <v>107</v>
      </c>
      <c r="BB196" s="31" t="s">
        <v>899</v>
      </c>
      <c r="BC196" s="24"/>
      <c r="BD196" s="30">
        <f>Table2[[#This Row],[interviewtime]]/60</f>
        <v>10.650333333333332</v>
      </c>
      <c r="BE196" s="31">
        <v>639.02</v>
      </c>
      <c r="BF196" s="31">
        <v>11.56</v>
      </c>
      <c r="BG196" s="31"/>
      <c r="BH196" s="31">
        <v>41.85</v>
      </c>
      <c r="BI196" s="31"/>
      <c r="BJ196" s="31"/>
      <c r="BK196" s="31"/>
      <c r="BL196" s="31"/>
      <c r="BM196" s="31">
        <v>307.08999999999997</v>
      </c>
      <c r="BN196" s="31"/>
      <c r="BO196" s="31"/>
      <c r="BP196" s="31"/>
      <c r="BQ196" s="31"/>
      <c r="BR196" s="31"/>
      <c r="BS196" s="31"/>
      <c r="BT196" s="31">
        <v>114.49</v>
      </c>
      <c r="BU196" s="31"/>
      <c r="BV196" s="31"/>
      <c r="BW196" s="31"/>
      <c r="BX196" s="31"/>
      <c r="BY196" s="31"/>
      <c r="BZ196" s="31"/>
      <c r="CA196" s="31"/>
      <c r="CB196" s="31"/>
      <c r="CC196" s="31">
        <v>118.78</v>
      </c>
      <c r="CD196" s="24"/>
      <c r="CE196" s="24"/>
      <c r="CF196" s="24"/>
      <c r="CG196" s="24"/>
      <c r="CH196" s="24"/>
      <c r="CI196" s="24"/>
      <c r="CJ196" s="24"/>
      <c r="CK196" s="24"/>
      <c r="CL196" s="31">
        <v>45.25</v>
      </c>
      <c r="CM196" s="24"/>
      <c r="CN196" s="24"/>
      <c r="CO196" s="24"/>
      <c r="CP196" s="24"/>
      <c r="CQ196" s="43">
        <f>Table2[[#This Row],[groupTime22]]/60</f>
        <v>5.1181666666666663</v>
      </c>
      <c r="CR196" s="43">
        <f>Table2[[#This Row],[groupTime23]]/60</f>
        <v>1.9081666666666666</v>
      </c>
      <c r="CS196" s="43">
        <f>Table2[[#This Row],[groupTime24]]/60</f>
        <v>1.9796666666666667</v>
      </c>
    </row>
    <row r="197" spans="1:97" x14ac:dyDescent="0.25">
      <c r="A197" s="47" t="s">
        <v>821</v>
      </c>
      <c r="B197" s="11" t="s">
        <v>114</v>
      </c>
      <c r="C197" s="11">
        <v>81</v>
      </c>
      <c r="D197" s="11" t="s">
        <v>857</v>
      </c>
      <c r="E197" s="11">
        <v>6</v>
      </c>
      <c r="F197" s="11" t="s">
        <v>79</v>
      </c>
      <c r="G197" s="11">
        <v>1888022639</v>
      </c>
      <c r="H197" s="11" t="s">
        <v>858</v>
      </c>
      <c r="I197" s="11" t="s">
        <v>857</v>
      </c>
      <c r="J197" s="11" t="s">
        <v>586</v>
      </c>
      <c r="K197" s="37" t="str">
        <f>IF(Table2[[#This Row],[priorSuccessRatio]]&lt;1,"yes","no")</f>
        <v>no</v>
      </c>
      <c r="L197" s="27">
        <f>VLOOKUP(Table2[[#This Row],[prolific]],'Correct calc'!B$16:$AJ$998,6,FALSE)</f>
        <v>1</v>
      </c>
      <c r="M197" s="27">
        <f>VLOOKUP(Table2[[#This Row],[prolific]],'Correct calc'!B$16:$AJ$998,14,FALSE)</f>
        <v>1</v>
      </c>
      <c r="N197" s="27">
        <f>VLOOKUP(Table2[[#This Row],[prolific]],'Correct calc'!B$16:$AJ1176,24,FALSE)</f>
        <v>1</v>
      </c>
      <c r="O197" s="27">
        <f>VLOOKUP(Table2[[#This Row],[prolific]],'Correct calc'!B$16:$AJ1176,34,FALSE)</f>
        <v>0.75</v>
      </c>
      <c r="P197" s="28">
        <f>VLOOKUP(Table2[[#This Row],[comprescore]],Table3[],2,FALSE)</f>
        <v>2</v>
      </c>
      <c r="Q197" s="16">
        <f>VLOOKUP(Table2[[#This Row],[prolific]],'Correct calc'!B$16:$AK$998,36,FALSE)</f>
        <v>20</v>
      </c>
      <c r="R197" s="16">
        <f>Table2[[#This Row],[interviewminutes]]</f>
        <v>27.129833333333334</v>
      </c>
      <c r="S197" s="16">
        <f>Table2[[#This Row],[classifyTime]]+Table2[[#This Row],[explainTime]]+Table2[[#This Row],[validateTime]]</f>
        <v>26.222333333333331</v>
      </c>
      <c r="T197" s="29">
        <f>VLOOKUP(Table2[[#This Row],[prolific]],'Correct calc'!B$16:$AJ$998,35,FALSE)</f>
        <v>0.90909090909090906</v>
      </c>
      <c r="U197" s="15">
        <f>SUM(Table2[[#This Row],[priorKnowledge'[CLUSTERING']]:[priorKnowledge'[ZSCORES']]])/Table2[[#This Row],[priorKnowledgeTechQuestionCount]]</f>
        <v>2</v>
      </c>
      <c r="V197" s="16">
        <f>IF(Table2[[#This Row],[visualization]]="Wordcloud",2,3)</f>
        <v>3</v>
      </c>
      <c r="W197" s="31" t="s">
        <v>1211</v>
      </c>
      <c r="X197" s="31">
        <v>1</v>
      </c>
      <c r="Y197" s="31">
        <v>3</v>
      </c>
      <c r="Z197" s="31">
        <v>2</v>
      </c>
      <c r="AA197" s="31">
        <v>5</v>
      </c>
      <c r="AB197" s="31" t="s">
        <v>97</v>
      </c>
      <c r="AC197" s="31" t="s">
        <v>81</v>
      </c>
      <c r="AD197" s="31" t="s">
        <v>82</v>
      </c>
      <c r="AE197" s="31" t="s">
        <v>83</v>
      </c>
      <c r="AF197" s="31" t="s">
        <v>85</v>
      </c>
      <c r="AG197" s="31" t="s">
        <v>86</v>
      </c>
      <c r="AH197" s="31" t="s">
        <v>84</v>
      </c>
      <c r="AI197" s="31" t="s">
        <v>104</v>
      </c>
      <c r="AJ197" s="31" t="s">
        <v>98</v>
      </c>
      <c r="AK197" s="31" t="s">
        <v>88</v>
      </c>
      <c r="AL197" s="31" t="s">
        <v>87</v>
      </c>
      <c r="AM197" s="31" t="s">
        <v>105</v>
      </c>
      <c r="AN197" s="31" t="s">
        <v>90</v>
      </c>
      <c r="AO197" s="31" t="s">
        <v>83</v>
      </c>
      <c r="AP197" s="31" t="s">
        <v>85</v>
      </c>
      <c r="AQ197" s="31" t="s">
        <v>91</v>
      </c>
      <c r="AR197" s="31" t="s">
        <v>102</v>
      </c>
      <c r="AS197" s="31" t="s">
        <v>94</v>
      </c>
      <c r="AT197" s="31" t="s">
        <v>93</v>
      </c>
      <c r="AU197" s="31" t="s">
        <v>94</v>
      </c>
      <c r="AV197" s="31" t="s">
        <v>93</v>
      </c>
      <c r="AW197" s="31" t="s">
        <v>94</v>
      </c>
      <c r="AX197" s="31" t="s">
        <v>94</v>
      </c>
      <c r="AY197" s="31" t="s">
        <v>94</v>
      </c>
      <c r="AZ197" s="31" t="s">
        <v>94</v>
      </c>
      <c r="BA197" s="31" t="s">
        <v>106</v>
      </c>
      <c r="BB197" s="31" t="s">
        <v>901</v>
      </c>
      <c r="BC197" s="24"/>
      <c r="BD197" s="30">
        <f>Table2[[#This Row],[interviewtime]]/60</f>
        <v>27.129833333333334</v>
      </c>
      <c r="BE197" s="31">
        <v>1627.79</v>
      </c>
      <c r="BF197" s="31">
        <v>13.28</v>
      </c>
      <c r="BG197" s="31"/>
      <c r="BH197" s="31">
        <v>25.52</v>
      </c>
      <c r="BI197" s="31"/>
      <c r="BJ197" s="31"/>
      <c r="BK197" s="31"/>
      <c r="BL197" s="31"/>
      <c r="BM197" s="31">
        <v>166.19</v>
      </c>
      <c r="BN197" s="31"/>
      <c r="BO197" s="31"/>
      <c r="BP197" s="31"/>
      <c r="BQ197" s="31"/>
      <c r="BR197" s="31"/>
      <c r="BS197" s="31"/>
      <c r="BT197" s="31">
        <v>1329.3</v>
      </c>
      <c r="BU197" s="31"/>
      <c r="BV197" s="31"/>
      <c r="BW197" s="31"/>
      <c r="BX197" s="31"/>
      <c r="BY197" s="31"/>
      <c r="BZ197" s="31"/>
      <c r="CA197" s="31"/>
      <c r="CB197" s="31"/>
      <c r="CC197" s="31">
        <v>77.849999999999994</v>
      </c>
      <c r="CD197" s="24"/>
      <c r="CE197" s="24"/>
      <c r="CF197" s="24"/>
      <c r="CG197" s="24"/>
      <c r="CH197" s="24"/>
      <c r="CI197" s="24"/>
      <c r="CJ197" s="24"/>
      <c r="CK197" s="24"/>
      <c r="CL197" s="31">
        <v>15.65</v>
      </c>
      <c r="CM197" s="24"/>
      <c r="CN197" s="24"/>
      <c r="CO197" s="24"/>
      <c r="CP197" s="24"/>
      <c r="CQ197" s="43">
        <f>Table2[[#This Row],[groupTime22]]/60</f>
        <v>2.7698333333333331</v>
      </c>
      <c r="CR197" s="43">
        <f>Table2[[#This Row],[groupTime23]]/60</f>
        <v>22.154999999999998</v>
      </c>
      <c r="CS197" s="43">
        <f>Table2[[#This Row],[groupTime24]]/60</f>
        <v>1.2974999999999999</v>
      </c>
    </row>
    <row r="198" spans="1:97" x14ac:dyDescent="0.25">
      <c r="A198" s="47" t="s">
        <v>821</v>
      </c>
      <c r="B198" s="11" t="s">
        <v>114</v>
      </c>
      <c r="C198" s="11">
        <v>82</v>
      </c>
      <c r="D198" s="11" t="s">
        <v>859</v>
      </c>
      <c r="E198" s="11">
        <v>6</v>
      </c>
      <c r="F198" s="11" t="s">
        <v>79</v>
      </c>
      <c r="G198" s="11">
        <v>1562390165</v>
      </c>
      <c r="H198" s="11" t="s">
        <v>860</v>
      </c>
      <c r="I198" s="11" t="s">
        <v>859</v>
      </c>
      <c r="J198" s="11" t="s">
        <v>589</v>
      </c>
      <c r="K198" s="37" t="str">
        <f>IF(Table2[[#This Row],[priorSuccessRatio]]&lt;1,"yes","no")</f>
        <v>no</v>
      </c>
      <c r="L198" s="27">
        <f>VLOOKUP(Table2[[#This Row],[prolific]],'Correct calc'!B$16:$AJ$998,6,FALSE)</f>
        <v>1</v>
      </c>
      <c r="M198" s="27">
        <f>VLOOKUP(Table2[[#This Row],[prolific]],'Correct calc'!B$16:$AJ$998,14,FALSE)</f>
        <v>1</v>
      </c>
      <c r="N198" s="27">
        <f>VLOOKUP(Table2[[#This Row],[prolific]],'Correct calc'!B$16:$AJ1177,24,FALSE)</f>
        <v>1</v>
      </c>
      <c r="O198" s="27">
        <f>VLOOKUP(Table2[[#This Row],[prolific]],'Correct calc'!B$16:$AJ1177,34,FALSE)</f>
        <v>0.875</v>
      </c>
      <c r="P198" s="28">
        <f>VLOOKUP(Table2[[#This Row],[comprescore]],Table3[],2,FALSE)</f>
        <v>1</v>
      </c>
      <c r="Q198" s="16">
        <f>VLOOKUP(Table2[[#This Row],[prolific]],'Correct calc'!B$16:$AK$998,36,FALSE)</f>
        <v>21</v>
      </c>
      <c r="R198" s="16">
        <f>Table2[[#This Row],[interviewminutes]]</f>
        <v>7.3763333333333332</v>
      </c>
      <c r="S198" s="16">
        <f>Table2[[#This Row],[classifyTime]]+Table2[[#This Row],[explainTime]]+Table2[[#This Row],[validateTime]]</f>
        <v>6.3571666666666671</v>
      </c>
      <c r="T198" s="29">
        <f>VLOOKUP(Table2[[#This Row],[prolific]],'Correct calc'!B$16:$AJ$998,35,FALSE)</f>
        <v>0.95454545454545459</v>
      </c>
      <c r="U198" s="15">
        <f>SUM(Table2[[#This Row],[priorKnowledge'[CLUSTERING']]:[priorKnowledge'[ZSCORES']]])/Table2[[#This Row],[priorKnowledgeTechQuestionCount]]</f>
        <v>2.3333333333333335</v>
      </c>
      <c r="V198" s="16">
        <f>IF(Table2[[#This Row],[visualization]]="Wordcloud",2,3)</f>
        <v>3</v>
      </c>
      <c r="W198" s="31" t="s">
        <v>1212</v>
      </c>
      <c r="X198" s="31">
        <v>2</v>
      </c>
      <c r="Y198" s="31">
        <v>3</v>
      </c>
      <c r="Z198" s="31">
        <v>2</v>
      </c>
      <c r="AA198" s="31">
        <v>4</v>
      </c>
      <c r="AB198" s="31" t="s">
        <v>97</v>
      </c>
      <c r="AC198" s="31" t="s">
        <v>81</v>
      </c>
      <c r="AD198" s="31" t="s">
        <v>82</v>
      </c>
      <c r="AE198" s="31" t="s">
        <v>83</v>
      </c>
      <c r="AF198" s="31" t="s">
        <v>85</v>
      </c>
      <c r="AG198" s="31" t="s">
        <v>86</v>
      </c>
      <c r="AH198" s="31" t="s">
        <v>84</v>
      </c>
      <c r="AI198" s="31" t="s">
        <v>104</v>
      </c>
      <c r="AJ198" s="31" t="s">
        <v>98</v>
      </c>
      <c r="AK198" s="31" t="s">
        <v>88</v>
      </c>
      <c r="AL198" s="31" t="s">
        <v>87</v>
      </c>
      <c r="AM198" s="31" t="s">
        <v>105</v>
      </c>
      <c r="AN198" s="31" t="s">
        <v>90</v>
      </c>
      <c r="AO198" s="31" t="s">
        <v>83</v>
      </c>
      <c r="AP198" s="31" t="s">
        <v>85</v>
      </c>
      <c r="AQ198" s="31" t="s">
        <v>91</v>
      </c>
      <c r="AR198" s="31" t="s">
        <v>102</v>
      </c>
      <c r="AS198" s="31" t="s">
        <v>94</v>
      </c>
      <c r="AT198" s="31" t="s">
        <v>93</v>
      </c>
      <c r="AU198" s="31" t="s">
        <v>94</v>
      </c>
      <c r="AV198" s="31" t="s">
        <v>93</v>
      </c>
      <c r="AW198" s="31" t="s">
        <v>93</v>
      </c>
      <c r="AX198" s="31" t="s">
        <v>93</v>
      </c>
      <c r="AY198" s="31" t="s">
        <v>94</v>
      </c>
      <c r="AZ198" s="31" t="s">
        <v>93</v>
      </c>
      <c r="BA198" s="31" t="s">
        <v>95</v>
      </c>
      <c r="BB198" s="31" t="s">
        <v>903</v>
      </c>
      <c r="BC198" s="24"/>
      <c r="BD198" s="30">
        <f>Table2[[#This Row],[interviewtime]]/60</f>
        <v>7.3763333333333332</v>
      </c>
      <c r="BE198" s="31">
        <v>442.58</v>
      </c>
      <c r="BF198" s="31">
        <v>7.33</v>
      </c>
      <c r="BG198" s="31"/>
      <c r="BH198" s="31">
        <v>32.61</v>
      </c>
      <c r="BI198" s="31"/>
      <c r="BJ198" s="31"/>
      <c r="BK198" s="31"/>
      <c r="BL198" s="31"/>
      <c r="BM198" s="31">
        <v>214.46</v>
      </c>
      <c r="BN198" s="31"/>
      <c r="BO198" s="31"/>
      <c r="BP198" s="31"/>
      <c r="BQ198" s="31"/>
      <c r="BR198" s="31"/>
      <c r="BS198" s="31"/>
      <c r="BT198" s="31">
        <v>77.63</v>
      </c>
      <c r="BU198" s="31"/>
      <c r="BV198" s="31"/>
      <c r="BW198" s="31"/>
      <c r="BX198" s="31"/>
      <c r="BY198" s="31"/>
      <c r="BZ198" s="31"/>
      <c r="CA198" s="31"/>
      <c r="CB198" s="31"/>
      <c r="CC198" s="31">
        <v>89.34</v>
      </c>
      <c r="CD198" s="24"/>
      <c r="CE198" s="24"/>
      <c r="CF198" s="24"/>
      <c r="CG198" s="24"/>
      <c r="CH198" s="24"/>
      <c r="CI198" s="24"/>
      <c r="CJ198" s="24"/>
      <c r="CK198" s="24"/>
      <c r="CL198" s="31">
        <v>21.21</v>
      </c>
      <c r="CM198" s="24"/>
      <c r="CN198" s="24"/>
      <c r="CO198" s="24"/>
      <c r="CP198" s="24"/>
      <c r="CQ198" s="43">
        <f>Table2[[#This Row],[groupTime22]]/60</f>
        <v>3.5743333333333336</v>
      </c>
      <c r="CR198" s="43">
        <f>Table2[[#This Row],[groupTime23]]/60</f>
        <v>1.2938333333333332</v>
      </c>
      <c r="CS198" s="43">
        <f>Table2[[#This Row],[groupTime24]]/60</f>
        <v>1.4890000000000001</v>
      </c>
    </row>
    <row r="199" spans="1:97" x14ac:dyDescent="0.25">
      <c r="A199" s="47" t="s">
        <v>821</v>
      </c>
      <c r="B199" s="11" t="s">
        <v>114</v>
      </c>
      <c r="C199" s="11">
        <v>83</v>
      </c>
      <c r="D199" s="11" t="s">
        <v>861</v>
      </c>
      <c r="E199" s="11">
        <v>6</v>
      </c>
      <c r="F199" s="11" t="s">
        <v>79</v>
      </c>
      <c r="G199" s="11">
        <v>1003845144</v>
      </c>
      <c r="H199" s="11" t="s">
        <v>862</v>
      </c>
      <c r="I199" s="11" t="s">
        <v>861</v>
      </c>
      <c r="J199" s="11" t="s">
        <v>589</v>
      </c>
      <c r="K199" s="37" t="str">
        <f>IF(Table2[[#This Row],[priorSuccessRatio]]&lt;1,"yes","no")</f>
        <v>no</v>
      </c>
      <c r="L199" s="27">
        <f>VLOOKUP(Table2[[#This Row],[prolific]],'Correct calc'!B$16:$AJ$998,6,FALSE)</f>
        <v>1</v>
      </c>
      <c r="M199" s="27">
        <f>VLOOKUP(Table2[[#This Row],[prolific]],'Correct calc'!B$16:$AJ$998,14,FALSE)</f>
        <v>0.83333333333333337</v>
      </c>
      <c r="N199" s="27">
        <f>VLOOKUP(Table2[[#This Row],[prolific]],'Correct calc'!B$16:$AJ1178,24,FALSE)</f>
        <v>0.5</v>
      </c>
      <c r="O199" s="27">
        <f>VLOOKUP(Table2[[#This Row],[prolific]],'Correct calc'!B$16:$AJ1178,34,FALSE)</f>
        <v>0.75</v>
      </c>
      <c r="P199" s="28">
        <f>VLOOKUP(Table2[[#This Row],[comprescore]],Table3[],2,FALSE)</f>
        <v>3</v>
      </c>
      <c r="Q199" s="16">
        <f>VLOOKUP(Table2[[#This Row],[prolific]],'Correct calc'!B$16:$AK$998,36,FALSE)</f>
        <v>15</v>
      </c>
      <c r="R199" s="16">
        <f>Table2[[#This Row],[interviewminutes]]</f>
        <v>27.110666666666667</v>
      </c>
      <c r="S199" s="16">
        <f>Table2[[#This Row],[classifyTime]]+Table2[[#This Row],[explainTime]]+Table2[[#This Row],[validateTime]]</f>
        <v>24.091833333333334</v>
      </c>
      <c r="T199" s="29">
        <f>VLOOKUP(Table2[[#This Row],[prolific]],'Correct calc'!B$16:$AJ$998,35,FALSE)</f>
        <v>0.68181818181818177</v>
      </c>
      <c r="U199" s="15">
        <f>SUM(Table2[[#This Row],[priorKnowledge'[CLUSTERING']]:[priorKnowledge'[ZSCORES']]])/Table2[[#This Row],[priorKnowledgeTechQuestionCount]]</f>
        <v>3</v>
      </c>
      <c r="V199" s="16">
        <f>IF(Table2[[#This Row],[visualization]]="Wordcloud",2,3)</f>
        <v>3</v>
      </c>
      <c r="W199" s="31" t="s">
        <v>1213</v>
      </c>
      <c r="X199" s="31">
        <v>3</v>
      </c>
      <c r="Y199" s="31">
        <v>3</v>
      </c>
      <c r="Z199" s="31">
        <v>3</v>
      </c>
      <c r="AA199" s="31">
        <v>2</v>
      </c>
      <c r="AB199" s="31" t="s">
        <v>97</v>
      </c>
      <c r="AC199" s="31" t="s">
        <v>81</v>
      </c>
      <c r="AD199" s="31" t="s">
        <v>82</v>
      </c>
      <c r="AE199" s="31" t="s">
        <v>83</v>
      </c>
      <c r="AF199" s="31" t="s">
        <v>85</v>
      </c>
      <c r="AG199" s="31" t="s">
        <v>86</v>
      </c>
      <c r="AH199" s="31" t="s">
        <v>84</v>
      </c>
      <c r="AI199" s="31" t="s">
        <v>104</v>
      </c>
      <c r="AJ199" s="31" t="s">
        <v>86</v>
      </c>
      <c r="AK199" s="31" t="s">
        <v>88</v>
      </c>
      <c r="AL199" s="31" t="s">
        <v>87</v>
      </c>
      <c r="AM199" s="31" t="s">
        <v>285</v>
      </c>
      <c r="AN199" s="31" t="s">
        <v>100</v>
      </c>
      <c r="AO199" s="31" t="s">
        <v>83</v>
      </c>
      <c r="AP199" s="31" t="s">
        <v>85</v>
      </c>
      <c r="AQ199" s="31" t="s">
        <v>111</v>
      </c>
      <c r="AR199" s="31" t="s">
        <v>101</v>
      </c>
      <c r="AS199" s="31" t="s">
        <v>94</v>
      </c>
      <c r="AT199" s="31" t="s">
        <v>93</v>
      </c>
      <c r="AU199" s="31" t="s">
        <v>94</v>
      </c>
      <c r="AV199" s="31" t="s">
        <v>93</v>
      </c>
      <c r="AW199" s="31" t="s">
        <v>93</v>
      </c>
      <c r="AX199" s="31" t="s">
        <v>94</v>
      </c>
      <c r="AY199" s="31" t="s">
        <v>94</v>
      </c>
      <c r="AZ199" s="31" t="s">
        <v>93</v>
      </c>
      <c r="BA199" s="31" t="s">
        <v>107</v>
      </c>
      <c r="BB199" s="31" t="s">
        <v>905</v>
      </c>
      <c r="BC199" s="24"/>
      <c r="BD199" s="30">
        <f>Table2[[#This Row],[interviewtime]]/60</f>
        <v>27.110666666666667</v>
      </c>
      <c r="BE199" s="31">
        <v>1626.64</v>
      </c>
      <c r="BF199" s="31">
        <v>7.08</v>
      </c>
      <c r="BG199" s="31"/>
      <c r="BH199" s="31">
        <v>106.37</v>
      </c>
      <c r="BI199" s="31"/>
      <c r="BJ199" s="31"/>
      <c r="BK199" s="31"/>
      <c r="BL199" s="31"/>
      <c r="BM199" s="31">
        <v>783.58</v>
      </c>
      <c r="BN199" s="31"/>
      <c r="BO199" s="31"/>
      <c r="BP199" s="31"/>
      <c r="BQ199" s="31"/>
      <c r="BR199" s="31"/>
      <c r="BS199" s="31"/>
      <c r="BT199" s="31">
        <v>388.99</v>
      </c>
      <c r="BU199" s="31"/>
      <c r="BV199" s="31"/>
      <c r="BW199" s="31"/>
      <c r="BX199" s="31"/>
      <c r="BY199" s="31"/>
      <c r="BZ199" s="31"/>
      <c r="CA199" s="31"/>
      <c r="CB199" s="31"/>
      <c r="CC199" s="31">
        <v>272.94</v>
      </c>
      <c r="CD199" s="24"/>
      <c r="CE199" s="24"/>
      <c r="CF199" s="24"/>
      <c r="CG199" s="24"/>
      <c r="CH199" s="24"/>
      <c r="CI199" s="24"/>
      <c r="CJ199" s="24"/>
      <c r="CK199" s="24"/>
      <c r="CL199" s="31">
        <v>67.680000000000007</v>
      </c>
      <c r="CM199" s="24"/>
      <c r="CN199" s="24"/>
      <c r="CO199" s="24"/>
      <c r="CP199" s="24"/>
      <c r="CQ199" s="43">
        <f>Table2[[#This Row],[groupTime22]]/60</f>
        <v>13.059666666666667</v>
      </c>
      <c r="CR199" s="43">
        <f>Table2[[#This Row],[groupTime23]]/60</f>
        <v>6.4831666666666665</v>
      </c>
      <c r="CS199" s="43">
        <f>Table2[[#This Row],[groupTime24]]/60</f>
        <v>4.5490000000000004</v>
      </c>
    </row>
    <row r="200" spans="1:97" x14ac:dyDescent="0.25">
      <c r="A200" s="47" t="s">
        <v>821</v>
      </c>
      <c r="B200" s="11" t="s">
        <v>114</v>
      </c>
      <c r="C200" s="11">
        <v>84</v>
      </c>
      <c r="D200" s="11" t="s">
        <v>863</v>
      </c>
      <c r="E200" s="11">
        <v>6</v>
      </c>
      <c r="F200" s="11" t="s">
        <v>79</v>
      </c>
      <c r="G200" s="11">
        <v>176593632</v>
      </c>
      <c r="H200" s="11" t="s">
        <v>864</v>
      </c>
      <c r="I200" s="11" t="s">
        <v>863</v>
      </c>
      <c r="J200" s="11" t="s">
        <v>589</v>
      </c>
      <c r="K200" s="37" t="str">
        <f>IF(Table2[[#This Row],[priorSuccessRatio]]&lt;1,"yes","no")</f>
        <v>no</v>
      </c>
      <c r="L200" s="27">
        <f>VLOOKUP(Table2[[#This Row],[prolific]],'Correct calc'!B$16:$AJ$998,6,FALSE)</f>
        <v>1</v>
      </c>
      <c r="M200" s="27">
        <f>VLOOKUP(Table2[[#This Row],[prolific]],'Correct calc'!B$16:$AJ$998,14,FALSE)</f>
        <v>0.5</v>
      </c>
      <c r="N200" s="27">
        <f>VLOOKUP(Table2[[#This Row],[prolific]],'Correct calc'!B$16:$AJ1179,24,FALSE)</f>
        <v>1</v>
      </c>
      <c r="O200" s="27">
        <f>VLOOKUP(Table2[[#This Row],[prolific]],'Correct calc'!B$16:$AJ1179,34,FALSE)</f>
        <v>0.875</v>
      </c>
      <c r="P200" s="28">
        <f>VLOOKUP(Table2[[#This Row],[comprescore]],Table3[],2,FALSE)</f>
        <v>2</v>
      </c>
      <c r="Q200" s="16">
        <f>VLOOKUP(Table2[[#This Row],[prolific]],'Correct calc'!B$16:$AK$998,36,FALSE)</f>
        <v>18</v>
      </c>
      <c r="R200" s="16">
        <f>Table2[[#This Row],[interviewminutes]]</f>
        <v>26.271999999999998</v>
      </c>
      <c r="S200" s="16">
        <f>Table2[[#This Row],[classifyTime]]+Table2[[#This Row],[explainTime]]+Table2[[#This Row],[validateTime]]</f>
        <v>22.729833333333335</v>
      </c>
      <c r="T200" s="29">
        <f>VLOOKUP(Table2[[#This Row],[prolific]],'Correct calc'!B$16:$AJ$998,35,FALSE)</f>
        <v>0.81818181818181823</v>
      </c>
      <c r="U200" s="15">
        <f>SUM(Table2[[#This Row],[priorKnowledge'[CLUSTERING']]:[priorKnowledge'[ZSCORES']]])/Table2[[#This Row],[priorKnowledgeTechQuestionCount]]</f>
        <v>4.333333333333333</v>
      </c>
      <c r="V200" s="16">
        <f>IF(Table2[[#This Row],[visualization]]="Wordcloud",2,3)</f>
        <v>3</v>
      </c>
      <c r="W200" s="31" t="s">
        <v>1214</v>
      </c>
      <c r="X200" s="31">
        <v>5</v>
      </c>
      <c r="Y200" s="31">
        <v>4</v>
      </c>
      <c r="Z200" s="31">
        <v>4</v>
      </c>
      <c r="AA200" s="31">
        <v>9</v>
      </c>
      <c r="AB200" s="31" t="s">
        <v>97</v>
      </c>
      <c r="AC200" s="31" t="s">
        <v>81</v>
      </c>
      <c r="AD200" s="31" t="s">
        <v>82</v>
      </c>
      <c r="AE200" s="31" t="s">
        <v>83</v>
      </c>
      <c r="AF200" s="31" t="s">
        <v>85</v>
      </c>
      <c r="AG200" s="31" t="s">
        <v>98</v>
      </c>
      <c r="AH200" s="31" t="s">
        <v>104</v>
      </c>
      <c r="AI200" s="31" t="s">
        <v>85</v>
      </c>
      <c r="AJ200" s="31" t="s">
        <v>98</v>
      </c>
      <c r="AK200" s="31" t="s">
        <v>88</v>
      </c>
      <c r="AL200" s="31" t="s">
        <v>87</v>
      </c>
      <c r="AM200" s="31" t="s">
        <v>105</v>
      </c>
      <c r="AN200" s="31" t="s">
        <v>90</v>
      </c>
      <c r="AO200" s="31" t="s">
        <v>83</v>
      </c>
      <c r="AP200" s="31" t="s">
        <v>85</v>
      </c>
      <c r="AQ200" s="31" t="s">
        <v>91</v>
      </c>
      <c r="AR200" s="31" t="s">
        <v>102</v>
      </c>
      <c r="AS200" s="31" t="s">
        <v>94</v>
      </c>
      <c r="AT200" s="31" t="s">
        <v>93</v>
      </c>
      <c r="AU200" s="31" t="s">
        <v>94</v>
      </c>
      <c r="AV200" s="31" t="s">
        <v>93</v>
      </c>
      <c r="AW200" s="31" t="s">
        <v>93</v>
      </c>
      <c r="AX200" s="31" t="s">
        <v>93</v>
      </c>
      <c r="AY200" s="31" t="s">
        <v>94</v>
      </c>
      <c r="AZ200" s="31" t="s">
        <v>93</v>
      </c>
      <c r="BA200" s="31" t="s">
        <v>106</v>
      </c>
      <c r="BB200" s="31" t="s">
        <v>907</v>
      </c>
      <c r="BC200" s="24"/>
      <c r="BD200" s="30">
        <f>Table2[[#This Row],[interviewtime]]/60</f>
        <v>26.271999999999998</v>
      </c>
      <c r="BE200" s="31">
        <v>1576.32</v>
      </c>
      <c r="BF200" s="31">
        <v>7.14</v>
      </c>
      <c r="BG200" s="31"/>
      <c r="BH200" s="31">
        <v>180.2</v>
      </c>
      <c r="BI200" s="31"/>
      <c r="BJ200" s="31"/>
      <c r="BK200" s="31"/>
      <c r="BL200" s="31"/>
      <c r="BM200" s="31">
        <v>986.43</v>
      </c>
      <c r="BN200" s="31"/>
      <c r="BO200" s="31"/>
      <c r="BP200" s="31"/>
      <c r="BQ200" s="31"/>
      <c r="BR200" s="31"/>
      <c r="BS200" s="31"/>
      <c r="BT200" s="31">
        <v>291.45</v>
      </c>
      <c r="BU200" s="31"/>
      <c r="BV200" s="31"/>
      <c r="BW200" s="31"/>
      <c r="BX200" s="31"/>
      <c r="BY200" s="31"/>
      <c r="BZ200" s="31"/>
      <c r="CA200" s="31"/>
      <c r="CB200" s="31"/>
      <c r="CC200" s="31">
        <v>85.91</v>
      </c>
      <c r="CD200" s="24"/>
      <c r="CE200" s="24"/>
      <c r="CF200" s="24"/>
      <c r="CG200" s="24"/>
      <c r="CH200" s="24"/>
      <c r="CI200" s="24"/>
      <c r="CJ200" s="24"/>
      <c r="CK200" s="24"/>
      <c r="CL200" s="31">
        <v>25.19</v>
      </c>
      <c r="CM200" s="24"/>
      <c r="CN200" s="24"/>
      <c r="CO200" s="24"/>
      <c r="CP200" s="24"/>
      <c r="CQ200" s="43">
        <f>Table2[[#This Row],[groupTime22]]/60</f>
        <v>16.4405</v>
      </c>
      <c r="CR200" s="43">
        <f>Table2[[#This Row],[groupTime23]]/60</f>
        <v>4.8574999999999999</v>
      </c>
      <c r="CS200" s="43">
        <f>Table2[[#This Row],[groupTime24]]/60</f>
        <v>1.4318333333333333</v>
      </c>
    </row>
    <row r="201" spans="1:97" x14ac:dyDescent="0.25">
      <c r="A201" s="47" t="s">
        <v>821</v>
      </c>
      <c r="B201" s="11" t="s">
        <v>114</v>
      </c>
      <c r="C201" s="11">
        <v>85</v>
      </c>
      <c r="D201" s="11" t="s">
        <v>865</v>
      </c>
      <c r="E201" s="11">
        <v>6</v>
      </c>
      <c r="F201" s="11" t="s">
        <v>79</v>
      </c>
      <c r="G201" s="11">
        <v>493247098</v>
      </c>
      <c r="H201" s="11" t="s">
        <v>866</v>
      </c>
      <c r="I201" s="11" t="s">
        <v>865</v>
      </c>
      <c r="J201" s="11" t="s">
        <v>589</v>
      </c>
      <c r="K201" s="37" t="str">
        <f>IF(Table2[[#This Row],[priorSuccessRatio]]&lt;1,"yes","no")</f>
        <v>no</v>
      </c>
      <c r="L201" s="27">
        <f>VLOOKUP(Table2[[#This Row],[prolific]],'Correct calc'!B$16:$AJ$998,6,FALSE)</f>
        <v>1</v>
      </c>
      <c r="M201" s="27">
        <f>VLOOKUP(Table2[[#This Row],[prolific]],'Correct calc'!B$16:$AJ$998,14,FALSE)</f>
        <v>0.66666666666666663</v>
      </c>
      <c r="N201" s="27">
        <f>VLOOKUP(Table2[[#This Row],[prolific]],'Correct calc'!B$16:$AJ1180,24,FALSE)</f>
        <v>0.875</v>
      </c>
      <c r="O201" s="27">
        <f>VLOOKUP(Table2[[#This Row],[prolific]],'Correct calc'!B$16:$AJ1180,34,FALSE)</f>
        <v>1</v>
      </c>
      <c r="P201" s="28">
        <f>VLOOKUP(Table2[[#This Row],[comprescore]],Table3[],2,FALSE)</f>
        <v>4</v>
      </c>
      <c r="Q201" s="16">
        <f>VLOOKUP(Table2[[#This Row],[prolific]],'Correct calc'!B$16:$AK$998,36,FALSE)</f>
        <v>19</v>
      </c>
      <c r="R201" s="16">
        <f>Table2[[#This Row],[interviewminutes]]</f>
        <v>14.539</v>
      </c>
      <c r="S201" s="16">
        <f>Table2[[#This Row],[classifyTime]]+Table2[[#This Row],[explainTime]]+Table2[[#This Row],[validateTime]]</f>
        <v>11.358500000000001</v>
      </c>
      <c r="T201" s="29">
        <f>VLOOKUP(Table2[[#This Row],[prolific]],'Correct calc'!B$16:$AJ$998,35,FALSE)</f>
        <v>0.86363636363636365</v>
      </c>
      <c r="U201" s="15">
        <f>SUM(Table2[[#This Row],[priorKnowledge'[CLUSTERING']]:[priorKnowledge'[ZSCORES']]])/Table2[[#This Row],[priorKnowledgeTechQuestionCount]]</f>
        <v>3</v>
      </c>
      <c r="V201" s="16">
        <f>IF(Table2[[#This Row],[visualization]]="Wordcloud",2,3)</f>
        <v>3</v>
      </c>
      <c r="W201" s="31" t="s">
        <v>1215</v>
      </c>
      <c r="X201" s="31">
        <v>4</v>
      </c>
      <c r="Y201" s="31">
        <v>3</v>
      </c>
      <c r="Z201" s="31">
        <v>2</v>
      </c>
      <c r="AA201" s="31">
        <v>9</v>
      </c>
      <c r="AB201" s="31" t="s">
        <v>97</v>
      </c>
      <c r="AC201" s="31" t="s">
        <v>81</v>
      </c>
      <c r="AD201" s="31" t="s">
        <v>82</v>
      </c>
      <c r="AE201" s="31" t="s">
        <v>83</v>
      </c>
      <c r="AF201" s="31" t="s">
        <v>85</v>
      </c>
      <c r="AG201" s="31" t="s">
        <v>104</v>
      </c>
      <c r="AH201" s="31" t="s">
        <v>84</v>
      </c>
      <c r="AI201" s="31" t="s">
        <v>104</v>
      </c>
      <c r="AJ201" s="31" t="s">
        <v>86</v>
      </c>
      <c r="AK201" s="31" t="s">
        <v>88</v>
      </c>
      <c r="AL201" s="31" t="s">
        <v>87</v>
      </c>
      <c r="AM201" s="31" t="s">
        <v>105</v>
      </c>
      <c r="AN201" s="31" t="s">
        <v>90</v>
      </c>
      <c r="AO201" s="31" t="s">
        <v>83</v>
      </c>
      <c r="AP201" s="31" t="s">
        <v>85</v>
      </c>
      <c r="AQ201" s="31" t="s">
        <v>91</v>
      </c>
      <c r="AR201" s="31" t="s">
        <v>101</v>
      </c>
      <c r="AS201" s="31" t="s">
        <v>94</v>
      </c>
      <c r="AT201" s="31" t="s">
        <v>93</v>
      </c>
      <c r="AU201" s="31" t="s">
        <v>94</v>
      </c>
      <c r="AV201" s="31" t="s">
        <v>93</v>
      </c>
      <c r="AW201" s="31" t="s">
        <v>94</v>
      </c>
      <c r="AX201" s="31" t="s">
        <v>93</v>
      </c>
      <c r="AY201" s="31" t="s">
        <v>94</v>
      </c>
      <c r="AZ201" s="31" t="s">
        <v>93</v>
      </c>
      <c r="BA201" s="31" t="s">
        <v>103</v>
      </c>
      <c r="BB201" s="31" t="s">
        <v>909</v>
      </c>
      <c r="BC201" s="24"/>
      <c r="BD201" s="30">
        <f>Table2[[#This Row],[interviewtime]]/60</f>
        <v>14.539</v>
      </c>
      <c r="BE201" s="31">
        <v>872.34</v>
      </c>
      <c r="BF201" s="31">
        <v>8.91</v>
      </c>
      <c r="BG201" s="31"/>
      <c r="BH201" s="31">
        <v>59.07</v>
      </c>
      <c r="BI201" s="31"/>
      <c r="BJ201" s="31"/>
      <c r="BK201" s="31"/>
      <c r="BL201" s="31"/>
      <c r="BM201" s="31">
        <v>372.69</v>
      </c>
      <c r="BN201" s="31"/>
      <c r="BO201" s="31"/>
      <c r="BP201" s="31"/>
      <c r="BQ201" s="31"/>
      <c r="BR201" s="31"/>
      <c r="BS201" s="31"/>
      <c r="BT201" s="31">
        <v>153.75</v>
      </c>
      <c r="BU201" s="31"/>
      <c r="BV201" s="31"/>
      <c r="BW201" s="31"/>
      <c r="BX201" s="31"/>
      <c r="BY201" s="31"/>
      <c r="BZ201" s="31"/>
      <c r="CA201" s="31"/>
      <c r="CB201" s="31"/>
      <c r="CC201" s="31">
        <v>155.07</v>
      </c>
      <c r="CD201" s="24"/>
      <c r="CE201" s="24"/>
      <c r="CF201" s="24"/>
      <c r="CG201" s="24"/>
      <c r="CH201" s="24"/>
      <c r="CI201" s="24"/>
      <c r="CJ201" s="24"/>
      <c r="CK201" s="24"/>
      <c r="CL201" s="31">
        <v>122.85</v>
      </c>
      <c r="CM201" s="24"/>
      <c r="CN201" s="24"/>
      <c r="CO201" s="24"/>
      <c r="CP201" s="24"/>
      <c r="CQ201" s="43">
        <f>Table2[[#This Row],[groupTime22]]/60</f>
        <v>6.2115</v>
      </c>
      <c r="CR201" s="43">
        <f>Table2[[#This Row],[groupTime23]]/60</f>
        <v>2.5625</v>
      </c>
      <c r="CS201" s="43">
        <f>Table2[[#This Row],[groupTime24]]/60</f>
        <v>2.5844999999999998</v>
      </c>
    </row>
    <row r="202" spans="1:97" x14ac:dyDescent="0.25">
      <c r="A202" s="47" t="s">
        <v>821</v>
      </c>
      <c r="B202" s="11" t="s">
        <v>114</v>
      </c>
      <c r="C202" s="11">
        <v>86</v>
      </c>
      <c r="D202" s="11" t="s">
        <v>867</v>
      </c>
      <c r="E202" s="11">
        <v>6</v>
      </c>
      <c r="F202" s="11" t="s">
        <v>79</v>
      </c>
      <c r="G202" s="11">
        <v>1677672532</v>
      </c>
      <c r="H202" s="11" t="s">
        <v>868</v>
      </c>
      <c r="I202" s="11" t="s">
        <v>867</v>
      </c>
      <c r="J202" s="11" t="s">
        <v>589</v>
      </c>
      <c r="K202" s="37" t="str">
        <f>IF(Table2[[#This Row],[priorSuccessRatio]]&lt;1,"yes","no")</f>
        <v>no</v>
      </c>
      <c r="L202" s="27">
        <f>VLOOKUP(Table2[[#This Row],[prolific]],'Correct calc'!B$16:$AJ$998,6,FALSE)</f>
        <v>1</v>
      </c>
      <c r="M202" s="27">
        <f>VLOOKUP(Table2[[#This Row],[prolific]],'Correct calc'!B$16:$AJ$998,14,FALSE)</f>
        <v>1</v>
      </c>
      <c r="N202" s="27">
        <f>VLOOKUP(Table2[[#This Row],[prolific]],'Correct calc'!B$16:$AJ1181,24,FALSE)</f>
        <v>0.875</v>
      </c>
      <c r="O202" s="27">
        <f>VLOOKUP(Table2[[#This Row],[prolific]],'Correct calc'!B$16:$AJ1181,34,FALSE)</f>
        <v>0.75</v>
      </c>
      <c r="P202" s="28">
        <f>VLOOKUP(Table2[[#This Row],[comprescore]],Table3[],2,FALSE)</f>
        <v>3</v>
      </c>
      <c r="Q202" s="16">
        <f>VLOOKUP(Table2[[#This Row],[prolific]],'Correct calc'!B$16:$AK$998,36,FALSE)</f>
        <v>19</v>
      </c>
      <c r="R202" s="16">
        <f>Table2[[#This Row],[interviewminutes]]</f>
        <v>9.5476666666666663</v>
      </c>
      <c r="S202" s="16">
        <f>Table2[[#This Row],[classifyTime]]+Table2[[#This Row],[explainTime]]+Table2[[#This Row],[validateTime]]</f>
        <v>8.5429999999999993</v>
      </c>
      <c r="T202" s="29">
        <f>VLOOKUP(Table2[[#This Row],[prolific]],'Correct calc'!B$16:$AJ$998,35,FALSE)</f>
        <v>0.86363636363636365</v>
      </c>
      <c r="U202" s="15">
        <f>SUM(Table2[[#This Row],[priorKnowledge'[CLUSTERING']]:[priorKnowledge'[ZSCORES']]])/Table2[[#This Row],[priorKnowledgeTechQuestionCount]]</f>
        <v>1</v>
      </c>
      <c r="V202" s="16">
        <f>IF(Table2[[#This Row],[visualization]]="Wordcloud",2,3)</f>
        <v>3</v>
      </c>
      <c r="W202" s="31" t="s">
        <v>1216</v>
      </c>
      <c r="X202" s="31">
        <v>1</v>
      </c>
      <c r="Y202" s="31">
        <v>1</v>
      </c>
      <c r="Z202" s="31">
        <v>1</v>
      </c>
      <c r="AA202" s="31">
        <v>3</v>
      </c>
      <c r="AB202" s="31" t="s">
        <v>97</v>
      </c>
      <c r="AC202" s="31" t="s">
        <v>81</v>
      </c>
      <c r="AD202" s="31" t="s">
        <v>82</v>
      </c>
      <c r="AE202" s="31" t="s">
        <v>83</v>
      </c>
      <c r="AF202" s="31" t="s">
        <v>85</v>
      </c>
      <c r="AG202" s="31" t="s">
        <v>86</v>
      </c>
      <c r="AH202" s="31" t="s">
        <v>84</v>
      </c>
      <c r="AI202" s="31" t="s">
        <v>104</v>
      </c>
      <c r="AJ202" s="31" t="s">
        <v>98</v>
      </c>
      <c r="AK202" s="31" t="s">
        <v>88</v>
      </c>
      <c r="AL202" s="31" t="s">
        <v>87</v>
      </c>
      <c r="AM202" s="31" t="s">
        <v>105</v>
      </c>
      <c r="AN202" s="31" t="s">
        <v>100</v>
      </c>
      <c r="AO202" s="31" t="s">
        <v>83</v>
      </c>
      <c r="AP202" s="31" t="s">
        <v>85</v>
      </c>
      <c r="AQ202" s="31" t="s">
        <v>91</v>
      </c>
      <c r="AR202" s="31" t="s">
        <v>102</v>
      </c>
      <c r="AS202" s="31" t="s">
        <v>94</v>
      </c>
      <c r="AT202" s="31" t="s">
        <v>93</v>
      </c>
      <c r="AU202" s="31" t="s">
        <v>94</v>
      </c>
      <c r="AV202" s="31" t="s">
        <v>93</v>
      </c>
      <c r="AW202" s="31" t="s">
        <v>93</v>
      </c>
      <c r="AX202" s="31" t="s">
        <v>93</v>
      </c>
      <c r="AY202" s="31" t="s">
        <v>93</v>
      </c>
      <c r="AZ202" s="31" t="s">
        <v>93</v>
      </c>
      <c r="BA202" s="31" t="s">
        <v>107</v>
      </c>
      <c r="BB202" s="31" t="s">
        <v>911</v>
      </c>
      <c r="BC202" s="24"/>
      <c r="BD202" s="30">
        <f>Table2[[#This Row],[interviewtime]]/60</f>
        <v>9.5476666666666663</v>
      </c>
      <c r="BE202" s="31">
        <v>572.86</v>
      </c>
      <c r="BF202" s="31">
        <v>5.25</v>
      </c>
      <c r="BG202" s="31"/>
      <c r="BH202" s="31">
        <v>26.04</v>
      </c>
      <c r="BI202" s="31"/>
      <c r="BJ202" s="31"/>
      <c r="BK202" s="31"/>
      <c r="BL202" s="31"/>
      <c r="BM202" s="31">
        <v>260.37</v>
      </c>
      <c r="BN202" s="31"/>
      <c r="BO202" s="31"/>
      <c r="BP202" s="31"/>
      <c r="BQ202" s="31"/>
      <c r="BR202" s="31"/>
      <c r="BS202" s="31"/>
      <c r="BT202" s="31">
        <v>149.08000000000001</v>
      </c>
      <c r="BU202" s="31"/>
      <c r="BV202" s="31"/>
      <c r="BW202" s="31"/>
      <c r="BX202" s="31"/>
      <c r="BY202" s="31"/>
      <c r="BZ202" s="31"/>
      <c r="CA202" s="31"/>
      <c r="CB202" s="31"/>
      <c r="CC202" s="31">
        <v>103.13</v>
      </c>
      <c r="CD202" s="24"/>
      <c r="CE202" s="24"/>
      <c r="CF202" s="24"/>
      <c r="CG202" s="24"/>
      <c r="CH202" s="24"/>
      <c r="CI202" s="24"/>
      <c r="CJ202" s="24"/>
      <c r="CK202" s="24"/>
      <c r="CL202" s="31">
        <v>28.99</v>
      </c>
      <c r="CM202" s="24"/>
      <c r="CN202" s="24"/>
      <c r="CO202" s="24"/>
      <c r="CP202" s="24"/>
      <c r="CQ202" s="43">
        <f>Table2[[#This Row],[groupTime22]]/60</f>
        <v>4.3395000000000001</v>
      </c>
      <c r="CR202" s="43">
        <f>Table2[[#This Row],[groupTime23]]/60</f>
        <v>2.484666666666667</v>
      </c>
      <c r="CS202" s="43">
        <f>Table2[[#This Row],[groupTime24]]/60</f>
        <v>1.7188333333333332</v>
      </c>
    </row>
    <row r="203" spans="1:97" x14ac:dyDescent="0.25">
      <c r="A203" s="48"/>
      <c r="C203" s="9"/>
      <c r="D203" s="9"/>
      <c r="E203" s="9"/>
      <c r="F203" s="9"/>
      <c r="G203" s="9"/>
      <c r="H203" s="9"/>
      <c r="I203" s="9"/>
      <c r="J203" s="9"/>
      <c r="K203" s="9"/>
      <c r="L203" s="49"/>
      <c r="M203" s="49"/>
      <c r="N203" s="49"/>
      <c r="O203" s="49"/>
      <c r="P203" s="49"/>
      <c r="Q203" s="49"/>
      <c r="R203" s="49">
        <f>SUBTOTAL(101,Table2[timeToComplete])</f>
        <v>13.785114361702126</v>
      </c>
      <c r="S203" s="63"/>
      <c r="T203" s="50">
        <f>SUBTOTAL(101,Table2[totalSuccessRatio])</f>
        <v>0.72171179883945846</v>
      </c>
      <c r="U203" s="49"/>
      <c r="V203" s="4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f>SUBTOTAL(101,Table2[interviewminutes])</f>
        <v>13.785114361702126</v>
      </c>
      <c r="BE203" s="9">
        <f>SUBTOTAL(101,Table2[interviewtime])</f>
        <v>827.10686170212784</v>
      </c>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f>SUBTOTAL(103,Table2[feedbackTime])</f>
        <v>0</v>
      </c>
      <c r="CQ203" s="62"/>
      <c r="CR203" s="62"/>
      <c r="CS203" s="62"/>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25"/>
  <sheetViews>
    <sheetView workbookViewId="0">
      <selection activeCell="D26" sqref="D26"/>
    </sheetView>
  </sheetViews>
  <sheetFormatPr defaultRowHeight="15" x14ac:dyDescent="0.25"/>
  <sheetData>
    <row r="4" spans="1:1" x14ac:dyDescent="0.25">
      <c r="A4" t="s">
        <v>114</v>
      </c>
    </row>
    <row r="6" spans="1:1" x14ac:dyDescent="0.25">
      <c r="A6" s="25"/>
    </row>
    <row r="7" spans="1:1" x14ac:dyDescent="0.25">
      <c r="A7" s="26" t="s">
        <v>456</v>
      </c>
    </row>
    <row r="8" spans="1:1" x14ac:dyDescent="0.25">
      <c r="A8" s="26" t="s">
        <v>532</v>
      </c>
    </row>
    <row r="12" spans="1:1" x14ac:dyDescent="0.25">
      <c r="A12" t="s">
        <v>113</v>
      </c>
    </row>
    <row r="13" spans="1:1" x14ac:dyDescent="0.25">
      <c r="A13" s="25" t="s">
        <v>539</v>
      </c>
    </row>
    <row r="14" spans="1:1" x14ac:dyDescent="0.25">
      <c r="A14" s="26" t="s">
        <v>553</v>
      </c>
    </row>
    <row r="15" spans="1:1" x14ac:dyDescent="0.25">
      <c r="A15" s="25" t="s">
        <v>558</v>
      </c>
    </row>
    <row r="16" spans="1:1" x14ac:dyDescent="0.25">
      <c r="A16" s="26" t="s">
        <v>565</v>
      </c>
    </row>
    <row r="20" spans="1:1" x14ac:dyDescent="0.25">
      <c r="A20" t="s">
        <v>638</v>
      </c>
    </row>
    <row r="21" spans="1:1" x14ac:dyDescent="0.25">
      <c r="A21" t="s">
        <v>696</v>
      </c>
    </row>
    <row r="22" spans="1:1" x14ac:dyDescent="0.25">
      <c r="A22" t="s">
        <v>725</v>
      </c>
    </row>
    <row r="23" spans="1:1" x14ac:dyDescent="0.25">
      <c r="A23" t="s">
        <v>728</v>
      </c>
    </row>
    <row r="24" spans="1:1" x14ac:dyDescent="0.25">
      <c r="A24" t="s">
        <v>733</v>
      </c>
    </row>
    <row r="25" spans="1:1" x14ac:dyDescent="0.25">
      <c r="A25" t="s">
        <v>737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H14" sqref="H14"/>
    </sheetView>
  </sheetViews>
  <sheetFormatPr defaultRowHeight="15" x14ac:dyDescent="0.25"/>
  <cols>
    <col min="1" max="1" width="17.5703125" customWidth="1"/>
    <col min="2" max="2" width="20" bestFit="1" customWidth="1"/>
    <col min="3" max="3" width="23.5703125" bestFit="1" customWidth="1"/>
    <col min="4" max="4" width="23.28515625" bestFit="1" customWidth="1"/>
    <col min="5" max="5" width="24.28515625" bestFit="1" customWidth="1"/>
    <col min="6" max="6" width="13.5703125" bestFit="1" customWidth="1"/>
    <col min="7" max="7" width="13.28515625" bestFit="1" customWidth="1"/>
    <col min="8" max="8" width="14.28515625" bestFit="1" customWidth="1"/>
    <col min="9" max="9" width="12" bestFit="1" customWidth="1"/>
    <col min="10" max="10" width="19.42578125" bestFit="1" customWidth="1"/>
    <col min="11" max="18" width="8.7109375" customWidth="1"/>
    <col min="19" max="22" width="4.5703125" customWidth="1"/>
    <col min="23" max="23" width="5.5703125" customWidth="1"/>
    <col min="24" max="24" width="9.42578125" bestFit="1" customWidth="1"/>
    <col min="25" max="27" width="4.5703125" customWidth="1"/>
    <col min="28" max="28" width="9.42578125" bestFit="1" customWidth="1"/>
    <col min="29" max="32" width="4.5703125" customWidth="1"/>
    <col min="33" max="33" width="5.5703125" customWidth="1"/>
    <col min="34" max="34" width="9.42578125" bestFit="1" customWidth="1"/>
    <col min="35" max="36" width="4.5703125" customWidth="1"/>
    <col min="37" max="37" width="5.5703125" customWidth="1"/>
    <col min="38" max="38" width="9.42578125" bestFit="1" customWidth="1"/>
    <col min="39" max="40" width="4.5703125" customWidth="1"/>
    <col min="41" max="41" width="5.5703125" customWidth="1"/>
    <col min="42" max="42" width="9.42578125" bestFit="1" customWidth="1"/>
    <col min="43" max="45" width="4.5703125" customWidth="1"/>
    <col min="46" max="46" width="5.5703125" customWidth="1"/>
    <col min="47" max="47" width="9.42578125" bestFit="1" customWidth="1"/>
    <col min="48" max="48" width="4.5703125" customWidth="1"/>
    <col min="49" max="49" width="5.5703125" customWidth="1"/>
    <col min="50" max="50" width="9.42578125" bestFit="1" customWidth="1"/>
    <col min="51" max="52" width="4.5703125" customWidth="1"/>
    <col min="53" max="53" width="5.5703125" customWidth="1"/>
    <col min="54" max="54" width="9.42578125" bestFit="1" customWidth="1"/>
    <col min="55" max="55" width="4.5703125" customWidth="1"/>
    <col min="56" max="56" width="5.5703125" customWidth="1"/>
    <col min="57" max="57" width="9.42578125" bestFit="1" customWidth="1"/>
    <col min="58" max="58" width="11.28515625" bestFit="1" customWidth="1"/>
  </cols>
  <sheetData>
    <row r="1" spans="1:18" x14ac:dyDescent="0.25">
      <c r="A1" s="13" t="s">
        <v>579</v>
      </c>
      <c r="B1" t="s">
        <v>129</v>
      </c>
    </row>
    <row r="3" spans="1:18" x14ac:dyDescent="0.25">
      <c r="A3" s="13" t="s">
        <v>130</v>
      </c>
      <c r="B3" t="s">
        <v>983</v>
      </c>
      <c r="C3" t="s">
        <v>984</v>
      </c>
      <c r="D3" t="s">
        <v>985</v>
      </c>
      <c r="E3" t="s">
        <v>986</v>
      </c>
      <c r="F3" t="s">
        <v>1005</v>
      </c>
      <c r="G3" t="s">
        <v>1006</v>
      </c>
      <c r="H3" t="s">
        <v>1007</v>
      </c>
      <c r="I3" t="s">
        <v>1008</v>
      </c>
    </row>
    <row r="4" spans="1:18" x14ac:dyDescent="0.25">
      <c r="A4" s="14" t="s">
        <v>115</v>
      </c>
      <c r="B4" s="10">
        <v>0.64357864357864369</v>
      </c>
      <c r="C4" s="10">
        <v>0.65608465608465594</v>
      </c>
      <c r="D4" s="10">
        <v>0.77182539682539686</v>
      </c>
      <c r="E4" s="10">
        <v>0.50595238095238093</v>
      </c>
      <c r="F4" s="46">
        <v>4.9720502645502638</v>
      </c>
      <c r="G4" s="46">
        <v>3.3371005291005287</v>
      </c>
      <c r="H4" s="46">
        <v>2.5011772486772483</v>
      </c>
      <c r="I4" s="46">
        <v>10.810328042328043</v>
      </c>
    </row>
    <row r="5" spans="1:18" x14ac:dyDescent="0.25">
      <c r="A5" s="14" t="s">
        <v>113</v>
      </c>
      <c r="B5" s="10">
        <v>0.70000000000000007</v>
      </c>
      <c r="C5" s="10">
        <v>0.6384615384615383</v>
      </c>
      <c r="D5" s="10">
        <v>0.76923076923076927</v>
      </c>
      <c r="E5" s="10">
        <v>0.67692307692307696</v>
      </c>
      <c r="F5" s="46">
        <v>6.8073512820512807</v>
      </c>
      <c r="G5" s="46">
        <v>3.9303717948717942</v>
      </c>
      <c r="H5" s="46">
        <v>2.4419615384615385</v>
      </c>
      <c r="I5" s="46">
        <v>13.179684615384614</v>
      </c>
    </row>
    <row r="6" spans="1:18" x14ac:dyDescent="0.25">
      <c r="A6" s="14" t="s">
        <v>114</v>
      </c>
      <c r="B6" s="10">
        <v>0.82727272727272749</v>
      </c>
      <c r="C6" s="10">
        <v>0.7944444444444444</v>
      </c>
      <c r="D6" s="10">
        <v>0.82499999999999996</v>
      </c>
      <c r="E6" s="10">
        <v>0.85416666666666663</v>
      </c>
      <c r="F6" s="46">
        <v>5.254163888888888</v>
      </c>
      <c r="G6" s="46">
        <v>3.3535027777777788</v>
      </c>
      <c r="H6" s="46">
        <v>2.0373305555555556</v>
      </c>
      <c r="I6" s="46">
        <v>10.644997222222223</v>
      </c>
    </row>
    <row r="7" spans="1:18" x14ac:dyDescent="0.25">
      <c r="A7" s="14" t="s">
        <v>131</v>
      </c>
      <c r="B7" s="10">
        <v>0.72171179883945846</v>
      </c>
      <c r="C7" s="10">
        <v>0.69414893617021256</v>
      </c>
      <c r="D7" s="10">
        <v>0.78789893617021278</v>
      </c>
      <c r="E7" s="10">
        <v>0.67619680851063835</v>
      </c>
      <c r="F7" s="46">
        <v>5.696632092198584</v>
      </c>
      <c r="G7" s="46">
        <v>3.5474556737588649</v>
      </c>
      <c r="H7" s="46">
        <v>2.3326675531914889</v>
      </c>
      <c r="I7" s="46">
        <v>11.576755319148941</v>
      </c>
    </row>
    <row r="16" spans="1:18" x14ac:dyDescent="0.25">
      <c r="K16" s="65" t="s">
        <v>1009</v>
      </c>
      <c r="L16" s="65"/>
      <c r="M16" s="65"/>
      <c r="N16" s="65"/>
      <c r="O16" s="65" t="s">
        <v>1015</v>
      </c>
      <c r="P16" s="65"/>
      <c r="Q16" s="65"/>
      <c r="R16" s="65"/>
    </row>
    <row r="17" spans="10:18" x14ac:dyDescent="0.25">
      <c r="J17" t="s">
        <v>578</v>
      </c>
      <c r="K17" t="s">
        <v>1010</v>
      </c>
      <c r="L17" t="s">
        <v>1011</v>
      </c>
      <c r="M17" t="s">
        <v>1012</v>
      </c>
      <c r="N17" t="s">
        <v>128</v>
      </c>
      <c r="O17" t="s">
        <v>1010</v>
      </c>
      <c r="P17" t="s">
        <v>1011</v>
      </c>
      <c r="Q17" t="s">
        <v>1012</v>
      </c>
      <c r="R17" t="s">
        <v>128</v>
      </c>
    </row>
    <row r="18" spans="10:18" x14ac:dyDescent="0.25">
      <c r="J18" t="s">
        <v>1013</v>
      </c>
      <c r="K18" s="10">
        <f>C4</f>
        <v>0.65608465608465594</v>
      </c>
      <c r="L18" s="10">
        <f>D4</f>
        <v>0.77182539682539686</v>
      </c>
      <c r="M18" s="10">
        <f>E4</f>
        <v>0.50595238095238093</v>
      </c>
      <c r="N18" s="10">
        <f>B4</f>
        <v>0.64357864357864369</v>
      </c>
      <c r="O18" s="64">
        <f>F4</f>
        <v>4.9720502645502638</v>
      </c>
      <c r="P18" s="64">
        <f>G4</f>
        <v>3.3371005291005287</v>
      </c>
      <c r="Q18" s="64">
        <f>H4</f>
        <v>2.5011772486772483</v>
      </c>
      <c r="R18" s="64">
        <f>I4</f>
        <v>10.810328042328043</v>
      </c>
    </row>
    <row r="19" spans="10:18" x14ac:dyDescent="0.25">
      <c r="J19" t="s">
        <v>113</v>
      </c>
      <c r="K19" s="10">
        <f t="shared" ref="K19:K20" si="0">C5</f>
        <v>0.6384615384615383</v>
      </c>
      <c r="L19" s="10">
        <f t="shared" ref="L19:L20" si="1">D5</f>
        <v>0.76923076923076927</v>
      </c>
      <c r="M19" s="10">
        <f t="shared" ref="M19:M20" si="2">E5</f>
        <v>0.67692307692307696</v>
      </c>
      <c r="N19" s="10">
        <f t="shared" ref="N19:N20" si="3">B5</f>
        <v>0.70000000000000007</v>
      </c>
      <c r="O19" s="64">
        <f t="shared" ref="O19:O20" si="4">F5</f>
        <v>6.8073512820512807</v>
      </c>
      <c r="P19" s="64">
        <f t="shared" ref="P19:P20" si="5">G5</f>
        <v>3.9303717948717942</v>
      </c>
      <c r="Q19" s="64">
        <f t="shared" ref="Q19:Q20" si="6">H5</f>
        <v>2.4419615384615385</v>
      </c>
      <c r="R19" s="64">
        <f t="shared" ref="R19:R20" si="7">I5</f>
        <v>13.179684615384614</v>
      </c>
    </row>
    <row r="20" spans="10:18" x14ac:dyDescent="0.25">
      <c r="J20" t="s">
        <v>1014</v>
      </c>
      <c r="K20" s="10">
        <f t="shared" si="0"/>
        <v>0.7944444444444444</v>
      </c>
      <c r="L20" s="10">
        <f t="shared" si="1"/>
        <v>0.82499999999999996</v>
      </c>
      <c r="M20" s="10">
        <f t="shared" si="2"/>
        <v>0.85416666666666663</v>
      </c>
      <c r="N20" s="10">
        <f t="shared" si="3"/>
        <v>0.82727272727272749</v>
      </c>
      <c r="O20" s="64">
        <f t="shared" si="4"/>
        <v>5.254163888888888</v>
      </c>
      <c r="P20" s="64">
        <f t="shared" si="5"/>
        <v>3.3535027777777788</v>
      </c>
      <c r="Q20" s="64">
        <f t="shared" si="6"/>
        <v>2.0373305555555556</v>
      </c>
      <c r="R20" s="64">
        <f t="shared" si="7"/>
        <v>10.644997222222223</v>
      </c>
    </row>
  </sheetData>
  <mergeCells count="2">
    <mergeCell ref="K16:N16"/>
    <mergeCell ref="O16:R16"/>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0"/>
  <sheetViews>
    <sheetView workbookViewId="0">
      <selection activeCell="J2" sqref="J2"/>
    </sheetView>
  </sheetViews>
  <sheetFormatPr defaultRowHeight="15" x14ac:dyDescent="0.25"/>
  <cols>
    <col min="1" max="1" width="25.140625" customWidth="1"/>
    <col min="2" max="2" width="28.42578125" customWidth="1"/>
    <col min="6" max="6" width="24.7109375" customWidth="1"/>
    <col min="7" max="11" width="14" customWidth="1"/>
    <col min="12" max="12" width="17.42578125" customWidth="1"/>
    <col min="13" max="13" width="19.7109375" customWidth="1"/>
    <col min="14" max="14" width="14" customWidth="1"/>
  </cols>
  <sheetData>
    <row r="2" spans="1:13" x14ac:dyDescent="0.25">
      <c r="A2" s="22" t="s">
        <v>170</v>
      </c>
      <c r="B2" s="17">
        <f>CORREL(Table5[priorKnowledgeTechAvg],Table5[totalCorrectAnswers])</f>
        <v>-0.12144112759583153</v>
      </c>
      <c r="K2" t="s">
        <v>577</v>
      </c>
      <c r="L2" t="s">
        <v>141</v>
      </c>
      <c r="M2" t="s">
        <v>137</v>
      </c>
    </row>
    <row r="3" spans="1:13" x14ac:dyDescent="0.25">
      <c r="A3" s="22" t="s">
        <v>168</v>
      </c>
      <c r="B3" t="s">
        <v>137</v>
      </c>
      <c r="K3" s="31" t="s">
        <v>270</v>
      </c>
      <c r="L3" s="15">
        <v>4</v>
      </c>
      <c r="M3" s="16">
        <v>13</v>
      </c>
    </row>
    <row r="4" spans="1:13" x14ac:dyDescent="0.25">
      <c r="A4" s="22" t="s">
        <v>167</v>
      </c>
      <c r="B4" t="s">
        <v>141</v>
      </c>
      <c r="K4" s="31" t="s">
        <v>272</v>
      </c>
      <c r="L4" s="15">
        <v>1.5</v>
      </c>
      <c r="M4" s="16">
        <v>16</v>
      </c>
    </row>
    <row r="5" spans="1:13" x14ac:dyDescent="0.25">
      <c r="K5" s="31" t="s">
        <v>274</v>
      </c>
      <c r="L5" s="15">
        <v>4.5</v>
      </c>
      <c r="M5" s="16">
        <v>15</v>
      </c>
    </row>
    <row r="6" spans="1:13" x14ac:dyDescent="0.25">
      <c r="K6" s="31" t="s">
        <v>276</v>
      </c>
      <c r="L6" s="15">
        <v>1</v>
      </c>
      <c r="M6" s="16">
        <v>13</v>
      </c>
    </row>
    <row r="7" spans="1:13" x14ac:dyDescent="0.25">
      <c r="K7" s="31" t="s">
        <v>277</v>
      </c>
      <c r="L7" s="15">
        <v>4.5</v>
      </c>
      <c r="M7" s="16">
        <v>11</v>
      </c>
    </row>
    <row r="8" spans="1:13" x14ac:dyDescent="0.25">
      <c r="K8" s="31" t="s">
        <v>280</v>
      </c>
      <c r="L8" s="15">
        <v>1.5</v>
      </c>
      <c r="M8" s="16">
        <v>17</v>
      </c>
    </row>
    <row r="9" spans="1:13" x14ac:dyDescent="0.25">
      <c r="K9" s="31" t="s">
        <v>282</v>
      </c>
      <c r="L9" s="15">
        <v>1</v>
      </c>
      <c r="M9" s="16">
        <v>16</v>
      </c>
    </row>
    <row r="10" spans="1:13" x14ac:dyDescent="0.25">
      <c r="K10" s="31" t="s">
        <v>284</v>
      </c>
      <c r="L10" s="15">
        <v>3</v>
      </c>
      <c r="M10" s="16">
        <v>12</v>
      </c>
    </row>
    <row r="11" spans="1:13" x14ac:dyDescent="0.25">
      <c r="K11" s="31" t="s">
        <v>287</v>
      </c>
      <c r="L11" s="15">
        <v>2</v>
      </c>
      <c r="M11" s="16">
        <v>15</v>
      </c>
    </row>
    <row r="12" spans="1:13" x14ac:dyDescent="0.25">
      <c r="K12" s="31" t="s">
        <v>289</v>
      </c>
      <c r="L12" s="15">
        <v>1</v>
      </c>
      <c r="M12" s="16">
        <v>15</v>
      </c>
    </row>
    <row r="13" spans="1:13" x14ac:dyDescent="0.25">
      <c r="K13" s="31" t="s">
        <v>291</v>
      </c>
      <c r="L13" s="15">
        <v>2</v>
      </c>
      <c r="M13" s="16">
        <v>15</v>
      </c>
    </row>
    <row r="14" spans="1:13" x14ac:dyDescent="0.25">
      <c r="K14" s="31" t="s">
        <v>292</v>
      </c>
      <c r="L14" s="15">
        <v>3</v>
      </c>
      <c r="M14" s="16">
        <v>16</v>
      </c>
    </row>
    <row r="15" spans="1:13" x14ac:dyDescent="0.25">
      <c r="K15" s="31" t="s">
        <v>293</v>
      </c>
      <c r="L15" s="15">
        <v>5</v>
      </c>
      <c r="M15" s="16">
        <v>19</v>
      </c>
    </row>
    <row r="16" spans="1:13" x14ac:dyDescent="0.25">
      <c r="K16" s="31" t="s">
        <v>295</v>
      </c>
      <c r="L16" s="15">
        <v>1</v>
      </c>
      <c r="M16" s="16">
        <v>16</v>
      </c>
    </row>
    <row r="17" spans="1:13" x14ac:dyDescent="0.25">
      <c r="B17" s="51"/>
      <c r="C17" s="51"/>
      <c r="D17" s="51"/>
      <c r="K17" s="31" t="s">
        <v>297</v>
      </c>
      <c r="L17" s="15">
        <v>1</v>
      </c>
      <c r="M17" s="16">
        <v>15</v>
      </c>
    </row>
    <row r="18" spans="1:13" x14ac:dyDescent="0.25">
      <c r="B18" s="51"/>
      <c r="C18" s="51"/>
      <c r="D18" s="51"/>
      <c r="K18" s="31" t="s">
        <v>298</v>
      </c>
      <c r="L18" s="15">
        <v>2.5</v>
      </c>
      <c r="M18" s="16">
        <v>18</v>
      </c>
    </row>
    <row r="19" spans="1:13" x14ac:dyDescent="0.25">
      <c r="B19" s="52"/>
      <c r="C19" s="52"/>
      <c r="D19" s="51"/>
      <c r="K19" s="31" t="s">
        <v>300</v>
      </c>
      <c r="L19" s="15">
        <v>1</v>
      </c>
      <c r="M19" s="16">
        <v>13</v>
      </c>
    </row>
    <row r="20" spans="1:13" x14ac:dyDescent="0.25">
      <c r="A20" t="s">
        <v>142</v>
      </c>
      <c r="K20" s="31" t="s">
        <v>302</v>
      </c>
      <c r="L20" s="15">
        <v>2</v>
      </c>
      <c r="M20" s="16">
        <v>13</v>
      </c>
    </row>
    <row r="21" spans="1:13" ht="15.75" thickBot="1" x14ac:dyDescent="0.3">
      <c r="K21" s="31" t="s">
        <v>303</v>
      </c>
      <c r="L21" s="15">
        <v>2</v>
      </c>
      <c r="M21" s="16">
        <v>14</v>
      </c>
    </row>
    <row r="22" spans="1:13" x14ac:dyDescent="0.25">
      <c r="A22" s="21" t="s">
        <v>143</v>
      </c>
      <c r="B22" s="21"/>
      <c r="K22" s="31" t="s">
        <v>305</v>
      </c>
      <c r="L22" s="15">
        <v>3.5</v>
      </c>
      <c r="M22" s="16">
        <v>17</v>
      </c>
    </row>
    <row r="23" spans="1:13" x14ac:dyDescent="0.25">
      <c r="A23" s="18" t="s">
        <v>144</v>
      </c>
      <c r="B23" s="18">
        <v>0.12144112759583127</v>
      </c>
      <c r="K23" s="31" t="s">
        <v>306</v>
      </c>
      <c r="L23" s="15">
        <v>2.5</v>
      </c>
      <c r="M23" s="16">
        <v>10</v>
      </c>
    </row>
    <row r="24" spans="1:13" x14ac:dyDescent="0.25">
      <c r="A24" s="18" t="s">
        <v>145</v>
      </c>
      <c r="B24" s="18">
        <v>1.474794747174697E-2</v>
      </c>
      <c r="K24" s="31" t="s">
        <v>308</v>
      </c>
      <c r="L24" s="15">
        <v>1</v>
      </c>
      <c r="M24" s="16">
        <v>14</v>
      </c>
    </row>
    <row r="25" spans="1:13" x14ac:dyDescent="0.25">
      <c r="A25" s="18" t="s">
        <v>146</v>
      </c>
      <c r="B25" s="18">
        <v>9.4508934258961484E-3</v>
      </c>
      <c r="K25" s="31" t="s">
        <v>310</v>
      </c>
      <c r="L25" s="15">
        <v>2</v>
      </c>
      <c r="M25" s="16">
        <v>13</v>
      </c>
    </row>
    <row r="26" spans="1:13" x14ac:dyDescent="0.25">
      <c r="A26" s="18" t="s">
        <v>147</v>
      </c>
      <c r="B26" s="18">
        <v>3.2025119494618499</v>
      </c>
      <c r="K26" s="31" t="s">
        <v>312</v>
      </c>
      <c r="L26" s="15">
        <v>1</v>
      </c>
      <c r="M26" s="16">
        <v>13</v>
      </c>
    </row>
    <row r="27" spans="1:13" ht="15.75" thickBot="1" x14ac:dyDescent="0.3">
      <c r="A27" s="19" t="s">
        <v>148</v>
      </c>
      <c r="B27" s="19">
        <v>188</v>
      </c>
      <c r="K27" s="31" t="s">
        <v>314</v>
      </c>
      <c r="L27" s="15">
        <v>1</v>
      </c>
      <c r="M27" s="16">
        <v>15</v>
      </c>
    </row>
    <row r="28" spans="1:13" x14ac:dyDescent="0.25">
      <c r="K28" s="31" t="s">
        <v>316</v>
      </c>
      <c r="L28" s="15">
        <v>6.5</v>
      </c>
      <c r="M28" s="16">
        <v>14</v>
      </c>
    </row>
    <row r="29" spans="1:13" ht="15.75" thickBot="1" x14ac:dyDescent="0.3">
      <c r="A29" t="s">
        <v>149</v>
      </c>
      <c r="F29" s="35" t="s">
        <v>741</v>
      </c>
      <c r="G29" s="35"/>
      <c r="H29" s="35"/>
      <c r="K29" s="31" t="s">
        <v>318</v>
      </c>
      <c r="L29" s="15">
        <v>5</v>
      </c>
      <c r="M29" s="16">
        <v>12</v>
      </c>
    </row>
    <row r="30" spans="1:13" x14ac:dyDescent="0.25">
      <c r="A30" s="20"/>
      <c r="B30" s="20" t="s">
        <v>153</v>
      </c>
      <c r="C30" s="20" t="s">
        <v>154</v>
      </c>
      <c r="D30" s="20" t="s">
        <v>155</v>
      </c>
      <c r="E30" s="20" t="s">
        <v>156</v>
      </c>
      <c r="F30" s="20" t="s">
        <v>157</v>
      </c>
      <c r="K30" s="31" t="s">
        <v>320</v>
      </c>
      <c r="L30" s="15">
        <v>3.5</v>
      </c>
      <c r="M30" s="16">
        <v>16</v>
      </c>
    </row>
    <row r="31" spans="1:13" x14ac:dyDescent="0.25">
      <c r="A31" s="18" t="s">
        <v>150</v>
      </c>
      <c r="B31" s="18">
        <v>1</v>
      </c>
      <c r="C31" s="18">
        <v>28.554771933820803</v>
      </c>
      <c r="D31" s="18">
        <v>28.554771933820803</v>
      </c>
      <c r="E31" s="18">
        <v>2.7841791577148478</v>
      </c>
      <c r="F31" s="34">
        <v>9.6881899090840509E-2</v>
      </c>
      <c r="K31" s="31" t="s">
        <v>322</v>
      </c>
      <c r="L31" s="15">
        <v>1</v>
      </c>
      <c r="M31" s="16">
        <v>16</v>
      </c>
    </row>
    <row r="32" spans="1:13" x14ac:dyDescent="0.25">
      <c r="A32" s="18" t="s">
        <v>151</v>
      </c>
      <c r="B32" s="18">
        <v>186</v>
      </c>
      <c r="C32" s="18">
        <v>1907.6313982789445</v>
      </c>
      <c r="D32" s="18">
        <v>10.256082786445939</v>
      </c>
      <c r="E32" s="18"/>
      <c r="F32" s="18"/>
      <c r="K32" s="31" t="s">
        <v>324</v>
      </c>
      <c r="L32" s="15">
        <v>1</v>
      </c>
      <c r="M32" s="16">
        <v>14</v>
      </c>
    </row>
    <row r="33" spans="1:13" ht="15.75" thickBot="1" x14ac:dyDescent="0.3">
      <c r="A33" s="19" t="s">
        <v>128</v>
      </c>
      <c r="B33" s="19">
        <v>187</v>
      </c>
      <c r="C33" s="19">
        <v>1936.1861702127653</v>
      </c>
      <c r="D33" s="19"/>
      <c r="E33" s="19"/>
      <c r="F33" s="19"/>
      <c r="K33" s="31" t="s">
        <v>326</v>
      </c>
      <c r="L33" s="15">
        <v>2.5</v>
      </c>
      <c r="M33" s="16">
        <v>6</v>
      </c>
    </row>
    <row r="34" spans="1:13" ht="15.75" thickBot="1" x14ac:dyDescent="0.3">
      <c r="K34" s="31" t="s">
        <v>329</v>
      </c>
      <c r="L34" s="15">
        <v>1.5</v>
      </c>
      <c r="M34" s="16">
        <v>15</v>
      </c>
    </row>
    <row r="35" spans="1:13" x14ac:dyDescent="0.25">
      <c r="A35" s="20"/>
      <c r="B35" s="20" t="s">
        <v>158</v>
      </c>
      <c r="C35" s="20" t="s">
        <v>147</v>
      </c>
      <c r="D35" s="20" t="s">
        <v>159</v>
      </c>
      <c r="E35" s="20" t="s">
        <v>160</v>
      </c>
      <c r="F35" s="20" t="s">
        <v>161</v>
      </c>
      <c r="G35" s="20" t="s">
        <v>162</v>
      </c>
      <c r="H35" s="20" t="s">
        <v>163</v>
      </c>
      <c r="I35" s="20" t="s">
        <v>164</v>
      </c>
      <c r="K35" s="31" t="s">
        <v>331</v>
      </c>
      <c r="L35" s="15">
        <v>1.5</v>
      </c>
      <c r="M35" s="16">
        <v>18</v>
      </c>
    </row>
    <row r="36" spans="1:13" x14ac:dyDescent="0.25">
      <c r="A36" s="18" t="s">
        <v>152</v>
      </c>
      <c r="B36" s="18">
        <v>16.421804869881967</v>
      </c>
      <c r="C36" s="18">
        <v>0.40112644925470592</v>
      </c>
      <c r="D36" s="18">
        <v>40.939222283630826</v>
      </c>
      <c r="E36" s="18">
        <v>5.5636296266827734E-95</v>
      </c>
      <c r="F36" s="18">
        <v>15.630462565065697</v>
      </c>
      <c r="G36" s="18">
        <v>17.213147174698239</v>
      </c>
      <c r="H36" s="18">
        <v>15.630462565065697</v>
      </c>
      <c r="I36" s="18">
        <v>17.213147174698239</v>
      </c>
      <c r="K36" s="31" t="s">
        <v>333</v>
      </c>
      <c r="L36" s="15">
        <v>4.5</v>
      </c>
      <c r="M36" s="16">
        <v>16</v>
      </c>
    </row>
    <row r="37" spans="1:13" ht="15.75" thickBot="1" x14ac:dyDescent="0.3">
      <c r="A37" s="19" t="s">
        <v>165</v>
      </c>
      <c r="B37" s="19">
        <v>-0.21483930459463021</v>
      </c>
      <c r="C37" s="19">
        <v>0.12875531003260576</v>
      </c>
      <c r="D37" s="19">
        <v>-1.6685859755238421</v>
      </c>
      <c r="E37" s="19">
        <v>9.6881899090840509E-2</v>
      </c>
      <c r="F37" s="19">
        <v>-0.46884779490447326</v>
      </c>
      <c r="G37" s="19">
        <v>3.9169185715212856E-2</v>
      </c>
      <c r="H37" s="19">
        <v>-0.46884779490447326</v>
      </c>
      <c r="I37" s="19">
        <v>3.9169185715212856E-2</v>
      </c>
      <c r="K37" s="31" t="s">
        <v>335</v>
      </c>
      <c r="L37" s="15">
        <v>5</v>
      </c>
      <c r="M37" s="16">
        <v>13</v>
      </c>
    </row>
    <row r="38" spans="1:13" x14ac:dyDescent="0.25">
      <c r="K38" s="31" t="s">
        <v>337</v>
      </c>
      <c r="L38" s="15">
        <v>1</v>
      </c>
      <c r="M38" s="16">
        <v>18</v>
      </c>
    </row>
    <row r="39" spans="1:13" x14ac:dyDescent="0.25">
      <c r="K39" s="31" t="s">
        <v>339</v>
      </c>
      <c r="L39" s="15">
        <v>2</v>
      </c>
      <c r="M39" s="16">
        <v>14</v>
      </c>
    </row>
    <row r="40" spans="1:13" x14ac:dyDescent="0.25">
      <c r="K40" s="31" t="s">
        <v>340</v>
      </c>
      <c r="L40" s="15">
        <v>1</v>
      </c>
      <c r="M40" s="16">
        <v>16</v>
      </c>
    </row>
    <row r="41" spans="1:13" x14ac:dyDescent="0.25">
      <c r="K41" s="31" t="s">
        <v>342</v>
      </c>
      <c r="L41" s="15">
        <v>1</v>
      </c>
      <c r="M41" s="16">
        <v>11</v>
      </c>
    </row>
    <row r="42" spans="1:13" x14ac:dyDescent="0.25">
      <c r="K42" s="31" t="s">
        <v>344</v>
      </c>
      <c r="L42" s="15">
        <v>1.5</v>
      </c>
      <c r="M42" s="16">
        <v>12</v>
      </c>
    </row>
    <row r="43" spans="1:13" x14ac:dyDescent="0.25">
      <c r="K43" s="31" t="s">
        <v>346</v>
      </c>
      <c r="L43" s="15">
        <v>4</v>
      </c>
      <c r="M43" s="16">
        <v>9</v>
      </c>
    </row>
    <row r="44" spans="1:13" x14ac:dyDescent="0.25">
      <c r="K44" s="31" t="s">
        <v>348</v>
      </c>
      <c r="L44" s="15">
        <v>2.5</v>
      </c>
      <c r="M44" s="16">
        <v>17</v>
      </c>
    </row>
    <row r="45" spans="1:13" x14ac:dyDescent="0.25">
      <c r="K45" s="31" t="s">
        <v>350</v>
      </c>
      <c r="L45" s="15">
        <v>2</v>
      </c>
      <c r="M45" s="16">
        <v>17</v>
      </c>
    </row>
    <row r="46" spans="1:13" x14ac:dyDescent="0.25">
      <c r="K46" s="31" t="s">
        <v>745</v>
      </c>
      <c r="L46" s="15">
        <v>10</v>
      </c>
      <c r="M46" s="16">
        <v>8</v>
      </c>
    </row>
    <row r="47" spans="1:13" x14ac:dyDescent="0.25">
      <c r="K47" s="31" t="s">
        <v>748</v>
      </c>
      <c r="L47" s="15">
        <v>3</v>
      </c>
      <c r="M47" s="16">
        <v>11</v>
      </c>
    </row>
    <row r="48" spans="1:13" x14ac:dyDescent="0.25">
      <c r="K48" s="31" t="s">
        <v>751</v>
      </c>
      <c r="L48" s="15">
        <v>2</v>
      </c>
      <c r="M48" s="16">
        <v>9</v>
      </c>
    </row>
    <row r="49" spans="11:13" x14ac:dyDescent="0.25">
      <c r="K49" s="31" t="s">
        <v>754</v>
      </c>
      <c r="L49" s="15">
        <v>1.5</v>
      </c>
      <c r="M49" s="16">
        <v>14</v>
      </c>
    </row>
    <row r="50" spans="11:13" x14ac:dyDescent="0.25">
      <c r="K50" s="31" t="s">
        <v>757</v>
      </c>
      <c r="L50" s="15">
        <v>1</v>
      </c>
      <c r="M50" s="16">
        <v>11</v>
      </c>
    </row>
    <row r="51" spans="11:13" x14ac:dyDescent="0.25">
      <c r="K51" s="31" t="s">
        <v>760</v>
      </c>
      <c r="L51" s="15">
        <v>1</v>
      </c>
      <c r="M51" s="16">
        <v>18</v>
      </c>
    </row>
    <row r="52" spans="11:13" x14ac:dyDescent="0.25">
      <c r="K52" s="31" t="s">
        <v>763</v>
      </c>
      <c r="L52" s="15">
        <v>2</v>
      </c>
      <c r="M52" s="16">
        <v>10</v>
      </c>
    </row>
    <row r="53" spans="11:13" x14ac:dyDescent="0.25">
      <c r="K53" s="31" t="s">
        <v>766</v>
      </c>
      <c r="L53" s="15">
        <v>1.5</v>
      </c>
      <c r="M53" s="16">
        <v>15</v>
      </c>
    </row>
    <row r="54" spans="11:13" x14ac:dyDescent="0.25">
      <c r="K54" s="31" t="s">
        <v>769</v>
      </c>
      <c r="L54" s="15">
        <v>6</v>
      </c>
      <c r="M54" s="16">
        <v>17</v>
      </c>
    </row>
    <row r="55" spans="11:13" x14ac:dyDescent="0.25">
      <c r="K55" s="31" t="s">
        <v>772</v>
      </c>
      <c r="L55" s="15">
        <v>1</v>
      </c>
      <c r="M55" s="16">
        <v>18</v>
      </c>
    </row>
    <row r="56" spans="11:13" x14ac:dyDescent="0.25">
      <c r="K56" s="31" t="s">
        <v>775</v>
      </c>
      <c r="L56" s="15">
        <v>3.5</v>
      </c>
      <c r="M56" s="16">
        <v>13</v>
      </c>
    </row>
    <row r="57" spans="11:13" x14ac:dyDescent="0.25">
      <c r="K57" s="31" t="s">
        <v>778</v>
      </c>
      <c r="L57" s="15">
        <v>1</v>
      </c>
      <c r="M57" s="16">
        <v>12</v>
      </c>
    </row>
    <row r="58" spans="11:13" x14ac:dyDescent="0.25">
      <c r="K58" s="31" t="s">
        <v>781</v>
      </c>
      <c r="L58" s="15">
        <v>1.5</v>
      </c>
      <c r="M58" s="16">
        <v>15</v>
      </c>
    </row>
    <row r="59" spans="11:13" x14ac:dyDescent="0.25">
      <c r="K59" s="31" t="s">
        <v>785</v>
      </c>
      <c r="L59" s="15">
        <v>2</v>
      </c>
      <c r="M59" s="16">
        <v>11</v>
      </c>
    </row>
    <row r="60" spans="11:13" x14ac:dyDescent="0.25">
      <c r="K60" s="31" t="s">
        <v>788</v>
      </c>
      <c r="L60" s="15">
        <v>4.5</v>
      </c>
      <c r="M60" s="16">
        <v>13</v>
      </c>
    </row>
    <row r="61" spans="11:13" x14ac:dyDescent="0.25">
      <c r="K61" s="31" t="s">
        <v>791</v>
      </c>
      <c r="L61" s="15">
        <v>1</v>
      </c>
      <c r="M61" s="16">
        <v>16</v>
      </c>
    </row>
    <row r="62" spans="11:13" x14ac:dyDescent="0.25">
      <c r="K62" s="31" t="s">
        <v>794</v>
      </c>
      <c r="L62" s="15">
        <v>7.5</v>
      </c>
      <c r="M62" s="16">
        <v>17</v>
      </c>
    </row>
    <row r="63" spans="11:13" x14ac:dyDescent="0.25">
      <c r="K63" s="31" t="s">
        <v>796</v>
      </c>
      <c r="L63" s="15">
        <v>1</v>
      </c>
      <c r="M63" s="16">
        <v>15</v>
      </c>
    </row>
    <row r="64" spans="11:13" x14ac:dyDescent="0.25">
      <c r="K64" s="31" t="s">
        <v>799</v>
      </c>
      <c r="L64" s="15">
        <v>1</v>
      </c>
      <c r="M64" s="16">
        <v>16</v>
      </c>
    </row>
    <row r="65" spans="11:13" x14ac:dyDescent="0.25">
      <c r="K65" s="31" t="s">
        <v>802</v>
      </c>
      <c r="L65" s="15">
        <v>4</v>
      </c>
      <c r="M65" s="16">
        <v>15</v>
      </c>
    </row>
    <row r="66" spans="11:13" x14ac:dyDescent="0.25">
      <c r="K66" s="31" t="s">
        <v>524</v>
      </c>
      <c r="L66" s="15">
        <v>1</v>
      </c>
      <c r="M66" s="16">
        <v>17</v>
      </c>
    </row>
    <row r="67" spans="11:13" x14ac:dyDescent="0.25">
      <c r="K67" s="31" t="s">
        <v>526</v>
      </c>
      <c r="L67" s="15">
        <v>2.3333333333333335</v>
      </c>
      <c r="M67" s="16">
        <v>14</v>
      </c>
    </row>
    <row r="68" spans="11:13" x14ac:dyDescent="0.25">
      <c r="K68" s="31" t="s">
        <v>528</v>
      </c>
      <c r="L68" s="15">
        <v>1</v>
      </c>
      <c r="M68" s="16">
        <v>14</v>
      </c>
    </row>
    <row r="69" spans="11:13" x14ac:dyDescent="0.25">
      <c r="K69" s="31" t="s">
        <v>530</v>
      </c>
      <c r="L69" s="15">
        <v>2.6666666666666665</v>
      </c>
      <c r="M69" s="16">
        <v>18</v>
      </c>
    </row>
    <row r="70" spans="11:13" x14ac:dyDescent="0.25">
      <c r="K70" s="31" t="s">
        <v>533</v>
      </c>
      <c r="L70" s="15">
        <v>5</v>
      </c>
      <c r="M70" s="16">
        <v>14</v>
      </c>
    </row>
    <row r="71" spans="11:13" x14ac:dyDescent="0.25">
      <c r="K71" s="31" t="s">
        <v>535</v>
      </c>
      <c r="L71" s="15">
        <v>1.3333333333333333</v>
      </c>
      <c r="M71" s="16">
        <v>16</v>
      </c>
    </row>
    <row r="72" spans="11:13" x14ac:dyDescent="0.25">
      <c r="K72" s="31" t="s">
        <v>537</v>
      </c>
      <c r="L72" s="15">
        <v>3.3333333333333335</v>
      </c>
      <c r="M72" s="16">
        <v>17</v>
      </c>
    </row>
    <row r="73" spans="11:13" x14ac:dyDescent="0.25">
      <c r="K73" s="31" t="s">
        <v>540</v>
      </c>
      <c r="L73" s="15">
        <v>6</v>
      </c>
      <c r="M73" s="16">
        <v>12</v>
      </c>
    </row>
    <row r="74" spans="11:13" x14ac:dyDescent="0.25">
      <c r="K74" s="31" t="s">
        <v>542</v>
      </c>
      <c r="L74" s="15">
        <v>1.3333333333333333</v>
      </c>
      <c r="M74" s="16">
        <v>13</v>
      </c>
    </row>
    <row r="75" spans="11:13" x14ac:dyDescent="0.25">
      <c r="K75" s="31" t="s">
        <v>544</v>
      </c>
      <c r="L75" s="15">
        <v>1</v>
      </c>
      <c r="M75" s="16">
        <v>16</v>
      </c>
    </row>
    <row r="76" spans="11:13" x14ac:dyDescent="0.25">
      <c r="K76" s="31" t="s">
        <v>546</v>
      </c>
      <c r="L76" s="15">
        <v>1</v>
      </c>
      <c r="M76" s="16">
        <v>17</v>
      </c>
    </row>
    <row r="77" spans="11:13" x14ac:dyDescent="0.25">
      <c r="K77" s="31" t="s">
        <v>548</v>
      </c>
      <c r="L77" s="15">
        <v>4</v>
      </c>
      <c r="M77" s="16">
        <v>17</v>
      </c>
    </row>
    <row r="78" spans="11:13" x14ac:dyDescent="0.25">
      <c r="K78" s="31" t="s">
        <v>551</v>
      </c>
      <c r="L78" s="15">
        <v>2.6666666666666665</v>
      </c>
      <c r="M78" s="16">
        <v>16</v>
      </c>
    </row>
    <row r="79" spans="11:13" x14ac:dyDescent="0.25">
      <c r="K79" s="31" t="s">
        <v>554</v>
      </c>
      <c r="L79" s="15">
        <v>1</v>
      </c>
      <c r="M79" s="16">
        <v>17</v>
      </c>
    </row>
    <row r="80" spans="11:13" x14ac:dyDescent="0.25">
      <c r="K80" s="31" t="s">
        <v>555</v>
      </c>
      <c r="L80" s="15">
        <v>1</v>
      </c>
      <c r="M80" s="16">
        <v>13</v>
      </c>
    </row>
    <row r="81" spans="11:13" x14ac:dyDescent="0.25">
      <c r="K81" s="31" t="s">
        <v>557</v>
      </c>
      <c r="L81" s="15">
        <v>1.3333333333333333</v>
      </c>
      <c r="M81" s="16">
        <v>17</v>
      </c>
    </row>
    <row r="82" spans="11:13" x14ac:dyDescent="0.25">
      <c r="K82" s="31" t="s">
        <v>559</v>
      </c>
      <c r="L82" s="15">
        <v>1</v>
      </c>
      <c r="M82" s="16">
        <v>14</v>
      </c>
    </row>
    <row r="83" spans="11:13" x14ac:dyDescent="0.25">
      <c r="K83" s="31" t="s">
        <v>561</v>
      </c>
      <c r="L83" s="15">
        <v>1</v>
      </c>
      <c r="M83" s="16">
        <v>18</v>
      </c>
    </row>
    <row r="84" spans="11:13" x14ac:dyDescent="0.25">
      <c r="K84" s="31" t="s">
        <v>563</v>
      </c>
      <c r="L84" s="15">
        <v>4.333333333333333</v>
      </c>
      <c r="M84" s="16">
        <v>17</v>
      </c>
    </row>
    <row r="85" spans="11:13" x14ac:dyDescent="0.25">
      <c r="K85" s="31" t="s">
        <v>566</v>
      </c>
      <c r="L85" s="15">
        <v>1</v>
      </c>
      <c r="M85" s="16">
        <v>5</v>
      </c>
    </row>
    <row r="86" spans="11:13" x14ac:dyDescent="0.25">
      <c r="K86" s="31" t="s">
        <v>568</v>
      </c>
      <c r="L86" s="15">
        <v>2</v>
      </c>
      <c r="M86" s="16">
        <v>16</v>
      </c>
    </row>
    <row r="87" spans="11:13" x14ac:dyDescent="0.25">
      <c r="K87" s="31" t="s">
        <v>570</v>
      </c>
      <c r="L87" s="15">
        <v>4</v>
      </c>
      <c r="M87" s="16">
        <v>10</v>
      </c>
    </row>
    <row r="88" spans="11:13" x14ac:dyDescent="0.25">
      <c r="K88" s="31" t="s">
        <v>571</v>
      </c>
      <c r="L88" s="15">
        <v>1</v>
      </c>
      <c r="M88" s="16">
        <v>17</v>
      </c>
    </row>
    <row r="89" spans="11:13" x14ac:dyDescent="0.25">
      <c r="K89" s="31" t="s">
        <v>573</v>
      </c>
      <c r="L89" s="15">
        <v>3.3333333333333335</v>
      </c>
      <c r="M89" s="16">
        <v>11</v>
      </c>
    </row>
    <row r="90" spans="11:13" x14ac:dyDescent="0.25">
      <c r="K90" s="31" t="s">
        <v>575</v>
      </c>
      <c r="L90" s="15">
        <v>2</v>
      </c>
      <c r="M90" s="16">
        <v>15</v>
      </c>
    </row>
    <row r="91" spans="11:13" x14ac:dyDescent="0.25">
      <c r="K91" s="31" t="s">
        <v>692</v>
      </c>
      <c r="L91" s="42">
        <v>2</v>
      </c>
      <c r="M91" s="40">
        <v>14</v>
      </c>
    </row>
    <row r="92" spans="11:13" x14ac:dyDescent="0.25">
      <c r="K92" s="31" t="s">
        <v>693</v>
      </c>
      <c r="L92" s="42">
        <v>1</v>
      </c>
      <c r="M92" s="40">
        <v>14</v>
      </c>
    </row>
    <row r="93" spans="11:13" x14ac:dyDescent="0.25">
      <c r="K93" s="31" t="s">
        <v>694</v>
      </c>
      <c r="L93" s="42">
        <v>1.6666666666666667</v>
      </c>
      <c r="M93" s="40">
        <v>16</v>
      </c>
    </row>
    <row r="94" spans="11:13" x14ac:dyDescent="0.25">
      <c r="K94" s="31" t="s">
        <v>696</v>
      </c>
      <c r="L94" s="42">
        <v>2</v>
      </c>
      <c r="M94" s="40">
        <v>15</v>
      </c>
    </row>
    <row r="95" spans="11:13" x14ac:dyDescent="0.25">
      <c r="K95" s="31" t="s">
        <v>698</v>
      </c>
      <c r="L95" s="42">
        <v>5.666666666666667</v>
      </c>
      <c r="M95" s="40">
        <v>18</v>
      </c>
    </row>
    <row r="96" spans="11:13" x14ac:dyDescent="0.25">
      <c r="K96" s="31" t="s">
        <v>700</v>
      </c>
      <c r="L96" s="42">
        <v>2</v>
      </c>
      <c r="M96" s="40">
        <v>17</v>
      </c>
    </row>
    <row r="97" spans="11:13" x14ac:dyDescent="0.25">
      <c r="K97" s="31" t="s">
        <v>702</v>
      </c>
      <c r="L97" s="42">
        <v>3.6666666666666665</v>
      </c>
      <c r="M97" s="40">
        <v>17</v>
      </c>
    </row>
    <row r="98" spans="11:13" x14ac:dyDescent="0.25">
      <c r="K98" s="31" t="s">
        <v>704</v>
      </c>
      <c r="L98" s="42">
        <v>1.3333333333333333</v>
      </c>
      <c r="M98" s="40">
        <v>17</v>
      </c>
    </row>
    <row r="99" spans="11:13" x14ac:dyDescent="0.25">
      <c r="K99" s="31" t="s">
        <v>706</v>
      </c>
      <c r="L99" s="42">
        <v>1</v>
      </c>
      <c r="M99" s="40">
        <v>17</v>
      </c>
    </row>
    <row r="100" spans="11:13" x14ac:dyDescent="0.25">
      <c r="K100" s="31" t="s">
        <v>708</v>
      </c>
      <c r="L100" s="42">
        <v>5</v>
      </c>
      <c r="M100" s="40">
        <v>18</v>
      </c>
    </row>
    <row r="101" spans="11:13" x14ac:dyDescent="0.25">
      <c r="K101" s="31" t="s">
        <v>709</v>
      </c>
      <c r="L101" s="42">
        <v>4</v>
      </c>
      <c r="M101" s="40">
        <v>12</v>
      </c>
    </row>
    <row r="102" spans="11:13" x14ac:dyDescent="0.25">
      <c r="K102" s="31" t="s">
        <v>711</v>
      </c>
      <c r="L102" s="42">
        <v>5.333333333333333</v>
      </c>
      <c r="M102" s="40">
        <v>12</v>
      </c>
    </row>
    <row r="103" spans="11:13" x14ac:dyDescent="0.25">
      <c r="K103" s="31" t="s">
        <v>713</v>
      </c>
      <c r="L103" s="42">
        <v>1</v>
      </c>
      <c r="M103" s="40">
        <v>13</v>
      </c>
    </row>
    <row r="104" spans="11:13" x14ac:dyDescent="0.25">
      <c r="K104" s="31" t="s">
        <v>715</v>
      </c>
      <c r="L104" s="42">
        <v>1</v>
      </c>
      <c r="M104" s="40">
        <v>14</v>
      </c>
    </row>
    <row r="105" spans="11:13" x14ac:dyDescent="0.25">
      <c r="K105" s="31" t="s">
        <v>717</v>
      </c>
      <c r="L105" s="42">
        <v>1</v>
      </c>
      <c r="M105" s="40">
        <v>14</v>
      </c>
    </row>
    <row r="106" spans="11:13" x14ac:dyDescent="0.25">
      <c r="K106" s="31" t="s">
        <v>719</v>
      </c>
      <c r="L106" s="42">
        <v>1</v>
      </c>
      <c r="M106" s="40">
        <v>16</v>
      </c>
    </row>
    <row r="107" spans="11:13" x14ac:dyDescent="0.25">
      <c r="K107" s="31" t="s">
        <v>721</v>
      </c>
      <c r="L107" s="42">
        <v>1.3333333333333333</v>
      </c>
      <c r="M107" s="40">
        <v>15</v>
      </c>
    </row>
    <row r="108" spans="11:13" x14ac:dyDescent="0.25">
      <c r="K108" s="31" t="s">
        <v>723</v>
      </c>
      <c r="L108" s="42">
        <v>1</v>
      </c>
      <c r="M108" s="40">
        <v>16</v>
      </c>
    </row>
    <row r="109" spans="11:13" x14ac:dyDescent="0.25">
      <c r="K109" s="31" t="s">
        <v>726</v>
      </c>
      <c r="L109" s="42">
        <v>1.3333333333333333</v>
      </c>
      <c r="M109" s="40">
        <v>19</v>
      </c>
    </row>
    <row r="110" spans="11:13" x14ac:dyDescent="0.25">
      <c r="K110" s="31" t="s">
        <v>729</v>
      </c>
      <c r="L110" s="42">
        <v>1.6666666666666667</v>
      </c>
      <c r="M110" s="40">
        <v>17</v>
      </c>
    </row>
    <row r="111" spans="11:13" x14ac:dyDescent="0.25">
      <c r="K111" s="31" t="s">
        <v>731</v>
      </c>
      <c r="L111" s="42">
        <v>1.6666666666666667</v>
      </c>
      <c r="M111" s="40">
        <v>19</v>
      </c>
    </row>
    <row r="112" spans="11:13" x14ac:dyDescent="0.25">
      <c r="K112" s="31" t="s">
        <v>734</v>
      </c>
      <c r="L112" s="42">
        <v>4</v>
      </c>
      <c r="M112" s="40">
        <v>16</v>
      </c>
    </row>
    <row r="113" spans="11:13" x14ac:dyDescent="0.25">
      <c r="K113" s="31" t="s">
        <v>735</v>
      </c>
      <c r="L113" s="42">
        <v>2</v>
      </c>
      <c r="M113" s="40">
        <v>13</v>
      </c>
    </row>
    <row r="114" spans="11:13" x14ac:dyDescent="0.25">
      <c r="K114" s="31" t="s">
        <v>738</v>
      </c>
      <c r="L114" s="42">
        <v>2</v>
      </c>
      <c r="M114" s="40">
        <v>19</v>
      </c>
    </row>
    <row r="115" spans="11:13" x14ac:dyDescent="0.25">
      <c r="K115" s="31" t="s">
        <v>945</v>
      </c>
      <c r="L115" s="15">
        <v>5.333333333333333</v>
      </c>
      <c r="M115" s="16">
        <v>13</v>
      </c>
    </row>
    <row r="116" spans="11:13" x14ac:dyDescent="0.25">
      <c r="K116" s="31" t="s">
        <v>947</v>
      </c>
      <c r="L116" s="15">
        <v>5</v>
      </c>
      <c r="M116" s="16">
        <v>14</v>
      </c>
    </row>
    <row r="117" spans="11:13" x14ac:dyDescent="0.25">
      <c r="K117" s="31" t="s">
        <v>949</v>
      </c>
      <c r="L117" s="15">
        <v>2.3333333333333335</v>
      </c>
      <c r="M117" s="16">
        <v>15</v>
      </c>
    </row>
    <row r="118" spans="11:13" x14ac:dyDescent="0.25">
      <c r="K118" s="31" t="s">
        <v>951</v>
      </c>
      <c r="L118" s="15">
        <v>1.3333333333333333</v>
      </c>
      <c r="M118" s="16">
        <v>15</v>
      </c>
    </row>
    <row r="119" spans="11:13" x14ac:dyDescent="0.25">
      <c r="K119" s="31" t="s">
        <v>953</v>
      </c>
      <c r="L119" s="15">
        <v>2.3333333333333335</v>
      </c>
      <c r="M119" s="16">
        <v>16</v>
      </c>
    </row>
    <row r="120" spans="11:13" x14ac:dyDescent="0.25">
      <c r="K120" s="31" t="s">
        <v>955</v>
      </c>
      <c r="L120" s="15">
        <v>1.6666666666666667</v>
      </c>
      <c r="M120" s="16">
        <v>21</v>
      </c>
    </row>
    <row r="121" spans="11:13" x14ac:dyDescent="0.25">
      <c r="K121" s="31" t="s">
        <v>957</v>
      </c>
      <c r="L121" s="15">
        <v>1.3333333333333333</v>
      </c>
      <c r="M121" s="16">
        <v>16</v>
      </c>
    </row>
    <row r="122" spans="11:13" x14ac:dyDescent="0.25">
      <c r="K122" s="31" t="s">
        <v>959</v>
      </c>
      <c r="L122" s="15">
        <v>5.333333333333333</v>
      </c>
      <c r="M122" s="16">
        <v>9</v>
      </c>
    </row>
    <row r="123" spans="11:13" x14ac:dyDescent="0.25">
      <c r="K123" s="31" t="s">
        <v>961</v>
      </c>
      <c r="L123" s="15">
        <v>1</v>
      </c>
      <c r="M123" s="16">
        <v>15</v>
      </c>
    </row>
    <row r="124" spans="11:13" x14ac:dyDescent="0.25">
      <c r="K124" s="31" t="s">
        <v>963</v>
      </c>
      <c r="L124" s="15">
        <v>5</v>
      </c>
      <c r="M124" s="16">
        <v>17</v>
      </c>
    </row>
    <row r="125" spans="11:13" x14ac:dyDescent="0.25">
      <c r="K125" s="31" t="s">
        <v>965</v>
      </c>
      <c r="L125" s="15">
        <v>5</v>
      </c>
      <c r="M125" s="16">
        <v>14</v>
      </c>
    </row>
    <row r="126" spans="11:13" x14ac:dyDescent="0.25">
      <c r="K126" s="31" t="s">
        <v>967</v>
      </c>
      <c r="L126" s="15">
        <v>4.333333333333333</v>
      </c>
      <c r="M126" s="16">
        <v>17</v>
      </c>
    </row>
    <row r="127" spans="11:13" x14ac:dyDescent="0.25">
      <c r="K127" s="31" t="s">
        <v>969</v>
      </c>
      <c r="L127" s="15">
        <v>1</v>
      </c>
      <c r="M127" s="16">
        <v>19</v>
      </c>
    </row>
    <row r="128" spans="11:13" x14ac:dyDescent="0.25">
      <c r="K128" s="31" t="s">
        <v>971</v>
      </c>
      <c r="L128" s="15">
        <v>1</v>
      </c>
      <c r="M128" s="16">
        <v>18</v>
      </c>
    </row>
    <row r="129" spans="11:13" x14ac:dyDescent="0.25">
      <c r="K129" s="31" t="s">
        <v>973</v>
      </c>
      <c r="L129" s="15">
        <v>5</v>
      </c>
      <c r="M129" s="16">
        <v>19</v>
      </c>
    </row>
    <row r="130" spans="11:13" x14ac:dyDescent="0.25">
      <c r="K130" s="31" t="s">
        <v>975</v>
      </c>
      <c r="L130" s="15">
        <v>1.3333333333333333</v>
      </c>
      <c r="M130" s="16">
        <v>14</v>
      </c>
    </row>
    <row r="131" spans="11:13" x14ac:dyDescent="0.25">
      <c r="K131" s="31" t="s">
        <v>419</v>
      </c>
      <c r="L131" s="15">
        <v>4</v>
      </c>
      <c r="M131" s="16">
        <v>21</v>
      </c>
    </row>
    <row r="132" spans="11:13" x14ac:dyDescent="0.25">
      <c r="K132" s="31" t="s">
        <v>420</v>
      </c>
      <c r="L132" s="15">
        <v>5.666666666666667</v>
      </c>
      <c r="M132" s="16">
        <v>20</v>
      </c>
    </row>
    <row r="133" spans="11:13" x14ac:dyDescent="0.25">
      <c r="K133" s="31" t="s">
        <v>422</v>
      </c>
      <c r="L133" s="15">
        <v>1</v>
      </c>
      <c r="M133" s="16">
        <v>14</v>
      </c>
    </row>
    <row r="134" spans="11:13" x14ac:dyDescent="0.25">
      <c r="K134" s="31" t="s">
        <v>424</v>
      </c>
      <c r="L134" s="15">
        <v>1</v>
      </c>
      <c r="M134" s="16">
        <v>13</v>
      </c>
    </row>
    <row r="135" spans="11:13" x14ac:dyDescent="0.25">
      <c r="K135" s="26" t="s">
        <v>426</v>
      </c>
      <c r="L135" s="15">
        <v>10</v>
      </c>
      <c r="M135" s="16">
        <v>11</v>
      </c>
    </row>
    <row r="136" spans="11:13" x14ac:dyDescent="0.25">
      <c r="K136" s="26" t="s">
        <v>429</v>
      </c>
      <c r="L136" s="15">
        <v>1.3333333333333333</v>
      </c>
      <c r="M136" s="16">
        <v>20</v>
      </c>
    </row>
    <row r="137" spans="11:13" x14ac:dyDescent="0.25">
      <c r="K137" s="45" t="s">
        <v>431</v>
      </c>
      <c r="L137" s="15">
        <v>1</v>
      </c>
      <c r="M137" s="16">
        <v>21</v>
      </c>
    </row>
    <row r="138" spans="11:13" x14ac:dyDescent="0.25">
      <c r="K138" s="45" t="s">
        <v>434</v>
      </c>
      <c r="L138" s="15">
        <v>2.3333333333333335</v>
      </c>
      <c r="M138" s="16">
        <v>16</v>
      </c>
    </row>
    <row r="139" spans="11:13" x14ac:dyDescent="0.25">
      <c r="K139" s="26" t="s">
        <v>436</v>
      </c>
      <c r="L139" s="15">
        <v>1.6666666666666667</v>
      </c>
      <c r="M139" s="16">
        <v>20</v>
      </c>
    </row>
    <row r="140" spans="11:13" x14ac:dyDescent="0.25">
      <c r="K140" s="26" t="s">
        <v>438</v>
      </c>
      <c r="L140" s="15">
        <v>2</v>
      </c>
      <c r="M140" s="16">
        <v>14</v>
      </c>
    </row>
    <row r="141" spans="11:13" x14ac:dyDescent="0.25">
      <c r="K141" s="26" t="s">
        <v>440</v>
      </c>
      <c r="L141" s="15">
        <v>1.6666666666666667</v>
      </c>
      <c r="M141" s="16">
        <v>20</v>
      </c>
    </row>
    <row r="142" spans="11:13" x14ac:dyDescent="0.25">
      <c r="K142" s="26" t="s">
        <v>443</v>
      </c>
      <c r="L142" s="15">
        <v>1</v>
      </c>
      <c r="M142" s="16">
        <v>10</v>
      </c>
    </row>
    <row r="143" spans="11:13" x14ac:dyDescent="0.25">
      <c r="K143" s="45" t="s">
        <v>446</v>
      </c>
      <c r="L143" s="15">
        <v>7.666666666666667</v>
      </c>
      <c r="M143" s="16">
        <v>20</v>
      </c>
    </row>
    <row r="144" spans="11:13" x14ac:dyDescent="0.25">
      <c r="K144" s="26" t="s">
        <v>448</v>
      </c>
      <c r="L144" s="15">
        <v>1</v>
      </c>
      <c r="M144" s="16">
        <v>20</v>
      </c>
    </row>
    <row r="145" spans="11:13" x14ac:dyDescent="0.25">
      <c r="K145" s="26" t="s">
        <v>450</v>
      </c>
      <c r="L145" s="15">
        <v>2.6666666666666665</v>
      </c>
      <c r="M145" s="16">
        <v>21</v>
      </c>
    </row>
    <row r="146" spans="11:13" x14ac:dyDescent="0.25">
      <c r="K146" s="26" t="s">
        <v>452</v>
      </c>
      <c r="L146" s="15">
        <v>5.666666666666667</v>
      </c>
      <c r="M146" s="16">
        <v>13</v>
      </c>
    </row>
    <row r="147" spans="11:13" x14ac:dyDescent="0.25">
      <c r="K147" s="26" t="s">
        <v>454</v>
      </c>
      <c r="L147" s="15">
        <v>1</v>
      </c>
      <c r="M147" s="16">
        <v>20</v>
      </c>
    </row>
    <row r="148" spans="11:13" x14ac:dyDescent="0.25">
      <c r="K148" s="26" t="s">
        <v>457</v>
      </c>
      <c r="L148" s="15">
        <v>7</v>
      </c>
      <c r="M148" s="16">
        <v>19</v>
      </c>
    </row>
    <row r="149" spans="11:13" x14ac:dyDescent="0.25">
      <c r="K149" s="26" t="s">
        <v>459</v>
      </c>
      <c r="L149" s="15">
        <v>1</v>
      </c>
      <c r="M149" s="16">
        <v>19</v>
      </c>
    </row>
    <row r="150" spans="11:13" x14ac:dyDescent="0.25">
      <c r="K150" s="26" t="s">
        <v>460</v>
      </c>
      <c r="L150" s="15">
        <v>1</v>
      </c>
      <c r="M150" s="16">
        <v>20</v>
      </c>
    </row>
    <row r="151" spans="11:13" x14ac:dyDescent="0.25">
      <c r="K151" s="26" t="s">
        <v>462</v>
      </c>
      <c r="L151" s="15">
        <v>1</v>
      </c>
      <c r="M151" s="16">
        <v>18</v>
      </c>
    </row>
    <row r="152" spans="11:13" x14ac:dyDescent="0.25">
      <c r="K152" s="26" t="s">
        <v>463</v>
      </c>
      <c r="L152" s="15">
        <v>1</v>
      </c>
      <c r="M152" s="16">
        <v>21</v>
      </c>
    </row>
    <row r="153" spans="11:13" x14ac:dyDescent="0.25">
      <c r="K153" s="26" t="s">
        <v>465</v>
      </c>
      <c r="L153" s="15">
        <v>7.333333333333333</v>
      </c>
      <c r="M153" s="16">
        <v>14</v>
      </c>
    </row>
    <row r="154" spans="11:13" x14ac:dyDescent="0.25">
      <c r="K154" s="26" t="s">
        <v>467</v>
      </c>
      <c r="L154" s="15">
        <v>1</v>
      </c>
      <c r="M154" s="16">
        <v>13</v>
      </c>
    </row>
    <row r="155" spans="11:13" x14ac:dyDescent="0.25">
      <c r="K155" s="26" t="s">
        <v>469</v>
      </c>
      <c r="L155" s="15">
        <v>2</v>
      </c>
      <c r="M155" s="16">
        <v>21</v>
      </c>
    </row>
    <row r="156" spans="11:13" x14ac:dyDescent="0.25">
      <c r="K156" s="26" t="s">
        <v>471</v>
      </c>
      <c r="L156" s="15">
        <v>2.3333333333333335</v>
      </c>
      <c r="M156" s="16">
        <v>17</v>
      </c>
    </row>
    <row r="157" spans="11:13" x14ac:dyDescent="0.25">
      <c r="K157" s="26" t="s">
        <v>473</v>
      </c>
      <c r="L157" s="15">
        <v>3</v>
      </c>
      <c r="M157" s="16">
        <v>21</v>
      </c>
    </row>
    <row r="158" spans="11:13" x14ac:dyDescent="0.25">
      <c r="K158" s="26" t="s">
        <v>616</v>
      </c>
      <c r="L158" s="42">
        <v>3.6666666666666665</v>
      </c>
      <c r="M158" s="16">
        <v>19</v>
      </c>
    </row>
    <row r="159" spans="11:13" x14ac:dyDescent="0.25">
      <c r="K159" s="26" t="s">
        <v>619</v>
      </c>
      <c r="L159" s="42">
        <v>1.3333333333333333</v>
      </c>
      <c r="M159" s="16">
        <v>20</v>
      </c>
    </row>
    <row r="160" spans="11:13" x14ac:dyDescent="0.25">
      <c r="K160" s="26" t="s">
        <v>621</v>
      </c>
      <c r="L160" s="42">
        <v>1</v>
      </c>
      <c r="M160" s="16">
        <v>21</v>
      </c>
    </row>
    <row r="161" spans="11:13" x14ac:dyDescent="0.25">
      <c r="K161" s="26" t="s">
        <v>623</v>
      </c>
      <c r="L161" s="42">
        <v>5</v>
      </c>
      <c r="M161" s="16">
        <v>18</v>
      </c>
    </row>
    <row r="162" spans="11:13" x14ac:dyDescent="0.25">
      <c r="K162" s="26" t="s">
        <v>625</v>
      </c>
      <c r="L162" s="42">
        <v>1</v>
      </c>
      <c r="M162" s="16">
        <v>19</v>
      </c>
    </row>
    <row r="163" spans="11:13" x14ac:dyDescent="0.25">
      <c r="K163" s="26" t="s">
        <v>628</v>
      </c>
      <c r="L163" s="42">
        <v>2.3333333333333335</v>
      </c>
      <c r="M163" s="16">
        <v>15</v>
      </c>
    </row>
    <row r="164" spans="11:13" x14ac:dyDescent="0.25">
      <c r="K164" s="26" t="s">
        <v>630</v>
      </c>
      <c r="L164" s="42">
        <v>2.3333333333333335</v>
      </c>
      <c r="M164" s="16">
        <v>19</v>
      </c>
    </row>
    <row r="165" spans="11:13" x14ac:dyDescent="0.25">
      <c r="K165" s="26" t="s">
        <v>632</v>
      </c>
      <c r="L165" s="42">
        <v>1</v>
      </c>
      <c r="M165" s="16">
        <v>20</v>
      </c>
    </row>
    <row r="166" spans="11:13" x14ac:dyDescent="0.25">
      <c r="K166" s="26" t="s">
        <v>634</v>
      </c>
      <c r="L166" s="42">
        <v>1</v>
      </c>
      <c r="M166" s="16">
        <v>18</v>
      </c>
    </row>
    <row r="167" spans="11:13" x14ac:dyDescent="0.25">
      <c r="K167" s="26" t="s">
        <v>635</v>
      </c>
      <c r="L167" s="42">
        <v>4.333333333333333</v>
      </c>
      <c r="M167" s="16">
        <v>18</v>
      </c>
    </row>
    <row r="168" spans="11:13" x14ac:dyDescent="0.25">
      <c r="K168" s="26" t="s">
        <v>869</v>
      </c>
      <c r="L168" s="15">
        <v>5</v>
      </c>
      <c r="M168" s="16">
        <v>21</v>
      </c>
    </row>
    <row r="169" spans="11:13" x14ac:dyDescent="0.25">
      <c r="K169" s="26" t="s">
        <v>870</v>
      </c>
      <c r="L169" s="15">
        <v>1</v>
      </c>
      <c r="M169" s="16">
        <v>18</v>
      </c>
    </row>
    <row r="170" spans="11:13" x14ac:dyDescent="0.25">
      <c r="K170" s="26" t="s">
        <v>872</v>
      </c>
      <c r="L170" s="15">
        <v>1</v>
      </c>
      <c r="M170" s="16">
        <v>15</v>
      </c>
    </row>
    <row r="171" spans="11:13" x14ac:dyDescent="0.25">
      <c r="K171" s="26" t="s">
        <v>874</v>
      </c>
      <c r="L171" s="15">
        <v>1.3333333333333333</v>
      </c>
      <c r="M171" s="16">
        <v>19</v>
      </c>
    </row>
    <row r="172" spans="11:13" x14ac:dyDescent="0.25">
      <c r="K172" s="26" t="s">
        <v>875</v>
      </c>
      <c r="L172" s="15">
        <v>3</v>
      </c>
      <c r="M172" s="16">
        <v>15</v>
      </c>
    </row>
    <row r="173" spans="11:13" x14ac:dyDescent="0.25">
      <c r="K173" s="26" t="s">
        <v>877</v>
      </c>
      <c r="L173" s="15">
        <v>1.6666666666666667</v>
      </c>
      <c r="M173" s="16">
        <v>21</v>
      </c>
    </row>
    <row r="174" spans="11:13" x14ac:dyDescent="0.25">
      <c r="K174" s="26" t="s">
        <v>878</v>
      </c>
      <c r="L174" s="15">
        <v>1.3333333333333333</v>
      </c>
      <c r="M174" s="16">
        <v>18</v>
      </c>
    </row>
    <row r="175" spans="11:13" x14ac:dyDescent="0.25">
      <c r="K175" s="26" t="s">
        <v>880</v>
      </c>
      <c r="L175" s="15">
        <v>1</v>
      </c>
      <c r="M175" s="16">
        <v>22</v>
      </c>
    </row>
    <row r="176" spans="11:13" x14ac:dyDescent="0.25">
      <c r="K176" s="26" t="s">
        <v>882</v>
      </c>
      <c r="L176" s="15">
        <v>5.666666666666667</v>
      </c>
      <c r="M176" s="16">
        <v>19</v>
      </c>
    </row>
    <row r="177" spans="11:13" x14ac:dyDescent="0.25">
      <c r="K177" s="26" t="s">
        <v>884</v>
      </c>
      <c r="L177" s="15">
        <v>3</v>
      </c>
      <c r="M177" s="16">
        <v>13</v>
      </c>
    </row>
    <row r="178" spans="11:13" x14ac:dyDescent="0.25">
      <c r="K178" s="26" t="s">
        <v>886</v>
      </c>
      <c r="L178" s="15">
        <v>2.3333333333333335</v>
      </c>
      <c r="M178" s="16">
        <v>21</v>
      </c>
    </row>
    <row r="179" spans="11:13" x14ac:dyDescent="0.25">
      <c r="K179" s="26" t="s">
        <v>888</v>
      </c>
      <c r="L179" s="15">
        <v>1</v>
      </c>
      <c r="M179" s="16">
        <v>21</v>
      </c>
    </row>
    <row r="180" spans="11:13" x14ac:dyDescent="0.25">
      <c r="K180" s="26" t="s">
        <v>890</v>
      </c>
      <c r="L180" s="15">
        <v>2.6666666666666665</v>
      </c>
      <c r="M180" s="16">
        <v>20</v>
      </c>
    </row>
    <row r="181" spans="11:13" x14ac:dyDescent="0.25">
      <c r="K181" s="26" t="s">
        <v>892</v>
      </c>
      <c r="L181" s="15">
        <v>4</v>
      </c>
      <c r="M181" s="16">
        <v>21</v>
      </c>
    </row>
    <row r="182" spans="11:13" x14ac:dyDescent="0.25">
      <c r="K182" s="26" t="s">
        <v>894</v>
      </c>
      <c r="L182" s="15">
        <v>4</v>
      </c>
      <c r="M182" s="16">
        <v>16</v>
      </c>
    </row>
    <row r="183" spans="11:13" x14ac:dyDescent="0.25">
      <c r="K183" s="26" t="s">
        <v>896</v>
      </c>
      <c r="L183" s="15">
        <v>4.333333333333333</v>
      </c>
      <c r="M183" s="16">
        <v>19</v>
      </c>
    </row>
    <row r="184" spans="11:13" x14ac:dyDescent="0.25">
      <c r="K184" s="26" t="s">
        <v>898</v>
      </c>
      <c r="L184" s="15">
        <v>2.6666666666666665</v>
      </c>
      <c r="M184" s="16">
        <v>17</v>
      </c>
    </row>
    <row r="185" spans="11:13" x14ac:dyDescent="0.25">
      <c r="K185" s="26" t="s">
        <v>900</v>
      </c>
      <c r="L185" s="15">
        <v>2</v>
      </c>
      <c r="M185" s="16">
        <v>20</v>
      </c>
    </row>
    <row r="186" spans="11:13" x14ac:dyDescent="0.25">
      <c r="K186" s="26" t="s">
        <v>902</v>
      </c>
      <c r="L186" s="15">
        <v>2.3333333333333335</v>
      </c>
      <c r="M186" s="16">
        <v>21</v>
      </c>
    </row>
    <row r="187" spans="11:13" x14ac:dyDescent="0.25">
      <c r="K187" s="26" t="s">
        <v>904</v>
      </c>
      <c r="L187" s="15">
        <v>3</v>
      </c>
      <c r="M187" s="16">
        <v>15</v>
      </c>
    </row>
    <row r="188" spans="11:13" x14ac:dyDescent="0.25">
      <c r="K188" s="26" t="s">
        <v>906</v>
      </c>
      <c r="L188" s="15">
        <v>4.333333333333333</v>
      </c>
      <c r="M188" s="16">
        <v>18</v>
      </c>
    </row>
    <row r="189" spans="11:13" x14ac:dyDescent="0.25">
      <c r="K189" s="26" t="s">
        <v>908</v>
      </c>
      <c r="L189" s="15">
        <v>3</v>
      </c>
      <c r="M189" s="16">
        <v>19</v>
      </c>
    </row>
    <row r="190" spans="11:13" x14ac:dyDescent="0.25">
      <c r="K190" s="45" t="s">
        <v>910</v>
      </c>
      <c r="L190" s="15">
        <v>1</v>
      </c>
      <c r="M190" s="16">
        <v>19</v>
      </c>
    </row>
  </sheetData>
  <pageMargins left="0.7" right="0.7" top="0.75" bottom="0.75" header="0.3" footer="0.3"/>
  <pageSetup paperSize="9" orientation="portrait" verticalDpi="0"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0"/>
  <sheetViews>
    <sheetView topLeftCell="A58" workbookViewId="0">
      <selection activeCell="B87" sqref="B87"/>
    </sheetView>
  </sheetViews>
  <sheetFormatPr defaultRowHeight="15" x14ac:dyDescent="0.25"/>
  <cols>
    <col min="1" max="1" width="34.140625" customWidth="1"/>
    <col min="2" max="2" width="26.42578125" customWidth="1"/>
    <col min="6" max="14" width="14.7109375" customWidth="1"/>
  </cols>
  <sheetData>
    <row r="2" spans="1:13" x14ac:dyDescent="0.25">
      <c r="A2" s="22" t="s">
        <v>170</v>
      </c>
      <c r="B2" s="17">
        <f>CORREL(Table57[tasksTimeToComplete],Table57[totalCorrectAnswers])</f>
        <v>9.1885420273347493E-2</v>
      </c>
      <c r="J2" s="60" t="s">
        <v>578</v>
      </c>
      <c r="K2" t="s">
        <v>577</v>
      </c>
      <c r="L2" t="s">
        <v>998</v>
      </c>
      <c r="M2" t="s">
        <v>137</v>
      </c>
    </row>
    <row r="3" spans="1:13" x14ac:dyDescent="0.25">
      <c r="A3" s="22" t="s">
        <v>168</v>
      </c>
      <c r="B3" t="s">
        <v>137</v>
      </c>
      <c r="J3" s="61" t="s">
        <v>115</v>
      </c>
      <c r="K3" s="31" t="s">
        <v>270</v>
      </c>
      <c r="L3" s="16">
        <v>4.9903333333333331</v>
      </c>
      <c r="M3" s="16">
        <v>13</v>
      </c>
    </row>
    <row r="4" spans="1:13" x14ac:dyDescent="0.25">
      <c r="A4" s="22" t="s">
        <v>167</v>
      </c>
      <c r="B4" t="s">
        <v>998</v>
      </c>
      <c r="J4" s="61" t="s">
        <v>115</v>
      </c>
      <c r="K4" s="31" t="s">
        <v>272</v>
      </c>
      <c r="L4" s="16">
        <v>13.227499999999999</v>
      </c>
      <c r="M4" s="16">
        <v>16</v>
      </c>
    </row>
    <row r="5" spans="1:13" x14ac:dyDescent="0.25">
      <c r="J5" s="61" t="s">
        <v>115</v>
      </c>
      <c r="K5" s="31" t="s">
        <v>274</v>
      </c>
      <c r="L5" s="16">
        <v>5.7291666666666661</v>
      </c>
      <c r="M5" s="16">
        <v>15</v>
      </c>
    </row>
    <row r="6" spans="1:13" x14ac:dyDescent="0.25">
      <c r="J6" s="61" t="s">
        <v>115</v>
      </c>
      <c r="K6" s="31" t="s">
        <v>276</v>
      </c>
      <c r="L6" s="16">
        <v>6.5876666666666672</v>
      </c>
      <c r="M6" s="16">
        <v>13</v>
      </c>
    </row>
    <row r="7" spans="1:13" x14ac:dyDescent="0.25">
      <c r="J7" s="61" t="s">
        <v>115</v>
      </c>
      <c r="K7" s="31" t="s">
        <v>277</v>
      </c>
      <c r="L7" s="16">
        <v>4.9673333333333334</v>
      </c>
      <c r="M7" s="16">
        <v>11</v>
      </c>
    </row>
    <row r="8" spans="1:13" x14ac:dyDescent="0.25">
      <c r="J8" s="61" t="s">
        <v>115</v>
      </c>
      <c r="K8" s="31" t="s">
        <v>280</v>
      </c>
      <c r="L8" s="16">
        <v>15.1585</v>
      </c>
      <c r="M8" s="16">
        <v>17</v>
      </c>
    </row>
    <row r="9" spans="1:13" x14ac:dyDescent="0.25">
      <c r="J9" s="61" t="s">
        <v>115</v>
      </c>
      <c r="K9" s="31" t="s">
        <v>282</v>
      </c>
      <c r="L9" s="16">
        <v>18.985333333333333</v>
      </c>
      <c r="M9" s="16">
        <v>16</v>
      </c>
    </row>
    <row r="10" spans="1:13" x14ac:dyDescent="0.25">
      <c r="J10" s="61" t="s">
        <v>115</v>
      </c>
      <c r="K10" s="31" t="s">
        <v>284</v>
      </c>
      <c r="L10" s="16">
        <v>12.786666666666669</v>
      </c>
      <c r="M10" s="16">
        <v>12</v>
      </c>
    </row>
    <row r="11" spans="1:13" x14ac:dyDescent="0.25">
      <c r="J11" s="61" t="s">
        <v>115</v>
      </c>
      <c r="K11" s="31" t="s">
        <v>287</v>
      </c>
      <c r="L11" s="16">
        <v>7.0658333333333339</v>
      </c>
      <c r="M11" s="16">
        <v>15</v>
      </c>
    </row>
    <row r="12" spans="1:13" x14ac:dyDescent="0.25">
      <c r="J12" s="61" t="s">
        <v>115</v>
      </c>
      <c r="K12" s="31" t="s">
        <v>289</v>
      </c>
      <c r="L12" s="16">
        <v>10.739166666666668</v>
      </c>
      <c r="M12" s="16">
        <v>15</v>
      </c>
    </row>
    <row r="13" spans="1:13" x14ac:dyDescent="0.25">
      <c r="J13" s="61" t="s">
        <v>115</v>
      </c>
      <c r="K13" s="31" t="s">
        <v>291</v>
      </c>
      <c r="L13" s="16">
        <v>14.014333333333333</v>
      </c>
      <c r="M13" s="16">
        <v>15</v>
      </c>
    </row>
    <row r="14" spans="1:13" x14ac:dyDescent="0.25">
      <c r="J14" s="61" t="s">
        <v>115</v>
      </c>
      <c r="K14" s="31" t="s">
        <v>292</v>
      </c>
      <c r="L14" s="16">
        <v>24.321999999999999</v>
      </c>
      <c r="M14" s="16">
        <v>16</v>
      </c>
    </row>
    <row r="15" spans="1:13" x14ac:dyDescent="0.25">
      <c r="J15" s="61" t="s">
        <v>115</v>
      </c>
      <c r="K15" s="31" t="s">
        <v>293</v>
      </c>
      <c r="L15" s="16">
        <v>10.013999999999999</v>
      </c>
      <c r="M15" s="16">
        <v>19</v>
      </c>
    </row>
    <row r="16" spans="1:13" x14ac:dyDescent="0.25">
      <c r="J16" s="61" t="s">
        <v>115</v>
      </c>
      <c r="K16" s="31" t="s">
        <v>295</v>
      </c>
      <c r="L16" s="16">
        <v>10.568999999999999</v>
      </c>
      <c r="M16" s="16">
        <v>16</v>
      </c>
    </row>
    <row r="17" spans="1:13" x14ac:dyDescent="0.25">
      <c r="J17" s="61" t="s">
        <v>115</v>
      </c>
      <c r="K17" s="31" t="s">
        <v>297</v>
      </c>
      <c r="L17" s="16">
        <v>10.939666666666668</v>
      </c>
      <c r="M17" s="16">
        <v>15</v>
      </c>
    </row>
    <row r="18" spans="1:13" x14ac:dyDescent="0.25">
      <c r="J18" s="61" t="s">
        <v>115</v>
      </c>
      <c r="K18" s="31" t="s">
        <v>298</v>
      </c>
      <c r="L18" s="16">
        <v>14.572166666666668</v>
      </c>
      <c r="M18" s="16">
        <v>18</v>
      </c>
    </row>
    <row r="19" spans="1:13" x14ac:dyDescent="0.25">
      <c r="J19" s="61" t="s">
        <v>115</v>
      </c>
      <c r="K19" s="31" t="s">
        <v>300</v>
      </c>
      <c r="L19" s="16">
        <v>7.4653333333333336</v>
      </c>
      <c r="M19" s="16">
        <v>13</v>
      </c>
    </row>
    <row r="20" spans="1:13" x14ac:dyDescent="0.25">
      <c r="A20" t="s">
        <v>142</v>
      </c>
      <c r="J20" s="61" t="s">
        <v>115</v>
      </c>
      <c r="K20" s="31" t="s">
        <v>302</v>
      </c>
      <c r="L20" s="16">
        <v>10.203833333333332</v>
      </c>
      <c r="M20" s="16">
        <v>13</v>
      </c>
    </row>
    <row r="21" spans="1:13" ht="15.75" thickBot="1" x14ac:dyDescent="0.3">
      <c r="J21" s="61" t="s">
        <v>115</v>
      </c>
      <c r="K21" s="31" t="s">
        <v>303</v>
      </c>
      <c r="L21" s="16">
        <v>7.1503333333333332</v>
      </c>
      <c r="M21" s="16">
        <v>14</v>
      </c>
    </row>
    <row r="22" spans="1:13" x14ac:dyDescent="0.25">
      <c r="A22" s="21" t="s">
        <v>143</v>
      </c>
      <c r="B22" s="21"/>
      <c r="J22" s="61" t="s">
        <v>115</v>
      </c>
      <c r="K22" s="31" t="s">
        <v>305</v>
      </c>
      <c r="L22" s="16">
        <v>11.327666666666667</v>
      </c>
      <c r="M22" s="16">
        <v>17</v>
      </c>
    </row>
    <row r="23" spans="1:13" x14ac:dyDescent="0.25">
      <c r="A23" s="18" t="s">
        <v>144</v>
      </c>
      <c r="B23" s="18">
        <v>9.1885420273346494E-2</v>
      </c>
      <c r="J23" s="61" t="s">
        <v>115</v>
      </c>
      <c r="K23" s="31" t="s">
        <v>306</v>
      </c>
      <c r="L23" s="16">
        <v>7.2023333333333337</v>
      </c>
      <c r="M23" s="16">
        <v>10</v>
      </c>
    </row>
    <row r="24" spans="1:13" x14ac:dyDescent="0.25">
      <c r="A24" s="18" t="s">
        <v>145</v>
      </c>
      <c r="B24" s="18">
        <v>8.4429304588095142E-3</v>
      </c>
      <c r="J24" s="61" t="s">
        <v>115</v>
      </c>
      <c r="K24" s="31" t="s">
        <v>308</v>
      </c>
      <c r="L24" s="16">
        <v>6.9771666666666654</v>
      </c>
      <c r="M24" s="16">
        <v>14</v>
      </c>
    </row>
    <row r="25" spans="1:13" x14ac:dyDescent="0.25">
      <c r="A25" s="18" t="s">
        <v>146</v>
      </c>
      <c r="B25" s="18">
        <v>3.1119784720289203E-3</v>
      </c>
      <c r="J25" s="61" t="s">
        <v>115</v>
      </c>
      <c r="K25" s="31" t="s">
        <v>310</v>
      </c>
      <c r="L25" s="16">
        <v>18.623666666666665</v>
      </c>
      <c r="M25" s="16">
        <v>13</v>
      </c>
    </row>
    <row r="26" spans="1:13" x14ac:dyDescent="0.25">
      <c r="A26" s="18" t="s">
        <v>147</v>
      </c>
      <c r="B26" s="18">
        <v>3.2127426773510592</v>
      </c>
      <c r="J26" s="61" t="s">
        <v>115</v>
      </c>
      <c r="K26" s="31" t="s">
        <v>312</v>
      </c>
      <c r="L26" s="16">
        <v>5.2331666666666665</v>
      </c>
      <c r="M26" s="16">
        <v>13</v>
      </c>
    </row>
    <row r="27" spans="1:13" ht="15.75" thickBot="1" x14ac:dyDescent="0.3">
      <c r="A27" s="19" t="s">
        <v>148</v>
      </c>
      <c r="B27" s="19">
        <v>188</v>
      </c>
      <c r="J27" s="61" t="s">
        <v>115</v>
      </c>
      <c r="K27" s="31" t="s">
        <v>314</v>
      </c>
      <c r="L27" s="16">
        <v>7.6073333333333331</v>
      </c>
      <c r="M27" s="16">
        <v>15</v>
      </c>
    </row>
    <row r="28" spans="1:13" x14ac:dyDescent="0.25">
      <c r="J28" s="61" t="s">
        <v>115</v>
      </c>
      <c r="K28" s="31" t="s">
        <v>316</v>
      </c>
      <c r="L28" s="16">
        <v>8.9115000000000002</v>
      </c>
      <c r="M28" s="16">
        <v>14</v>
      </c>
    </row>
    <row r="29" spans="1:13" ht="15.75" thickBot="1" x14ac:dyDescent="0.3">
      <c r="A29" t="s">
        <v>149</v>
      </c>
      <c r="J29" s="61" t="s">
        <v>115</v>
      </c>
      <c r="K29" s="31" t="s">
        <v>318</v>
      </c>
      <c r="L29" s="16">
        <v>19.855</v>
      </c>
      <c r="M29" s="16">
        <v>12</v>
      </c>
    </row>
    <row r="30" spans="1:13" x14ac:dyDescent="0.25">
      <c r="A30" s="20"/>
      <c r="B30" s="20" t="s">
        <v>153</v>
      </c>
      <c r="C30" s="20" t="s">
        <v>154</v>
      </c>
      <c r="D30" s="20" t="s">
        <v>155</v>
      </c>
      <c r="E30" s="20" t="s">
        <v>156</v>
      </c>
      <c r="F30" s="20" t="s">
        <v>157</v>
      </c>
      <c r="J30" s="61" t="s">
        <v>115</v>
      </c>
      <c r="K30" s="31" t="s">
        <v>320</v>
      </c>
      <c r="L30" s="16">
        <v>11.613499999999998</v>
      </c>
      <c r="M30" s="16">
        <v>16</v>
      </c>
    </row>
    <row r="31" spans="1:13" x14ac:dyDescent="0.25">
      <c r="A31" s="18" t="s">
        <v>150</v>
      </c>
      <c r="B31" s="18">
        <v>1</v>
      </c>
      <c r="C31" s="18">
        <v>16.3470851904151</v>
      </c>
      <c r="D31" s="18">
        <v>16.3470851904151</v>
      </c>
      <c r="E31" s="18">
        <v>1.5837566122797273</v>
      </c>
      <c r="F31" s="34">
        <v>0.20979777026525487</v>
      </c>
      <c r="J31" s="61" t="s">
        <v>115</v>
      </c>
      <c r="K31" s="31" t="s">
        <v>322</v>
      </c>
      <c r="L31" s="16">
        <v>26.09</v>
      </c>
      <c r="M31" s="16">
        <v>16</v>
      </c>
    </row>
    <row r="32" spans="1:13" x14ac:dyDescent="0.25">
      <c r="A32" s="18" t="s">
        <v>151</v>
      </c>
      <c r="B32" s="18">
        <v>186</v>
      </c>
      <c r="C32" s="18">
        <v>1919.8390850223502</v>
      </c>
      <c r="D32" s="18">
        <v>10.321715510872851</v>
      </c>
      <c r="E32" s="18"/>
      <c r="F32" s="18"/>
      <c r="J32" s="61" t="s">
        <v>115</v>
      </c>
      <c r="K32" s="31" t="s">
        <v>324</v>
      </c>
      <c r="L32" s="16">
        <v>8.7328333333333337</v>
      </c>
      <c r="M32" s="16">
        <v>14</v>
      </c>
    </row>
    <row r="33" spans="1:13" ht="15.75" thickBot="1" x14ac:dyDescent="0.3">
      <c r="A33" s="19" t="s">
        <v>128</v>
      </c>
      <c r="B33" s="19">
        <v>187</v>
      </c>
      <c r="C33" s="19">
        <v>1936.1861702127653</v>
      </c>
      <c r="D33" s="19"/>
      <c r="E33" s="19"/>
      <c r="F33" s="19"/>
      <c r="J33" s="61" t="s">
        <v>115</v>
      </c>
      <c r="K33" s="31" t="s">
        <v>326</v>
      </c>
      <c r="L33" s="16">
        <v>9.8800000000000008</v>
      </c>
      <c r="M33" s="16">
        <v>6</v>
      </c>
    </row>
    <row r="34" spans="1:13" ht="15.75" thickBot="1" x14ac:dyDescent="0.3">
      <c r="J34" s="61" t="s">
        <v>115</v>
      </c>
      <c r="K34" s="31" t="s">
        <v>329</v>
      </c>
      <c r="L34" s="16">
        <v>7.0748333333333342</v>
      </c>
      <c r="M34" s="16">
        <v>15</v>
      </c>
    </row>
    <row r="35" spans="1:13" x14ac:dyDescent="0.25">
      <c r="A35" s="20"/>
      <c r="B35" s="20" t="s">
        <v>158</v>
      </c>
      <c r="C35" s="20" t="s">
        <v>147</v>
      </c>
      <c r="D35" s="20" t="s">
        <v>159</v>
      </c>
      <c r="E35" s="20" t="s">
        <v>160</v>
      </c>
      <c r="F35" s="20" t="s">
        <v>161</v>
      </c>
      <c r="G35" s="20" t="s">
        <v>162</v>
      </c>
      <c r="H35" s="20" t="s">
        <v>163</v>
      </c>
      <c r="I35" s="20" t="s">
        <v>164</v>
      </c>
      <c r="J35" s="61" t="s">
        <v>115</v>
      </c>
      <c r="K35" s="31" t="s">
        <v>331</v>
      </c>
      <c r="L35" s="16">
        <v>10.463999999999999</v>
      </c>
      <c r="M35" s="16">
        <v>18</v>
      </c>
    </row>
    <row r="36" spans="1:13" x14ac:dyDescent="0.25">
      <c r="A36" s="18" t="s">
        <v>152</v>
      </c>
      <c r="B36" s="18">
        <v>15.228184238396011</v>
      </c>
      <c r="C36" s="18">
        <v>0.56678306490469554</v>
      </c>
      <c r="D36" s="18">
        <v>26.867747435178973</v>
      </c>
      <c r="E36" s="18">
        <v>6.0817869287543467E-66</v>
      </c>
      <c r="F36" s="18">
        <v>14.110034543341342</v>
      </c>
      <c r="G36" s="18">
        <v>16.34633393345068</v>
      </c>
      <c r="H36" s="18">
        <v>14.110034543341342</v>
      </c>
      <c r="I36" s="18">
        <v>16.34633393345068</v>
      </c>
      <c r="J36" s="61" t="s">
        <v>115</v>
      </c>
      <c r="K36" s="31" t="s">
        <v>333</v>
      </c>
      <c r="L36" s="16">
        <v>8.161999999999999</v>
      </c>
      <c r="M36" s="16">
        <v>16</v>
      </c>
    </row>
    <row r="37" spans="1:13" ht="15.75" thickBot="1" x14ac:dyDescent="0.3">
      <c r="A37" s="19" t="s">
        <v>165</v>
      </c>
      <c r="B37" s="19">
        <v>5.6101672547038031E-2</v>
      </c>
      <c r="C37" s="19">
        <v>4.4579129982443948E-2</v>
      </c>
      <c r="D37" s="19">
        <v>1.2584739219704795</v>
      </c>
      <c r="E37" s="19">
        <v>0.20979777026525015</v>
      </c>
      <c r="F37" s="19">
        <v>-3.1844040164144993E-2</v>
      </c>
      <c r="G37" s="19">
        <v>0.14404738525822106</v>
      </c>
      <c r="H37" s="19">
        <v>-3.1844040164144993E-2</v>
      </c>
      <c r="I37" s="19">
        <v>0.14404738525822106</v>
      </c>
      <c r="J37" s="61" t="s">
        <v>115</v>
      </c>
      <c r="K37" s="31" t="s">
        <v>335</v>
      </c>
      <c r="L37" s="16">
        <v>6.3555000000000001</v>
      </c>
      <c r="M37" s="16">
        <v>13</v>
      </c>
    </row>
    <row r="38" spans="1:13" x14ac:dyDescent="0.25">
      <c r="J38" s="61" t="s">
        <v>115</v>
      </c>
      <c r="K38" s="31" t="s">
        <v>337</v>
      </c>
      <c r="L38" s="16">
        <v>13.399333333333335</v>
      </c>
      <c r="M38" s="16">
        <v>18</v>
      </c>
    </row>
    <row r="39" spans="1:13" x14ac:dyDescent="0.25">
      <c r="J39" s="61" t="s">
        <v>115</v>
      </c>
      <c r="K39" s="31" t="s">
        <v>339</v>
      </c>
      <c r="L39" s="16">
        <v>7.6113333333333335</v>
      </c>
      <c r="M39" s="16">
        <v>14</v>
      </c>
    </row>
    <row r="40" spans="1:13" x14ac:dyDescent="0.25">
      <c r="J40" s="61" t="s">
        <v>115</v>
      </c>
      <c r="K40" s="31" t="s">
        <v>340</v>
      </c>
      <c r="L40" s="16">
        <v>8.634666666666666</v>
      </c>
      <c r="M40" s="16">
        <v>16</v>
      </c>
    </row>
    <row r="41" spans="1:13" x14ac:dyDescent="0.25">
      <c r="A41" s="22" t="s">
        <v>993</v>
      </c>
      <c r="J41" s="61" t="s">
        <v>115</v>
      </c>
      <c r="K41" s="31" t="s">
        <v>342</v>
      </c>
      <c r="L41" s="16">
        <v>20.736333333333331</v>
      </c>
      <c r="M41" s="16">
        <v>11</v>
      </c>
    </row>
    <row r="42" spans="1:13" x14ac:dyDescent="0.25">
      <c r="A42" t="s">
        <v>142</v>
      </c>
      <c r="J42" s="61" t="s">
        <v>115</v>
      </c>
      <c r="K42" s="31" t="s">
        <v>344</v>
      </c>
      <c r="L42" s="16">
        <v>5.5265000000000004</v>
      </c>
      <c r="M42" s="16">
        <v>12</v>
      </c>
    </row>
    <row r="43" spans="1:13" ht="15.75" thickBot="1" x14ac:dyDescent="0.3">
      <c r="J43" s="61" t="s">
        <v>115</v>
      </c>
      <c r="K43" s="31" t="s">
        <v>346</v>
      </c>
      <c r="L43" s="16">
        <v>8.3993333333333347</v>
      </c>
      <c r="M43" s="16">
        <v>9</v>
      </c>
    </row>
    <row r="44" spans="1:13" x14ac:dyDescent="0.25">
      <c r="A44" s="21" t="s">
        <v>143</v>
      </c>
      <c r="B44" s="21"/>
      <c r="J44" s="61" t="s">
        <v>115</v>
      </c>
      <c r="K44" s="31" t="s">
        <v>348</v>
      </c>
      <c r="L44" s="16">
        <v>12.382166666666667</v>
      </c>
      <c r="M44" s="16">
        <v>17</v>
      </c>
    </row>
    <row r="45" spans="1:13" x14ac:dyDescent="0.25">
      <c r="A45" s="18" t="s">
        <v>144</v>
      </c>
      <c r="B45" s="18">
        <v>0.22520344640331583</v>
      </c>
      <c r="J45" s="61" t="s">
        <v>115</v>
      </c>
      <c r="K45" s="31" t="s">
        <v>350</v>
      </c>
      <c r="L45" s="16">
        <v>9.9156666666666666</v>
      </c>
      <c r="M45" s="16">
        <v>17</v>
      </c>
    </row>
    <row r="46" spans="1:13" x14ac:dyDescent="0.25">
      <c r="A46" s="18" t="s">
        <v>145</v>
      </c>
      <c r="B46" s="18">
        <v>5.0716592271931149E-2</v>
      </c>
      <c r="J46" s="61" t="s">
        <v>115</v>
      </c>
      <c r="K46" s="31" t="s">
        <v>745</v>
      </c>
      <c r="L46" s="16">
        <v>2.0001666666666669</v>
      </c>
      <c r="M46" s="16">
        <v>8</v>
      </c>
    </row>
    <row r="47" spans="1:13" x14ac:dyDescent="0.25">
      <c r="A47" s="18" t="s">
        <v>146</v>
      </c>
      <c r="B47" s="18">
        <v>3.5154569194421829E-2</v>
      </c>
      <c r="J47" s="61" t="s">
        <v>115</v>
      </c>
      <c r="K47" s="31" t="s">
        <v>748</v>
      </c>
      <c r="L47" s="16">
        <v>8.6120000000000001</v>
      </c>
      <c r="M47" s="16">
        <v>11</v>
      </c>
    </row>
    <row r="48" spans="1:13" x14ac:dyDescent="0.25">
      <c r="A48" s="18" t="s">
        <v>147</v>
      </c>
      <c r="B48" s="18">
        <v>2.6767429906281168</v>
      </c>
      <c r="J48" s="61" t="s">
        <v>115</v>
      </c>
      <c r="K48" s="31" t="s">
        <v>751</v>
      </c>
      <c r="L48" s="16">
        <v>12.042666666666667</v>
      </c>
      <c r="M48" s="16">
        <v>9</v>
      </c>
    </row>
    <row r="49" spans="1:13" ht="15.75" thickBot="1" x14ac:dyDescent="0.3">
      <c r="A49" s="19" t="s">
        <v>148</v>
      </c>
      <c r="B49" s="19">
        <v>63</v>
      </c>
      <c r="J49" s="61" t="s">
        <v>115</v>
      </c>
      <c r="K49" s="31" t="s">
        <v>754</v>
      </c>
      <c r="L49" s="16">
        <v>13.203833333333332</v>
      </c>
      <c r="M49" s="16">
        <v>14</v>
      </c>
    </row>
    <row r="50" spans="1:13" x14ac:dyDescent="0.25">
      <c r="J50" s="61" t="s">
        <v>115</v>
      </c>
      <c r="K50" s="31" t="s">
        <v>757</v>
      </c>
      <c r="L50" s="16">
        <v>4.9995000000000003</v>
      </c>
      <c r="M50" s="16">
        <v>11</v>
      </c>
    </row>
    <row r="51" spans="1:13" ht="15.75" thickBot="1" x14ac:dyDescent="0.3">
      <c r="A51" t="s">
        <v>149</v>
      </c>
      <c r="J51" s="61" t="s">
        <v>115</v>
      </c>
      <c r="K51" s="31" t="s">
        <v>760</v>
      </c>
      <c r="L51" s="16">
        <v>10.041499999999999</v>
      </c>
      <c r="M51" s="16">
        <v>18</v>
      </c>
    </row>
    <row r="52" spans="1:13" x14ac:dyDescent="0.25">
      <c r="A52" s="20"/>
      <c r="B52" s="20" t="s">
        <v>153</v>
      </c>
      <c r="C52" s="20" t="s">
        <v>154</v>
      </c>
      <c r="D52" s="20" t="s">
        <v>155</v>
      </c>
      <c r="E52" s="20" t="s">
        <v>156</v>
      </c>
      <c r="F52" s="20" t="s">
        <v>157</v>
      </c>
      <c r="J52" s="61" t="s">
        <v>115</v>
      </c>
      <c r="K52" s="31" t="s">
        <v>763</v>
      </c>
      <c r="L52" s="16">
        <v>10.979666666666667</v>
      </c>
      <c r="M52" s="16">
        <v>10</v>
      </c>
    </row>
    <row r="53" spans="1:13" x14ac:dyDescent="0.25">
      <c r="A53" s="18" t="s">
        <v>150</v>
      </c>
      <c r="B53" s="18">
        <v>1</v>
      </c>
      <c r="C53" s="18">
        <v>23.350563102216427</v>
      </c>
      <c r="D53" s="18">
        <v>23.350563102216427</v>
      </c>
      <c r="E53" s="18">
        <v>3.2589973693862593</v>
      </c>
      <c r="F53" s="34">
        <v>7.5968037609388875E-2</v>
      </c>
      <c r="J53" s="61" t="s">
        <v>115</v>
      </c>
      <c r="K53" s="31" t="s">
        <v>766</v>
      </c>
      <c r="L53" s="16">
        <v>11.364500000000001</v>
      </c>
      <c r="M53" s="16">
        <v>15</v>
      </c>
    </row>
    <row r="54" spans="1:13" x14ac:dyDescent="0.25">
      <c r="A54" s="18" t="s">
        <v>151</v>
      </c>
      <c r="B54" s="18">
        <v>61</v>
      </c>
      <c r="C54" s="18">
        <v>437.06213531048201</v>
      </c>
      <c r="D54" s="18">
        <v>7.1649530378767539</v>
      </c>
      <c r="E54" s="18"/>
      <c r="F54" s="18"/>
      <c r="J54" s="61" t="s">
        <v>115</v>
      </c>
      <c r="K54" s="31" t="s">
        <v>769</v>
      </c>
      <c r="L54" s="16">
        <v>10.5915</v>
      </c>
      <c r="M54" s="16">
        <v>17</v>
      </c>
    </row>
    <row r="55" spans="1:13" ht="15.75" thickBot="1" x14ac:dyDescent="0.3">
      <c r="A55" s="19" t="s">
        <v>128</v>
      </c>
      <c r="B55" s="19">
        <v>62</v>
      </c>
      <c r="C55" s="19">
        <v>460.41269841269843</v>
      </c>
      <c r="D55" s="19"/>
      <c r="E55" s="19"/>
      <c r="F55" s="19"/>
      <c r="J55" s="61" t="s">
        <v>115</v>
      </c>
      <c r="K55" s="31" t="s">
        <v>772</v>
      </c>
      <c r="L55" s="16">
        <v>7.1318333333333337</v>
      </c>
      <c r="M55" s="16">
        <v>18</v>
      </c>
    </row>
    <row r="56" spans="1:13" ht="15.75" thickBot="1" x14ac:dyDescent="0.3">
      <c r="J56" s="61" t="s">
        <v>115</v>
      </c>
      <c r="K56" s="31" t="s">
        <v>775</v>
      </c>
      <c r="L56" s="16">
        <v>16.051500000000001</v>
      </c>
      <c r="M56" s="16">
        <v>13</v>
      </c>
    </row>
    <row r="57" spans="1:13" x14ac:dyDescent="0.25">
      <c r="A57" s="20"/>
      <c r="B57" s="20" t="s">
        <v>158</v>
      </c>
      <c r="C57" s="20" t="s">
        <v>147</v>
      </c>
      <c r="D57" s="20" t="s">
        <v>159</v>
      </c>
      <c r="E57" s="20" t="s">
        <v>160</v>
      </c>
      <c r="F57" s="20" t="s">
        <v>161</v>
      </c>
      <c r="G57" s="20" t="s">
        <v>162</v>
      </c>
      <c r="H57" s="20" t="s">
        <v>163</v>
      </c>
      <c r="I57" s="20" t="s">
        <v>164</v>
      </c>
      <c r="J57" s="61" t="s">
        <v>115</v>
      </c>
      <c r="K57" s="31" t="s">
        <v>778</v>
      </c>
      <c r="L57" s="16">
        <v>5.9481666666666655</v>
      </c>
      <c r="M57" s="16">
        <v>12</v>
      </c>
    </row>
    <row r="58" spans="1:13" x14ac:dyDescent="0.25">
      <c r="A58" s="18" t="s">
        <v>152</v>
      </c>
      <c r="B58" s="18">
        <v>12.791776259851993</v>
      </c>
      <c r="C58" s="18">
        <v>0.82890564865477623</v>
      </c>
      <c r="D58" s="18">
        <v>15.432125816263474</v>
      </c>
      <c r="E58" s="18">
        <v>9.8443825750734125E-23</v>
      </c>
      <c r="F58" s="18">
        <v>11.134276975066372</v>
      </c>
      <c r="G58" s="18">
        <v>14.449275544637613</v>
      </c>
      <c r="H58" s="18">
        <v>11.134276975066372</v>
      </c>
      <c r="I58" s="18">
        <v>14.449275544637613</v>
      </c>
      <c r="J58" s="61" t="s">
        <v>115</v>
      </c>
      <c r="K58" s="31" t="s">
        <v>781</v>
      </c>
      <c r="L58" s="16">
        <v>7.3931666666666676</v>
      </c>
      <c r="M58" s="16">
        <v>15</v>
      </c>
    </row>
    <row r="59" spans="1:13" ht="15.75" thickBot="1" x14ac:dyDescent="0.3">
      <c r="A59" s="19" t="s">
        <v>165</v>
      </c>
      <c r="B59" s="19">
        <v>0.1264488823582256</v>
      </c>
      <c r="C59" s="19">
        <v>7.0044330757340498E-2</v>
      </c>
      <c r="D59" s="19">
        <v>1.8052693343061748</v>
      </c>
      <c r="E59" s="19">
        <v>7.5968037609388514E-2</v>
      </c>
      <c r="F59" s="19">
        <v>-1.3613413419338971E-2</v>
      </c>
      <c r="G59" s="19">
        <v>0.26651117813579017</v>
      </c>
      <c r="H59" s="19">
        <v>-1.3613413419338971E-2</v>
      </c>
      <c r="I59" s="19">
        <v>0.26651117813579017</v>
      </c>
      <c r="J59" s="61" t="s">
        <v>115</v>
      </c>
      <c r="K59" s="31" t="s">
        <v>785</v>
      </c>
      <c r="L59" s="16">
        <v>9.9878333333333345</v>
      </c>
      <c r="M59" s="16">
        <v>11</v>
      </c>
    </row>
    <row r="60" spans="1:13" x14ac:dyDescent="0.25">
      <c r="J60" s="61" t="s">
        <v>115</v>
      </c>
      <c r="K60" s="31" t="s">
        <v>788</v>
      </c>
      <c r="L60" s="16">
        <v>18.770000000000003</v>
      </c>
      <c r="M60" s="16">
        <v>13</v>
      </c>
    </row>
    <row r="61" spans="1:13" x14ac:dyDescent="0.25">
      <c r="J61" s="61" t="s">
        <v>115</v>
      </c>
      <c r="K61" s="31" t="s">
        <v>791</v>
      </c>
      <c r="L61" s="16">
        <v>8.0373333333333346</v>
      </c>
      <c r="M61" s="16">
        <v>16</v>
      </c>
    </row>
    <row r="62" spans="1:13" x14ac:dyDescent="0.25">
      <c r="A62" s="22" t="s">
        <v>1000</v>
      </c>
      <c r="J62" s="61" t="s">
        <v>115</v>
      </c>
      <c r="K62" s="31" t="s">
        <v>794</v>
      </c>
      <c r="L62" s="16">
        <v>16.510833333333334</v>
      </c>
      <c r="M62" s="16">
        <v>17</v>
      </c>
    </row>
    <row r="63" spans="1:13" x14ac:dyDescent="0.25">
      <c r="A63" t="s">
        <v>142</v>
      </c>
      <c r="J63" s="61" t="s">
        <v>115</v>
      </c>
      <c r="K63" s="31" t="s">
        <v>796</v>
      </c>
      <c r="L63" s="16">
        <v>9.0358333333333345</v>
      </c>
      <c r="M63" s="16">
        <v>15</v>
      </c>
    </row>
    <row r="64" spans="1:13" ht="15.75" thickBot="1" x14ac:dyDescent="0.3">
      <c r="J64" s="61" t="s">
        <v>115</v>
      </c>
      <c r="K64" s="31" t="s">
        <v>799</v>
      </c>
      <c r="L64" s="16">
        <v>10.613333333333333</v>
      </c>
      <c r="M64" s="16">
        <v>16</v>
      </c>
    </row>
    <row r="65" spans="1:13" x14ac:dyDescent="0.25">
      <c r="A65" s="21" t="s">
        <v>143</v>
      </c>
      <c r="B65" s="21"/>
      <c r="J65" s="61" t="s">
        <v>115</v>
      </c>
      <c r="K65" s="31" t="s">
        <v>802</v>
      </c>
      <c r="L65" s="16">
        <v>17.531500000000001</v>
      </c>
      <c r="M65" s="16">
        <v>15</v>
      </c>
    </row>
    <row r="66" spans="1:13" x14ac:dyDescent="0.25">
      <c r="A66" s="18" t="s">
        <v>144</v>
      </c>
      <c r="B66" s="18">
        <v>0.28562745713828763</v>
      </c>
      <c r="J66" s="61" t="s">
        <v>113</v>
      </c>
      <c r="K66" s="31" t="s">
        <v>524</v>
      </c>
      <c r="L66" s="16">
        <v>14.810333333333332</v>
      </c>
      <c r="M66" s="16">
        <v>17</v>
      </c>
    </row>
    <row r="67" spans="1:13" x14ac:dyDescent="0.25">
      <c r="A67" s="18" t="s">
        <v>145</v>
      </c>
      <c r="B67" s="18">
        <v>8.158304427128435E-2</v>
      </c>
      <c r="J67" s="61" t="s">
        <v>113</v>
      </c>
      <c r="K67" s="31" t="s">
        <v>526</v>
      </c>
      <c r="L67" s="16">
        <v>8.3481666666666658</v>
      </c>
      <c r="M67" s="16">
        <v>14</v>
      </c>
    </row>
    <row r="68" spans="1:13" x14ac:dyDescent="0.25">
      <c r="A68" s="18" t="s">
        <v>146</v>
      </c>
      <c r="B68" s="18">
        <v>6.7004997354955534E-2</v>
      </c>
      <c r="J68" s="61" t="s">
        <v>113</v>
      </c>
      <c r="K68" s="31" t="s">
        <v>528</v>
      </c>
      <c r="L68" s="16">
        <v>10.411166666666668</v>
      </c>
      <c r="M68" s="16">
        <v>14</v>
      </c>
    </row>
    <row r="69" spans="1:13" x14ac:dyDescent="0.25">
      <c r="A69" s="18" t="s">
        <v>147</v>
      </c>
      <c r="B69" s="18">
        <v>2.5771608748930306</v>
      </c>
      <c r="J69" s="61" t="s">
        <v>113</v>
      </c>
      <c r="K69" s="31" t="s">
        <v>530</v>
      </c>
      <c r="L69" s="16">
        <v>12.104999999999999</v>
      </c>
      <c r="M69" s="16">
        <v>18</v>
      </c>
    </row>
    <row r="70" spans="1:13" ht="15.75" thickBot="1" x14ac:dyDescent="0.3">
      <c r="A70" s="19" t="s">
        <v>148</v>
      </c>
      <c r="B70" s="19">
        <v>65</v>
      </c>
      <c r="J70" s="61" t="s">
        <v>113</v>
      </c>
      <c r="K70" s="31" t="s">
        <v>533</v>
      </c>
      <c r="L70" s="16">
        <v>13.229166666666668</v>
      </c>
      <c r="M70" s="16">
        <v>14</v>
      </c>
    </row>
    <row r="71" spans="1:13" x14ac:dyDescent="0.25">
      <c r="J71" s="61" t="s">
        <v>113</v>
      </c>
      <c r="K71" s="31" t="s">
        <v>535</v>
      </c>
      <c r="L71" s="16">
        <v>8.684333333333333</v>
      </c>
      <c r="M71" s="16">
        <v>16</v>
      </c>
    </row>
    <row r="72" spans="1:13" ht="15.75" thickBot="1" x14ac:dyDescent="0.3">
      <c r="A72" t="s">
        <v>149</v>
      </c>
      <c r="J72" s="61" t="s">
        <v>113</v>
      </c>
      <c r="K72" s="31" t="s">
        <v>537</v>
      </c>
      <c r="L72" s="16">
        <v>18.388000000000002</v>
      </c>
      <c r="M72" s="16">
        <v>17</v>
      </c>
    </row>
    <row r="73" spans="1:13" x14ac:dyDescent="0.25">
      <c r="A73" s="20"/>
      <c r="B73" s="20" t="s">
        <v>153</v>
      </c>
      <c r="C73" s="20" t="s">
        <v>154</v>
      </c>
      <c r="D73" s="20" t="s">
        <v>155</v>
      </c>
      <c r="E73" s="20" t="s">
        <v>156</v>
      </c>
      <c r="F73" s="20" t="s">
        <v>157</v>
      </c>
      <c r="J73" s="61" t="s">
        <v>113</v>
      </c>
      <c r="K73" s="31" t="s">
        <v>540</v>
      </c>
      <c r="L73" s="16">
        <v>14.614999999999998</v>
      </c>
      <c r="M73" s="16">
        <v>12</v>
      </c>
    </row>
    <row r="74" spans="1:13" x14ac:dyDescent="0.25">
      <c r="A74" s="18" t="s">
        <v>150</v>
      </c>
      <c r="B74" s="18">
        <v>1</v>
      </c>
      <c r="C74" s="18">
        <v>37.169234969997149</v>
      </c>
      <c r="D74" s="18">
        <v>37.169234969997149</v>
      </c>
      <c r="E74" s="18">
        <v>5.5962945337968053</v>
      </c>
      <c r="F74" s="33">
        <v>2.1088559660387911E-2</v>
      </c>
      <c r="J74" s="61" t="s">
        <v>113</v>
      </c>
      <c r="K74" s="31" t="s">
        <v>542</v>
      </c>
      <c r="L74" s="16">
        <v>12.975833333333334</v>
      </c>
      <c r="M74" s="16">
        <v>13</v>
      </c>
    </row>
    <row r="75" spans="1:13" x14ac:dyDescent="0.25">
      <c r="A75" s="18" t="s">
        <v>151</v>
      </c>
      <c r="B75" s="18">
        <v>63</v>
      </c>
      <c r="C75" s="18">
        <v>418.43076503000282</v>
      </c>
      <c r="D75" s="18">
        <v>6.6417581750794099</v>
      </c>
      <c r="E75" s="18"/>
      <c r="F75" s="18"/>
      <c r="J75" s="61" t="s">
        <v>113</v>
      </c>
      <c r="K75" s="31" t="s">
        <v>544</v>
      </c>
      <c r="L75" s="16">
        <v>26.131166666666669</v>
      </c>
      <c r="M75" s="16">
        <v>16</v>
      </c>
    </row>
    <row r="76" spans="1:13" ht="15.75" thickBot="1" x14ac:dyDescent="0.3">
      <c r="A76" s="19" t="s">
        <v>128</v>
      </c>
      <c r="B76" s="19">
        <v>64</v>
      </c>
      <c r="C76" s="19">
        <v>455.59999999999997</v>
      </c>
      <c r="D76" s="19"/>
      <c r="E76" s="19"/>
      <c r="F76" s="19"/>
      <c r="J76" s="61" t="s">
        <v>113</v>
      </c>
      <c r="K76" s="31" t="s">
        <v>546</v>
      </c>
      <c r="L76" s="16">
        <v>9.096166666666667</v>
      </c>
      <c r="M76" s="16">
        <v>17</v>
      </c>
    </row>
    <row r="77" spans="1:13" ht="15.75" thickBot="1" x14ac:dyDescent="0.3">
      <c r="J77" s="61" t="s">
        <v>113</v>
      </c>
      <c r="K77" s="31" t="s">
        <v>548</v>
      </c>
      <c r="L77" s="16">
        <v>15.997833333333334</v>
      </c>
      <c r="M77" s="16">
        <v>17</v>
      </c>
    </row>
    <row r="78" spans="1:13" x14ac:dyDescent="0.25">
      <c r="A78" s="20"/>
      <c r="B78" s="20" t="s">
        <v>158</v>
      </c>
      <c r="C78" s="20" t="s">
        <v>147</v>
      </c>
      <c r="D78" s="20" t="s">
        <v>159</v>
      </c>
      <c r="E78" s="20" t="s">
        <v>160</v>
      </c>
      <c r="F78" s="20" t="s">
        <v>161</v>
      </c>
      <c r="G78" s="20" t="s">
        <v>162</v>
      </c>
      <c r="H78" s="20" t="s">
        <v>163</v>
      </c>
      <c r="I78" s="20" t="s">
        <v>164</v>
      </c>
      <c r="J78" s="61" t="s">
        <v>113</v>
      </c>
      <c r="K78" s="31" t="s">
        <v>551</v>
      </c>
      <c r="L78" s="16">
        <v>9.0591666666666661</v>
      </c>
      <c r="M78" s="16">
        <v>16</v>
      </c>
    </row>
    <row r="79" spans="1:13" x14ac:dyDescent="0.25">
      <c r="A79" s="18" t="s">
        <v>152</v>
      </c>
      <c r="B79" s="18">
        <v>13.570003667249928</v>
      </c>
      <c r="C79" s="18">
        <v>0.83701392964926535</v>
      </c>
      <c r="D79" s="18">
        <v>16.21239884614128</v>
      </c>
      <c r="E79" s="18">
        <v>3.6738819300108562E-24</v>
      </c>
      <c r="F79" s="18">
        <v>11.897364796977197</v>
      </c>
      <c r="G79" s="18">
        <v>15.242642537522659</v>
      </c>
      <c r="H79" s="18">
        <v>11.897364796977197</v>
      </c>
      <c r="I79" s="18">
        <v>15.242642537522659</v>
      </c>
      <c r="J79" s="61" t="s">
        <v>113</v>
      </c>
      <c r="K79" s="31" t="s">
        <v>554</v>
      </c>
      <c r="L79" s="16">
        <v>13.668833333333334</v>
      </c>
      <c r="M79" s="16">
        <v>17</v>
      </c>
    </row>
    <row r="80" spans="1:13" ht="15.75" thickBot="1" x14ac:dyDescent="0.3">
      <c r="A80" s="19" t="s">
        <v>165</v>
      </c>
      <c r="B80" s="19">
        <v>0.13884978177808002</v>
      </c>
      <c r="C80" s="19">
        <v>5.8694163814460451E-2</v>
      </c>
      <c r="D80" s="19">
        <v>2.3656488610520365</v>
      </c>
      <c r="E80" s="19">
        <v>2.108855966038806E-2</v>
      </c>
      <c r="F80" s="19">
        <v>2.1558854618289866E-2</v>
      </c>
      <c r="G80" s="19">
        <v>0.25614070893787017</v>
      </c>
      <c r="H80" s="19">
        <v>2.1558854618289866E-2</v>
      </c>
      <c r="I80" s="19">
        <v>0.25614070893787017</v>
      </c>
      <c r="J80" s="61" t="s">
        <v>113</v>
      </c>
      <c r="K80" s="31" t="s">
        <v>555</v>
      </c>
      <c r="L80" s="16">
        <v>11.621500000000001</v>
      </c>
      <c r="M80" s="16">
        <v>13</v>
      </c>
    </row>
    <row r="81" spans="1:13" x14ac:dyDescent="0.25">
      <c r="J81" s="61" t="s">
        <v>113</v>
      </c>
      <c r="K81" s="31" t="s">
        <v>557</v>
      </c>
      <c r="L81" s="16">
        <v>27.094666666666665</v>
      </c>
      <c r="M81" s="16">
        <v>17</v>
      </c>
    </row>
    <row r="82" spans="1:13" x14ac:dyDescent="0.25">
      <c r="J82" s="61" t="s">
        <v>113</v>
      </c>
      <c r="K82" s="31" t="s">
        <v>559</v>
      </c>
      <c r="L82" s="16">
        <v>7.8901666666666666</v>
      </c>
      <c r="M82" s="16">
        <v>14</v>
      </c>
    </row>
    <row r="83" spans="1:13" x14ac:dyDescent="0.25">
      <c r="A83" s="22" t="s">
        <v>1003</v>
      </c>
      <c r="J83" s="61" t="s">
        <v>113</v>
      </c>
      <c r="K83" s="31" t="s">
        <v>561</v>
      </c>
      <c r="L83" s="16">
        <v>6.5274999999999999</v>
      </c>
      <c r="M83" s="16">
        <v>18</v>
      </c>
    </row>
    <row r="84" spans="1:13" x14ac:dyDescent="0.25">
      <c r="A84" t="s">
        <v>142</v>
      </c>
      <c r="J84" s="61" t="s">
        <v>113</v>
      </c>
      <c r="K84" s="31" t="s">
        <v>563</v>
      </c>
      <c r="L84" s="16">
        <v>15.956833333333332</v>
      </c>
      <c r="M84" s="16">
        <v>17</v>
      </c>
    </row>
    <row r="85" spans="1:13" ht="15.75" thickBot="1" x14ac:dyDescent="0.3">
      <c r="J85" s="61" t="s">
        <v>113</v>
      </c>
      <c r="K85" s="31" t="s">
        <v>566</v>
      </c>
      <c r="L85" s="16">
        <v>12.952333333333332</v>
      </c>
      <c r="M85" s="16">
        <v>5</v>
      </c>
    </row>
    <row r="86" spans="1:13" x14ac:dyDescent="0.25">
      <c r="A86" s="21" t="s">
        <v>143</v>
      </c>
      <c r="B86" s="21"/>
      <c r="J86" s="61" t="s">
        <v>113</v>
      </c>
      <c r="K86" s="31" t="s">
        <v>568</v>
      </c>
      <c r="L86" s="16">
        <v>9.9936666666666678</v>
      </c>
      <c r="M86" s="16">
        <v>16</v>
      </c>
    </row>
    <row r="87" spans="1:13" x14ac:dyDescent="0.25">
      <c r="A87" s="18" t="s">
        <v>144</v>
      </c>
      <c r="B87" s="18">
        <v>7.3461759105995936E-2</v>
      </c>
      <c r="J87" s="61" t="s">
        <v>113</v>
      </c>
      <c r="K87" s="31" t="s">
        <v>570</v>
      </c>
      <c r="L87" s="16">
        <v>11.496166666666669</v>
      </c>
      <c r="M87" s="16">
        <v>10</v>
      </c>
    </row>
    <row r="88" spans="1:13" x14ac:dyDescent="0.25">
      <c r="A88" s="18" t="s">
        <v>145</v>
      </c>
      <c r="B88" s="18">
        <v>5.3966300509473777E-3</v>
      </c>
      <c r="J88" s="61" t="s">
        <v>113</v>
      </c>
      <c r="K88" s="31" t="s">
        <v>571</v>
      </c>
      <c r="L88" s="16">
        <v>7.4725000000000001</v>
      </c>
      <c r="M88" s="16">
        <v>17</v>
      </c>
    </row>
    <row r="89" spans="1:13" x14ac:dyDescent="0.25">
      <c r="A89" s="18" t="s">
        <v>146</v>
      </c>
      <c r="B89" s="18">
        <v>-1.175170391369146E-2</v>
      </c>
      <c r="J89" s="61" t="s">
        <v>113</v>
      </c>
      <c r="K89" s="31" t="s">
        <v>573</v>
      </c>
      <c r="L89" s="16">
        <v>7.0421666666666667</v>
      </c>
      <c r="M89" s="16">
        <v>11</v>
      </c>
    </row>
    <row r="90" spans="1:13" x14ac:dyDescent="0.25">
      <c r="A90" s="18" t="s">
        <v>147</v>
      </c>
      <c r="B90" s="18">
        <v>2.9152554455613346</v>
      </c>
      <c r="J90" s="61" t="s">
        <v>113</v>
      </c>
      <c r="K90" s="31" t="s">
        <v>575</v>
      </c>
      <c r="L90" s="16">
        <v>10.976166666666666</v>
      </c>
      <c r="M90" s="16">
        <v>15</v>
      </c>
    </row>
    <row r="91" spans="1:13" ht="15.75" thickBot="1" x14ac:dyDescent="0.3">
      <c r="A91" s="19" t="s">
        <v>148</v>
      </c>
      <c r="B91" s="19">
        <v>60</v>
      </c>
      <c r="J91" s="61" t="s">
        <v>113</v>
      </c>
      <c r="K91" s="31" t="s">
        <v>692</v>
      </c>
      <c r="L91" s="40">
        <v>12.003666666666666</v>
      </c>
      <c r="M91" s="40">
        <v>14</v>
      </c>
    </row>
    <row r="92" spans="1:13" x14ac:dyDescent="0.25">
      <c r="J92" s="61" t="s">
        <v>113</v>
      </c>
      <c r="K92" s="31" t="s">
        <v>693</v>
      </c>
      <c r="L92" s="40">
        <v>11.683166666666667</v>
      </c>
      <c r="M92" s="40">
        <v>14</v>
      </c>
    </row>
    <row r="93" spans="1:13" ht="15.75" thickBot="1" x14ac:dyDescent="0.3">
      <c r="A93" t="s">
        <v>149</v>
      </c>
      <c r="J93" s="61" t="s">
        <v>113</v>
      </c>
      <c r="K93" s="31" t="s">
        <v>694</v>
      </c>
      <c r="L93" s="40">
        <v>7.7138333333333327</v>
      </c>
      <c r="M93" s="40">
        <v>16</v>
      </c>
    </row>
    <row r="94" spans="1:13" x14ac:dyDescent="0.25">
      <c r="A94" s="20"/>
      <c r="B94" s="20" t="s">
        <v>153</v>
      </c>
      <c r="C94" s="20" t="s">
        <v>154</v>
      </c>
      <c r="D94" s="20" t="s">
        <v>155</v>
      </c>
      <c r="E94" s="20" t="s">
        <v>156</v>
      </c>
      <c r="F94" s="20" t="s">
        <v>157</v>
      </c>
      <c r="J94" s="61" t="s">
        <v>113</v>
      </c>
      <c r="K94" s="31" t="s">
        <v>696</v>
      </c>
      <c r="L94" s="40">
        <v>29.299833333333336</v>
      </c>
      <c r="M94" s="40">
        <v>15</v>
      </c>
    </row>
    <row r="95" spans="1:13" x14ac:dyDescent="0.25">
      <c r="A95" s="18" t="s">
        <v>150</v>
      </c>
      <c r="B95" s="18">
        <v>1</v>
      </c>
      <c r="C95" s="18">
        <v>2.6745698532495226</v>
      </c>
      <c r="D95" s="18">
        <v>2.6745698532495226</v>
      </c>
      <c r="E95" s="18">
        <v>0.31470287796328417</v>
      </c>
      <c r="F95" s="34">
        <v>0.5769695166686768</v>
      </c>
      <c r="J95" s="61" t="s">
        <v>113</v>
      </c>
      <c r="K95" s="31" t="s">
        <v>698</v>
      </c>
      <c r="L95" s="40">
        <v>20.408166666666666</v>
      </c>
      <c r="M95" s="40">
        <v>18</v>
      </c>
    </row>
    <row r="96" spans="1:13" x14ac:dyDescent="0.25">
      <c r="A96" s="18" t="s">
        <v>151</v>
      </c>
      <c r="B96" s="18">
        <v>58</v>
      </c>
      <c r="C96" s="18">
        <v>492.9254301467509</v>
      </c>
      <c r="D96" s="18">
        <v>8.4987143128750162</v>
      </c>
      <c r="E96" s="18"/>
      <c r="F96" s="18"/>
      <c r="J96" s="61" t="s">
        <v>113</v>
      </c>
      <c r="K96" s="31" t="s">
        <v>700</v>
      </c>
      <c r="L96" s="40">
        <v>12.050333333333333</v>
      </c>
      <c r="M96" s="40">
        <v>17</v>
      </c>
    </row>
    <row r="97" spans="1:13" ht="15.75" thickBot="1" x14ac:dyDescent="0.3">
      <c r="A97" s="19" t="s">
        <v>128</v>
      </c>
      <c r="B97" s="19">
        <v>59</v>
      </c>
      <c r="C97" s="19">
        <v>495.60000000000042</v>
      </c>
      <c r="D97" s="19"/>
      <c r="E97" s="19"/>
      <c r="F97" s="19"/>
      <c r="J97" s="61" t="s">
        <v>113</v>
      </c>
      <c r="K97" s="31" t="s">
        <v>702</v>
      </c>
      <c r="L97" s="40">
        <v>13.195833333333333</v>
      </c>
      <c r="M97" s="40">
        <v>17</v>
      </c>
    </row>
    <row r="98" spans="1:13" ht="15.75" thickBot="1" x14ac:dyDescent="0.3">
      <c r="J98" s="61" t="s">
        <v>113</v>
      </c>
      <c r="K98" s="31" t="s">
        <v>704</v>
      </c>
      <c r="L98" s="40">
        <v>30.003999999999998</v>
      </c>
      <c r="M98" s="40">
        <v>17</v>
      </c>
    </row>
    <row r="99" spans="1:13" x14ac:dyDescent="0.25">
      <c r="A99" s="20"/>
      <c r="B99" s="20" t="s">
        <v>158</v>
      </c>
      <c r="C99" s="20" t="s">
        <v>147</v>
      </c>
      <c r="D99" s="20" t="s">
        <v>159</v>
      </c>
      <c r="E99" s="20" t="s">
        <v>160</v>
      </c>
      <c r="F99" s="20" t="s">
        <v>161</v>
      </c>
      <c r="G99" s="20" t="s">
        <v>162</v>
      </c>
      <c r="H99" s="20" t="s">
        <v>163</v>
      </c>
      <c r="I99" s="20" t="s">
        <v>164</v>
      </c>
      <c r="J99" s="61" t="s">
        <v>113</v>
      </c>
      <c r="K99" s="31" t="s">
        <v>706</v>
      </c>
      <c r="L99" s="40">
        <v>12.353333333333333</v>
      </c>
      <c r="M99" s="40">
        <v>17</v>
      </c>
    </row>
    <row r="100" spans="1:13" x14ac:dyDescent="0.25">
      <c r="A100" s="18" t="s">
        <v>152</v>
      </c>
      <c r="B100" s="18">
        <v>18.642271777439177</v>
      </c>
      <c r="C100" s="18">
        <v>0.87361182795698189</v>
      </c>
      <c r="D100" s="18">
        <v>21.339307894944337</v>
      </c>
      <c r="E100" s="18">
        <v>3.8062254803642264E-29</v>
      </c>
      <c r="F100" s="18">
        <v>16.893547707061607</v>
      </c>
      <c r="G100" s="18">
        <v>20.390995847816747</v>
      </c>
      <c r="H100" s="18">
        <v>16.893547707061607</v>
      </c>
      <c r="I100" s="18">
        <v>20.390995847816747</v>
      </c>
      <c r="J100" s="61" t="s">
        <v>113</v>
      </c>
      <c r="K100" s="31" t="s">
        <v>708</v>
      </c>
      <c r="L100" s="40">
        <v>16.712833333333336</v>
      </c>
      <c r="M100" s="40">
        <v>18</v>
      </c>
    </row>
    <row r="101" spans="1:13" ht="15.75" thickBot="1" x14ac:dyDescent="0.3">
      <c r="A101" s="19" t="s">
        <v>165</v>
      </c>
      <c r="B101" s="19">
        <v>-4.1547383076428045E-2</v>
      </c>
      <c r="C101" s="19">
        <v>7.4061638687618128E-2</v>
      </c>
      <c r="D101" s="19">
        <v>-0.5609838482195787</v>
      </c>
      <c r="E101" s="19">
        <v>0.57696951666869922</v>
      </c>
      <c r="F101" s="19">
        <v>-0.18979786014188044</v>
      </c>
      <c r="G101" s="19">
        <v>0.10670309398902433</v>
      </c>
      <c r="H101" s="19">
        <v>-0.18979786014188044</v>
      </c>
      <c r="I101" s="19">
        <v>0.10670309398902433</v>
      </c>
      <c r="J101" s="61" t="s">
        <v>113</v>
      </c>
      <c r="K101" s="31" t="s">
        <v>709</v>
      </c>
      <c r="L101" s="40">
        <v>5.8731666666666662</v>
      </c>
      <c r="M101" s="40">
        <v>12</v>
      </c>
    </row>
    <row r="102" spans="1:13" x14ac:dyDescent="0.25">
      <c r="J102" s="61" t="s">
        <v>113</v>
      </c>
      <c r="K102" s="31" t="s">
        <v>711</v>
      </c>
      <c r="L102" s="40">
        <v>4.6635</v>
      </c>
      <c r="M102" s="40">
        <v>12</v>
      </c>
    </row>
    <row r="103" spans="1:13" x14ac:dyDescent="0.25">
      <c r="J103" s="61" t="s">
        <v>113</v>
      </c>
      <c r="K103" s="31" t="s">
        <v>713</v>
      </c>
      <c r="L103" s="40">
        <v>12.729833333333334</v>
      </c>
      <c r="M103" s="40">
        <v>13</v>
      </c>
    </row>
    <row r="104" spans="1:13" x14ac:dyDescent="0.25">
      <c r="J104" s="61" t="s">
        <v>113</v>
      </c>
      <c r="K104" s="31" t="s">
        <v>715</v>
      </c>
      <c r="L104" s="40">
        <v>10.209</v>
      </c>
      <c r="M104" s="40">
        <v>14</v>
      </c>
    </row>
    <row r="105" spans="1:13" x14ac:dyDescent="0.25">
      <c r="J105" s="61" t="s">
        <v>113</v>
      </c>
      <c r="K105" s="31" t="s">
        <v>717</v>
      </c>
      <c r="L105" s="40">
        <v>11.7395</v>
      </c>
      <c r="M105" s="40">
        <v>14</v>
      </c>
    </row>
    <row r="106" spans="1:13" x14ac:dyDescent="0.25">
      <c r="J106" s="61" t="s">
        <v>113</v>
      </c>
      <c r="K106" s="31" t="s">
        <v>719</v>
      </c>
      <c r="L106" s="40">
        <v>15.0825</v>
      </c>
      <c r="M106" s="40">
        <v>16</v>
      </c>
    </row>
    <row r="107" spans="1:13" x14ac:dyDescent="0.25">
      <c r="J107" s="61" t="s">
        <v>113</v>
      </c>
      <c r="K107" s="31" t="s">
        <v>721</v>
      </c>
      <c r="L107" s="40">
        <v>12.580166666666667</v>
      </c>
      <c r="M107" s="40">
        <v>15</v>
      </c>
    </row>
    <row r="108" spans="1:13" x14ac:dyDescent="0.25">
      <c r="J108" s="61" t="s">
        <v>113</v>
      </c>
      <c r="K108" s="31" t="s">
        <v>723</v>
      </c>
      <c r="L108" s="40">
        <v>12.0595</v>
      </c>
      <c r="M108" s="40">
        <v>16</v>
      </c>
    </row>
    <row r="109" spans="1:13" x14ac:dyDescent="0.25">
      <c r="J109" s="61" t="s">
        <v>113</v>
      </c>
      <c r="K109" s="31" t="s">
        <v>726</v>
      </c>
      <c r="L109" s="40">
        <v>15.958666666666666</v>
      </c>
      <c r="M109" s="40">
        <v>19</v>
      </c>
    </row>
    <row r="110" spans="1:13" x14ac:dyDescent="0.25">
      <c r="J110" s="61" t="s">
        <v>113</v>
      </c>
      <c r="K110" s="31" t="s">
        <v>729</v>
      </c>
      <c r="L110" s="40">
        <v>10.031166666666666</v>
      </c>
      <c r="M110" s="40">
        <v>17</v>
      </c>
    </row>
    <row r="111" spans="1:13" x14ac:dyDescent="0.25">
      <c r="J111" s="61" t="s">
        <v>113</v>
      </c>
      <c r="K111" s="31" t="s">
        <v>731</v>
      </c>
      <c r="L111" s="40">
        <v>12.9635</v>
      </c>
      <c r="M111" s="40">
        <v>19</v>
      </c>
    </row>
    <row r="112" spans="1:13" x14ac:dyDescent="0.25">
      <c r="J112" s="61" t="s">
        <v>113</v>
      </c>
      <c r="K112" s="31" t="s">
        <v>734</v>
      </c>
      <c r="L112" s="40">
        <v>15.673333333333334</v>
      </c>
      <c r="M112" s="40">
        <v>16</v>
      </c>
    </row>
    <row r="113" spans="10:13" x14ac:dyDescent="0.25">
      <c r="J113" s="61" t="s">
        <v>113</v>
      </c>
      <c r="K113" s="31" t="s">
        <v>735</v>
      </c>
      <c r="L113" s="40">
        <v>9.6290000000000013</v>
      </c>
      <c r="M113" s="40">
        <v>13</v>
      </c>
    </row>
    <row r="114" spans="10:13" x14ac:dyDescent="0.25">
      <c r="J114" s="61" t="s">
        <v>113</v>
      </c>
      <c r="K114" s="31" t="s">
        <v>738</v>
      </c>
      <c r="L114" s="40">
        <v>11.088166666666666</v>
      </c>
      <c r="M114" s="40">
        <v>19</v>
      </c>
    </row>
    <row r="115" spans="10:13" x14ac:dyDescent="0.25">
      <c r="J115" s="61" t="s">
        <v>113</v>
      </c>
      <c r="K115" s="31" t="s">
        <v>945</v>
      </c>
      <c r="L115" s="16">
        <v>21.446500000000004</v>
      </c>
      <c r="M115" s="16">
        <v>13</v>
      </c>
    </row>
    <row r="116" spans="10:13" x14ac:dyDescent="0.25">
      <c r="J116" s="61" t="s">
        <v>113</v>
      </c>
      <c r="K116" s="31" t="s">
        <v>947</v>
      </c>
      <c r="L116" s="16">
        <v>9.9885000000000002</v>
      </c>
      <c r="M116" s="16">
        <v>14</v>
      </c>
    </row>
    <row r="117" spans="10:13" x14ac:dyDescent="0.25">
      <c r="J117" s="61" t="s">
        <v>113</v>
      </c>
      <c r="K117" s="31" t="s">
        <v>949</v>
      </c>
      <c r="L117" s="16">
        <v>13.571499999999999</v>
      </c>
      <c r="M117" s="16">
        <v>15</v>
      </c>
    </row>
    <row r="118" spans="10:13" x14ac:dyDescent="0.25">
      <c r="J118" s="61" t="s">
        <v>113</v>
      </c>
      <c r="K118" s="31" t="s">
        <v>951</v>
      </c>
      <c r="L118" s="16">
        <v>11.695499999999999</v>
      </c>
      <c r="M118" s="16">
        <v>15</v>
      </c>
    </row>
    <row r="119" spans="10:13" x14ac:dyDescent="0.25">
      <c r="J119" s="61" t="s">
        <v>113</v>
      </c>
      <c r="K119" s="31" t="s">
        <v>953</v>
      </c>
      <c r="L119" s="16">
        <v>11.577500000000001</v>
      </c>
      <c r="M119" s="16">
        <v>16</v>
      </c>
    </row>
    <row r="120" spans="10:13" x14ac:dyDescent="0.25">
      <c r="J120" s="61" t="s">
        <v>113</v>
      </c>
      <c r="K120" s="31" t="s">
        <v>955</v>
      </c>
      <c r="L120" s="16">
        <v>11.993166666666665</v>
      </c>
      <c r="M120" s="16">
        <v>21</v>
      </c>
    </row>
    <row r="121" spans="10:13" x14ac:dyDescent="0.25">
      <c r="J121" s="61" t="s">
        <v>113</v>
      </c>
      <c r="K121" s="31" t="s">
        <v>957</v>
      </c>
      <c r="L121" s="16">
        <v>13.180666666666667</v>
      </c>
      <c r="M121" s="16">
        <v>16</v>
      </c>
    </row>
    <row r="122" spans="10:13" x14ac:dyDescent="0.25">
      <c r="J122" s="61" t="s">
        <v>113</v>
      </c>
      <c r="K122" s="31" t="s">
        <v>959</v>
      </c>
      <c r="L122" s="16">
        <v>2.4485000000000001</v>
      </c>
      <c r="M122" s="16">
        <v>9</v>
      </c>
    </row>
    <row r="123" spans="10:13" x14ac:dyDescent="0.25">
      <c r="J123" s="61" t="s">
        <v>113</v>
      </c>
      <c r="K123" s="31" t="s">
        <v>961</v>
      </c>
      <c r="L123" s="16">
        <v>8.9791666666666661</v>
      </c>
      <c r="M123" s="16">
        <v>15</v>
      </c>
    </row>
    <row r="124" spans="10:13" x14ac:dyDescent="0.25">
      <c r="J124" s="61" t="s">
        <v>113</v>
      </c>
      <c r="K124" s="31" t="s">
        <v>963</v>
      </c>
      <c r="L124" s="16">
        <v>15.331166666666668</v>
      </c>
      <c r="M124" s="16">
        <v>17</v>
      </c>
    </row>
    <row r="125" spans="10:13" x14ac:dyDescent="0.25">
      <c r="J125" s="61" t="s">
        <v>113</v>
      </c>
      <c r="K125" s="31" t="s">
        <v>965</v>
      </c>
      <c r="L125" s="16">
        <v>12.313333333333333</v>
      </c>
      <c r="M125" s="16">
        <v>14</v>
      </c>
    </row>
    <row r="126" spans="10:13" x14ac:dyDescent="0.25">
      <c r="J126" s="61" t="s">
        <v>113</v>
      </c>
      <c r="K126" s="31" t="s">
        <v>967</v>
      </c>
      <c r="L126" s="16">
        <v>15.526333333333334</v>
      </c>
      <c r="M126" s="16">
        <v>17</v>
      </c>
    </row>
    <row r="127" spans="10:13" x14ac:dyDescent="0.25">
      <c r="J127" s="61" t="s">
        <v>113</v>
      </c>
      <c r="K127" s="31" t="s">
        <v>969</v>
      </c>
      <c r="L127" s="16">
        <v>24.511833333333332</v>
      </c>
      <c r="M127" s="16">
        <v>19</v>
      </c>
    </row>
    <row r="128" spans="10:13" x14ac:dyDescent="0.25">
      <c r="J128" s="61" t="s">
        <v>113</v>
      </c>
      <c r="K128" s="31" t="s">
        <v>971</v>
      </c>
      <c r="L128" s="16">
        <v>6.4301666666666666</v>
      </c>
      <c r="M128" s="16">
        <v>18</v>
      </c>
    </row>
    <row r="129" spans="10:13" x14ac:dyDescent="0.25">
      <c r="J129" s="61" t="s">
        <v>113</v>
      </c>
      <c r="K129" s="31" t="s">
        <v>973</v>
      </c>
      <c r="L129" s="16">
        <v>17.606499999999997</v>
      </c>
      <c r="M129" s="16">
        <v>19</v>
      </c>
    </row>
    <row r="130" spans="10:13" x14ac:dyDescent="0.25">
      <c r="J130" s="61" t="s">
        <v>113</v>
      </c>
      <c r="K130" s="31" t="s">
        <v>975</v>
      </c>
      <c r="L130" s="16">
        <v>17.829333333333338</v>
      </c>
      <c r="M130" s="16">
        <v>14</v>
      </c>
    </row>
    <row r="131" spans="10:13" x14ac:dyDescent="0.25">
      <c r="J131" s="61" t="s">
        <v>114</v>
      </c>
      <c r="K131" s="31" t="s">
        <v>419</v>
      </c>
      <c r="L131" s="16">
        <v>12.423999999999999</v>
      </c>
      <c r="M131" s="16">
        <v>21</v>
      </c>
    </row>
    <row r="132" spans="10:13" x14ac:dyDescent="0.25">
      <c r="J132" s="61" t="s">
        <v>114</v>
      </c>
      <c r="K132" s="31" t="s">
        <v>420</v>
      </c>
      <c r="L132" s="16">
        <v>8.7526666666666664</v>
      </c>
      <c r="M132" s="16">
        <v>20</v>
      </c>
    </row>
    <row r="133" spans="10:13" x14ac:dyDescent="0.25">
      <c r="J133" s="61" t="s">
        <v>114</v>
      </c>
      <c r="K133" s="31" t="s">
        <v>422</v>
      </c>
      <c r="L133" s="16">
        <v>13.405833333333334</v>
      </c>
      <c r="M133" s="16">
        <v>14</v>
      </c>
    </row>
    <row r="134" spans="10:13" x14ac:dyDescent="0.25">
      <c r="J134" s="61" t="s">
        <v>114</v>
      </c>
      <c r="K134" s="31" t="s">
        <v>424</v>
      </c>
      <c r="L134" s="16">
        <v>12.571833333333334</v>
      </c>
      <c r="M134" s="16">
        <v>13</v>
      </c>
    </row>
    <row r="135" spans="10:13" x14ac:dyDescent="0.25">
      <c r="J135" s="61" t="s">
        <v>114</v>
      </c>
      <c r="K135" s="26" t="s">
        <v>426</v>
      </c>
      <c r="L135" s="16">
        <v>10.817166666666665</v>
      </c>
      <c r="M135" s="16">
        <v>11</v>
      </c>
    </row>
    <row r="136" spans="10:13" x14ac:dyDescent="0.25">
      <c r="J136" s="61" t="s">
        <v>114</v>
      </c>
      <c r="K136" s="26" t="s">
        <v>429</v>
      </c>
      <c r="L136" s="16">
        <v>16.149333333333335</v>
      </c>
      <c r="M136" s="16">
        <v>20</v>
      </c>
    </row>
    <row r="137" spans="10:13" x14ac:dyDescent="0.25">
      <c r="J137" s="61" t="s">
        <v>114</v>
      </c>
      <c r="K137" s="45" t="s">
        <v>431</v>
      </c>
      <c r="L137" s="16">
        <v>14.666166666666665</v>
      </c>
      <c r="M137" s="16">
        <v>21</v>
      </c>
    </row>
    <row r="138" spans="10:13" x14ac:dyDescent="0.25">
      <c r="J138" s="61" t="s">
        <v>114</v>
      </c>
      <c r="K138" s="45" t="s">
        <v>434</v>
      </c>
      <c r="L138" s="16">
        <v>12.779333333333332</v>
      </c>
      <c r="M138" s="16">
        <v>16</v>
      </c>
    </row>
    <row r="139" spans="10:13" x14ac:dyDescent="0.25">
      <c r="J139" s="61" t="s">
        <v>114</v>
      </c>
      <c r="K139" s="26" t="s">
        <v>436</v>
      </c>
      <c r="L139" s="16">
        <v>7.6991666666666667</v>
      </c>
      <c r="M139" s="16">
        <v>20</v>
      </c>
    </row>
    <row r="140" spans="10:13" x14ac:dyDescent="0.25">
      <c r="J140" s="61" t="s">
        <v>114</v>
      </c>
      <c r="K140" s="26" t="s">
        <v>438</v>
      </c>
      <c r="L140" s="16">
        <v>11.767833333333334</v>
      </c>
      <c r="M140" s="16">
        <v>14</v>
      </c>
    </row>
    <row r="141" spans="10:13" x14ac:dyDescent="0.25">
      <c r="J141" s="61" t="s">
        <v>114</v>
      </c>
      <c r="K141" s="26" t="s">
        <v>440</v>
      </c>
      <c r="L141" s="16">
        <v>9.0306666666666668</v>
      </c>
      <c r="M141" s="16">
        <v>20</v>
      </c>
    </row>
    <row r="142" spans="10:13" x14ac:dyDescent="0.25">
      <c r="J142" s="61" t="s">
        <v>114</v>
      </c>
      <c r="K142" s="26" t="s">
        <v>443</v>
      </c>
      <c r="L142" s="16">
        <v>17.038666666666668</v>
      </c>
      <c r="M142" s="16">
        <v>10</v>
      </c>
    </row>
    <row r="143" spans="10:13" x14ac:dyDescent="0.25">
      <c r="J143" s="61" t="s">
        <v>114</v>
      </c>
      <c r="K143" s="45" t="s">
        <v>446</v>
      </c>
      <c r="L143" s="16">
        <v>12.975999999999999</v>
      </c>
      <c r="M143" s="16">
        <v>20</v>
      </c>
    </row>
    <row r="144" spans="10:13" x14ac:dyDescent="0.25">
      <c r="J144" s="61" t="s">
        <v>114</v>
      </c>
      <c r="K144" s="26" t="s">
        <v>448</v>
      </c>
      <c r="L144" s="16">
        <v>8.5824999999999996</v>
      </c>
      <c r="M144" s="16">
        <v>20</v>
      </c>
    </row>
    <row r="145" spans="10:13" x14ac:dyDescent="0.25">
      <c r="J145" s="61" t="s">
        <v>114</v>
      </c>
      <c r="K145" s="26" t="s">
        <v>450</v>
      </c>
      <c r="L145" s="16">
        <v>7.5211666666666668</v>
      </c>
      <c r="M145" s="16">
        <v>21</v>
      </c>
    </row>
    <row r="146" spans="10:13" x14ac:dyDescent="0.25">
      <c r="J146" s="61" t="s">
        <v>114</v>
      </c>
      <c r="K146" s="26" t="s">
        <v>452</v>
      </c>
      <c r="L146" s="16">
        <v>10.557499999999999</v>
      </c>
      <c r="M146" s="16">
        <v>13</v>
      </c>
    </row>
    <row r="147" spans="10:13" x14ac:dyDescent="0.25">
      <c r="J147" s="61" t="s">
        <v>114</v>
      </c>
      <c r="K147" s="26" t="s">
        <v>454</v>
      </c>
      <c r="L147" s="16">
        <v>6.0308333333333337</v>
      </c>
      <c r="M147" s="16">
        <v>20</v>
      </c>
    </row>
    <row r="148" spans="10:13" x14ac:dyDescent="0.25">
      <c r="J148" s="61" t="s">
        <v>114</v>
      </c>
      <c r="K148" s="26" t="s">
        <v>457</v>
      </c>
      <c r="L148" s="16">
        <v>27.297499999999999</v>
      </c>
      <c r="M148" s="16">
        <v>19</v>
      </c>
    </row>
    <row r="149" spans="10:13" x14ac:dyDescent="0.25">
      <c r="J149" s="61" t="s">
        <v>114</v>
      </c>
      <c r="K149" s="26" t="s">
        <v>459</v>
      </c>
      <c r="L149" s="16">
        <v>8.0296666666666656</v>
      </c>
      <c r="M149" s="16">
        <v>19</v>
      </c>
    </row>
    <row r="150" spans="10:13" x14ac:dyDescent="0.25">
      <c r="J150" s="61" t="s">
        <v>114</v>
      </c>
      <c r="K150" s="26" t="s">
        <v>460</v>
      </c>
      <c r="L150" s="16">
        <v>8.8773333333333326</v>
      </c>
      <c r="M150" s="16">
        <v>20</v>
      </c>
    </row>
    <row r="151" spans="10:13" x14ac:dyDescent="0.25">
      <c r="J151" s="61" t="s">
        <v>114</v>
      </c>
      <c r="K151" s="26" t="s">
        <v>462</v>
      </c>
      <c r="L151" s="16">
        <v>8.285166666666667</v>
      </c>
      <c r="M151" s="16">
        <v>18</v>
      </c>
    </row>
    <row r="152" spans="10:13" x14ac:dyDescent="0.25">
      <c r="J152" s="61" t="s">
        <v>114</v>
      </c>
      <c r="K152" s="26" t="s">
        <v>463</v>
      </c>
      <c r="L152" s="16">
        <v>6.226</v>
      </c>
      <c r="M152" s="16">
        <v>21</v>
      </c>
    </row>
    <row r="153" spans="10:13" x14ac:dyDescent="0.25">
      <c r="J153" s="61" t="s">
        <v>114</v>
      </c>
      <c r="K153" s="26" t="s">
        <v>465</v>
      </c>
      <c r="L153" s="16">
        <v>5.738666666666667</v>
      </c>
      <c r="M153" s="16">
        <v>14</v>
      </c>
    </row>
    <row r="154" spans="10:13" x14ac:dyDescent="0.25">
      <c r="J154" s="61" t="s">
        <v>114</v>
      </c>
      <c r="K154" s="26" t="s">
        <v>467</v>
      </c>
      <c r="L154" s="16">
        <v>4.4703333333333335</v>
      </c>
      <c r="M154" s="16">
        <v>13</v>
      </c>
    </row>
    <row r="155" spans="10:13" x14ac:dyDescent="0.25">
      <c r="J155" s="61" t="s">
        <v>114</v>
      </c>
      <c r="K155" s="26" t="s">
        <v>469</v>
      </c>
      <c r="L155" s="16">
        <v>8.5690000000000008</v>
      </c>
      <c r="M155" s="16">
        <v>21</v>
      </c>
    </row>
    <row r="156" spans="10:13" x14ac:dyDescent="0.25">
      <c r="J156" s="61" t="s">
        <v>114</v>
      </c>
      <c r="K156" s="26" t="s">
        <v>471</v>
      </c>
      <c r="L156" s="16">
        <v>10.356</v>
      </c>
      <c r="M156" s="16">
        <v>17</v>
      </c>
    </row>
    <row r="157" spans="10:13" x14ac:dyDescent="0.25">
      <c r="J157" s="61" t="s">
        <v>114</v>
      </c>
      <c r="K157" s="26" t="s">
        <v>473</v>
      </c>
      <c r="L157" s="16">
        <v>6.8585000000000003</v>
      </c>
      <c r="M157" s="16">
        <v>21</v>
      </c>
    </row>
    <row r="158" spans="10:13" x14ac:dyDescent="0.25">
      <c r="J158" s="61" t="s">
        <v>114</v>
      </c>
      <c r="K158" s="26" t="s">
        <v>616</v>
      </c>
      <c r="L158" s="40">
        <v>11.727833333333333</v>
      </c>
      <c r="M158" s="16">
        <v>19</v>
      </c>
    </row>
    <row r="159" spans="10:13" x14ac:dyDescent="0.25">
      <c r="J159" s="61" t="s">
        <v>114</v>
      </c>
      <c r="K159" s="26" t="s">
        <v>619</v>
      </c>
      <c r="L159" s="40">
        <v>7.7676666666666669</v>
      </c>
      <c r="M159" s="16">
        <v>20</v>
      </c>
    </row>
    <row r="160" spans="10:13" x14ac:dyDescent="0.25">
      <c r="J160" s="61" t="s">
        <v>114</v>
      </c>
      <c r="K160" s="26" t="s">
        <v>621</v>
      </c>
      <c r="L160" s="40">
        <v>8.3659999999999997</v>
      </c>
      <c r="M160" s="16">
        <v>21</v>
      </c>
    </row>
    <row r="161" spans="10:13" x14ac:dyDescent="0.25">
      <c r="J161" s="61" t="s">
        <v>114</v>
      </c>
      <c r="K161" s="26" t="s">
        <v>623</v>
      </c>
      <c r="L161" s="40">
        <v>10.050833333333333</v>
      </c>
      <c r="M161" s="16">
        <v>18</v>
      </c>
    </row>
    <row r="162" spans="10:13" x14ac:dyDescent="0.25">
      <c r="J162" s="61" t="s">
        <v>114</v>
      </c>
      <c r="K162" s="26" t="s">
        <v>625</v>
      </c>
      <c r="L162" s="40">
        <v>6.9833333333333334</v>
      </c>
      <c r="M162" s="16">
        <v>19</v>
      </c>
    </row>
    <row r="163" spans="10:13" x14ac:dyDescent="0.25">
      <c r="J163" s="61" t="s">
        <v>114</v>
      </c>
      <c r="K163" s="26" t="s">
        <v>628</v>
      </c>
      <c r="L163" s="40">
        <v>10.141666666666666</v>
      </c>
      <c r="M163" s="16">
        <v>15</v>
      </c>
    </row>
    <row r="164" spans="10:13" x14ac:dyDescent="0.25">
      <c r="J164" s="61" t="s">
        <v>114</v>
      </c>
      <c r="K164" s="26" t="s">
        <v>630</v>
      </c>
      <c r="L164" s="40">
        <v>9.221166666666667</v>
      </c>
      <c r="M164" s="16">
        <v>19</v>
      </c>
    </row>
    <row r="165" spans="10:13" x14ac:dyDescent="0.25">
      <c r="J165" s="61" t="s">
        <v>114</v>
      </c>
      <c r="K165" s="26" t="s">
        <v>632</v>
      </c>
      <c r="L165" s="40">
        <v>5.871833333333333</v>
      </c>
      <c r="M165" s="16">
        <v>20</v>
      </c>
    </row>
    <row r="166" spans="10:13" x14ac:dyDescent="0.25">
      <c r="J166" s="61" t="s">
        <v>114</v>
      </c>
      <c r="K166" s="26" t="s">
        <v>634</v>
      </c>
      <c r="L166" s="40">
        <v>10.259333333333334</v>
      </c>
      <c r="M166" s="16">
        <v>18</v>
      </c>
    </row>
    <row r="167" spans="10:13" x14ac:dyDescent="0.25">
      <c r="J167" s="61" t="s">
        <v>114</v>
      </c>
      <c r="K167" s="26" t="s">
        <v>635</v>
      </c>
      <c r="L167" s="40">
        <v>8.7008333333333336</v>
      </c>
      <c r="M167" s="16">
        <v>18</v>
      </c>
    </row>
    <row r="168" spans="10:13" x14ac:dyDescent="0.25">
      <c r="J168" s="61" t="s">
        <v>114</v>
      </c>
      <c r="K168" s="26" t="s">
        <v>869</v>
      </c>
      <c r="L168" s="16">
        <v>7.6611666666666665</v>
      </c>
      <c r="M168" s="16">
        <v>21</v>
      </c>
    </row>
    <row r="169" spans="10:13" x14ac:dyDescent="0.25">
      <c r="J169" s="61" t="s">
        <v>114</v>
      </c>
      <c r="K169" s="26" t="s">
        <v>870</v>
      </c>
      <c r="L169" s="16">
        <v>12.477</v>
      </c>
      <c r="M169" s="16">
        <v>18</v>
      </c>
    </row>
    <row r="170" spans="10:13" x14ac:dyDescent="0.25">
      <c r="J170" s="61" t="s">
        <v>114</v>
      </c>
      <c r="K170" s="26" t="s">
        <v>872</v>
      </c>
      <c r="L170" s="16">
        <v>6.8403333333333336</v>
      </c>
      <c r="M170" s="16">
        <v>15</v>
      </c>
    </row>
    <row r="171" spans="10:13" x14ac:dyDescent="0.25">
      <c r="J171" s="61" t="s">
        <v>114</v>
      </c>
      <c r="K171" s="26" t="s">
        <v>874</v>
      </c>
      <c r="L171" s="16">
        <v>5.730500000000001</v>
      </c>
      <c r="M171" s="16">
        <v>19</v>
      </c>
    </row>
    <row r="172" spans="10:13" x14ac:dyDescent="0.25">
      <c r="J172" s="61" t="s">
        <v>114</v>
      </c>
      <c r="K172" s="26" t="s">
        <v>875</v>
      </c>
      <c r="L172" s="16">
        <v>8.6174999999999997</v>
      </c>
      <c r="M172" s="16">
        <v>15</v>
      </c>
    </row>
    <row r="173" spans="10:13" x14ac:dyDescent="0.25">
      <c r="J173" s="61" t="s">
        <v>114</v>
      </c>
      <c r="K173" s="26" t="s">
        <v>877</v>
      </c>
      <c r="L173" s="16">
        <v>11.373333333333333</v>
      </c>
      <c r="M173" s="16">
        <v>21</v>
      </c>
    </row>
    <row r="174" spans="10:13" x14ac:dyDescent="0.25">
      <c r="J174" s="61" t="s">
        <v>114</v>
      </c>
      <c r="K174" s="26" t="s">
        <v>878</v>
      </c>
      <c r="L174" s="16">
        <v>8.105833333333333</v>
      </c>
      <c r="M174" s="16">
        <v>18</v>
      </c>
    </row>
    <row r="175" spans="10:13" x14ac:dyDescent="0.25">
      <c r="J175" s="61" t="s">
        <v>114</v>
      </c>
      <c r="K175" s="26" t="s">
        <v>880</v>
      </c>
      <c r="L175" s="16">
        <v>12.0945</v>
      </c>
      <c r="M175" s="16">
        <v>22</v>
      </c>
    </row>
    <row r="176" spans="10:13" x14ac:dyDescent="0.25">
      <c r="J176" s="61" t="s">
        <v>114</v>
      </c>
      <c r="K176" s="26" t="s">
        <v>882</v>
      </c>
      <c r="L176" s="16">
        <v>13.916</v>
      </c>
      <c r="M176" s="16">
        <v>19</v>
      </c>
    </row>
    <row r="177" spans="10:13" x14ac:dyDescent="0.25">
      <c r="J177" s="61" t="s">
        <v>114</v>
      </c>
      <c r="K177" s="26" t="s">
        <v>884</v>
      </c>
      <c r="L177" s="16">
        <v>4.4628333333333332</v>
      </c>
      <c r="M177" s="16">
        <v>13</v>
      </c>
    </row>
    <row r="178" spans="10:13" x14ac:dyDescent="0.25">
      <c r="J178" s="61" t="s">
        <v>114</v>
      </c>
      <c r="K178" s="26" t="s">
        <v>886</v>
      </c>
      <c r="L178" s="16">
        <v>7.53</v>
      </c>
      <c r="M178" s="16">
        <v>21</v>
      </c>
    </row>
    <row r="179" spans="10:13" x14ac:dyDescent="0.25">
      <c r="J179" s="61" t="s">
        <v>114</v>
      </c>
      <c r="K179" s="26" t="s">
        <v>888</v>
      </c>
      <c r="L179" s="16">
        <v>22.336500000000001</v>
      </c>
      <c r="M179" s="16">
        <v>21</v>
      </c>
    </row>
    <row r="180" spans="10:13" x14ac:dyDescent="0.25">
      <c r="J180" s="61" t="s">
        <v>114</v>
      </c>
      <c r="K180" s="26" t="s">
        <v>890</v>
      </c>
      <c r="L180" s="16">
        <v>4.1896666666666667</v>
      </c>
      <c r="M180" s="16">
        <v>20</v>
      </c>
    </row>
    <row r="181" spans="10:13" x14ac:dyDescent="0.25">
      <c r="J181" s="61" t="s">
        <v>114</v>
      </c>
      <c r="K181" s="26" t="s">
        <v>892</v>
      </c>
      <c r="L181" s="16">
        <v>6.0866666666666669</v>
      </c>
      <c r="M181" s="16">
        <v>21</v>
      </c>
    </row>
    <row r="182" spans="10:13" x14ac:dyDescent="0.25">
      <c r="J182" s="61" t="s">
        <v>114</v>
      </c>
      <c r="K182" s="26" t="s">
        <v>894</v>
      </c>
      <c r="L182" s="16">
        <v>14.153499999999999</v>
      </c>
      <c r="M182" s="16">
        <v>16</v>
      </c>
    </row>
    <row r="183" spans="10:13" x14ac:dyDescent="0.25">
      <c r="J183" s="61" t="s">
        <v>114</v>
      </c>
      <c r="K183" s="26" t="s">
        <v>896</v>
      </c>
      <c r="L183" s="16">
        <v>8.2465000000000011</v>
      </c>
      <c r="M183" s="16">
        <v>19</v>
      </c>
    </row>
    <row r="184" spans="10:13" x14ac:dyDescent="0.25">
      <c r="J184" s="61" t="s">
        <v>114</v>
      </c>
      <c r="K184" s="26" t="s">
        <v>898</v>
      </c>
      <c r="L184" s="16">
        <v>9.0060000000000002</v>
      </c>
      <c r="M184" s="16">
        <v>17</v>
      </c>
    </row>
    <row r="185" spans="10:13" x14ac:dyDescent="0.25">
      <c r="J185" s="61" t="s">
        <v>114</v>
      </c>
      <c r="K185" s="26" t="s">
        <v>900</v>
      </c>
      <c r="L185" s="16">
        <v>26.222333333333331</v>
      </c>
      <c r="M185" s="16">
        <v>20</v>
      </c>
    </row>
    <row r="186" spans="10:13" x14ac:dyDescent="0.25">
      <c r="J186" s="61" t="s">
        <v>114</v>
      </c>
      <c r="K186" s="26" t="s">
        <v>902</v>
      </c>
      <c r="L186" s="16">
        <v>6.3571666666666671</v>
      </c>
      <c r="M186" s="16">
        <v>21</v>
      </c>
    </row>
    <row r="187" spans="10:13" x14ac:dyDescent="0.25">
      <c r="J187" s="61" t="s">
        <v>114</v>
      </c>
      <c r="K187" s="26" t="s">
        <v>904</v>
      </c>
      <c r="L187" s="16">
        <v>24.091833333333334</v>
      </c>
      <c r="M187" s="16">
        <v>15</v>
      </c>
    </row>
    <row r="188" spans="10:13" x14ac:dyDescent="0.25">
      <c r="J188" s="61" t="s">
        <v>114</v>
      </c>
      <c r="K188" s="26" t="s">
        <v>906</v>
      </c>
      <c r="L188" s="16">
        <v>22.729833333333335</v>
      </c>
      <c r="M188" s="16">
        <v>18</v>
      </c>
    </row>
    <row r="189" spans="10:13" x14ac:dyDescent="0.25">
      <c r="J189" s="61" t="s">
        <v>114</v>
      </c>
      <c r="K189" s="26" t="s">
        <v>908</v>
      </c>
      <c r="L189" s="16">
        <v>11.358500000000001</v>
      </c>
      <c r="M189" s="16">
        <v>19</v>
      </c>
    </row>
    <row r="190" spans="10:13" x14ac:dyDescent="0.25">
      <c r="J190" s="61" t="s">
        <v>114</v>
      </c>
      <c r="K190" s="45" t="s">
        <v>910</v>
      </c>
      <c r="L190" s="16">
        <v>8.5429999999999993</v>
      </c>
      <c r="M190" s="16">
        <v>19</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Vis type vs. success ratio</vt:lpstr>
      <vt:lpstr>Subj.compre. vs. success ratio</vt:lpstr>
      <vt:lpstr>Comprehensibility</vt:lpstr>
      <vt:lpstr>Subj.compreh. pivot</vt:lpstr>
      <vt:lpstr>Results</vt:lpstr>
      <vt:lpstr>Deleted IDs</vt:lpstr>
      <vt:lpstr>Pivot</vt:lpstr>
      <vt:lpstr>Prior know. vs. correct answers</vt:lpstr>
      <vt:lpstr>Time vs. correct answers</vt:lpstr>
      <vt:lpstr>Subj. compr. vs. correct answer</vt:lpstr>
      <vt:lpstr>Subj. compr. vs time</vt:lpstr>
      <vt:lpstr>Correct per visualization</vt:lpstr>
      <vt:lpstr>Time per visualization</vt:lpstr>
      <vt:lpstr>Subj.com. per visualization</vt:lpstr>
      <vt:lpstr>Correct calc</vt:lpstr>
      <vt:lpstr>Correct answers</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Jiri Zarsky</dc:creator>
  <cp:lastModifiedBy>Jiri Zarsky</cp:lastModifiedBy>
  <dcterms:created xsi:type="dcterms:W3CDTF">2019-08-28T19:51:43Z</dcterms:created>
  <dcterms:modified xsi:type="dcterms:W3CDTF">2020-04-14T09:08:09Z</dcterms:modified>
</cp:coreProperties>
</file>