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2003\Documents\CKD Contractors Ltd\Test Lab\"/>
    </mc:Choice>
  </mc:AlternateContent>
  <xr:revisionPtr revIDLastSave="0" documentId="13_ncr:1_{07AA205F-96A5-46C7-8F09-0872BBE03D58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Employee Master" sheetId="14" r:id="rId1"/>
    <sheet name="Week 1" sheetId="1" state="hidden" r:id="rId2"/>
    <sheet name="Week 2" sheetId="2" state="hidden" r:id="rId3"/>
    <sheet name="Invoice" sheetId="9" r:id="rId4"/>
    <sheet name="NIS Contributions" sheetId="6" r:id="rId5"/>
  </sheets>
  <definedNames>
    <definedName name="ActiveEmployees">_xlfn._xlws.FILTER('Employee Master'!B1:B88, 'Employee Master'!L1:L88="Active")+'Employee Master'!$A$2</definedName>
    <definedName name="ColumnTitle1">#REF!</definedName>
    <definedName name="ColumnTitleRegion1..B6.1">#REF!</definedName>
    <definedName name="ColumnTitleRegion2..B13.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6" i="2" l="1"/>
  <c r="F14" i="2"/>
  <c r="F71" i="2"/>
  <c r="F68" i="2"/>
  <c r="F13" i="2"/>
  <c r="O83" i="2"/>
  <c r="F70" i="1"/>
  <c r="M2" i="1"/>
  <c r="M3" i="1"/>
  <c r="M4" i="1"/>
  <c r="F41" i="1"/>
  <c r="O83" i="1"/>
  <c r="J12" i="2"/>
  <c r="L12" i="2"/>
  <c r="M12" i="2"/>
  <c r="N12" i="2"/>
  <c r="Q12" i="2" s="1"/>
  <c r="R12" i="2" s="1" a="1"/>
  <c r="R12" i="2" s="1"/>
  <c r="J9" i="2"/>
  <c r="L9" i="2"/>
  <c r="M9" i="2"/>
  <c r="N9" i="2"/>
  <c r="Q9" i="2" s="1"/>
  <c r="R9" i="2" s="1" a="1"/>
  <c r="R9" i="2" s="1"/>
  <c r="J12" i="1"/>
  <c r="L12" i="1"/>
  <c r="M12" i="1"/>
  <c r="N12" i="1"/>
  <c r="E12" i="2"/>
  <c r="A12" i="2"/>
  <c r="B12" i="2"/>
  <c r="C12" i="2"/>
  <c r="E15" i="2"/>
  <c r="N15" i="2" s="1"/>
  <c r="E16" i="2"/>
  <c r="N16" i="2" s="1"/>
  <c r="Q16" i="2" s="1"/>
  <c r="E17" i="2"/>
  <c r="E3" i="2"/>
  <c r="E4" i="2"/>
  <c r="N4" i="2" s="1"/>
  <c r="E5" i="2"/>
  <c r="N5" i="2" s="1"/>
  <c r="E6" i="2"/>
  <c r="N6" i="2" s="1"/>
  <c r="Q6" i="2" s="1"/>
  <c r="E7" i="2"/>
  <c r="E8" i="2"/>
  <c r="E9" i="2"/>
  <c r="E10" i="2"/>
  <c r="N10" i="2" s="1"/>
  <c r="Q10" i="2" s="1"/>
  <c r="E11" i="2"/>
  <c r="E13" i="2"/>
  <c r="E14" i="2"/>
  <c r="N14" i="2" s="1"/>
  <c r="J11" i="2"/>
  <c r="L11" i="2"/>
  <c r="M11" i="2"/>
  <c r="N11" i="2"/>
  <c r="Q11" i="2" s="1"/>
  <c r="R11" i="2" s="1" a="1"/>
  <c r="R11" i="2" s="1"/>
  <c r="J11" i="1"/>
  <c r="L11" i="1"/>
  <c r="M11" i="1"/>
  <c r="N11" i="1"/>
  <c r="Q11" i="1" s="1"/>
  <c r="R11" i="1" s="1" a="1"/>
  <c r="R11" i="1" s="1"/>
  <c r="A11" i="2"/>
  <c r="B11" i="2"/>
  <c r="C11" i="2"/>
  <c r="E2" i="2"/>
  <c r="N2" i="2" s="1"/>
  <c r="A9" i="2"/>
  <c r="B9" i="2"/>
  <c r="C9" i="2"/>
  <c r="J9" i="1"/>
  <c r="L9" i="1"/>
  <c r="M9" i="1"/>
  <c r="N9" i="1"/>
  <c r="Q9" i="1" s="1"/>
  <c r="J47" i="2"/>
  <c r="L47" i="2"/>
  <c r="M47" i="2"/>
  <c r="N47" i="2"/>
  <c r="R47" i="2" s="1" a="1"/>
  <c r="R47" i="2" s="1"/>
  <c r="A45" i="2"/>
  <c r="B45" i="2"/>
  <c r="A46" i="2"/>
  <c r="B46" i="2"/>
  <c r="A47" i="2"/>
  <c r="B47" i="2"/>
  <c r="C47" i="2"/>
  <c r="J47" i="1"/>
  <c r="L47" i="1"/>
  <c r="M47" i="1"/>
  <c r="N47" i="1"/>
  <c r="Q47" i="1" s="1"/>
  <c r="I90" i="1"/>
  <c r="H90" i="1"/>
  <c r="G90" i="1"/>
  <c r="F90" i="1"/>
  <c r="K90" i="2"/>
  <c r="I90" i="2"/>
  <c r="H90" i="2"/>
  <c r="G90" i="2"/>
  <c r="A50" i="2"/>
  <c r="J45" i="2"/>
  <c r="L45" i="2"/>
  <c r="M45" i="2"/>
  <c r="N45" i="2"/>
  <c r="Q45" i="2" s="1"/>
  <c r="M46" i="1"/>
  <c r="N46" i="1"/>
  <c r="Q46" i="1" s="1"/>
  <c r="L46" i="1"/>
  <c r="J46" i="1"/>
  <c r="C45" i="2"/>
  <c r="J43" i="2"/>
  <c r="L43" i="2"/>
  <c r="M43" i="2"/>
  <c r="N43" i="2"/>
  <c r="Q43" i="2" s="1"/>
  <c r="J43" i="1"/>
  <c r="L43" i="1"/>
  <c r="M43" i="1"/>
  <c r="N43" i="1"/>
  <c r="A43" i="2"/>
  <c r="B43" i="2"/>
  <c r="A44" i="2"/>
  <c r="B44" i="2"/>
  <c r="A15" i="2"/>
  <c r="B15" i="2"/>
  <c r="C43" i="2"/>
  <c r="J15" i="2"/>
  <c r="L15" i="2"/>
  <c r="M15" i="2"/>
  <c r="J15" i="1"/>
  <c r="L15" i="1"/>
  <c r="M15" i="1"/>
  <c r="N15" i="1"/>
  <c r="C15" i="2"/>
  <c r="J10" i="2"/>
  <c r="M10" i="2"/>
  <c r="L10" i="1"/>
  <c r="M10" i="1"/>
  <c r="N10" i="1"/>
  <c r="Q10" i="1" s="1"/>
  <c r="J10" i="1"/>
  <c r="C3" i="2"/>
  <c r="C4" i="2"/>
  <c r="C5" i="2"/>
  <c r="C6" i="2"/>
  <c r="C7" i="2"/>
  <c r="C8" i="2"/>
  <c r="C16" i="2"/>
  <c r="C10" i="2"/>
  <c r="C13" i="2"/>
  <c r="C14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4" i="2"/>
  <c r="C42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2" i="2"/>
  <c r="A16" i="2"/>
  <c r="B16" i="2"/>
  <c r="A10" i="2"/>
  <c r="B10" i="2"/>
  <c r="M16" i="2"/>
  <c r="J16" i="2"/>
  <c r="N42" i="2"/>
  <c r="Q42" i="2" s="1"/>
  <c r="L42" i="2"/>
  <c r="J42" i="2"/>
  <c r="B42" i="2"/>
  <c r="A42" i="2"/>
  <c r="J42" i="1"/>
  <c r="N42" i="1"/>
  <c r="L42" i="1"/>
  <c r="R42" i="1" s="1" a="1"/>
  <c r="R42" i="1" s="1"/>
  <c r="M42" i="1"/>
  <c r="M42" i="2"/>
  <c r="M3" i="2"/>
  <c r="M4" i="2"/>
  <c r="M5" i="2"/>
  <c r="M6" i="2"/>
  <c r="M7" i="2"/>
  <c r="M8" i="2"/>
  <c r="M13" i="2"/>
  <c r="M14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4" i="2"/>
  <c r="M46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J16" i="1"/>
  <c r="L16" i="1"/>
  <c r="M16" i="1"/>
  <c r="N16" i="1"/>
  <c r="L46" i="2"/>
  <c r="J45" i="1"/>
  <c r="J46" i="2"/>
  <c r="N46" i="2"/>
  <c r="N45" i="1"/>
  <c r="L45" i="1"/>
  <c r="M45" i="1"/>
  <c r="J18" i="2"/>
  <c r="N26" i="2"/>
  <c r="Q26" i="2" s="1"/>
  <c r="N35" i="2"/>
  <c r="N49" i="2"/>
  <c r="Q49" i="2" s="1"/>
  <c r="N6" i="1"/>
  <c r="N7" i="1"/>
  <c r="Q7" i="1" s="1"/>
  <c r="N8" i="1"/>
  <c r="N13" i="1"/>
  <c r="Q13" i="1" s="1"/>
  <c r="N14" i="1"/>
  <c r="Q14" i="1" s="1"/>
  <c r="N17" i="1"/>
  <c r="N18" i="1"/>
  <c r="N19" i="1"/>
  <c r="N20" i="1"/>
  <c r="N21" i="1"/>
  <c r="N22" i="1"/>
  <c r="N23" i="1"/>
  <c r="N24" i="1"/>
  <c r="N25" i="1"/>
  <c r="Q25" i="1" s="1"/>
  <c r="N26" i="1"/>
  <c r="N27" i="1"/>
  <c r="N28" i="1"/>
  <c r="N29" i="1"/>
  <c r="N30" i="1"/>
  <c r="N31" i="1"/>
  <c r="N32" i="1"/>
  <c r="Q32" i="1" s="1"/>
  <c r="N33" i="1"/>
  <c r="Q33" i="1" s="1"/>
  <c r="N34" i="1"/>
  <c r="N35" i="1"/>
  <c r="Q35" i="1" s="1"/>
  <c r="N36" i="1"/>
  <c r="Q36" i="1" s="1"/>
  <c r="N37" i="1"/>
  <c r="Q37" i="1" s="1"/>
  <c r="N38" i="1"/>
  <c r="N39" i="1"/>
  <c r="Q39" i="1" s="1"/>
  <c r="N40" i="1"/>
  <c r="Q40" i="1" s="1"/>
  <c r="N41" i="1"/>
  <c r="Q41" i="1" s="1"/>
  <c r="N44" i="1"/>
  <c r="Q44" i="1" s="1"/>
  <c r="N48" i="1"/>
  <c r="Q48" i="1" s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Q83" i="1" s="1"/>
  <c r="N84" i="1"/>
  <c r="N85" i="1"/>
  <c r="N86" i="1"/>
  <c r="N87" i="1"/>
  <c r="N88" i="1"/>
  <c r="N4" i="1"/>
  <c r="N5" i="1"/>
  <c r="Q5" i="1" s="1"/>
  <c r="N2" i="1"/>
  <c r="N3" i="1"/>
  <c r="O90" i="2"/>
  <c r="K14" i="9"/>
  <c r="K15" i="9"/>
  <c r="J15" i="9"/>
  <c r="K16" i="9"/>
  <c r="J18" i="9"/>
  <c r="A18" i="2"/>
  <c r="M2" i="2"/>
  <c r="M5" i="1"/>
  <c r="M6" i="1"/>
  <c r="M7" i="1"/>
  <c r="M8" i="1"/>
  <c r="M13" i="1"/>
  <c r="M14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4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J35" i="2"/>
  <c r="L35" i="2"/>
  <c r="L35" i="1"/>
  <c r="J35" i="1"/>
  <c r="J63" i="2"/>
  <c r="J64" i="2"/>
  <c r="J63" i="1"/>
  <c r="L63" i="1" s="1"/>
  <c r="P63" i="1" s="1"/>
  <c r="Q63" i="1" s="1"/>
  <c r="J64" i="1"/>
  <c r="L64" i="1" s="1"/>
  <c r="E63" i="2"/>
  <c r="N63" i="2" s="1"/>
  <c r="E64" i="2"/>
  <c r="N64" i="2" s="1"/>
  <c r="J26" i="1"/>
  <c r="L26" i="1"/>
  <c r="A26" i="2"/>
  <c r="B26" i="2"/>
  <c r="L26" i="2"/>
  <c r="J26" i="2"/>
  <c r="I8" i="9"/>
  <c r="T90" i="1"/>
  <c r="K90" i="1"/>
  <c r="T90" i="2"/>
  <c r="P64" i="1"/>
  <c r="O90" i="1"/>
  <c r="L8" i="1"/>
  <c r="E61" i="2"/>
  <c r="N61" i="2" s="1"/>
  <c r="B61" i="2"/>
  <c r="A61" i="2"/>
  <c r="E89" i="2"/>
  <c r="B89" i="2"/>
  <c r="A89" i="2"/>
  <c r="E88" i="2"/>
  <c r="N88" i="2" s="1"/>
  <c r="E87" i="2"/>
  <c r="N87" i="2" s="1"/>
  <c r="B87" i="2"/>
  <c r="A87" i="2"/>
  <c r="E86" i="2"/>
  <c r="N86" i="2" s="1"/>
  <c r="B86" i="2"/>
  <c r="A86" i="2"/>
  <c r="E85" i="2"/>
  <c r="N85" i="2" s="1"/>
  <c r="B85" i="2"/>
  <c r="A85" i="2"/>
  <c r="E84" i="2"/>
  <c r="N84" i="2" s="1"/>
  <c r="B84" i="2"/>
  <c r="A84" i="2"/>
  <c r="E83" i="2"/>
  <c r="N83" i="2" s="1"/>
  <c r="B83" i="2"/>
  <c r="A83" i="2"/>
  <c r="E82" i="2"/>
  <c r="B82" i="2"/>
  <c r="A82" i="2"/>
  <c r="E81" i="2"/>
  <c r="N81" i="2" s="1"/>
  <c r="B81" i="2"/>
  <c r="A81" i="2"/>
  <c r="E80" i="2"/>
  <c r="N80" i="2" s="1"/>
  <c r="B80" i="2"/>
  <c r="A80" i="2"/>
  <c r="E79" i="2"/>
  <c r="N79" i="2" s="1"/>
  <c r="B79" i="2"/>
  <c r="A79" i="2"/>
  <c r="E78" i="2"/>
  <c r="N78" i="2" s="1"/>
  <c r="B78" i="2"/>
  <c r="A78" i="2"/>
  <c r="E77" i="2"/>
  <c r="N77" i="2" s="1"/>
  <c r="B77" i="2"/>
  <c r="A77" i="2"/>
  <c r="E76" i="2"/>
  <c r="N76" i="2" s="1"/>
  <c r="B76" i="2"/>
  <c r="A76" i="2"/>
  <c r="E75" i="2"/>
  <c r="N75" i="2" s="1"/>
  <c r="B75" i="2"/>
  <c r="A75" i="2"/>
  <c r="E74" i="2"/>
  <c r="N74" i="2" s="1"/>
  <c r="B74" i="2"/>
  <c r="A74" i="2"/>
  <c r="E73" i="2"/>
  <c r="N73" i="2" s="1"/>
  <c r="B73" i="2"/>
  <c r="A73" i="2"/>
  <c r="E72" i="2"/>
  <c r="N72" i="2" s="1"/>
  <c r="B72" i="2"/>
  <c r="A72" i="2"/>
  <c r="E71" i="2"/>
  <c r="N71" i="2" s="1"/>
  <c r="B71" i="2"/>
  <c r="A71" i="2"/>
  <c r="E70" i="2"/>
  <c r="N70" i="2" s="1"/>
  <c r="B70" i="2"/>
  <c r="A70" i="2"/>
  <c r="E69" i="2"/>
  <c r="N69" i="2" s="1"/>
  <c r="E68" i="2"/>
  <c r="N68" i="2" s="1"/>
  <c r="B68" i="2"/>
  <c r="A68" i="2"/>
  <c r="E67" i="2"/>
  <c r="N67" i="2" s="1"/>
  <c r="B67" i="2"/>
  <c r="A67" i="2"/>
  <c r="E66" i="2"/>
  <c r="N66" i="2" s="1"/>
  <c r="B66" i="2"/>
  <c r="A66" i="2"/>
  <c r="E65" i="2"/>
  <c r="N65" i="2" s="1"/>
  <c r="B65" i="2"/>
  <c r="A65" i="2"/>
  <c r="E62" i="2"/>
  <c r="N62" i="2" s="1"/>
  <c r="E60" i="2"/>
  <c r="N60" i="2" s="1"/>
  <c r="B60" i="2"/>
  <c r="A60" i="2"/>
  <c r="E59" i="2"/>
  <c r="N59" i="2" s="1"/>
  <c r="E58" i="2"/>
  <c r="N58" i="2" s="1"/>
  <c r="B58" i="2"/>
  <c r="A58" i="2"/>
  <c r="E57" i="2"/>
  <c r="N57" i="2" s="1"/>
  <c r="B57" i="2"/>
  <c r="A57" i="2"/>
  <c r="E56" i="2"/>
  <c r="N56" i="2" s="1"/>
  <c r="B56" i="2"/>
  <c r="A56" i="2"/>
  <c r="E55" i="2"/>
  <c r="N55" i="2" s="1"/>
  <c r="B55" i="2"/>
  <c r="A55" i="2"/>
  <c r="E54" i="2"/>
  <c r="N54" i="2" s="1"/>
  <c r="B54" i="2"/>
  <c r="A54" i="2"/>
  <c r="E53" i="2"/>
  <c r="N53" i="2" s="1"/>
  <c r="B53" i="2"/>
  <c r="A53" i="2"/>
  <c r="E52" i="2"/>
  <c r="N52" i="2" s="1"/>
  <c r="B52" i="2"/>
  <c r="A52" i="2"/>
  <c r="E51" i="2"/>
  <c r="N51" i="2" s="1"/>
  <c r="B51" i="2"/>
  <c r="A51" i="2"/>
  <c r="E50" i="2"/>
  <c r="N50" i="2" s="1"/>
  <c r="B50" i="2"/>
  <c r="B49" i="2"/>
  <c r="A49" i="2"/>
  <c r="E48" i="2"/>
  <c r="B48" i="2"/>
  <c r="A48" i="2"/>
  <c r="E44" i="2"/>
  <c r="N44" i="2" s="1"/>
  <c r="E41" i="2"/>
  <c r="B41" i="2"/>
  <c r="A41" i="2"/>
  <c r="E39" i="2"/>
  <c r="B39" i="2"/>
  <c r="A39" i="2"/>
  <c r="E38" i="2"/>
  <c r="B38" i="2"/>
  <c r="A38" i="2"/>
  <c r="E37" i="2"/>
  <c r="N37" i="2" s="1"/>
  <c r="E36" i="2"/>
  <c r="B36" i="2"/>
  <c r="A36" i="2"/>
  <c r="E34" i="2"/>
  <c r="N34" i="2" s="1"/>
  <c r="E33" i="2"/>
  <c r="N33" i="2" s="1"/>
  <c r="E40" i="2"/>
  <c r="B40" i="2"/>
  <c r="A40" i="2"/>
  <c r="E32" i="2"/>
  <c r="B32" i="2"/>
  <c r="A32" i="2"/>
  <c r="E31" i="2"/>
  <c r="N31" i="2" s="1"/>
  <c r="B31" i="2"/>
  <c r="A31" i="2"/>
  <c r="E30" i="2"/>
  <c r="N30" i="2" s="1"/>
  <c r="B30" i="2"/>
  <c r="A30" i="2"/>
  <c r="E29" i="2"/>
  <c r="N29" i="2" s="1"/>
  <c r="B29" i="2"/>
  <c r="E28" i="2"/>
  <c r="N28" i="2" s="1"/>
  <c r="B28" i="2"/>
  <c r="A28" i="2"/>
  <c r="E27" i="2"/>
  <c r="N27" i="2" s="1"/>
  <c r="B27" i="2"/>
  <c r="A27" i="2"/>
  <c r="E25" i="2"/>
  <c r="N25" i="2" s="1"/>
  <c r="B25" i="2"/>
  <c r="A25" i="2"/>
  <c r="E24" i="2"/>
  <c r="N24" i="2" s="1"/>
  <c r="B24" i="2"/>
  <c r="A24" i="2"/>
  <c r="E23" i="2"/>
  <c r="N23" i="2" s="1"/>
  <c r="B23" i="2"/>
  <c r="A23" i="2"/>
  <c r="E22" i="2"/>
  <c r="N22" i="2" s="1"/>
  <c r="B22" i="2"/>
  <c r="A22" i="2"/>
  <c r="E21" i="2"/>
  <c r="N21" i="2" s="1"/>
  <c r="B21" i="2"/>
  <c r="A21" i="2"/>
  <c r="E20" i="2"/>
  <c r="N20" i="2" s="1"/>
  <c r="B20" i="2"/>
  <c r="A20" i="2"/>
  <c r="E19" i="2"/>
  <c r="B19" i="2"/>
  <c r="A19" i="2"/>
  <c r="E18" i="2"/>
  <c r="N18" i="2" s="1"/>
  <c r="B18" i="2"/>
  <c r="N17" i="2"/>
  <c r="B17" i="2"/>
  <c r="A17" i="2"/>
  <c r="N13" i="2"/>
  <c r="B13" i="2"/>
  <c r="A13" i="2"/>
  <c r="B8" i="2"/>
  <c r="A8" i="2"/>
  <c r="B7" i="2"/>
  <c r="A7" i="2"/>
  <c r="B6" i="2"/>
  <c r="A6" i="2"/>
  <c r="B5" i="2"/>
  <c r="A5" i="2"/>
  <c r="B4" i="2"/>
  <c r="A4" i="2"/>
  <c r="N3" i="2"/>
  <c r="B3" i="2"/>
  <c r="A3" i="2"/>
  <c r="B2" i="2"/>
  <c r="A2" i="2"/>
  <c r="J61" i="2"/>
  <c r="J89" i="2"/>
  <c r="J88" i="2"/>
  <c r="L88" i="2" s="1"/>
  <c r="J87" i="2"/>
  <c r="J86" i="2"/>
  <c r="L86" i="2" s="1"/>
  <c r="P86" i="2" s="1"/>
  <c r="J85" i="2"/>
  <c r="J84" i="2"/>
  <c r="J83" i="2"/>
  <c r="J82" i="2"/>
  <c r="J81" i="2"/>
  <c r="J80" i="2"/>
  <c r="J79" i="2"/>
  <c r="J78" i="2"/>
  <c r="L78" i="2" s="1"/>
  <c r="P78" i="2" s="1"/>
  <c r="J77" i="2"/>
  <c r="J76" i="2"/>
  <c r="J75" i="2"/>
  <c r="J74" i="2"/>
  <c r="L74" i="2" s="1"/>
  <c r="J73" i="2"/>
  <c r="J72" i="2"/>
  <c r="J71" i="2"/>
  <c r="J70" i="2"/>
  <c r="L70" i="2" s="1"/>
  <c r="J69" i="2"/>
  <c r="J68" i="2"/>
  <c r="L68" i="2" s="1"/>
  <c r="P68" i="2" s="1"/>
  <c r="J67" i="2"/>
  <c r="J66" i="2"/>
  <c r="J65" i="2"/>
  <c r="J62" i="2"/>
  <c r="L62" i="2" s="1"/>
  <c r="J60" i="2"/>
  <c r="J59" i="2"/>
  <c r="J58" i="2"/>
  <c r="J57" i="2"/>
  <c r="J56" i="2"/>
  <c r="J55" i="2"/>
  <c r="J54" i="2"/>
  <c r="J53" i="2"/>
  <c r="J52" i="2"/>
  <c r="J51" i="2"/>
  <c r="J50" i="2"/>
  <c r="L49" i="2"/>
  <c r="J49" i="2"/>
  <c r="J48" i="2"/>
  <c r="J44" i="2"/>
  <c r="J41" i="2"/>
  <c r="J39" i="2"/>
  <c r="J38" i="2"/>
  <c r="J37" i="2"/>
  <c r="J36" i="2"/>
  <c r="J34" i="2"/>
  <c r="J33" i="2"/>
  <c r="J40" i="2"/>
  <c r="J32" i="2"/>
  <c r="J31" i="2"/>
  <c r="J30" i="2"/>
  <c r="J29" i="2"/>
  <c r="J28" i="2"/>
  <c r="J27" i="2"/>
  <c r="J25" i="2"/>
  <c r="J24" i="2"/>
  <c r="J23" i="2"/>
  <c r="J22" i="2"/>
  <c r="J21" i="2"/>
  <c r="J20" i="2"/>
  <c r="J19" i="2"/>
  <c r="J17" i="2"/>
  <c r="J14" i="2"/>
  <c r="J13" i="2"/>
  <c r="J8" i="2"/>
  <c r="J7" i="2"/>
  <c r="J6" i="2"/>
  <c r="J5" i="2"/>
  <c r="J4" i="2"/>
  <c r="J3" i="2"/>
  <c r="J2" i="2"/>
  <c r="J61" i="1"/>
  <c r="L61" i="1" s="1"/>
  <c r="P61" i="1" s="1"/>
  <c r="J89" i="1"/>
  <c r="P89" i="1"/>
  <c r="Q89" i="1" s="1"/>
  <c r="J88" i="1"/>
  <c r="L88" i="1" s="1"/>
  <c r="J87" i="1"/>
  <c r="L87" i="1" s="1"/>
  <c r="P87" i="1" s="1"/>
  <c r="J86" i="1"/>
  <c r="L86" i="1" s="1"/>
  <c r="J85" i="1"/>
  <c r="L85" i="1" s="1"/>
  <c r="P85" i="1" s="1"/>
  <c r="J84" i="1"/>
  <c r="L84" i="1" s="1"/>
  <c r="L83" i="1"/>
  <c r="J83" i="1"/>
  <c r="L82" i="1"/>
  <c r="P82" i="1" s="1"/>
  <c r="J82" i="1"/>
  <c r="J81" i="1"/>
  <c r="L81" i="1" s="1"/>
  <c r="P81" i="1" s="1"/>
  <c r="J80" i="1"/>
  <c r="L80" i="1" s="1"/>
  <c r="P80" i="1" s="1"/>
  <c r="J79" i="1"/>
  <c r="L79" i="1" s="1"/>
  <c r="J78" i="1"/>
  <c r="L78" i="1" s="1"/>
  <c r="P78" i="1" s="1"/>
  <c r="Q78" i="1" s="1"/>
  <c r="R78" i="1" s="1" a="1"/>
  <c r="R78" i="1" s="1"/>
  <c r="J77" i="1"/>
  <c r="L77" i="1" s="1"/>
  <c r="J76" i="1"/>
  <c r="L76" i="1" s="1"/>
  <c r="J75" i="1"/>
  <c r="L75" i="1" s="1"/>
  <c r="J74" i="1"/>
  <c r="L74" i="1" s="1"/>
  <c r="P74" i="1" s="1"/>
  <c r="Q74" i="1" s="1"/>
  <c r="R74" i="1" s="1" a="1"/>
  <c r="R74" i="1" s="1"/>
  <c r="J73" i="1"/>
  <c r="L73" i="1" s="1"/>
  <c r="P73" i="1" s="1"/>
  <c r="J72" i="1"/>
  <c r="L72" i="1" s="1"/>
  <c r="J71" i="1"/>
  <c r="L71" i="1" s="1"/>
  <c r="J70" i="1"/>
  <c r="L70" i="1" s="1"/>
  <c r="P70" i="1" s="1"/>
  <c r="Q70" i="1" s="1"/>
  <c r="J69" i="1"/>
  <c r="L69" i="1" s="1"/>
  <c r="J68" i="1"/>
  <c r="L68" i="1" s="1"/>
  <c r="J67" i="1"/>
  <c r="L67" i="1" s="1"/>
  <c r="J66" i="1"/>
  <c r="L66" i="1" s="1"/>
  <c r="J65" i="1"/>
  <c r="L65" i="1" s="1"/>
  <c r="J62" i="1"/>
  <c r="L62" i="1" s="1"/>
  <c r="P62" i="1" s="1"/>
  <c r="J60" i="1"/>
  <c r="L60" i="1" s="1"/>
  <c r="J59" i="1"/>
  <c r="L59" i="1" s="1"/>
  <c r="J58" i="1"/>
  <c r="L58" i="1" s="1"/>
  <c r="P58" i="1" s="1"/>
  <c r="Q58" i="1" s="1"/>
  <c r="R58" i="1" s="1" a="1"/>
  <c r="R58" i="1" s="1"/>
  <c r="J57" i="1"/>
  <c r="L57" i="1" s="1"/>
  <c r="P57" i="1" s="1"/>
  <c r="J56" i="1"/>
  <c r="L56" i="1" s="1"/>
  <c r="P56" i="1" s="1"/>
  <c r="J55" i="1"/>
  <c r="L55" i="1" s="1"/>
  <c r="P55" i="1" s="1"/>
  <c r="Q55" i="1" s="1"/>
  <c r="R55" i="1" s="1" a="1"/>
  <c r="R55" i="1" s="1"/>
  <c r="J54" i="1"/>
  <c r="L54" i="1" s="1"/>
  <c r="J53" i="1"/>
  <c r="L53" i="1" s="1"/>
  <c r="P53" i="1" s="1"/>
  <c r="J52" i="1"/>
  <c r="L52" i="1" s="1"/>
  <c r="J51" i="1"/>
  <c r="L51" i="1" s="1"/>
  <c r="P51" i="1" s="1"/>
  <c r="Q51" i="1" s="1"/>
  <c r="R51" i="1" s="1" a="1"/>
  <c r="R51" i="1" s="1"/>
  <c r="L50" i="1"/>
  <c r="P50" i="1" s="1"/>
  <c r="J50" i="1"/>
  <c r="L49" i="1"/>
  <c r="J49" i="1"/>
  <c r="L48" i="1"/>
  <c r="J48" i="1"/>
  <c r="L44" i="1"/>
  <c r="J44" i="1"/>
  <c r="L41" i="1"/>
  <c r="J41" i="1"/>
  <c r="L39" i="1"/>
  <c r="J39" i="1"/>
  <c r="L38" i="1"/>
  <c r="J38" i="1"/>
  <c r="L37" i="1"/>
  <c r="J37" i="1"/>
  <c r="L36" i="1"/>
  <c r="J36" i="1"/>
  <c r="L34" i="1"/>
  <c r="J34" i="1"/>
  <c r="L33" i="1"/>
  <c r="J33" i="1"/>
  <c r="L40" i="1"/>
  <c r="J40" i="1"/>
  <c r="L32" i="1"/>
  <c r="J32" i="1"/>
  <c r="J31" i="1"/>
  <c r="L31" i="1" s="1"/>
  <c r="J30" i="1"/>
  <c r="L30" i="1" s="1"/>
  <c r="P30" i="1" s="1"/>
  <c r="J29" i="1"/>
  <c r="L29" i="1" s="1"/>
  <c r="J28" i="1"/>
  <c r="L28" i="1" s="1"/>
  <c r="J27" i="1"/>
  <c r="L27" i="1" s="1"/>
  <c r="P27" i="1" s="1"/>
  <c r="L25" i="1"/>
  <c r="J25" i="1"/>
  <c r="J24" i="1"/>
  <c r="L24" i="1" s="1"/>
  <c r="P24" i="1" s="1"/>
  <c r="J23" i="1"/>
  <c r="L23" i="1" s="1"/>
  <c r="P23" i="1" s="1"/>
  <c r="J22" i="1"/>
  <c r="L22" i="1" s="1"/>
  <c r="J21" i="1"/>
  <c r="L21" i="1" s="1"/>
  <c r="J20" i="1"/>
  <c r="L20" i="1" s="1"/>
  <c r="L19" i="1"/>
  <c r="P19" i="1" s="1"/>
  <c r="J19" i="1"/>
  <c r="L18" i="1"/>
  <c r="J18" i="1"/>
  <c r="J17" i="1"/>
  <c r="L17" i="1" s="1"/>
  <c r="L14" i="1"/>
  <c r="J14" i="1"/>
  <c r="L13" i="1"/>
  <c r="J13" i="1"/>
  <c r="J8" i="1"/>
  <c r="L7" i="1"/>
  <c r="J7" i="1"/>
  <c r="L6" i="1"/>
  <c r="J6" i="1"/>
  <c r="L5" i="1"/>
  <c r="J5" i="1"/>
  <c r="J4" i="1"/>
  <c r="L4" i="1" s="1"/>
  <c r="P4" i="1" s="1"/>
  <c r="Q4" i="1" s="1"/>
  <c r="R4" i="1" s="1" a="1"/>
  <c r="R4" i="1" s="1"/>
  <c r="J3" i="1"/>
  <c r="L3" i="1" s="1"/>
  <c r="P3" i="1" s="1"/>
  <c r="J2" i="1"/>
  <c r="L2" i="1" s="1"/>
  <c r="P2" i="1" s="1"/>
  <c r="Q2" i="1" s="1"/>
  <c r="R2" i="1" s="1" a="1"/>
  <c r="R2" i="1" s="1"/>
  <c r="S2" i="1" s="1"/>
  <c r="U2" i="1" s="1"/>
  <c r="Q6" i="1"/>
  <c r="Q34" i="1"/>
  <c r="P28" i="1"/>
  <c r="P20" i="1"/>
  <c r="P76" i="1"/>
  <c r="Q76" i="1" s="1"/>
  <c r="P89" i="2"/>
  <c r="Q8" i="1"/>
  <c r="Q38" i="1"/>
  <c r="Q12" i="1" l="1"/>
  <c r="S12" i="2"/>
  <c r="U12" i="2" s="1"/>
  <c r="S9" i="2"/>
  <c r="U9" i="2" s="1"/>
  <c r="L16" i="2"/>
  <c r="R46" i="2" a="1"/>
  <c r="R46" i="2" s="1"/>
  <c r="Q19" i="1"/>
  <c r="Q23" i="1"/>
  <c r="Q27" i="1"/>
  <c r="R27" i="1" s="1" a="1"/>
  <c r="R27" i="1" s="1"/>
  <c r="S27" i="1" s="1"/>
  <c r="U27" i="1" s="1"/>
  <c r="Q56" i="1"/>
  <c r="R56" i="1" s="1" a="1"/>
  <c r="R56" i="1" s="1"/>
  <c r="S56" i="1" s="1"/>
  <c r="Q80" i="1"/>
  <c r="R80" i="1" s="1" a="1"/>
  <c r="R80" i="1" s="1"/>
  <c r="R16" i="2" a="1"/>
  <c r="R16" i="2" s="1"/>
  <c r="S16" i="2" s="1"/>
  <c r="L10" i="2"/>
  <c r="R10" i="2" s="1" a="1"/>
  <c r="R10" i="2" s="1"/>
  <c r="S10" i="2" s="1"/>
  <c r="U10" i="2" s="1"/>
  <c r="S11" i="2"/>
  <c r="U11" i="2" s="1"/>
  <c r="S11" i="1"/>
  <c r="L52" i="2"/>
  <c r="P52" i="2" s="1"/>
  <c r="Q52" i="2" s="1"/>
  <c r="R52" i="2" s="1" a="1"/>
  <c r="R52" i="2" s="1"/>
  <c r="S52" i="2" s="1"/>
  <c r="L56" i="2"/>
  <c r="P56" i="2" s="1"/>
  <c r="Q56" i="2" s="1"/>
  <c r="R56" i="2" s="1" a="1"/>
  <c r="R56" i="2" s="1"/>
  <c r="S56" i="2" s="1"/>
  <c r="L5" i="2"/>
  <c r="L6" i="2"/>
  <c r="L18" i="2"/>
  <c r="Q57" i="1"/>
  <c r="R57" i="1" s="1" a="1"/>
  <c r="R57" i="1" s="1"/>
  <c r="S57" i="1" s="1"/>
  <c r="U57" i="1" s="1"/>
  <c r="Q61" i="1"/>
  <c r="R61" i="1" s="1" a="1"/>
  <c r="R61" i="1" s="1"/>
  <c r="U61" i="1" s="1"/>
  <c r="L58" i="2"/>
  <c r="P58" i="2" s="1"/>
  <c r="Q58" i="2" s="1"/>
  <c r="Q3" i="1"/>
  <c r="L30" i="2"/>
  <c r="P30" i="2" s="1"/>
  <c r="Q30" i="2" s="1"/>
  <c r="Q64" i="1"/>
  <c r="R64" i="1" s="1" a="1"/>
  <c r="R64" i="1" s="1"/>
  <c r="R9" i="1" a="1"/>
  <c r="R9" i="1" s="1"/>
  <c r="M90" i="2"/>
  <c r="R15" i="2" a="1"/>
  <c r="R15" i="2" s="1"/>
  <c r="S15" i="2" s="1"/>
  <c r="U15" i="2" s="1"/>
  <c r="R45" i="2" a="1"/>
  <c r="R45" i="2" s="1"/>
  <c r="S45" i="2" s="1"/>
  <c r="U45" i="2" s="1"/>
  <c r="S47" i="2"/>
  <c r="U47" i="2" s="1"/>
  <c r="R13" i="1" a="1"/>
  <c r="R13" i="1" s="1"/>
  <c r="S13" i="1" s="1"/>
  <c r="U13" i="1" s="1"/>
  <c r="Q62" i="1"/>
  <c r="R47" i="1" a="1"/>
  <c r="R47" i="1" s="1"/>
  <c r="R8" i="1" a="1"/>
  <c r="R8" i="1" s="1"/>
  <c r="U8" i="1" s="1"/>
  <c r="Q50" i="1"/>
  <c r="Q53" i="1"/>
  <c r="R53" i="1" s="1" a="1"/>
  <c r="R53" i="1" s="1"/>
  <c r="S53" i="1" s="1"/>
  <c r="Q85" i="1"/>
  <c r="R85" i="1" s="1" a="1"/>
  <c r="R85" i="1" s="1"/>
  <c r="S85" i="1" s="1"/>
  <c r="N90" i="1"/>
  <c r="R15" i="1" a="1"/>
  <c r="R15" i="1" s="1"/>
  <c r="S15" i="1" s="1"/>
  <c r="R43" i="2" a="1"/>
  <c r="R43" i="2" s="1"/>
  <c r="S43" i="2" s="1"/>
  <c r="U43" i="2" s="1"/>
  <c r="R42" i="2" a="1"/>
  <c r="R42" i="2" s="1"/>
  <c r="R14" i="1" a="1"/>
  <c r="R14" i="1" s="1"/>
  <c r="S14" i="1" s="1"/>
  <c r="U14" i="1" s="1"/>
  <c r="R41" i="1" a="1"/>
  <c r="R41" i="1" s="1"/>
  <c r="S41" i="1" s="1"/>
  <c r="U41" i="1" s="1"/>
  <c r="R25" i="1" a="1"/>
  <c r="R25" i="1" s="1"/>
  <c r="S25" i="1" s="1"/>
  <c r="U25" i="1" s="1"/>
  <c r="R40" i="1" a="1"/>
  <c r="R40" i="1" s="1"/>
  <c r="S40" i="1" s="1"/>
  <c r="U40" i="1" s="1"/>
  <c r="Q20" i="1"/>
  <c r="R20" i="1" s="1" a="1"/>
  <c r="R20" i="1" s="1"/>
  <c r="S20" i="1" s="1"/>
  <c r="R48" i="1" a="1"/>
  <c r="R48" i="1" s="1"/>
  <c r="S48" i="1" s="1"/>
  <c r="U48" i="1" s="1"/>
  <c r="Q82" i="1"/>
  <c r="R82" i="1" s="1" a="1"/>
  <c r="R82" i="1" s="1"/>
  <c r="Q49" i="1"/>
  <c r="R49" i="1" s="1" a="1"/>
  <c r="R49" i="1" s="1"/>
  <c r="S49" i="1" s="1"/>
  <c r="Q24" i="1"/>
  <c r="Q28" i="1"/>
  <c r="R28" i="1" s="1" a="1"/>
  <c r="R28" i="1" s="1"/>
  <c r="Q73" i="1"/>
  <c r="R73" i="1" s="1" a="1"/>
  <c r="R73" i="1" s="1"/>
  <c r="S73" i="1" s="1"/>
  <c r="U73" i="1" s="1"/>
  <c r="Q81" i="1"/>
  <c r="R81" i="1" s="1" a="1"/>
  <c r="R81" i="1" s="1"/>
  <c r="S81" i="1" s="1"/>
  <c r="L4" i="2"/>
  <c r="L87" i="2"/>
  <c r="R83" i="1" a="1"/>
  <c r="R83" i="1" s="1"/>
  <c r="S83" i="1" s="1"/>
  <c r="U83" i="1" s="1"/>
  <c r="R44" i="1" a="1"/>
  <c r="R44" i="1" s="1"/>
  <c r="S44" i="1" s="1"/>
  <c r="R45" i="1" a="1"/>
  <c r="R45" i="1" s="1"/>
  <c r="Q16" i="1"/>
  <c r="R16" i="1" s="1" a="1"/>
  <c r="R16" i="1" s="1"/>
  <c r="S16" i="1" s="1"/>
  <c r="R10" i="1" a="1"/>
  <c r="R10" i="1" s="1"/>
  <c r="S10" i="1" s="1"/>
  <c r="U10" i="1" s="1"/>
  <c r="Q87" i="1"/>
  <c r="R87" i="1" s="1" a="1"/>
  <c r="R87" i="1" s="1"/>
  <c r="R32" i="1" a="1"/>
  <c r="R32" i="1" s="1"/>
  <c r="S32" i="1" s="1"/>
  <c r="U32" i="1" s="1"/>
  <c r="R5" i="1" a="1"/>
  <c r="R5" i="1" s="1"/>
  <c r="U5" i="1" s="1"/>
  <c r="R7" i="1" a="1"/>
  <c r="R7" i="1" s="1"/>
  <c r="S7" i="1" s="1"/>
  <c r="U7" i="1" s="1"/>
  <c r="Q30" i="1"/>
  <c r="R36" i="1" a="1"/>
  <c r="R36" i="1" s="1"/>
  <c r="S36" i="1" s="1"/>
  <c r="Q26" i="1"/>
  <c r="R26" i="1" s="1" a="1"/>
  <c r="R26" i="1" s="1"/>
  <c r="L22" i="2"/>
  <c r="P22" i="2" s="1"/>
  <c r="Q22" i="2" s="1"/>
  <c r="R35" i="1" a="1"/>
  <c r="R35" i="1" s="1"/>
  <c r="S35" i="1" s="1"/>
  <c r="U35" i="1" s="1"/>
  <c r="R43" i="1" a="1"/>
  <c r="R43" i="1" s="1"/>
  <c r="S43" i="1" s="1"/>
  <c r="U43" i="1" s="1"/>
  <c r="L44" i="2"/>
  <c r="R46" i="1" a="1"/>
  <c r="R46" i="1" s="1"/>
  <c r="P29" i="1"/>
  <c r="Q29" i="1" s="1"/>
  <c r="R29" i="1" s="1" a="1"/>
  <c r="R29" i="1" s="1"/>
  <c r="S29" i="1" s="1"/>
  <c r="P54" i="1"/>
  <c r="Q54" i="1" s="1"/>
  <c r="R54" i="1" s="1" a="1"/>
  <c r="R54" i="1" s="1"/>
  <c r="P60" i="1"/>
  <c r="Q60" i="1" s="1"/>
  <c r="R60" i="1" s="1" a="1"/>
  <c r="R60" i="1" s="1"/>
  <c r="U60" i="1" s="1"/>
  <c r="P66" i="1"/>
  <c r="Q66" i="1" s="1"/>
  <c r="R66" i="1" s="1" a="1"/>
  <c r="R66" i="1" s="1"/>
  <c r="S66" i="1" s="1"/>
  <c r="P71" i="1"/>
  <c r="Q71" i="1" s="1"/>
  <c r="R71" i="1" s="1" a="1"/>
  <c r="R71" i="1" s="1"/>
  <c r="S71" i="1" s="1"/>
  <c r="U71" i="1" s="1"/>
  <c r="S4" i="1"/>
  <c r="U4" i="1" s="1"/>
  <c r="S74" i="1"/>
  <c r="U74" i="1" s="1"/>
  <c r="S80" i="1"/>
  <c r="U80" i="1" s="1"/>
  <c r="S58" i="1"/>
  <c r="U58" i="1" s="1"/>
  <c r="S51" i="1"/>
  <c r="U51" i="1" s="1"/>
  <c r="S55" i="1"/>
  <c r="U55" i="1" s="1"/>
  <c r="S42" i="1"/>
  <c r="U42" i="1" s="1"/>
  <c r="S46" i="2"/>
  <c r="L7" i="2"/>
  <c r="N7" i="2"/>
  <c r="L8" i="2"/>
  <c r="N8" i="2"/>
  <c r="L19" i="2"/>
  <c r="N19" i="2"/>
  <c r="L32" i="2"/>
  <c r="N32" i="2"/>
  <c r="L40" i="2"/>
  <c r="N40" i="2"/>
  <c r="L36" i="2"/>
  <c r="N36" i="2"/>
  <c r="L38" i="2"/>
  <c r="N38" i="2"/>
  <c r="L39" i="2"/>
  <c r="N39" i="2"/>
  <c r="L41" i="2"/>
  <c r="N41" i="2"/>
  <c r="L48" i="2"/>
  <c r="N48" i="2"/>
  <c r="L82" i="2"/>
  <c r="N82" i="2"/>
  <c r="Q68" i="2"/>
  <c r="R68" i="2" s="1" a="1"/>
  <c r="R68" i="2" s="1"/>
  <c r="S68" i="2" s="1"/>
  <c r="L61" i="2"/>
  <c r="L64" i="2"/>
  <c r="L23" i="2"/>
  <c r="L28" i="2"/>
  <c r="L51" i="2"/>
  <c r="L69" i="2"/>
  <c r="L73" i="2"/>
  <c r="P73" i="2" s="1"/>
  <c r="Q73" i="2" s="1"/>
  <c r="L81" i="2"/>
  <c r="L17" i="2"/>
  <c r="L65" i="2"/>
  <c r="L63" i="2"/>
  <c r="L77" i="2"/>
  <c r="P77" i="2" s="1"/>
  <c r="Q77" i="2" s="1"/>
  <c r="R77" i="2" s="1" a="1"/>
  <c r="R77" i="2" s="1"/>
  <c r="S77" i="2" s="1"/>
  <c r="U77" i="2" s="1"/>
  <c r="Q89" i="2"/>
  <c r="R49" i="2" a="1"/>
  <c r="R49" i="2" s="1"/>
  <c r="Q86" i="2"/>
  <c r="R86" i="2" s="1" a="1"/>
  <c r="R86" i="2" s="1"/>
  <c r="Q78" i="2"/>
  <c r="L85" i="2"/>
  <c r="P88" i="2"/>
  <c r="Q88" i="2" s="1"/>
  <c r="R88" i="2" s="1" a="1"/>
  <c r="R88" i="2" s="1"/>
  <c r="U88" i="2" s="1"/>
  <c r="L57" i="2"/>
  <c r="P74" i="2"/>
  <c r="Q74" i="2" s="1"/>
  <c r="P81" i="2"/>
  <c r="Q81" i="2" s="1"/>
  <c r="Q5" i="2"/>
  <c r="L67" i="2"/>
  <c r="L27" i="2"/>
  <c r="L50" i="2"/>
  <c r="L54" i="2"/>
  <c r="L66" i="2"/>
  <c r="L72" i="2"/>
  <c r="L76" i="2"/>
  <c r="P76" i="2" s="1"/>
  <c r="Q76" i="2" s="1"/>
  <c r="R76" i="2" s="1" a="1"/>
  <c r="R76" i="2" s="1"/>
  <c r="S76" i="2" s="1"/>
  <c r="L80" i="2"/>
  <c r="L84" i="2"/>
  <c r="L21" i="2"/>
  <c r="L29" i="2"/>
  <c r="L34" i="2"/>
  <c r="L3" i="2"/>
  <c r="L31" i="2"/>
  <c r="Q44" i="2"/>
  <c r="Q35" i="2"/>
  <c r="P70" i="2"/>
  <c r="Q70" i="2" s="1"/>
  <c r="R70" i="2" s="1" a="1"/>
  <c r="R70" i="2" s="1"/>
  <c r="L13" i="2"/>
  <c r="R26" i="2" a="1"/>
  <c r="R26" i="2" s="1"/>
  <c r="L25" i="2"/>
  <c r="P62" i="2"/>
  <c r="Q62" i="2" s="1"/>
  <c r="L20" i="2"/>
  <c r="P20" i="2" s="1"/>
  <c r="Q20" i="2" s="1"/>
  <c r="L24" i="2"/>
  <c r="L53" i="2"/>
  <c r="L59" i="2"/>
  <c r="L60" i="2"/>
  <c r="L71" i="2"/>
  <c r="L75" i="2"/>
  <c r="L79" i="2"/>
  <c r="L2" i="2"/>
  <c r="L55" i="2"/>
  <c r="R6" i="1" a="1"/>
  <c r="R6" i="1" s="1"/>
  <c r="P18" i="1"/>
  <c r="Q18" i="1" s="1"/>
  <c r="P21" i="1"/>
  <c r="Q21" i="1" s="1"/>
  <c r="P31" i="1"/>
  <c r="Q31" i="1" s="1"/>
  <c r="R33" i="1" a="1"/>
  <c r="R33" i="1" s="1"/>
  <c r="R37" i="1" a="1"/>
  <c r="R37" i="1" s="1"/>
  <c r="R39" i="1" a="1"/>
  <c r="R39" i="1" s="1"/>
  <c r="P52" i="1"/>
  <c r="Q52" i="1" s="1"/>
  <c r="P65" i="1"/>
  <c r="Q65" i="1" s="1"/>
  <c r="P68" i="1"/>
  <c r="Q68" i="1" s="1"/>
  <c r="P72" i="1"/>
  <c r="Q72" i="1" s="1"/>
  <c r="P79" i="1"/>
  <c r="Q79" i="1" s="1"/>
  <c r="R30" i="1" a="1"/>
  <c r="R30" i="1" s="1"/>
  <c r="R3" i="1" a="1"/>
  <c r="R3" i="1" s="1"/>
  <c r="S78" i="1"/>
  <c r="R50" i="1" a="1"/>
  <c r="R50" i="1" s="1"/>
  <c r="R23" i="1" a="1"/>
  <c r="R23" i="1" s="1"/>
  <c r="R70" i="1" a="1"/>
  <c r="R70" i="1" s="1"/>
  <c r="P17" i="1"/>
  <c r="Q17" i="1" s="1"/>
  <c r="R17" i="1" s="1" a="1"/>
  <c r="R17" i="1" s="1"/>
  <c r="R38" i="1" a="1"/>
  <c r="R38" i="1" s="1"/>
  <c r="R76" i="1" a="1"/>
  <c r="R76" i="1" s="1"/>
  <c r="R19" i="1" a="1"/>
  <c r="R19" i="1" s="1"/>
  <c r="R24" i="1" a="1"/>
  <c r="R24" i="1" s="1"/>
  <c r="L14" i="2"/>
  <c r="L37" i="2"/>
  <c r="L83" i="2"/>
  <c r="L33" i="2"/>
  <c r="R89" i="1" a="1"/>
  <c r="R89" i="1" s="1"/>
  <c r="P18" i="2"/>
  <c r="Q18" i="2" s="1"/>
  <c r="R18" i="2" s="1" a="1"/>
  <c r="R18" i="2" s="1"/>
  <c r="R30" i="2" a="1"/>
  <c r="R30" i="2" s="1"/>
  <c r="R34" i="1" a="1"/>
  <c r="R34" i="1" s="1"/>
  <c r="P22" i="1"/>
  <c r="P69" i="1"/>
  <c r="Q69" i="1" s="1"/>
  <c r="P84" i="1"/>
  <c r="Q84" i="1" s="1"/>
  <c r="R84" i="1" s="1" a="1"/>
  <c r="R84" i="1" s="1"/>
  <c r="P77" i="1"/>
  <c r="Q77" i="1" s="1"/>
  <c r="P67" i="1"/>
  <c r="Q67" i="1" s="1"/>
  <c r="P88" i="1"/>
  <c r="Q88" i="1" s="1"/>
  <c r="P59" i="1"/>
  <c r="Q59" i="1" s="1"/>
  <c r="P75" i="1"/>
  <c r="Q75" i="1" s="1"/>
  <c r="P86" i="1"/>
  <c r="Q86" i="1" s="1"/>
  <c r="R62" i="1" a="1"/>
  <c r="R62" i="1" s="1"/>
  <c r="R63" i="1" a="1"/>
  <c r="R63" i="1" s="1"/>
  <c r="L90" i="1"/>
  <c r="R12" i="1" l="1" a="1"/>
  <c r="R12" i="1" s="1"/>
  <c r="Q36" i="2"/>
  <c r="U11" i="1"/>
  <c r="P87" i="2"/>
  <c r="Q87" i="2" s="1"/>
  <c r="U16" i="2"/>
  <c r="U52" i="2"/>
  <c r="R6" i="2" a="1"/>
  <c r="R6" i="2" s="1"/>
  <c r="R22" i="2" a="1"/>
  <c r="R22" i="2" s="1"/>
  <c r="S22" i="2" s="1"/>
  <c r="U22" i="2" s="1"/>
  <c r="S9" i="1"/>
  <c r="U15" i="1"/>
  <c r="U16" i="1"/>
  <c r="S42" i="2"/>
  <c r="U42" i="2" s="1"/>
  <c r="P59" i="2"/>
  <c r="Q59" i="2" s="1"/>
  <c r="R59" i="2" s="1" a="1"/>
  <c r="R59" i="2" s="1"/>
  <c r="U59" i="2" s="1"/>
  <c r="S47" i="1"/>
  <c r="U47" i="1" s="1"/>
  <c r="R74" i="2" a="1"/>
  <c r="R74" i="2" s="1"/>
  <c r="Q38" i="2"/>
  <c r="U46" i="2"/>
  <c r="Q40" i="2"/>
  <c r="Q39" i="2"/>
  <c r="R38" i="2" a="1"/>
  <c r="R38" i="2" s="1"/>
  <c r="S38" i="2" s="1"/>
  <c r="U38" i="2" s="1"/>
  <c r="P61" i="2"/>
  <c r="Q61" i="2" s="1"/>
  <c r="P4" i="2"/>
  <c r="Q4" i="2" s="1"/>
  <c r="S45" i="1"/>
  <c r="U45" i="1" s="1"/>
  <c r="U81" i="1"/>
  <c r="P19" i="2"/>
  <c r="Q19" i="2" s="1"/>
  <c r="R19" i="2" s="1" a="1"/>
  <c r="R19" i="2" s="1"/>
  <c r="U19" i="2" s="1"/>
  <c r="P28" i="2"/>
  <c r="Q28" i="2" s="1"/>
  <c r="P23" i="2"/>
  <c r="Q23" i="2" s="1"/>
  <c r="Q48" i="2"/>
  <c r="P63" i="2"/>
  <c r="Q63" i="2" s="1"/>
  <c r="R63" i="2" s="1" a="1"/>
  <c r="R63" i="2" s="1"/>
  <c r="S63" i="2" s="1"/>
  <c r="U63" i="2" s="1"/>
  <c r="S54" i="1"/>
  <c r="U54" i="1" s="1"/>
  <c r="S46" i="1"/>
  <c r="P31" i="2"/>
  <c r="Q31" i="2" s="1"/>
  <c r="R31" i="2" s="1" a="1"/>
  <c r="R31" i="2" s="1"/>
  <c r="P3" i="2"/>
  <c r="Q3" i="2" s="1"/>
  <c r="R3" i="2" s="1" a="1"/>
  <c r="R3" i="2" s="1"/>
  <c r="P84" i="2"/>
  <c r="Q84" i="2" s="1"/>
  <c r="R84" i="2" s="1" a="1"/>
  <c r="R84" i="2" s="1"/>
  <c r="P50" i="2"/>
  <c r="Q50" i="2" s="1"/>
  <c r="R50" i="2" s="1" a="1"/>
  <c r="R50" i="2" s="1"/>
  <c r="P27" i="2"/>
  <c r="Q27" i="2" s="1"/>
  <c r="P57" i="2"/>
  <c r="Q57" i="2" s="1"/>
  <c r="P65" i="2"/>
  <c r="Q65" i="2" s="1"/>
  <c r="R65" i="2" s="1" a="1"/>
  <c r="R65" i="2" s="1"/>
  <c r="S65" i="2" s="1"/>
  <c r="U65" i="2" s="1"/>
  <c r="P64" i="2"/>
  <c r="Q64" i="2" s="1"/>
  <c r="R64" i="2" s="1" a="1"/>
  <c r="R64" i="2" s="1"/>
  <c r="Q82" i="2"/>
  <c r="Q7" i="2"/>
  <c r="S26" i="2"/>
  <c r="U26" i="2" s="1"/>
  <c r="S86" i="2"/>
  <c r="S49" i="2"/>
  <c r="S26" i="1"/>
  <c r="U66" i="1"/>
  <c r="U56" i="2"/>
  <c r="U68" i="2"/>
  <c r="U29" i="1"/>
  <c r="U20" i="1"/>
  <c r="U56" i="1"/>
  <c r="U85" i="1"/>
  <c r="U53" i="1"/>
  <c r="P75" i="2"/>
  <c r="Q75" i="2" s="1"/>
  <c r="R75" i="2" s="1" a="1"/>
  <c r="R75" i="2" s="1"/>
  <c r="P71" i="2"/>
  <c r="Q71" i="2" s="1"/>
  <c r="R78" i="2" a="1"/>
  <c r="R78" i="2" s="1"/>
  <c r="R58" i="2" a="1"/>
  <c r="R58" i="2" s="1"/>
  <c r="P51" i="2"/>
  <c r="Q51" i="2" s="1"/>
  <c r="R52" i="1" a="1"/>
  <c r="R52" i="1" s="1"/>
  <c r="P69" i="2"/>
  <c r="Q69" i="2" s="1"/>
  <c r="R69" i="2" s="1" a="1"/>
  <c r="R69" i="2" s="1"/>
  <c r="S69" i="2" s="1"/>
  <c r="U69" i="2" s="1"/>
  <c r="P17" i="2"/>
  <c r="Q17" i="2" s="1"/>
  <c r="R17" i="2" s="1" a="1"/>
  <c r="R17" i="2" s="1"/>
  <c r="P66" i="2"/>
  <c r="Q66" i="2" s="1"/>
  <c r="R66" i="2" s="1" a="1"/>
  <c r="R66" i="2" s="1"/>
  <c r="P85" i="2"/>
  <c r="Q85" i="2" s="1"/>
  <c r="R89" i="2" a="1"/>
  <c r="R89" i="2" s="1"/>
  <c r="R77" i="1" a="1"/>
  <c r="R77" i="1" s="1"/>
  <c r="R88" i="1" a="1"/>
  <c r="R88" i="1" s="1"/>
  <c r="Q34" i="2"/>
  <c r="P21" i="2"/>
  <c r="Q21" i="2" s="1"/>
  <c r="R21" i="2" s="1" a="1"/>
  <c r="R21" i="2" s="1"/>
  <c r="P54" i="2"/>
  <c r="Q54" i="2" s="1"/>
  <c r="R54" i="2" s="1" a="1"/>
  <c r="R54" i="2" s="1"/>
  <c r="R73" i="2" a="1"/>
  <c r="R73" i="2" s="1"/>
  <c r="U76" i="2"/>
  <c r="R5" i="2" a="1"/>
  <c r="R5" i="2" s="1"/>
  <c r="P80" i="2"/>
  <c r="Q80" i="2" s="1"/>
  <c r="P72" i="2"/>
  <c r="Q72" i="2" s="1"/>
  <c r="P29" i="2"/>
  <c r="Q29" i="2" s="1"/>
  <c r="P67" i="2"/>
  <c r="Q67" i="2" s="1"/>
  <c r="R67" i="2" s="1" a="1"/>
  <c r="R67" i="2" s="1"/>
  <c r="Q25" i="2"/>
  <c r="R35" i="2" a="1"/>
  <c r="R35" i="2" s="1"/>
  <c r="Q32" i="2"/>
  <c r="Q41" i="2"/>
  <c r="R81" i="2" a="1"/>
  <c r="R81" i="2" s="1"/>
  <c r="R44" i="2" a="1"/>
  <c r="R44" i="2" s="1"/>
  <c r="P53" i="2"/>
  <c r="Q53" i="2" s="1"/>
  <c r="R62" i="2" a="1"/>
  <c r="R62" i="2" s="1"/>
  <c r="L90" i="2"/>
  <c r="P24" i="2"/>
  <c r="Q24" i="2" s="1"/>
  <c r="S70" i="2"/>
  <c r="U70" i="2" s="1"/>
  <c r="P79" i="2"/>
  <c r="Q79" i="2" s="1"/>
  <c r="R79" i="2" s="1" a="1"/>
  <c r="R79" i="2" s="1"/>
  <c r="Q13" i="2"/>
  <c r="P55" i="2"/>
  <c r="Q55" i="2" s="1"/>
  <c r="Q8" i="2"/>
  <c r="P2" i="2"/>
  <c r="Q2" i="2" s="1"/>
  <c r="P60" i="2"/>
  <c r="Q60" i="2" s="1"/>
  <c r="N90" i="2"/>
  <c r="Q14" i="2"/>
  <c r="S76" i="1"/>
  <c r="S50" i="1"/>
  <c r="R79" i="1" a="1"/>
  <c r="R79" i="1" s="1"/>
  <c r="S33" i="1"/>
  <c r="S30" i="2"/>
  <c r="S18" i="2"/>
  <c r="U18" i="2" s="1"/>
  <c r="U49" i="1"/>
  <c r="R20" i="2" a="1"/>
  <c r="R20" i="2" s="1"/>
  <c r="U23" i="1"/>
  <c r="R65" i="1" a="1"/>
  <c r="R65" i="1" s="1"/>
  <c r="S37" i="1"/>
  <c r="R21" i="1" a="1"/>
  <c r="R21" i="1" s="1"/>
  <c r="S6" i="1"/>
  <c r="U89" i="1"/>
  <c r="S24" i="1"/>
  <c r="S34" i="1"/>
  <c r="Q33" i="2"/>
  <c r="Q83" i="2"/>
  <c r="Q37" i="2"/>
  <c r="U19" i="1"/>
  <c r="S38" i="1"/>
  <c r="U78" i="1"/>
  <c r="S70" i="1"/>
  <c r="S82" i="1"/>
  <c r="U87" i="1"/>
  <c r="S3" i="1"/>
  <c r="U44" i="1"/>
  <c r="S30" i="1"/>
  <c r="R72" i="1" a="1"/>
  <c r="R72" i="1" s="1"/>
  <c r="R68" i="1" a="1"/>
  <c r="R68" i="1" s="1"/>
  <c r="S39" i="1"/>
  <c r="R31" i="1" a="1"/>
  <c r="R31" i="1" s="1"/>
  <c r="R18" i="1" a="1"/>
  <c r="R18" i="1" s="1"/>
  <c r="S17" i="1"/>
  <c r="S84" i="1"/>
  <c r="U36" i="1"/>
  <c r="R67" i="1" a="1"/>
  <c r="R67" i="1" s="1"/>
  <c r="S64" i="1"/>
  <c r="S28" i="1"/>
  <c r="S63" i="1"/>
  <c r="S62" i="1"/>
  <c r="R86" i="1" a="1"/>
  <c r="R86" i="1" s="1"/>
  <c r="R75" i="1" a="1"/>
  <c r="R75" i="1" s="1"/>
  <c r="R59" i="1" a="1"/>
  <c r="R59" i="1" s="1"/>
  <c r="R69" i="1" a="1"/>
  <c r="R69" i="1" s="1"/>
  <c r="Q22" i="1"/>
  <c r="P90" i="1"/>
  <c r="S12" i="1" l="1"/>
  <c r="R87" i="2" a="1"/>
  <c r="R87" i="2" s="1"/>
  <c r="S6" i="2"/>
  <c r="U6" i="2" s="1"/>
  <c r="R36" i="2" a="1"/>
  <c r="R36" i="2" s="1"/>
  <c r="R61" i="2" a="1"/>
  <c r="R61" i="2" s="1"/>
  <c r="U9" i="1"/>
  <c r="S74" i="2"/>
  <c r="R4" i="2" a="1"/>
  <c r="R4" i="2" s="1"/>
  <c r="R28" i="2" a="1"/>
  <c r="R28" i="2" s="1"/>
  <c r="R40" i="2" a="1"/>
  <c r="R40" i="2" s="1"/>
  <c r="R39" i="2" a="1"/>
  <c r="R39" i="2" s="1"/>
  <c r="S3" i="2"/>
  <c r="U3" i="2" s="1"/>
  <c r="R80" i="2" a="1"/>
  <c r="R80" i="2" s="1"/>
  <c r="S64" i="2"/>
  <c r="U64" i="2" s="1"/>
  <c r="R23" i="2" a="1"/>
  <c r="R23" i="2" s="1"/>
  <c r="U23" i="2" s="1"/>
  <c r="R57" i="2" a="1"/>
  <c r="R57" i="2" s="1"/>
  <c r="S50" i="2"/>
  <c r="R27" i="2" a="1"/>
  <c r="R27" i="2" s="1"/>
  <c r="R71" i="2" a="1"/>
  <c r="R71" i="2" s="1"/>
  <c r="R48" i="2" a="1"/>
  <c r="R48" i="2" s="1"/>
  <c r="U46" i="1"/>
  <c r="S77" i="1"/>
  <c r="U49" i="2"/>
  <c r="S84" i="2"/>
  <c r="U84" i="2" s="1"/>
  <c r="R7" i="2" a="1"/>
  <c r="R7" i="2" s="1"/>
  <c r="R82" i="2" a="1"/>
  <c r="R82" i="2" s="1"/>
  <c r="U87" i="2"/>
  <c r="U89" i="2"/>
  <c r="S66" i="2"/>
  <c r="S78" i="2"/>
  <c r="U26" i="1"/>
  <c r="S44" i="2"/>
  <c r="S31" i="2"/>
  <c r="U67" i="2"/>
  <c r="S54" i="2"/>
  <c r="S21" i="2"/>
  <c r="U21" i="2" s="1"/>
  <c r="S75" i="2"/>
  <c r="U75" i="2" s="1"/>
  <c r="U86" i="2"/>
  <c r="U88" i="1"/>
  <c r="U30" i="2"/>
  <c r="U39" i="1"/>
  <c r="U24" i="1"/>
  <c r="U37" i="1"/>
  <c r="U33" i="1"/>
  <c r="S58" i="2"/>
  <c r="S52" i="1"/>
  <c r="R51" i="2" a="1"/>
  <c r="R51" i="2" s="1"/>
  <c r="R85" i="2" a="1"/>
  <c r="R85" i="2" s="1"/>
  <c r="U5" i="2"/>
  <c r="R34" i="2" a="1"/>
  <c r="R34" i="2" s="1"/>
  <c r="S73" i="2"/>
  <c r="R25" i="2" a="1"/>
  <c r="R25" i="2" s="1"/>
  <c r="R72" i="2" a="1"/>
  <c r="R72" i="2" s="1"/>
  <c r="R24" i="2" a="1"/>
  <c r="R24" i="2" s="1"/>
  <c r="R32" i="2" a="1"/>
  <c r="R32" i="2" s="1"/>
  <c r="R29" i="2" a="1"/>
  <c r="R29" i="2" s="1"/>
  <c r="R41" i="2" a="1"/>
  <c r="R41" i="2" s="1"/>
  <c r="R83" i="2" a="1"/>
  <c r="R83" i="2" s="1"/>
  <c r="S81" i="2"/>
  <c r="S35" i="2"/>
  <c r="S79" i="2"/>
  <c r="R33" i="2" a="1"/>
  <c r="R33" i="2" s="1"/>
  <c r="P90" i="2"/>
  <c r="R2" i="2" a="1"/>
  <c r="R2" i="2" s="1"/>
  <c r="R8" i="2" a="1"/>
  <c r="R8" i="2" s="1"/>
  <c r="R53" i="2" a="1"/>
  <c r="R53" i="2" s="1"/>
  <c r="R13" i="2" a="1"/>
  <c r="R13" i="2" s="1"/>
  <c r="S62" i="2"/>
  <c r="R37" i="2" a="1"/>
  <c r="R37" i="2" s="1"/>
  <c r="R60" i="2" a="1"/>
  <c r="R60" i="2" s="1"/>
  <c r="R55" i="2" a="1"/>
  <c r="R55" i="2" s="1"/>
  <c r="U30" i="1"/>
  <c r="U82" i="1"/>
  <c r="U63" i="1"/>
  <c r="S79" i="1"/>
  <c r="U28" i="1"/>
  <c r="S68" i="1"/>
  <c r="S65" i="1"/>
  <c r="U62" i="1"/>
  <c r="U70" i="1"/>
  <c r="U34" i="1"/>
  <c r="R14" i="2" a="1"/>
  <c r="R14" i="2" s="1"/>
  <c r="U50" i="1"/>
  <c r="U76" i="1"/>
  <c r="S17" i="2"/>
  <c r="S18" i="1"/>
  <c r="U64" i="1"/>
  <c r="S31" i="1"/>
  <c r="S72" i="1"/>
  <c r="U38" i="1"/>
  <c r="U6" i="1"/>
  <c r="S21" i="1"/>
  <c r="S20" i="2"/>
  <c r="Q90" i="2"/>
  <c r="U3" i="1"/>
  <c r="U67" i="1"/>
  <c r="S75" i="1"/>
  <c r="U17" i="1"/>
  <c r="Q90" i="1"/>
  <c r="R22" i="1" a="1"/>
  <c r="R22" i="1" s="1"/>
  <c r="U59" i="1"/>
  <c r="S69" i="1"/>
  <c r="S86" i="1"/>
  <c r="U84" i="1"/>
  <c r="U12" i="1" l="1"/>
  <c r="S36" i="2"/>
  <c r="U61" i="2"/>
  <c r="S28" i="2"/>
  <c r="S40" i="2"/>
  <c r="S4" i="2"/>
  <c r="S39" i="2"/>
  <c r="U74" i="2"/>
  <c r="S80" i="2"/>
  <c r="U28" i="2"/>
  <c r="S57" i="2"/>
  <c r="U50" i="2"/>
  <c r="U58" i="2"/>
  <c r="U54" i="2"/>
  <c r="U66" i="2"/>
  <c r="S71" i="2"/>
  <c r="U44" i="2"/>
  <c r="U78" i="2"/>
  <c r="S48" i="2"/>
  <c r="U77" i="1"/>
  <c r="S27" i="2"/>
  <c r="U52" i="1"/>
  <c r="S82" i="2"/>
  <c r="S7" i="2"/>
  <c r="S37" i="2"/>
  <c r="S83" i="2"/>
  <c r="S72" i="2"/>
  <c r="S25" i="2"/>
  <c r="S85" i="2"/>
  <c r="S51" i="2"/>
  <c r="U39" i="2"/>
  <c r="U31" i="2"/>
  <c r="U17" i="2"/>
  <c r="U79" i="2"/>
  <c r="U73" i="2"/>
  <c r="S34" i="2"/>
  <c r="S33" i="2"/>
  <c r="S24" i="2"/>
  <c r="U81" i="2"/>
  <c r="U35" i="2"/>
  <c r="S32" i="2"/>
  <c r="U62" i="2"/>
  <c r="S41" i="2"/>
  <c r="S29" i="2"/>
  <c r="U60" i="2"/>
  <c r="S55" i="2"/>
  <c r="S2" i="2"/>
  <c r="S13" i="2"/>
  <c r="U20" i="2"/>
  <c r="S53" i="2"/>
  <c r="U8" i="2"/>
  <c r="U72" i="1"/>
  <c r="U79" i="1"/>
  <c r="U65" i="1"/>
  <c r="U21" i="1"/>
  <c r="S14" i="2"/>
  <c r="R90" i="2"/>
  <c r="U86" i="1"/>
  <c r="U31" i="1"/>
  <c r="U18" i="1"/>
  <c r="U68" i="1"/>
  <c r="S22" i="1"/>
  <c r="R90" i="1"/>
  <c r="U69" i="1"/>
  <c r="U75" i="1"/>
  <c r="U36" i="2" l="1"/>
  <c r="U40" i="2"/>
  <c r="U4" i="2"/>
  <c r="U80" i="2"/>
  <c r="U37" i="2"/>
  <c r="U57" i="2"/>
  <c r="U51" i="2"/>
  <c r="U48" i="2"/>
  <c r="U71" i="2"/>
  <c r="U27" i="2"/>
  <c r="U25" i="2"/>
  <c r="U83" i="2"/>
  <c r="U85" i="2"/>
  <c r="U72" i="2"/>
  <c r="U7" i="2"/>
  <c r="U82" i="2"/>
  <c r="U24" i="2"/>
  <c r="U22" i="1"/>
  <c r="U90" i="1" s="1"/>
  <c r="U34" i="2"/>
  <c r="U33" i="2"/>
  <c r="U13" i="2"/>
  <c r="U32" i="2"/>
  <c r="U2" i="2"/>
  <c r="U29" i="2"/>
  <c r="U41" i="2"/>
  <c r="U53" i="2"/>
  <c r="U55" i="2"/>
  <c r="S90" i="2"/>
  <c r="U14" i="2"/>
  <c r="S90" i="1"/>
  <c r="U90" i="2" l="1"/>
  <c r="H13" i="9"/>
  <c r="K13" i="9" s="1"/>
  <c r="J13" i="9" l="1"/>
  <c r="J19" i="9" s="1"/>
  <c r="K19" i="9"/>
  <c r="K21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keril jackson</author>
  </authors>
  <commentList>
    <comment ref="F1" authorId="0" shapeId="0" xr:uid="{00000000-0006-0000-0000-000001000000}">
      <text>
        <r>
          <rPr>
            <sz val="11"/>
            <color rgb="FF000000"/>
            <rFont val="Calibri"/>
            <family val="2"/>
          </rPr>
          <t>Total amount of hours employee worked inclusive of standard and overtime hours
 -keril jackson</t>
        </r>
      </text>
    </comment>
    <comment ref="G1" authorId="0" shapeId="0" xr:uid="{00000000-0006-0000-0000-000002000000}">
      <text>
        <r>
          <rPr>
            <sz val="11"/>
            <color rgb="FF000000"/>
            <rFont val="Calibri"/>
            <family val="2"/>
          </rPr>
          <t>Enter the no. of Time &amp; a Half hours worked in this column</t>
        </r>
      </text>
    </comment>
    <comment ref="H1" authorId="1" shapeId="0" xr:uid="{B01F3F59-BB1D-4EC7-9CDC-C1B0048D00B5}">
      <text>
        <r>
          <rPr>
            <sz val="9"/>
            <color indexed="81"/>
            <rFont val="Tahoma"/>
            <charset val="1"/>
          </rPr>
          <t xml:space="preserve">Enter the no. of Double Time hours worked in this column
</t>
        </r>
      </text>
    </comment>
    <comment ref="I1" authorId="1" shapeId="0" xr:uid="{2CBA4D9C-5F98-47F5-B92B-C1C53C3CECAE}">
      <text>
        <r>
          <rPr>
            <sz val="9"/>
            <color indexed="81"/>
            <rFont val="Tahoma"/>
            <charset val="1"/>
          </rPr>
          <t xml:space="preserve">Enter the no. of Time &amp; a Half hours worked in this column
</t>
        </r>
      </text>
    </comment>
    <comment ref="J1" authorId="0" shapeId="0" xr:uid="{00000000-0006-0000-0000-000003000000}">
      <text>
        <r>
          <rPr>
            <sz val="11"/>
            <color rgb="FF000000"/>
            <rFont val="Calibri"/>
            <family val="2"/>
          </rPr>
          <t>Computes no. of days worked based on Total Hours recorded
 -keril jackson</t>
        </r>
      </text>
    </comment>
    <comment ref="K1" authorId="0" shapeId="0" xr:uid="{00000000-0006-0000-0000-000004000000}">
      <text>
        <r>
          <rPr>
            <sz val="11"/>
            <color rgb="FF000000"/>
            <rFont val="Calibri"/>
            <family val="2"/>
          </rPr>
          <t>These values are the employee's total eranings from Job based work entered manually from verified readouts
 -keril jackson</t>
        </r>
      </text>
    </comment>
    <comment ref="L1" authorId="0" shapeId="0" xr:uid="{00000000-0006-0000-0000-000005000000}">
      <text>
        <r>
          <rPr>
            <sz val="11"/>
            <color rgb="FF000000"/>
            <rFont val="Calibri"/>
            <family val="2"/>
          </rPr>
          <t>Standard Time (ST) Income. Purple values are capped at 40 hours for time based dept's.
 -keril jackson</t>
        </r>
      </text>
    </comment>
    <comment ref="N1" authorId="1" shapeId="0" xr:uid="{F4028368-5768-4BBC-B503-DE2FC443C987}">
      <text>
        <r>
          <rPr>
            <sz val="9"/>
            <color indexed="81"/>
            <rFont val="Tahoma"/>
            <charset val="1"/>
          </rPr>
          <t xml:space="preserve">Total Overtime earned based on OT, DT and TT hours
</t>
        </r>
      </text>
    </comment>
    <comment ref="O1" authorId="0" shapeId="0" xr:uid="{00000000-0006-0000-0000-000006000000}">
      <text>
        <r>
          <rPr>
            <sz val="11"/>
            <color rgb="FF000000"/>
            <rFont val="Calibri"/>
            <family val="2"/>
          </rPr>
          <t>These values represent earnings gained from additional sources such as OT or special jobs
 -keril jackson</t>
        </r>
      </text>
    </comment>
    <comment ref="P1" authorId="0" shapeId="0" xr:uid="{00000000-0006-0000-0000-000007000000}">
      <text>
        <r>
          <rPr>
            <sz val="11"/>
            <color rgb="FF000000"/>
            <rFont val="Calibri"/>
            <family val="2"/>
          </rPr>
          <t>The difference between employee's job &amp; standard time earnings where applicable
 -keril jackson</t>
        </r>
      </text>
    </comment>
    <comment ref="Q1" authorId="0" shapeId="0" xr:uid="{00000000-0006-0000-0000-000008000000}">
      <text>
        <r>
          <rPr>
            <sz val="11"/>
            <color rgb="FF000000"/>
            <rFont val="Calibri"/>
            <family val="2"/>
          </rPr>
          <t>The sum of OT, Performance and Additions. Meant to be analyzed for payroll software
 -keril jackson</t>
        </r>
      </text>
    </comment>
    <comment ref="R1" authorId="0" shapeId="0" xr:uid="{00000000-0006-0000-0000-000009000000}">
      <text>
        <r>
          <rPr>
            <sz val="11"/>
            <color rgb="FF000000"/>
            <rFont val="Calibri"/>
            <family val="2"/>
          </rPr>
          <t>Conditional computation based on 3 criteria:
1. If job income is blank, pay time
2. If job &lt; time income, pay minimum wage
3. If job &gt;= time income, pay job
 -keril jackson</t>
        </r>
      </text>
    </comment>
    <comment ref="L18" authorId="0" shapeId="0" xr:uid="{00000000-0006-0000-0000-00000A000000}">
      <text>
        <r>
          <rPr>
            <sz val="11"/>
            <color rgb="FF000000"/>
            <rFont val="Calibri"/>
            <family val="2"/>
          </rPr>
          <t>Contains roundup in formula to match payroll software.
 -keril jackson</t>
        </r>
      </text>
    </comment>
    <comment ref="L19" authorId="0" shapeId="0" xr:uid="{00000000-0006-0000-0000-00000B000000}">
      <text>
        <r>
          <rPr>
            <sz val="11"/>
            <color rgb="FF000000"/>
            <rFont val="Calibri"/>
            <family val="2"/>
          </rPr>
          <t>Contains roundup in formula to match payroll software.
 -keril jackson</t>
        </r>
      </text>
    </comment>
    <comment ref="L37" authorId="0" shapeId="0" xr:uid="{00000000-0006-0000-0000-00000D000000}">
      <text>
        <r>
          <rPr>
            <sz val="11"/>
            <color rgb="FF000000"/>
            <rFont val="Calibri"/>
            <family val="2"/>
          </rPr>
          <t>Contains roundup in formula to match payroll software.
 -keril jackson</t>
        </r>
      </text>
    </comment>
    <comment ref="L38" authorId="0" shapeId="0" xr:uid="{00000000-0006-0000-0000-00000E000000}">
      <text>
        <r>
          <rPr>
            <sz val="11"/>
            <color rgb="FF000000"/>
            <rFont val="Calibri"/>
            <family val="2"/>
          </rPr>
          <t>Contains roundup in formula to match payroll software.
 -keril jackson</t>
        </r>
      </text>
    </comment>
    <comment ref="L44" authorId="0" shapeId="0" xr:uid="{00000000-0006-0000-0000-00000F000000}">
      <text>
        <r>
          <rPr>
            <sz val="11"/>
            <color rgb="FF000000"/>
            <rFont val="Calibri"/>
            <family val="2"/>
          </rPr>
          <t>Contains roundup in formula to match payroll software.
 -keril jackson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keril jackson</author>
  </authors>
  <commentList>
    <comment ref="F1" authorId="0" shapeId="0" xr:uid="{00000000-0006-0000-0100-000001000000}">
      <text>
        <r>
          <rPr>
            <sz val="11"/>
            <color rgb="FF000000"/>
            <rFont val="Calibri"/>
            <family val="2"/>
          </rPr>
          <t>Total amount of hours employee worked inclusive of standard and overtime hours
 -keril jackson</t>
        </r>
      </text>
    </comment>
    <comment ref="G1" authorId="0" shapeId="0" xr:uid="{00000000-0006-0000-0100-000002000000}">
      <text>
        <r>
          <rPr>
            <sz val="11"/>
            <color rgb="FF000000"/>
            <rFont val="Calibri"/>
            <family val="2"/>
          </rPr>
          <t>Enter the number of Time &amp; a Half hours workedin this column</t>
        </r>
      </text>
    </comment>
    <comment ref="H1" authorId="1" shapeId="0" xr:uid="{2D922C08-029D-4A69-8BB5-5A4ECA687744}">
      <text>
        <r>
          <rPr>
            <sz val="9"/>
            <color indexed="81"/>
            <rFont val="Tahoma"/>
            <charset val="1"/>
          </rPr>
          <t xml:space="preserve">Enter the no. of Double Time hours worked in this column
</t>
        </r>
      </text>
    </comment>
    <comment ref="I1" authorId="1" shapeId="0" xr:uid="{FF2B1850-8C09-4881-9B7A-6514071EB965}">
      <text>
        <r>
          <rPr>
            <sz val="9"/>
            <color indexed="81"/>
            <rFont val="Tahoma"/>
            <charset val="1"/>
          </rPr>
          <t xml:space="preserve">Enter the no. of Triple Time hours worked in this column
</t>
        </r>
      </text>
    </comment>
    <comment ref="J1" authorId="0" shapeId="0" xr:uid="{00000000-0006-0000-0100-000003000000}">
      <text>
        <r>
          <rPr>
            <sz val="11"/>
            <color rgb="FF000000"/>
            <rFont val="Calibri"/>
            <family val="2"/>
          </rPr>
          <t>Computes no. of days worked based on Total Hours recorded
 -keril jackson</t>
        </r>
      </text>
    </comment>
    <comment ref="K1" authorId="0" shapeId="0" xr:uid="{00000000-0006-0000-0100-000004000000}">
      <text>
        <r>
          <rPr>
            <sz val="11"/>
            <color rgb="FF000000"/>
            <rFont val="Calibri"/>
            <family val="2"/>
          </rPr>
          <t>These values are the employee's total eranings from Job based work entered manually from verified readouts
 -keril jackson</t>
        </r>
      </text>
    </comment>
    <comment ref="L1" authorId="0" shapeId="0" xr:uid="{00000000-0006-0000-0100-000005000000}">
      <text>
        <r>
          <rPr>
            <sz val="11"/>
            <color rgb="FF000000"/>
            <rFont val="Calibri"/>
            <family val="2"/>
          </rPr>
          <t>Standard Time (ST) Income. Purple values are capped at 40 hours for time based dept's.
 -keril jackson</t>
        </r>
      </text>
    </comment>
    <comment ref="N1" authorId="1" shapeId="0" xr:uid="{299F0265-25FE-4663-B760-9B51276769F7}">
      <text>
        <r>
          <rPr>
            <sz val="11"/>
            <color rgb="FF000000"/>
            <rFont val="Calibri"/>
            <family val="2"/>
          </rPr>
          <t>Total Overtime earned based on OT, DT and TT hours</t>
        </r>
      </text>
    </comment>
    <comment ref="P1" authorId="0" shapeId="0" xr:uid="{00000000-0006-0000-0100-000006000000}">
      <text>
        <r>
          <rPr>
            <sz val="11"/>
            <color rgb="FF000000"/>
            <rFont val="Calibri"/>
            <family val="2"/>
          </rPr>
          <t>The difference between employee's job &amp; standard time earnings where applicable
 -keril jackson</t>
        </r>
      </text>
    </comment>
    <comment ref="Q1" authorId="0" shapeId="0" xr:uid="{00000000-0006-0000-0100-000007000000}">
      <text>
        <r>
          <rPr>
            <sz val="11"/>
            <color rgb="FF000000"/>
            <rFont val="Calibri"/>
            <family val="2"/>
          </rPr>
          <t>The sum of OT, Performance and Additions. Meant to be analyzed for payroll software
 -keril jackson</t>
        </r>
      </text>
    </comment>
    <comment ref="R1" authorId="0" shapeId="0" xr:uid="{00000000-0006-0000-0100-000008000000}">
      <text>
        <r>
          <rPr>
            <sz val="11"/>
            <color rgb="FF000000"/>
            <rFont val="Calibri"/>
            <family val="2"/>
          </rPr>
          <t>keril jackson:
Conditional computation based on 3 criteria:
1. If job income is $0
2. If job &lt; time income
3. If job &gt; time income
 -keril jackson</t>
        </r>
      </text>
    </comment>
    <comment ref="L18" authorId="0" shapeId="0" xr:uid="{00000000-0006-0000-0100-000009000000}">
      <text>
        <r>
          <rPr>
            <sz val="11"/>
            <color rgb="FF000000"/>
            <rFont val="Calibri"/>
            <family val="2"/>
          </rPr>
          <t>Contains roundup formula to match payroll software
 -keril jackson</t>
        </r>
      </text>
    </comment>
    <comment ref="L19" authorId="0" shapeId="0" xr:uid="{00000000-0006-0000-0100-00000A000000}">
      <text>
        <r>
          <rPr>
            <sz val="11"/>
            <color rgb="FF000000"/>
            <rFont val="Calibri"/>
            <family val="2"/>
          </rPr>
          <t>Contains roundup formula to match payroll software
 -keril jackson</t>
        </r>
      </text>
    </comment>
    <comment ref="L37" authorId="0" shapeId="0" xr:uid="{00000000-0006-0000-0100-00000C000000}">
      <text>
        <r>
          <rPr>
            <sz val="11"/>
            <color rgb="FF000000"/>
            <rFont val="Calibri"/>
            <family val="2"/>
          </rPr>
          <t>Contains roundup formula to match payroll software
 -keril jackson</t>
        </r>
      </text>
    </comment>
    <comment ref="L38" authorId="0" shapeId="0" xr:uid="{00000000-0006-0000-0100-00000D000000}">
      <text>
        <r>
          <rPr>
            <sz val="11"/>
            <color rgb="FF000000"/>
            <rFont val="Calibri"/>
            <family val="2"/>
          </rPr>
          <t>Contains roundup formula to match payroll software
 -keril jackson</t>
        </r>
      </text>
    </comment>
    <comment ref="L44" authorId="0" shapeId="0" xr:uid="{E128887F-DCC7-4E8C-A6B1-75167C3022F1}">
      <text>
        <r>
          <rPr>
            <sz val="11"/>
            <color rgb="FF000000"/>
            <rFont val="Calibri"/>
            <family val="2"/>
          </rPr>
          <t>Contains roundup formula to match payroll software
 -keril jackson</t>
        </r>
      </text>
    </comment>
    <comment ref="S87" authorId="0" shapeId="0" xr:uid="{00000000-0006-0000-0100-000010000000}">
      <text>
        <r>
          <rPr>
            <sz val="11"/>
            <color rgb="FF000000"/>
            <rFont val="Calibri"/>
            <family val="2"/>
          </rPr>
          <t>No statutory deductions
 -Kathy Ann James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<sst xmlns="http://schemas.openxmlformats.org/spreadsheetml/2006/main" count="1357" uniqueCount="862">
  <si>
    <t>First Name</t>
  </si>
  <si>
    <t>Last Name</t>
  </si>
  <si>
    <t>Department</t>
  </si>
  <si>
    <t>Comments Week 1</t>
  </si>
  <si>
    <t>Day Rates</t>
  </si>
  <si>
    <t>Basic Hours</t>
  </si>
  <si>
    <t>OT Hours</t>
  </si>
  <si>
    <t>DT Hours</t>
  </si>
  <si>
    <t>TT Hours</t>
  </si>
  <si>
    <t>Total       Days</t>
  </si>
  <si>
    <t>Job Income</t>
  </si>
  <si>
    <t>ST Income</t>
  </si>
  <si>
    <t>Minimum Wage</t>
  </si>
  <si>
    <t>OT Income</t>
  </si>
  <si>
    <t>Additions</t>
  </si>
  <si>
    <t>Performance</t>
  </si>
  <si>
    <t>Total Allowance</t>
  </si>
  <si>
    <t xml:space="preserve">Gross Wages </t>
  </si>
  <si>
    <t>HSUR</t>
  </si>
  <si>
    <t>Deductions</t>
  </si>
  <si>
    <t>Net Wages</t>
  </si>
  <si>
    <t>Nicholas</t>
  </si>
  <si>
    <t>Miller</t>
  </si>
  <si>
    <t>Bagging</t>
  </si>
  <si>
    <t>Tyrese</t>
  </si>
  <si>
    <t>Marshall</t>
  </si>
  <si>
    <t>Jonathan Keron</t>
  </si>
  <si>
    <t>Simmons</t>
  </si>
  <si>
    <t>Sharon</t>
  </si>
  <si>
    <t>Hall Foncette</t>
  </si>
  <si>
    <t>QC Bundling</t>
  </si>
  <si>
    <t>Meena</t>
  </si>
  <si>
    <t>Moolar</t>
  </si>
  <si>
    <t>Tricia</t>
  </si>
  <si>
    <t>Ragbir</t>
  </si>
  <si>
    <t>Annette Singh</t>
  </si>
  <si>
    <t>Boodhan</t>
  </si>
  <si>
    <t>Denise</t>
  </si>
  <si>
    <t>Chablal</t>
  </si>
  <si>
    <t>General Worker</t>
  </si>
  <si>
    <t>Cadine</t>
  </si>
  <si>
    <t>Thomas</t>
  </si>
  <si>
    <t>Isha</t>
  </si>
  <si>
    <t>Sheppard</t>
  </si>
  <si>
    <t>Miriam</t>
  </si>
  <si>
    <t>Dos Santos</t>
  </si>
  <si>
    <t>Darion Luke</t>
  </si>
  <si>
    <t>Bobb</t>
  </si>
  <si>
    <t>Dacron Wrapping</t>
  </si>
  <si>
    <t>Haydn</t>
  </si>
  <si>
    <t>Bascillo</t>
  </si>
  <si>
    <t>Savio</t>
  </si>
  <si>
    <t>Pierre</t>
  </si>
  <si>
    <t>Saline</t>
  </si>
  <si>
    <t>Quammie</t>
  </si>
  <si>
    <t>Kirnesha</t>
  </si>
  <si>
    <t>Gardiner</t>
  </si>
  <si>
    <t>Fabric Cutting</t>
  </si>
  <si>
    <t>Anthony</t>
  </si>
  <si>
    <t>Isaac</t>
  </si>
  <si>
    <t>Joanne</t>
  </si>
  <si>
    <t>Mayers</t>
  </si>
  <si>
    <t>Ann Marie</t>
  </si>
  <si>
    <t>Back Filling</t>
  </si>
  <si>
    <t>Shawmaese</t>
  </si>
  <si>
    <t>Dick</t>
  </si>
  <si>
    <t>Simona</t>
  </si>
  <si>
    <t>Pascall</t>
  </si>
  <si>
    <t>Seat Filling</t>
  </si>
  <si>
    <t>Winneffer</t>
  </si>
  <si>
    <t>Castro</t>
  </si>
  <si>
    <t>Keaton</t>
  </si>
  <si>
    <t>Salvary</t>
  </si>
  <si>
    <t>Foam Cutting</t>
  </si>
  <si>
    <t>Steve</t>
  </si>
  <si>
    <t>George</t>
  </si>
  <si>
    <t>Stores</t>
  </si>
  <si>
    <t>Christopher</t>
  </si>
  <si>
    <t>Vialva</t>
  </si>
  <si>
    <t>Anson</t>
  </si>
  <si>
    <t>Hospedales</t>
  </si>
  <si>
    <t>Frame Assembly</t>
  </si>
  <si>
    <t>Ellis</t>
  </si>
  <si>
    <t>Lester</t>
  </si>
  <si>
    <t>John</t>
  </si>
  <si>
    <t>Brian</t>
  </si>
  <si>
    <t>Hernandez</t>
  </si>
  <si>
    <t>Jahmeel</t>
  </si>
  <si>
    <t>Raybourne</t>
  </si>
  <si>
    <t>Wendy Ann</t>
  </si>
  <si>
    <t>Celestine</t>
  </si>
  <si>
    <t>Maintenance</t>
  </si>
  <si>
    <t>Johnny</t>
  </si>
  <si>
    <t>Williams</t>
  </si>
  <si>
    <t>Rosanna</t>
  </si>
  <si>
    <t>Joseph</t>
  </si>
  <si>
    <t xml:space="preserve">Jordan </t>
  </si>
  <si>
    <t>Richardson</t>
  </si>
  <si>
    <t>Stephanie</t>
  </si>
  <si>
    <t>Ali</t>
  </si>
  <si>
    <t>Quality Control</t>
  </si>
  <si>
    <t>Olive</t>
  </si>
  <si>
    <t>Ramadhar</t>
  </si>
  <si>
    <t>Wendy</t>
  </si>
  <si>
    <t>Ragoo</t>
  </si>
  <si>
    <t>Rachel</t>
  </si>
  <si>
    <t>Gormandy</t>
  </si>
  <si>
    <t>Brent</t>
  </si>
  <si>
    <t>McCarthy</t>
  </si>
  <si>
    <t>Viju</t>
  </si>
  <si>
    <t>Harricoo</t>
  </si>
  <si>
    <t>Coleridge</t>
  </si>
  <si>
    <t>Davis</t>
  </si>
  <si>
    <t>Darreon</t>
  </si>
  <si>
    <t>Sandy</t>
  </si>
  <si>
    <t>Miguel</t>
  </si>
  <si>
    <t>Walcott</t>
  </si>
  <si>
    <t>Don</t>
  </si>
  <si>
    <t>Toussaint</t>
  </si>
  <si>
    <t>Kareem</t>
  </si>
  <si>
    <t>Joshua</t>
  </si>
  <si>
    <t>Ash</t>
  </si>
  <si>
    <t>Ricardo</t>
  </si>
  <si>
    <t>Ramroop</t>
  </si>
  <si>
    <t>Jamal</t>
  </si>
  <si>
    <t>Lewis</t>
  </si>
  <si>
    <t>Kendell</t>
  </si>
  <si>
    <t>Collins</t>
  </si>
  <si>
    <t>Sewing</t>
  </si>
  <si>
    <t>Carleen</t>
  </si>
  <si>
    <t>Noel</t>
  </si>
  <si>
    <t>Martha</t>
  </si>
  <si>
    <t>Evans Abraham</t>
  </si>
  <si>
    <t>Samantha</t>
  </si>
  <si>
    <t>Chadee</t>
  </si>
  <si>
    <t>Stacy Ann</t>
  </si>
  <si>
    <t>Arlene</t>
  </si>
  <si>
    <t>Moses</t>
  </si>
  <si>
    <t>Phillip</t>
  </si>
  <si>
    <t>Kiselle</t>
  </si>
  <si>
    <t>Ramdial</t>
  </si>
  <si>
    <t>Onica</t>
  </si>
  <si>
    <t>Olton</t>
  </si>
  <si>
    <t>Daxi</t>
  </si>
  <si>
    <t>Palencia</t>
  </si>
  <si>
    <t>Elena</t>
  </si>
  <si>
    <t>Sulbaran</t>
  </si>
  <si>
    <t>Leticia</t>
  </si>
  <si>
    <t>Lanza</t>
  </si>
  <si>
    <t>Natasha</t>
  </si>
  <si>
    <t>Bousigard</t>
  </si>
  <si>
    <t>Elisha</t>
  </si>
  <si>
    <t>Sinanan</t>
  </si>
  <si>
    <t>Melissa</t>
  </si>
  <si>
    <t>Harripaul-Ross</t>
  </si>
  <si>
    <t>Akhenaton</t>
  </si>
  <si>
    <t>Upholstery</t>
  </si>
  <si>
    <t>Kerry</t>
  </si>
  <si>
    <t xml:space="preserve">Miguelangel  </t>
  </si>
  <si>
    <t>Bermudez</t>
  </si>
  <si>
    <t>Shalane</t>
  </si>
  <si>
    <t>St Clair</t>
  </si>
  <si>
    <t>Kyle</t>
  </si>
  <si>
    <t>Chung</t>
  </si>
  <si>
    <t>Kevon</t>
  </si>
  <si>
    <t>Braithwaite</t>
  </si>
  <si>
    <t>Israel</t>
  </si>
  <si>
    <t>Alleyne</t>
  </si>
  <si>
    <t xml:space="preserve">3 Days  sick leave </t>
  </si>
  <si>
    <t>Linton</t>
  </si>
  <si>
    <t>Chadband</t>
  </si>
  <si>
    <t>Byron</t>
  </si>
  <si>
    <t>Torres</t>
  </si>
  <si>
    <t>Gordon</t>
  </si>
  <si>
    <t>Safraz</t>
  </si>
  <si>
    <t>Burgess</t>
  </si>
  <si>
    <t>Machel</t>
  </si>
  <si>
    <t>Scotland</t>
  </si>
  <si>
    <t>Leon Sherwin</t>
  </si>
  <si>
    <t>Baptiste</t>
  </si>
  <si>
    <t>Glendon</t>
  </si>
  <si>
    <t>Grant</t>
  </si>
  <si>
    <t>Jordan</t>
  </si>
  <si>
    <t>Ramcharita</t>
  </si>
  <si>
    <t>Joseph Macehlo</t>
  </si>
  <si>
    <t>Ward</t>
  </si>
  <si>
    <t>Stephen</t>
  </si>
  <si>
    <t>Cumberbatch</t>
  </si>
  <si>
    <t>Upholstery Custom</t>
  </si>
  <si>
    <t>Marlon Tony</t>
  </si>
  <si>
    <t>Rahim</t>
  </si>
  <si>
    <t>Nathan</t>
  </si>
  <si>
    <t>Belmar</t>
  </si>
  <si>
    <t>Wood Room</t>
  </si>
  <si>
    <t>Dave</t>
  </si>
  <si>
    <t>Berkley</t>
  </si>
  <si>
    <t>Leon Lawrence</t>
  </si>
  <si>
    <t>Sabina</t>
  </si>
  <si>
    <t>Sewing Sub Contract</t>
  </si>
  <si>
    <t>Molly</t>
  </si>
  <si>
    <t>Ramcharan</t>
  </si>
  <si>
    <t>Amos</t>
  </si>
  <si>
    <t>N/a</t>
  </si>
  <si>
    <t>Total</t>
  </si>
  <si>
    <t xml:space="preserve"> </t>
  </si>
  <si>
    <t>Comments Week 2</t>
  </si>
  <si>
    <t>Basic    Hours</t>
  </si>
  <si>
    <t>Sick leave 8 hrs</t>
  </si>
  <si>
    <t>sick leave 16 hrs</t>
  </si>
  <si>
    <t>Casual Leave 8 hrs</t>
  </si>
  <si>
    <t>Full Name</t>
  </si>
  <si>
    <t>Bank</t>
  </si>
  <si>
    <t>Branch</t>
  </si>
  <si>
    <t>INVOICE</t>
  </si>
  <si>
    <t>CKD Contractors Limited</t>
  </si>
  <si>
    <t>Bill To:</t>
  </si>
  <si>
    <t>Invoice Number:</t>
  </si>
  <si>
    <t>Woodhouse Trinidad Limited</t>
  </si>
  <si>
    <t>#0075</t>
  </si>
  <si>
    <t>Building 5, Tumpuna Park,</t>
  </si>
  <si>
    <t>Date of Invoice:</t>
  </si>
  <si>
    <t>Tumpuna Road,</t>
  </si>
  <si>
    <t>Arima,</t>
  </si>
  <si>
    <t>Billing Period:</t>
  </si>
  <si>
    <t>Trinidad &amp; Tobago</t>
  </si>
  <si>
    <t>14 Apr  2025 to 25 Apr 2025</t>
  </si>
  <si>
    <t>DESCRIPTION</t>
  </si>
  <si>
    <t>QTY</t>
  </si>
  <si>
    <t>UNIT PRICE</t>
  </si>
  <si>
    <t>VAT</t>
  </si>
  <si>
    <t>SUB TOTAL</t>
  </si>
  <si>
    <t>Provision of Labour for 180 sets of furniture</t>
  </si>
  <si>
    <t>Outsourcing Payroll/Administrative/HR Servicies FN08</t>
  </si>
  <si>
    <t>Claim for Shortpay for one (1) employee M. Walcott FN6</t>
  </si>
  <si>
    <t xml:space="preserve">Bank Charges FN 07_25 </t>
  </si>
  <si>
    <t>Bank Charges FN 08_25</t>
  </si>
  <si>
    <t>TOTAL DUE</t>
  </si>
  <si>
    <t>V.A.T Registration No.</t>
  </si>
  <si>
    <t>NOTES:</t>
  </si>
  <si>
    <t>Please make all payments to CKD Contractors Limited via online banking</t>
  </si>
  <si>
    <t>Should you have any questions regarding this invoice, please reach out to the following persons:</t>
  </si>
  <si>
    <t>Keril Jackson @ 1-868-299-2422</t>
  </si>
  <si>
    <t>Dillion Boodhan @ 1-868-350-5684</t>
  </si>
  <si>
    <t>NIS Contribution Rates</t>
  </si>
  <si>
    <t>Weekly Earnings</t>
  </si>
  <si>
    <t xml:space="preserve"> Contribution</t>
  </si>
  <si>
    <t>Active</t>
  </si>
  <si>
    <t>166778641</t>
  </si>
  <si>
    <t>691918701</t>
  </si>
  <si>
    <t>johnny.portman@example.com</t>
  </si>
  <si>
    <t>1-868-869-9533</t>
  </si>
  <si>
    <t>12288749</t>
  </si>
  <si>
    <t>Hill Valley</t>
  </si>
  <si>
    <t>Gringotts Bank</t>
  </si>
  <si>
    <t>Asgard Assembly</t>
  </si>
  <si>
    <t>Johnny Portman</t>
  </si>
  <si>
    <t>EMP0088</t>
  </si>
  <si>
    <t>976080016</t>
  </si>
  <si>
    <t>423676026</t>
  </si>
  <si>
    <t>viola.streep@example.com</t>
  </si>
  <si>
    <t>1-868-462-3185</t>
  </si>
  <si>
    <t>82184054</t>
  </si>
  <si>
    <t>Viola Streep</t>
  </si>
  <si>
    <t>EMP0087</t>
  </si>
  <si>
    <t>557554822</t>
  </si>
  <si>
    <t>217099972</t>
  </si>
  <si>
    <t>denzel.cruise@example.com</t>
  </si>
  <si>
    <t>1-868-663-2896</t>
  </si>
  <si>
    <t>25204972</t>
  </si>
  <si>
    <t>Mos Eisley</t>
  </si>
  <si>
    <t>First Galactic Credit Union</t>
  </si>
  <si>
    <t>Denzel Cruise</t>
  </si>
  <si>
    <t>EMP0086</t>
  </si>
  <si>
    <t>457057975</t>
  </si>
  <si>
    <t>625367680</t>
  </si>
  <si>
    <t>johnny.streep@example.com</t>
  </si>
  <si>
    <t>1-868-222-5500</t>
  </si>
  <si>
    <t>42032653</t>
  </si>
  <si>
    <t>Weyland-Yutani Bank</t>
  </si>
  <si>
    <t>Johnny Streep</t>
  </si>
  <si>
    <t>EMP0085</t>
  </si>
  <si>
    <t>283053408</t>
  </si>
  <si>
    <t>645397109</t>
  </si>
  <si>
    <t>robert.washington@example.com</t>
  </si>
  <si>
    <t>1-868-606-2332</t>
  </si>
  <si>
    <t>10634769</t>
  </si>
  <si>
    <t>Wakanda Ops</t>
  </si>
  <si>
    <t>Robert Washington</t>
  </si>
  <si>
    <t>EMP0084</t>
  </si>
  <si>
    <t>953176974</t>
  </si>
  <si>
    <t>443656008</t>
  </si>
  <si>
    <t>brad.hathaway@example.com</t>
  </si>
  <si>
    <t>1-868-302-8792</t>
  </si>
  <si>
    <t>69466612</t>
  </si>
  <si>
    <t>District 12</t>
  </si>
  <si>
    <t>Gotham Dispatch</t>
  </si>
  <si>
    <t>Brad Hathaway</t>
  </si>
  <si>
    <t>EMP0083</t>
  </si>
  <si>
    <t>499496590</t>
  </si>
  <si>
    <t>186378036</t>
  </si>
  <si>
    <t>gal.dicaprio@example.com</t>
  </si>
  <si>
    <t>1-868-905-3985</t>
  </si>
  <si>
    <t>91858961</t>
  </si>
  <si>
    <t>Gal DiCaprio</t>
  </si>
  <si>
    <t>EMP0082</t>
  </si>
  <si>
    <t>336717701</t>
  </si>
  <si>
    <t>197942384</t>
  </si>
  <si>
    <t>1-868-509-5587</t>
  </si>
  <si>
    <t>80920990</t>
  </si>
  <si>
    <t>Vault-Tec Finance</t>
  </si>
  <si>
    <t>Naboo Logistics</t>
  </si>
  <si>
    <t>EMP0081</t>
  </si>
  <si>
    <t>857345666</t>
  </si>
  <si>
    <t>581003665</t>
  </si>
  <si>
    <t>morgan.jolie@example.com</t>
  </si>
  <si>
    <t>1-868-822-4252</t>
  </si>
  <si>
    <t>65209672</t>
  </si>
  <si>
    <t>Hogwarts QC</t>
  </si>
  <si>
    <t>Morgan Jolie</t>
  </si>
  <si>
    <t>EMP0080</t>
  </si>
  <si>
    <t>225771988</t>
  </si>
  <si>
    <t>683031024</t>
  </si>
  <si>
    <t>denzel.dicaprio@example.com</t>
  </si>
  <si>
    <t>1-868-395-2948</t>
  </si>
  <si>
    <t>58256868</t>
  </si>
  <si>
    <t>Pandora Outpost</t>
  </si>
  <si>
    <t>Denzel DiCaprio</t>
  </si>
  <si>
    <t>EMP0079</t>
  </si>
  <si>
    <t>391024799</t>
  </si>
  <si>
    <t>962407391</t>
  </si>
  <si>
    <t>anne.reeves@example.com</t>
  </si>
  <si>
    <t>1-868-826-2602</t>
  </si>
  <si>
    <t>54435953</t>
  </si>
  <si>
    <t>Anne Reeves</t>
  </si>
  <si>
    <t>EMP0078</t>
  </si>
  <si>
    <t>885430572</t>
  </si>
  <si>
    <t>253002188</t>
  </si>
  <si>
    <t>johnny.cruise@example.com</t>
  </si>
  <si>
    <t>1-868-891-9656</t>
  </si>
  <si>
    <t>74158186</t>
  </si>
  <si>
    <t>Johnny Cruise</t>
  </si>
  <si>
    <t>EMP0077</t>
  </si>
  <si>
    <t>117404311</t>
  </si>
  <si>
    <t>962585179</t>
  </si>
  <si>
    <t>meryl.gadot@example.com</t>
  </si>
  <si>
    <t>1-868-934-1038</t>
  </si>
  <si>
    <t>33858881</t>
  </si>
  <si>
    <t>Meryl Gadot</t>
  </si>
  <si>
    <t>EMP0076</t>
  </si>
  <si>
    <t>360957515</t>
  </si>
  <si>
    <t>356211901</t>
  </si>
  <si>
    <t>angelina.portman@example.com</t>
  </si>
  <si>
    <t>1-868-418-1234</t>
  </si>
  <si>
    <t>92836757</t>
  </si>
  <si>
    <t>Angelina Portman</t>
  </si>
  <si>
    <t>EMP0075</t>
  </si>
  <si>
    <t>304417731</t>
  </si>
  <si>
    <t>338052747</t>
  </si>
  <si>
    <t>robert.gadot@example.com</t>
  </si>
  <si>
    <t>1-868-523-1055</t>
  </si>
  <si>
    <t>57526597</t>
  </si>
  <si>
    <t>Robert Gadot</t>
  </si>
  <si>
    <t>EMP0074</t>
  </si>
  <si>
    <t>459993933</t>
  </si>
  <si>
    <t>709360019</t>
  </si>
  <si>
    <t>zendaya.johansson@example.com</t>
  </si>
  <si>
    <t>1-868-894-7840</t>
  </si>
  <si>
    <t>58993809</t>
  </si>
  <si>
    <t>Zion Central</t>
  </si>
  <si>
    <t>Zendaya Johansson</t>
  </si>
  <si>
    <t>EMP0073</t>
  </si>
  <si>
    <t>776615553</t>
  </si>
  <si>
    <t>305156723</t>
  </si>
  <si>
    <t>tom.boseman@example.com</t>
  </si>
  <si>
    <t>1-868-215-7583</t>
  </si>
  <si>
    <t>78052297</t>
  </si>
  <si>
    <t>Tom Boseman</t>
  </si>
  <si>
    <t>EMP0072</t>
  </si>
  <si>
    <t>730366659</t>
  </si>
  <si>
    <t>167628851</t>
  </si>
  <si>
    <t>morgan.downey@example.com</t>
  </si>
  <si>
    <t>1-868-942-3138</t>
  </si>
  <si>
    <t>25152652</t>
  </si>
  <si>
    <t>Morgan Downey</t>
  </si>
  <si>
    <t>EMP0071</t>
  </si>
  <si>
    <t>622315485</t>
  </si>
  <si>
    <t>855530426</t>
  </si>
  <si>
    <t>robert.depp@example.com</t>
  </si>
  <si>
    <t>1-868-761-2367</t>
  </si>
  <si>
    <t>26310310</t>
  </si>
  <si>
    <t>Robert Depp</t>
  </si>
  <si>
    <t>EMP0070</t>
  </si>
  <si>
    <t>223855847</t>
  </si>
  <si>
    <t>449185522</t>
  </si>
  <si>
    <t>scarlett.portman@example.com</t>
  </si>
  <si>
    <t>1-868-625-4080</t>
  </si>
  <si>
    <t>35769671</t>
  </si>
  <si>
    <t>Scarlett Portman</t>
  </si>
  <si>
    <t>EMP0069</t>
  </si>
  <si>
    <t>757970849</t>
  </si>
  <si>
    <t>884130654</t>
  </si>
  <si>
    <t>angelina.johansson@example.com</t>
  </si>
  <si>
    <t>1-868-678-1816</t>
  </si>
  <si>
    <t>94496873</t>
  </si>
  <si>
    <t>Angelina Johansson</t>
  </si>
  <si>
    <t>EMP0068</t>
  </si>
  <si>
    <t>448241149</t>
  </si>
  <si>
    <t>361897306</t>
  </si>
  <si>
    <t>morgan.boseman@example.com</t>
  </si>
  <si>
    <t>1-868-533-6112</t>
  </si>
  <si>
    <t>59985044</t>
  </si>
  <si>
    <t>Morgan Boseman</t>
  </si>
  <si>
    <t>EMP0067</t>
  </si>
  <si>
    <t>188447324</t>
  </si>
  <si>
    <t>457701128</t>
  </si>
  <si>
    <t>samuel.jackson@example.com</t>
  </si>
  <si>
    <t>1-868-239-9103</t>
  </si>
  <si>
    <t>92807225</t>
  </si>
  <si>
    <t>Samuel Jackson</t>
  </si>
  <si>
    <t>EMP0066</t>
  </si>
  <si>
    <t>483720486</t>
  </si>
  <si>
    <t>989126174</t>
  </si>
  <si>
    <t>meryl.hathaway@example.com</t>
  </si>
  <si>
    <t>1-868-698-1001</t>
  </si>
  <si>
    <t>80169567</t>
  </si>
  <si>
    <t>Meryl Hathaway</t>
  </si>
  <si>
    <t>EMP0065</t>
  </si>
  <si>
    <t>951826326</t>
  </si>
  <si>
    <t>629975199</t>
  </si>
  <si>
    <t>1-868-657-9643</t>
  </si>
  <si>
    <t>99335155</t>
  </si>
  <si>
    <t>EMP0064</t>
  </si>
  <si>
    <t>851861427</t>
  </si>
  <si>
    <t>757019495</t>
  </si>
  <si>
    <t>leonardo.hathaway@example.com</t>
  </si>
  <si>
    <t>1-868-918-3583</t>
  </si>
  <si>
    <t>59204543</t>
  </si>
  <si>
    <t>Leonardo Hathaway</t>
  </si>
  <si>
    <t>EMP0063</t>
  </si>
  <si>
    <t>788479846</t>
  </si>
  <si>
    <t>101227089</t>
  </si>
  <si>
    <t>scarlett.hathaway@example.com</t>
  </si>
  <si>
    <t>1-868-265-5247</t>
  </si>
  <si>
    <t>38074028</t>
  </si>
  <si>
    <t>Scarlett Hathaway</t>
  </si>
  <si>
    <t>EMP0062</t>
  </si>
  <si>
    <t>808933076</t>
  </si>
  <si>
    <t>771374073</t>
  </si>
  <si>
    <t>viola.freeman@example.com</t>
  </si>
  <si>
    <t>1-868-369-8296</t>
  </si>
  <si>
    <t>24037908</t>
  </si>
  <si>
    <t>Viola Freeman</t>
  </si>
  <si>
    <t>EMP0061</t>
  </si>
  <si>
    <t>628984689</t>
  </si>
  <si>
    <t>817424032</t>
  </si>
  <si>
    <t>denzel.hathaway@example.com</t>
  </si>
  <si>
    <t>1-868-990-1766</t>
  </si>
  <si>
    <t>70075090</t>
  </si>
  <si>
    <t>Denzel Hathaway</t>
  </si>
  <si>
    <t>EMP0060</t>
  </si>
  <si>
    <t>583788448</t>
  </si>
  <si>
    <t>942938612</t>
  </si>
  <si>
    <t>zendaya.davis@example.com</t>
  </si>
  <si>
    <t>1-868-918-7852</t>
  </si>
  <si>
    <t>19322248</t>
  </si>
  <si>
    <t>Zendaya Davis</t>
  </si>
  <si>
    <t>EMP0059</t>
  </si>
  <si>
    <t>395505360</t>
  </si>
  <si>
    <t>985670547</t>
  </si>
  <si>
    <t>brad.dicaprio@example.com</t>
  </si>
  <si>
    <t>1-868-232-7590</t>
  </si>
  <si>
    <t>41981128</t>
  </si>
  <si>
    <t>Brad DiCaprio</t>
  </si>
  <si>
    <t>EMP0058</t>
  </si>
  <si>
    <t>722442780</t>
  </si>
  <si>
    <t>862628805</t>
  </si>
  <si>
    <t>emma.dicaprio@example.com</t>
  </si>
  <si>
    <t>1-868-587-7789</t>
  </si>
  <si>
    <t>91731122</t>
  </si>
  <si>
    <t>Emma DiCaprio</t>
  </si>
  <si>
    <t>EMP0057</t>
  </si>
  <si>
    <t>550352272</t>
  </si>
  <si>
    <t>528233516</t>
  </si>
  <si>
    <t>leonardo.cruise@example.com</t>
  </si>
  <si>
    <t>1-868-428-8342</t>
  </si>
  <si>
    <t>84029953</t>
  </si>
  <si>
    <t>Leonardo Cruise</t>
  </si>
  <si>
    <t>EMP0056</t>
  </si>
  <si>
    <t>986119716</t>
  </si>
  <si>
    <t>872777019</t>
  </si>
  <si>
    <t>leonardo.hemsworth@example.com</t>
  </si>
  <si>
    <t>1-868-363-4922</t>
  </si>
  <si>
    <t>59121471</t>
  </si>
  <si>
    <t>Leonardo Hemsworth</t>
  </si>
  <si>
    <t>EMP0055</t>
  </si>
  <si>
    <t>733294196</t>
  </si>
  <si>
    <t>200149903</t>
  </si>
  <si>
    <t>leonardo.freeman@example.com</t>
  </si>
  <si>
    <t>1-868-915-6478</t>
  </si>
  <si>
    <t>84365620</t>
  </si>
  <si>
    <t>Leonardo Freeman</t>
  </si>
  <si>
    <t>EMP0054</t>
  </si>
  <si>
    <t>829580033</t>
  </si>
  <si>
    <t>115077162</t>
  </si>
  <si>
    <t>meryl.jackson@example.com</t>
  </si>
  <si>
    <t>1-868-201-4150</t>
  </si>
  <si>
    <t>61997991</t>
  </si>
  <si>
    <t>Meryl Jackson</t>
  </si>
  <si>
    <t>EMP0053</t>
  </si>
  <si>
    <t>331070625</t>
  </si>
  <si>
    <t>689161385</t>
  </si>
  <si>
    <t>anne.boseman@example.com</t>
  </si>
  <si>
    <t>1-868-866-2322</t>
  </si>
  <si>
    <t>44616490</t>
  </si>
  <si>
    <t>Anne Boseman</t>
  </si>
  <si>
    <t>EMP0052</t>
  </si>
  <si>
    <t>352868059</t>
  </si>
  <si>
    <t>964392046</t>
  </si>
  <si>
    <t>viola.johansson@example.com</t>
  </si>
  <si>
    <t>1-868-597-7789</t>
  </si>
  <si>
    <t>87944419</t>
  </si>
  <si>
    <t>Viola Johansson</t>
  </si>
  <si>
    <t>EMP0051</t>
  </si>
  <si>
    <t>971479689</t>
  </si>
  <si>
    <t>166872192</t>
  </si>
  <si>
    <t>chris.gadot@example.com</t>
  </si>
  <si>
    <t>1-868-932-6083</t>
  </si>
  <si>
    <t>26158056</t>
  </si>
  <si>
    <t>Chris Gadot</t>
  </si>
  <si>
    <t>EMP0050</t>
  </si>
  <si>
    <t>660267849</t>
  </si>
  <si>
    <t>379701488</t>
  </si>
  <si>
    <t>scarlett.streep@example.com</t>
  </si>
  <si>
    <t>1-868-804-3168</t>
  </si>
  <si>
    <t>79954411</t>
  </si>
  <si>
    <t>Scarlett Streep</t>
  </si>
  <si>
    <t>EMP0049</t>
  </si>
  <si>
    <t>395959887</t>
  </si>
  <si>
    <t>659799206</t>
  </si>
  <si>
    <t>1-868-889-6885</t>
  </si>
  <si>
    <t>53717958</t>
  </si>
  <si>
    <t>EMP0048</t>
  </si>
  <si>
    <t>663256980</t>
  </si>
  <si>
    <t>575338372</t>
  </si>
  <si>
    <t>morgan.depp@example.com</t>
  </si>
  <si>
    <t>1-868-560-5716</t>
  </si>
  <si>
    <t>26370222</t>
  </si>
  <si>
    <t>Morgan Depp</t>
  </si>
  <si>
    <t>EMP0047</t>
  </si>
  <si>
    <t>857292284</t>
  </si>
  <si>
    <t>612185345</t>
  </si>
  <si>
    <t>robert.portman@example.com</t>
  </si>
  <si>
    <t>1-868-980-8894</t>
  </si>
  <si>
    <t>80928718</t>
  </si>
  <si>
    <t>Robert Portman</t>
  </si>
  <si>
    <t>EMP0046</t>
  </si>
  <si>
    <t>999650943</t>
  </si>
  <si>
    <t>693267777</t>
  </si>
  <si>
    <t>viola.hemsworth@example.com</t>
  </si>
  <si>
    <t>1-868-338-4934</t>
  </si>
  <si>
    <t>99746747</t>
  </si>
  <si>
    <t>Viola Hemsworth</t>
  </si>
  <si>
    <t>EMP0045</t>
  </si>
  <si>
    <t>520150928</t>
  </si>
  <si>
    <t>319556306</t>
  </si>
  <si>
    <t>1-868-757-5601</t>
  </si>
  <si>
    <t>38169199</t>
  </si>
  <si>
    <t>EMP0044</t>
  </si>
  <si>
    <t>833900802</t>
  </si>
  <si>
    <t>787649391</t>
  </si>
  <si>
    <t>leonardo.streep@example.com</t>
  </si>
  <si>
    <t>1-868-543-1748</t>
  </si>
  <si>
    <t>10056700</t>
  </si>
  <si>
    <t>Leonardo Streep</t>
  </si>
  <si>
    <t>EMP0043</t>
  </si>
  <si>
    <t>680464750</t>
  </si>
  <si>
    <t>755934894</t>
  </si>
  <si>
    <t>denzel.pitt@example.com</t>
  </si>
  <si>
    <t>1-868-668-2295</t>
  </si>
  <si>
    <t>16054327</t>
  </si>
  <si>
    <t>Denzel Pitt</t>
  </si>
  <si>
    <t>EMP0042</t>
  </si>
  <si>
    <t>990519442</t>
  </si>
  <si>
    <t>439513621</t>
  </si>
  <si>
    <t>robert.boseman@example.com</t>
  </si>
  <si>
    <t>1-868-357-1203</t>
  </si>
  <si>
    <t>12172774</t>
  </si>
  <si>
    <t>Robert Boseman</t>
  </si>
  <si>
    <t>EMP0041</t>
  </si>
  <si>
    <t>850892138</t>
  </si>
  <si>
    <t>566188456</t>
  </si>
  <si>
    <t>zendaya.freeman@example.com</t>
  </si>
  <si>
    <t>1-868-597-5111</t>
  </si>
  <si>
    <t>29561293</t>
  </si>
  <si>
    <t>Zendaya Freeman</t>
  </si>
  <si>
    <t>EMP0040</t>
  </si>
  <si>
    <t>186165974</t>
  </si>
  <si>
    <t>479880545</t>
  </si>
  <si>
    <t>chris.stone@example.com</t>
  </si>
  <si>
    <t>1-868-518-6851</t>
  </si>
  <si>
    <t>25645822</t>
  </si>
  <si>
    <t>Chris Stone</t>
  </si>
  <si>
    <t>EMP0039</t>
  </si>
  <si>
    <t>141491065</t>
  </si>
  <si>
    <t>208127101</t>
  </si>
  <si>
    <t>robert.reeves@example.com</t>
  </si>
  <si>
    <t>1-868-782-9332</t>
  </si>
  <si>
    <t>66265339</t>
  </si>
  <si>
    <t>Robert Reeves</t>
  </si>
  <si>
    <t>EMP0038</t>
  </si>
  <si>
    <t>260578446</t>
  </si>
  <si>
    <t>701095367</t>
  </si>
  <si>
    <t>1-868-897-7715</t>
  </si>
  <si>
    <t>83421411</t>
  </si>
  <si>
    <t>EMP0037</t>
  </si>
  <si>
    <t>239827434</t>
  </si>
  <si>
    <t>606959381</t>
  </si>
  <si>
    <t>morgan.freeman@example.com</t>
  </si>
  <si>
    <t>1-868-213-8727</t>
  </si>
  <si>
    <t>10957816</t>
  </si>
  <si>
    <t>Morgan Freeman</t>
  </si>
  <si>
    <t>EMP0036</t>
  </si>
  <si>
    <t>913471022</t>
  </si>
  <si>
    <t>454546567</t>
  </si>
  <si>
    <t>morgan.hemsworth@example.com</t>
  </si>
  <si>
    <t>1-868-881-3864</t>
  </si>
  <si>
    <t>29183283</t>
  </si>
  <si>
    <t>Morgan Hemsworth</t>
  </si>
  <si>
    <t>EMP0035</t>
  </si>
  <si>
    <t>828774302</t>
  </si>
  <si>
    <t>834422154</t>
  </si>
  <si>
    <t>brad.jolie@example.com</t>
  </si>
  <si>
    <t>1-868-320-8246</t>
  </si>
  <si>
    <t>50396886</t>
  </si>
  <si>
    <t>Brad Jolie</t>
  </si>
  <si>
    <t>EMP0034</t>
  </si>
  <si>
    <t>196448168</t>
  </si>
  <si>
    <t>179180332</t>
  </si>
  <si>
    <t>emma.boseman@example.com</t>
  </si>
  <si>
    <t>1-868-742-5107</t>
  </si>
  <si>
    <t>50113073</t>
  </si>
  <si>
    <t>Emma Boseman</t>
  </si>
  <si>
    <t>EMP0033</t>
  </si>
  <si>
    <t>174179727</t>
  </si>
  <si>
    <t>883650878</t>
  </si>
  <si>
    <t>1-868-365-6608</t>
  </si>
  <si>
    <t>74542242</t>
  </si>
  <si>
    <t>EMP0032</t>
  </si>
  <si>
    <t>611671263</t>
  </si>
  <si>
    <t>206046331</t>
  </si>
  <si>
    <t>1-868-892-3592</t>
  </si>
  <si>
    <t>24881317</t>
  </si>
  <si>
    <t>EMP0031</t>
  </si>
  <si>
    <t>379233228</t>
  </si>
  <si>
    <t>433018422</t>
  </si>
  <si>
    <t>scarlett.depp@example.com</t>
  </si>
  <si>
    <t>1-868-985-1951</t>
  </si>
  <si>
    <t>75685260</t>
  </si>
  <si>
    <t>Scarlett Depp</t>
  </si>
  <si>
    <t>EMP0030</t>
  </si>
  <si>
    <t>805082653</t>
  </si>
  <si>
    <t>257798602</t>
  </si>
  <si>
    <t>keanu.gadot@example.com</t>
  </si>
  <si>
    <t>1-868-914-4332</t>
  </si>
  <si>
    <t>23549582</t>
  </si>
  <si>
    <t>Keanu Gadot</t>
  </si>
  <si>
    <t>EMP0029</t>
  </si>
  <si>
    <t>757960185</t>
  </si>
  <si>
    <t>746287425</t>
  </si>
  <si>
    <t>denzel.streep@example.com</t>
  </si>
  <si>
    <t>1-868-783-3775</t>
  </si>
  <si>
    <t>66390366</t>
  </si>
  <si>
    <t>Denzel Streep</t>
  </si>
  <si>
    <t>EMP0028</t>
  </si>
  <si>
    <t>135403863</t>
  </si>
  <si>
    <t>969964135</t>
  </si>
  <si>
    <t>1-868-567-8704</t>
  </si>
  <si>
    <t>37854974</t>
  </si>
  <si>
    <t>EMP0027</t>
  </si>
  <si>
    <t>300499309</t>
  </si>
  <si>
    <t>857172936</t>
  </si>
  <si>
    <t>meryl.freeman@example.com</t>
  </si>
  <si>
    <t>1-868-404-5262</t>
  </si>
  <si>
    <t>13433289</t>
  </si>
  <si>
    <t>Meryl Freeman</t>
  </si>
  <si>
    <t>EMP0026</t>
  </si>
  <si>
    <t>982043705</t>
  </si>
  <si>
    <t>671835844</t>
  </si>
  <si>
    <t>angelina.jolie@example.com</t>
  </si>
  <si>
    <t>1-868-916-7410</t>
  </si>
  <si>
    <t>69414853</t>
  </si>
  <si>
    <t>Angelina Jolie</t>
  </si>
  <si>
    <t>EMP0025</t>
  </si>
  <si>
    <t>303357385</t>
  </si>
  <si>
    <t>368979133</t>
  </si>
  <si>
    <t>1-868-240-2653</t>
  </si>
  <si>
    <t>52502641</t>
  </si>
  <si>
    <t>EMP0024</t>
  </si>
  <si>
    <t>297427541</t>
  </si>
  <si>
    <t>958351976</t>
  </si>
  <si>
    <t>tom.reeves@example.com</t>
  </si>
  <si>
    <t>1-868-715-8653</t>
  </si>
  <si>
    <t>52267168</t>
  </si>
  <si>
    <t>Tom Reeves</t>
  </si>
  <si>
    <t>EMP0023</t>
  </si>
  <si>
    <t>411738931</t>
  </si>
  <si>
    <t>763968655</t>
  </si>
  <si>
    <t>emma.portman@example.com</t>
  </si>
  <si>
    <t>1-868-384-2000</t>
  </si>
  <si>
    <t>78111880</t>
  </si>
  <si>
    <t>Emma Portman</t>
  </si>
  <si>
    <t>EMP0022</t>
  </si>
  <si>
    <t>359960578</t>
  </si>
  <si>
    <t>201823753</t>
  </si>
  <si>
    <t>anne.hemsworth@example.com</t>
  </si>
  <si>
    <t>1-868-558-8144</t>
  </si>
  <si>
    <t>71263260</t>
  </si>
  <si>
    <t>Anne Hemsworth</t>
  </si>
  <si>
    <t>EMP0021</t>
  </si>
  <si>
    <t>718100572</t>
  </si>
  <si>
    <t>911538590</t>
  </si>
  <si>
    <t>chadwick.reeves@example.com</t>
  </si>
  <si>
    <t>1-868-862-5932</t>
  </si>
  <si>
    <t>61250261</t>
  </si>
  <si>
    <t>Chadwick Reeves</t>
  </si>
  <si>
    <t>EMP0020</t>
  </si>
  <si>
    <t>440426463</t>
  </si>
  <si>
    <t>250050891</t>
  </si>
  <si>
    <t>gal.jackson@example.com</t>
  </si>
  <si>
    <t>1-868-426-2179</t>
  </si>
  <si>
    <t>24005523</t>
  </si>
  <si>
    <t>Gal Jackson</t>
  </si>
  <si>
    <t>EMP0019</t>
  </si>
  <si>
    <t>513284457</t>
  </si>
  <si>
    <t>402621084</t>
  </si>
  <si>
    <t>samuel.jolie@example.com</t>
  </si>
  <si>
    <t>1-868-466-2146</t>
  </si>
  <si>
    <t>13891999</t>
  </si>
  <si>
    <t>Samuel Jolie</t>
  </si>
  <si>
    <t>EMP0018</t>
  </si>
  <si>
    <t>956776200</t>
  </si>
  <si>
    <t>249544006</t>
  </si>
  <si>
    <t>denzel.jolie@example.com</t>
  </si>
  <si>
    <t>1-868-835-2662</t>
  </si>
  <si>
    <t>50571818</t>
  </si>
  <si>
    <t>Denzel Jolie</t>
  </si>
  <si>
    <t>EMP0017</t>
  </si>
  <si>
    <t>740258139</t>
  </si>
  <si>
    <t>641903389</t>
  </si>
  <si>
    <t>1-868-757-7973</t>
  </si>
  <si>
    <t>12403362</t>
  </si>
  <si>
    <t>EMP0016</t>
  </si>
  <si>
    <t>198389211</t>
  </si>
  <si>
    <t>334551094</t>
  </si>
  <si>
    <t>anne.jolie@example.com</t>
  </si>
  <si>
    <t>1-868-895-1373</t>
  </si>
  <si>
    <t>88181110</t>
  </si>
  <si>
    <t>Anne Jolie</t>
  </si>
  <si>
    <t>EMP0015</t>
  </si>
  <si>
    <t>577803329</t>
  </si>
  <si>
    <t>726401695</t>
  </si>
  <si>
    <t>chadwick.pitt@example.com</t>
  </si>
  <si>
    <t>1-868-944-2000</t>
  </si>
  <si>
    <t>64359071</t>
  </si>
  <si>
    <t>Chadwick Pitt</t>
  </si>
  <si>
    <t>EMP0014</t>
  </si>
  <si>
    <t>408869635</t>
  </si>
  <si>
    <t>484452587</t>
  </si>
  <si>
    <t>1-868-690-4450</t>
  </si>
  <si>
    <t>57931423</t>
  </si>
  <si>
    <t>EMP0013</t>
  </si>
  <si>
    <t>730949021</t>
  </si>
  <si>
    <t>611742081</t>
  </si>
  <si>
    <t>1-868-935-3029</t>
  </si>
  <si>
    <t>58025338</t>
  </si>
  <si>
    <t>EMP0012</t>
  </si>
  <si>
    <t>687583849</t>
  </si>
  <si>
    <t>425679554</t>
  </si>
  <si>
    <t>robert.stone@example.com</t>
  </si>
  <si>
    <t>1-868-399-4030</t>
  </si>
  <si>
    <t>40332078</t>
  </si>
  <si>
    <t>Robert Stone</t>
  </si>
  <si>
    <t>EMP0011</t>
  </si>
  <si>
    <t>747665636</t>
  </si>
  <si>
    <t>991047768</t>
  </si>
  <si>
    <t>samuel.stone@example.com</t>
  </si>
  <si>
    <t>1-868-237-1354</t>
  </si>
  <si>
    <t>61726140</t>
  </si>
  <si>
    <t>Samuel Stone</t>
  </si>
  <si>
    <t>EMP0010</t>
  </si>
  <si>
    <t>958378321</t>
  </si>
  <si>
    <t>941597326</t>
  </si>
  <si>
    <t>anne.coleman@example.com</t>
  </si>
  <si>
    <t>1-868-579-2901</t>
  </si>
  <si>
    <t>73629868</t>
  </si>
  <si>
    <t>Anne Coleman</t>
  </si>
  <si>
    <t>EMP0009</t>
  </si>
  <si>
    <t>318186327</t>
  </si>
  <si>
    <t>534794718</t>
  </si>
  <si>
    <t>keanu.hemsworth@example.com</t>
  </si>
  <si>
    <t>1-868-600-2499</t>
  </si>
  <si>
    <t>51567861</t>
  </si>
  <si>
    <t>Keanu Hemsworth</t>
  </si>
  <si>
    <t>EMP0008</t>
  </si>
  <si>
    <t>680125104</t>
  </si>
  <si>
    <t>621760889</t>
  </si>
  <si>
    <t>denzel.downey@example.com</t>
  </si>
  <si>
    <t>1-868-820-2961</t>
  </si>
  <si>
    <t>15291469</t>
  </si>
  <si>
    <t>Denzel Downey</t>
  </si>
  <si>
    <t>EMP0007</t>
  </si>
  <si>
    <t>974527131</t>
  </si>
  <si>
    <t>648977048</t>
  </si>
  <si>
    <t>morgan.portman@example.com</t>
  </si>
  <si>
    <t>1-868-850-4088</t>
  </si>
  <si>
    <t>43591044</t>
  </si>
  <si>
    <t>Morgan Portman</t>
  </si>
  <si>
    <t>EMP0006</t>
  </si>
  <si>
    <t>457288142</t>
  </si>
  <si>
    <t>378009742</t>
  </si>
  <si>
    <t>chadwick.jolie@example.com</t>
  </si>
  <si>
    <t>1-868-227-3038</t>
  </si>
  <si>
    <t>75496123</t>
  </si>
  <si>
    <t>Chadwick Jolie</t>
  </si>
  <si>
    <t>EMP0005</t>
  </si>
  <si>
    <t>687810202</t>
  </si>
  <si>
    <t>143469773</t>
  </si>
  <si>
    <t>chris.hemsworth@example.com</t>
  </si>
  <si>
    <t>1-868-816-2212</t>
  </si>
  <si>
    <t>90621793</t>
  </si>
  <si>
    <t>Chris Hemsworth</t>
  </si>
  <si>
    <t>EMP0004</t>
  </si>
  <si>
    <t>234014482</t>
  </si>
  <si>
    <t>551585301</t>
  </si>
  <si>
    <t>angelina.depp@example.com</t>
  </si>
  <si>
    <t>1-868-246-9752</t>
  </si>
  <si>
    <t>67418404</t>
  </si>
  <si>
    <t>Angelina Depp</t>
  </si>
  <si>
    <t>EMP0003</t>
  </si>
  <si>
    <t>858664543</t>
  </si>
  <si>
    <t>913847339</t>
  </si>
  <si>
    <t>scarlett.dicaprio@example.com</t>
  </si>
  <si>
    <t>1-868-914-4584</t>
  </si>
  <si>
    <t>76713912</t>
  </si>
  <si>
    <t>Scarlett DiCaprio</t>
  </si>
  <si>
    <t>EMP0002</t>
  </si>
  <si>
    <t>412556224</t>
  </si>
  <si>
    <t>513653999</t>
  </si>
  <si>
    <t>emma.cruise@example.com</t>
  </si>
  <si>
    <t>1-868-303-3397</t>
  </si>
  <si>
    <t>72277366</t>
  </si>
  <si>
    <t>Emma Cruise</t>
  </si>
  <si>
    <t>EMP0001</t>
  </si>
  <si>
    <t>Termination Date</t>
  </si>
  <si>
    <t>Employment Status</t>
  </si>
  <si>
    <t>BIR Number</t>
  </si>
  <si>
    <t>NIS Number</t>
  </si>
  <si>
    <t>Email Address</t>
  </si>
  <si>
    <t>Phone Number</t>
  </si>
  <si>
    <t>Start Date</t>
  </si>
  <si>
    <t>Account Number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</si>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</sst>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4" formatCode="_(&quot;$&quot;* #,##0.00_);_(&quot;$&quot;* \(#,##0.00\);_(&quot;$&quot;* &quot;-&quot;??_);_(@_)"/>
    <numFmt numFmtId="164" formatCode="#,##0.00&quot; &quot;;&quot;(&quot;#,##0.00&quot;)&quot;;&quot;-&quot;#&quot; &quot;;&quot; &quot;@&quot; &quot;"/>
    <numFmt numFmtId="165" formatCode="0.0"/>
    <numFmt numFmtId="167" formatCode="&quot;$&quot;#,##0.00"/>
    <numFmt numFmtId="168" formatCode="0000"/>
    <numFmt numFmtId="169" formatCode="dd&quot; &quot;mmmm&quot;, &quot;yyyy"/>
    <numFmt numFmtId="171" formatCode="_([$$-409]* #,##0.00_);_([$$-409]* \(#,##0.00\);_([$$-409]* &quot;-&quot;??_);_(@_)"/>
    <numFmt numFmtId="175" formatCode="[&lt;=9999999]###\-####;\(###\)\ ###\-####"/>
    <numFmt numFmtId="176" formatCode="[$-409]mmmm\ d\,\ yyyy;@"/>
    <numFmt numFmtId="177" formatCode="yyyy\-mm\-dd"/>
  </numFmts>
  <fonts count="5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1"/>
      <color rgb="FFFFFFFF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1"/>
      <color rgb="FFC0504D"/>
      <name val="Calibri"/>
      <family val="2"/>
    </font>
    <font>
      <sz val="11"/>
      <color rgb="FF7030A0"/>
      <name val="Calibri"/>
      <family val="2"/>
    </font>
    <font>
      <sz val="11"/>
      <color rgb="FF0070C0"/>
      <name val="Calibri"/>
      <family val="2"/>
    </font>
    <font>
      <b/>
      <sz val="12"/>
      <color rgb="FF000000"/>
      <name val="Calibri"/>
      <family val="2"/>
    </font>
    <font>
      <b/>
      <sz val="36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FFFFFF"/>
      <name val="Calibri"/>
      <family val="2"/>
    </font>
    <font>
      <sz val="16"/>
      <color rgb="FF000000"/>
      <name val="Calibri"/>
      <family val="2"/>
    </font>
    <font>
      <b/>
      <sz val="11"/>
      <color rgb="FF4F81BD"/>
      <name val="Calibri"/>
      <family val="2"/>
    </font>
    <font>
      <sz val="10"/>
      <color rgb="FF000000"/>
      <name val="Calibri"/>
      <family val="2"/>
    </font>
    <font>
      <b/>
      <sz val="11"/>
      <color rgb="FFC00000"/>
      <name val="Calibri"/>
      <family val="2"/>
    </font>
    <font>
      <b/>
      <sz val="11"/>
      <color rgb="FF00B050"/>
      <name val="Calibri"/>
      <family val="2"/>
    </font>
    <font>
      <b/>
      <sz val="11"/>
      <color rgb="FF7030A0"/>
      <name val="Calibri"/>
      <family val="2"/>
    </font>
    <font>
      <b/>
      <sz val="11"/>
      <color rgb="FFC0504D"/>
      <name val="Calibri"/>
      <family val="2"/>
    </font>
    <font>
      <b/>
      <sz val="8"/>
      <color rgb="FF000000"/>
      <name val="Calibri"/>
      <family val="2"/>
    </font>
    <font>
      <b/>
      <sz val="11"/>
      <color theme="7"/>
      <name val="Calibri"/>
      <family val="2"/>
    </font>
    <font>
      <sz val="11"/>
      <color theme="1"/>
      <name val="Calibri"/>
      <family val="2"/>
    </font>
    <font>
      <sz val="11.5"/>
      <color rgb="FF000000"/>
      <name val="Calibri"/>
      <family val="2"/>
    </font>
    <font>
      <sz val="9"/>
      <color indexed="81"/>
      <name val="Tahoma"/>
      <charset val="1"/>
    </font>
    <font>
      <sz val="8"/>
      <name val="Calibri"/>
      <family val="2"/>
    </font>
    <font>
      <sz val="11"/>
      <color rgb="FF00B05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1"/>
      <scheme val="minor"/>
    </font>
    <font>
      <sz val="24"/>
      <color theme="1"/>
      <name val="Calibri Light"/>
      <family val="2"/>
      <scheme val="major"/>
    </font>
  </fonts>
  <fills count="2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EEECE1"/>
        <bgColor rgb="FFEEECE1"/>
      </patternFill>
    </fill>
    <fill>
      <patternFill patternType="solid">
        <fgColor rgb="FFE5DFEC"/>
        <bgColor rgb="FFE5DFEC"/>
      </patternFill>
    </fill>
    <fill>
      <patternFill patternType="solid">
        <fgColor rgb="FFDBE5F1"/>
        <bgColor rgb="FFDBE5F1"/>
      </patternFill>
    </fill>
    <fill>
      <patternFill patternType="solid">
        <fgColor rgb="FF4F81BD"/>
        <bgColor rgb="FF4F81BD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BE5F1"/>
      </patternFill>
    </fill>
  </fills>
  <borders count="2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3">
    <xf numFmtId="0" fontId="0" fillId="0" borderId="0"/>
    <xf numFmtId="44" fontId="5" fillId="0" borderId="0" applyFont="0" applyFill="0" applyBorder="0" applyAlignment="0" applyProtection="0"/>
    <xf numFmtId="0" fontId="15" fillId="0" borderId="0"/>
    <xf numFmtId="0" fontId="16" fillId="0" borderId="0"/>
    <xf numFmtId="0" fontId="13" fillId="8" borderId="0"/>
    <xf numFmtId="0" fontId="9" fillId="5" borderId="0"/>
    <xf numFmtId="0" fontId="18" fillId="9" borderId="0"/>
    <xf numFmtId="0" fontId="19" fillId="9" borderId="1"/>
    <xf numFmtId="0" fontId="7" fillId="0" borderId="0"/>
    <xf numFmtId="0" fontId="8" fillId="2" borderId="0"/>
    <xf numFmtId="0" fontId="8" fillId="3" borderId="0"/>
    <xf numFmtId="0" fontId="7" fillId="4" borderId="0"/>
    <xf numFmtId="0" fontId="10" fillId="6" borderId="0"/>
    <xf numFmtId="0" fontId="11" fillId="7" borderId="0"/>
    <xf numFmtId="0" fontId="12" fillId="0" borderId="0"/>
    <xf numFmtId="0" fontId="14" fillId="0" borderId="0"/>
    <xf numFmtId="0" fontId="17" fillId="0" borderId="0"/>
    <xf numFmtId="0" fontId="6" fillId="0" borderId="0"/>
    <xf numFmtId="0" fontId="6" fillId="0" borderId="0"/>
    <xf numFmtId="0" fontId="9" fillId="0" borderId="0"/>
    <xf numFmtId="0" fontId="4" fillId="0" borderId="0"/>
    <xf numFmtId="44" fontId="3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49" fillId="0" borderId="0">
      <alignment horizontal="left" vertical="center" wrapText="1" indent="1"/>
    </xf>
    <xf numFmtId="0" fontId="46" fillId="0" borderId="0" applyNumberFormat="0" applyFill="0" applyProtection="0">
      <alignment horizontal="center" wrapText="1"/>
    </xf>
    <xf numFmtId="44" fontId="49" fillId="0" borderId="0" applyFont="0" applyFill="0" applyBorder="0" applyAlignment="0" applyProtection="0"/>
    <xf numFmtId="0" fontId="47" fillId="0" borderId="0" applyNumberFormat="0" applyFill="0" applyProtection="0">
      <alignment vertical="top"/>
    </xf>
    <xf numFmtId="175" fontId="47" fillId="0" borderId="0" applyFont="0" applyFill="0" applyBorder="0">
      <alignment horizontal="left"/>
    </xf>
    <xf numFmtId="0" fontId="48" fillId="0" borderId="0" applyNumberFormat="0" applyFill="0" applyProtection="0"/>
    <xf numFmtId="176" fontId="47" fillId="0" borderId="0">
      <alignment horizontal="right" indent="1"/>
    </xf>
    <xf numFmtId="0" fontId="50" fillId="0" borderId="0" applyNumberFormat="0" applyFill="0" applyBorder="0" applyProtection="0">
      <alignment horizontal="right"/>
    </xf>
    <xf numFmtId="0" fontId="1" fillId="0" borderId="0"/>
  </cellStyleXfs>
  <cellXfs count="162">
    <xf numFmtId="0" fontId="0" fillId="0" borderId="0" xfId="0"/>
    <xf numFmtId="164" fontId="0" fillId="0" borderId="0" xfId="0" applyNumberFormat="1" applyFont="1" applyAlignment="1">
      <alignment horizontal="center"/>
    </xf>
    <xf numFmtId="0" fontId="0" fillId="0" borderId="0" xfId="0" applyFont="1" applyAlignment="1"/>
    <xf numFmtId="0" fontId="23" fillId="0" borderId="0" xfId="0" applyFont="1" applyAlignment="1">
      <alignment horizontal="left"/>
    </xf>
    <xf numFmtId="165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23" fillId="0" borderId="0" xfId="0" applyNumberFormat="1" applyFont="1" applyAlignment="1">
      <alignment horizontal="left"/>
    </xf>
    <xf numFmtId="164" fontId="23" fillId="0" borderId="0" xfId="0" applyNumberFormat="1" applyFont="1" applyAlignment="1">
      <alignment horizontal="left" wrapText="1"/>
    </xf>
    <xf numFmtId="164" fontId="23" fillId="0" borderId="0" xfId="0" applyNumberFormat="1" applyFont="1" applyAlignment="1"/>
    <xf numFmtId="0" fontId="23" fillId="0" borderId="0" xfId="0" applyFont="1" applyAlignment="1"/>
    <xf numFmtId="164" fontId="0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15" fontId="23" fillId="0" borderId="0" xfId="0" applyNumberFormat="1" applyFont="1" applyAlignment="1">
      <alignment horizontal="left"/>
    </xf>
    <xf numFmtId="15" fontId="22" fillId="0" borderId="0" xfId="0" applyNumberFormat="1" applyFont="1" applyAlignment="1">
      <alignment horizontal="left"/>
    </xf>
    <xf numFmtId="0" fontId="16" fillId="16" borderId="5" xfId="0" applyFont="1" applyFill="1" applyBorder="1" applyAlignment="1">
      <alignment horizontal="center"/>
    </xf>
    <xf numFmtId="0" fontId="16" fillId="0" borderId="0" xfId="0" applyFont="1" applyAlignment="1">
      <alignment vertical="center"/>
    </xf>
    <xf numFmtId="0" fontId="0" fillId="16" borderId="2" xfId="0" applyFont="1" applyFill="1" applyBorder="1" applyAlignment="1">
      <alignment horizontal="center" wrapText="1"/>
    </xf>
    <xf numFmtId="164" fontId="0" fillId="0" borderId="4" xfId="0" applyNumberFormat="1" applyFont="1" applyBorder="1" applyAlignment="1">
      <alignment horizontal="center"/>
    </xf>
    <xf numFmtId="164" fontId="33" fillId="0" borderId="4" xfId="0" applyNumberFormat="1" applyFont="1" applyBorder="1" applyAlignment="1">
      <alignment horizontal="center"/>
    </xf>
    <xf numFmtId="164" fontId="33" fillId="0" borderId="2" xfId="0" applyNumberFormat="1" applyFont="1" applyBorder="1" applyAlignment="1">
      <alignment horizontal="center"/>
    </xf>
    <xf numFmtId="0" fontId="34" fillId="0" borderId="0" xfId="0" applyFont="1"/>
    <xf numFmtId="0" fontId="0" fillId="0" borderId="0" xfId="0" applyFont="1" applyFill="1" applyAlignment="1">
      <alignment horizontal="center"/>
    </xf>
    <xf numFmtId="164" fontId="23" fillId="0" borderId="0" xfId="0" applyNumberFormat="1" applyFont="1" applyFill="1" applyAlignment="1">
      <alignment horizontal="left"/>
    </xf>
    <xf numFmtId="0" fontId="23" fillId="0" borderId="0" xfId="0" applyFont="1" applyFill="1" applyAlignment="1">
      <alignment horizontal="left"/>
    </xf>
    <xf numFmtId="0" fontId="16" fillId="0" borderId="0" xfId="0" applyFont="1"/>
    <xf numFmtId="0" fontId="0" fillId="0" borderId="0" xfId="0" applyFill="1"/>
    <xf numFmtId="44" fontId="0" fillId="0" borderId="0" xfId="0" applyNumberFormat="1" applyFont="1" applyAlignment="1">
      <alignment horizontal="center"/>
    </xf>
    <xf numFmtId="44" fontId="0" fillId="11" borderId="0" xfId="0" applyNumberFormat="1" applyFont="1" applyFill="1" applyBorder="1" applyAlignment="1">
      <alignment horizontal="center"/>
    </xf>
    <xf numFmtId="44" fontId="0" fillId="0" borderId="0" xfId="0" applyNumberFormat="1" applyFont="1" applyFill="1" applyBorder="1" applyAlignment="1">
      <alignment horizontal="center"/>
    </xf>
    <xf numFmtId="44" fontId="20" fillId="0" borderId="0" xfId="0" applyNumberFormat="1" applyFont="1" applyAlignment="1"/>
    <xf numFmtId="44" fontId="0" fillId="0" borderId="0" xfId="0" applyNumberFormat="1" applyFont="1" applyAlignment="1"/>
    <xf numFmtId="44" fontId="24" fillId="0" borderId="0" xfId="0" applyNumberFormat="1" applyFont="1" applyAlignment="1"/>
    <xf numFmtId="44" fontId="25" fillId="0" borderId="0" xfId="0" applyNumberFormat="1" applyFont="1" applyAlignment="1">
      <alignment horizontal="center"/>
    </xf>
    <xf numFmtId="44" fontId="0" fillId="11" borderId="0" xfId="0" applyNumberFormat="1" applyFont="1" applyFill="1" applyBorder="1" applyAlignment="1"/>
    <xf numFmtId="44" fontId="25" fillId="14" borderId="0" xfId="0" applyNumberFormat="1" applyFont="1" applyFill="1" applyBorder="1" applyAlignment="1">
      <alignment horizontal="center"/>
    </xf>
    <xf numFmtId="44" fontId="0" fillId="0" borderId="0" xfId="0" applyNumberFormat="1" applyFont="1" applyAlignment="1">
      <alignment horizontal="left"/>
    </xf>
    <xf numFmtId="44" fontId="0" fillId="12" borderId="0" xfId="0" applyNumberFormat="1" applyFont="1" applyFill="1" applyBorder="1" applyAlignment="1">
      <alignment horizontal="left"/>
    </xf>
    <xf numFmtId="44" fontId="0" fillId="0" borderId="0" xfId="0" applyNumberFormat="1" applyFont="1" applyAlignment="1">
      <alignment horizontal="left" wrapText="1"/>
    </xf>
    <xf numFmtId="44" fontId="26" fillId="0" borderId="0" xfId="0" applyNumberFormat="1" applyFont="1" applyAlignment="1">
      <alignment horizontal="left"/>
    </xf>
    <xf numFmtId="44" fontId="26" fillId="0" borderId="0" xfId="0" applyNumberFormat="1" applyFont="1" applyAlignment="1">
      <alignment horizontal="center"/>
    </xf>
    <xf numFmtId="44" fontId="0" fillId="0" borderId="0" xfId="0" applyNumberFormat="1"/>
    <xf numFmtId="44" fontId="0" fillId="13" borderId="0" xfId="0" applyNumberFormat="1" applyFont="1" applyFill="1" applyBorder="1" applyAlignment="1">
      <alignment horizontal="center"/>
    </xf>
    <xf numFmtId="44" fontId="25" fillId="13" borderId="0" xfId="0" applyNumberFormat="1" applyFont="1" applyFill="1" applyBorder="1" applyAlignment="1">
      <alignment horizontal="center"/>
    </xf>
    <xf numFmtId="44" fontId="25" fillId="0" borderId="0" xfId="0" applyNumberFormat="1" applyFont="1" applyFill="1" applyBorder="1" applyAlignment="1">
      <alignment horizontal="center"/>
    </xf>
    <xf numFmtId="44" fontId="0" fillId="17" borderId="0" xfId="0" applyNumberFormat="1" applyFont="1" applyFill="1" applyAlignment="1">
      <alignment horizontal="center"/>
    </xf>
    <xf numFmtId="44" fontId="0" fillId="0" borderId="0" xfId="0" applyNumberFormat="1" applyAlignment="1"/>
    <xf numFmtId="0" fontId="20" fillId="0" borderId="0" xfId="0" applyFont="1" applyFill="1" applyBorder="1" applyAlignment="1">
      <alignment horizontal="left" vertical="center"/>
    </xf>
    <xf numFmtId="4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 wrapText="1"/>
    </xf>
    <xf numFmtId="0" fontId="36" fillId="0" borderId="0" xfId="0" applyFont="1" applyFill="1" applyBorder="1" applyAlignment="1">
      <alignment horizontal="left" vertical="center" wrapText="1"/>
    </xf>
    <xf numFmtId="44" fontId="37" fillId="0" borderId="0" xfId="0" applyNumberFormat="1" applyFont="1" applyFill="1" applyBorder="1" applyAlignment="1">
      <alignment horizontal="left" vertical="center" wrapText="1"/>
    </xf>
    <xf numFmtId="44" fontId="36" fillId="0" borderId="0" xfId="0" applyNumberFormat="1" applyFont="1" applyFill="1" applyBorder="1" applyAlignment="1">
      <alignment horizontal="left" vertical="center"/>
    </xf>
    <xf numFmtId="44" fontId="20" fillId="0" borderId="0" xfId="0" applyNumberFormat="1" applyFont="1" applyFill="1" applyBorder="1" applyAlignment="1">
      <alignment horizontal="left" vertical="center" wrapText="1"/>
    </xf>
    <xf numFmtId="44" fontId="35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44" fontId="37" fillId="0" borderId="0" xfId="0" applyNumberFormat="1" applyFont="1" applyFill="1" applyBorder="1" applyAlignment="1">
      <alignment horizontal="left" vertical="center"/>
    </xf>
    <xf numFmtId="44" fontId="0" fillId="18" borderId="0" xfId="0" applyNumberFormat="1" applyFont="1" applyFill="1" applyBorder="1" applyAlignment="1">
      <alignment horizontal="center"/>
    </xf>
    <xf numFmtId="44" fontId="0" fillId="17" borderId="0" xfId="0" applyNumberFormat="1" applyFont="1" applyFill="1" applyAlignment="1"/>
    <xf numFmtId="44" fontId="0" fillId="0" borderId="0" xfId="0" applyNumberFormat="1" applyFont="1" applyFill="1" applyBorder="1" applyAlignment="1">
      <alignment horizontal="right"/>
    </xf>
    <xf numFmtId="44" fontId="21" fillId="20" borderId="0" xfId="0" applyNumberFormat="1" applyFont="1" applyFill="1" applyBorder="1" applyAlignment="1">
      <alignment horizontal="left" vertical="center" wrapText="1"/>
    </xf>
    <xf numFmtId="44" fontId="21" fillId="20" borderId="0" xfId="0" applyNumberFormat="1" applyFont="1" applyFill="1" applyBorder="1" applyAlignment="1">
      <alignment horizontal="left" vertical="center"/>
    </xf>
    <xf numFmtId="0" fontId="20" fillId="0" borderId="0" xfId="0" applyFont="1"/>
    <xf numFmtId="1" fontId="20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20" fillId="21" borderId="0" xfId="0" applyFont="1" applyFill="1" applyAlignment="1"/>
    <xf numFmtId="0" fontId="20" fillId="21" borderId="0" xfId="0" applyFont="1" applyFill="1"/>
    <xf numFmtId="0" fontId="20" fillId="21" borderId="0" xfId="0" applyFont="1" applyFill="1" applyAlignment="1">
      <alignment horizontal="left"/>
    </xf>
    <xf numFmtId="0" fontId="20" fillId="21" borderId="0" xfId="0" applyFont="1" applyFill="1" applyAlignment="1">
      <alignment horizontal="center"/>
    </xf>
    <xf numFmtId="44" fontId="20" fillId="21" borderId="0" xfId="0" applyNumberFormat="1" applyFont="1" applyFill="1" applyAlignment="1">
      <alignment horizontal="center"/>
    </xf>
    <xf numFmtId="44" fontId="20" fillId="21" borderId="0" xfId="0" applyNumberFormat="1" applyFont="1" applyFill="1" applyAlignment="1"/>
    <xf numFmtId="44" fontId="38" fillId="21" borderId="0" xfId="0" applyNumberFormat="1" applyFont="1" applyFill="1" applyAlignment="1"/>
    <xf numFmtId="0" fontId="39" fillId="21" borderId="0" xfId="0" applyFont="1" applyFill="1" applyAlignment="1">
      <alignment horizontal="left"/>
    </xf>
    <xf numFmtId="164" fontId="20" fillId="21" borderId="0" xfId="0" applyNumberFormat="1" applyFont="1" applyFill="1" applyAlignment="1">
      <alignment horizontal="center"/>
    </xf>
    <xf numFmtId="44" fontId="20" fillId="21" borderId="0" xfId="0" applyNumberFormat="1" applyFont="1" applyFill="1"/>
    <xf numFmtId="44" fontId="0" fillId="0" borderId="0" xfId="1" applyFont="1" applyAlignment="1">
      <alignment horizontal="center"/>
    </xf>
    <xf numFmtId="44" fontId="0" fillId="11" borderId="0" xfId="1" applyFont="1" applyFill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44" fontId="0" fillId="14" borderId="0" xfId="1" applyFont="1" applyFill="1" applyBorder="1" applyAlignment="1">
      <alignment horizontal="center"/>
    </xf>
    <xf numFmtId="0" fontId="16" fillId="16" borderId="0" xfId="0" applyFont="1" applyFill="1"/>
    <xf numFmtId="0" fontId="16" fillId="16" borderId="0" xfId="0" applyFont="1" applyFill="1" applyAlignment="1">
      <alignment horizontal="left"/>
    </xf>
    <xf numFmtId="0" fontId="29" fillId="0" borderId="0" xfId="0" applyFont="1"/>
    <xf numFmtId="167" fontId="16" fillId="0" borderId="0" xfId="0" applyNumberFormat="1" applyFont="1"/>
    <xf numFmtId="0" fontId="0" fillId="0" borderId="0" xfId="0" applyBorder="1"/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164" fontId="20" fillId="0" borderId="0" xfId="0" applyNumberFormat="1" applyFont="1" applyBorder="1" applyAlignment="1">
      <alignment horizontal="center"/>
    </xf>
    <xf numFmtId="44" fontId="0" fillId="0" borderId="0" xfId="0" applyNumberFormat="1" applyFont="1" applyFill="1" applyAlignment="1">
      <alignment horizontal="center"/>
    </xf>
    <xf numFmtId="44" fontId="40" fillId="22" borderId="0" xfId="0" applyNumberFormat="1" applyFont="1" applyFill="1" applyBorder="1" applyAlignment="1">
      <alignment horizontal="left" vertical="center" wrapText="1"/>
    </xf>
    <xf numFmtId="44" fontId="0" fillId="23" borderId="0" xfId="0" applyNumberFormat="1" applyFont="1" applyFill="1" applyAlignment="1">
      <alignment horizontal="center"/>
    </xf>
    <xf numFmtId="44" fontId="25" fillId="24" borderId="0" xfId="0" applyNumberFormat="1" applyFont="1" applyFill="1" applyBorder="1" applyAlignment="1">
      <alignment horizontal="center"/>
    </xf>
    <xf numFmtId="44" fontId="41" fillId="17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23" fillId="0" borderId="0" xfId="0" applyFont="1" applyFill="1" applyAlignment="1">
      <alignment horizontal="left" wrapText="1"/>
    </xf>
    <xf numFmtId="44" fontId="20" fillId="0" borderId="0" xfId="0" applyNumberFormat="1" applyFont="1"/>
    <xf numFmtId="0" fontId="45" fillId="0" borderId="0" xfId="0" applyFont="1" applyFill="1" applyBorder="1" applyAlignment="1">
      <alignment horizontal="center"/>
    </xf>
    <xf numFmtId="0" fontId="45" fillId="0" borderId="0" xfId="0" applyFont="1" applyFill="1" applyAlignment="1">
      <alignment horizontal="center"/>
    </xf>
    <xf numFmtId="0" fontId="23" fillId="0" borderId="0" xfId="0" applyFont="1"/>
    <xf numFmtId="44" fontId="0" fillId="0" borderId="0" xfId="0" applyNumberFormat="1" applyFont="1" applyFill="1" applyBorder="1" applyAlignment="1">
      <alignment horizontal="left"/>
    </xf>
    <xf numFmtId="44" fontId="45" fillId="0" borderId="0" xfId="0" applyNumberFormat="1" applyFont="1" applyFill="1" applyBorder="1" applyAlignment="1">
      <alignment horizontal="center"/>
    </xf>
    <xf numFmtId="44" fontId="45" fillId="17" borderId="0" xfId="0" applyNumberFormat="1" applyFont="1" applyFill="1" applyBorder="1" applyAlignment="1">
      <alignment horizontal="center"/>
    </xf>
    <xf numFmtId="165" fontId="20" fillId="21" borderId="0" xfId="0" applyNumberFormat="1" applyFont="1" applyFill="1" applyAlignment="1">
      <alignment horizontal="center"/>
    </xf>
    <xf numFmtId="44" fontId="0" fillId="16" borderId="7" xfId="21" applyFont="1" applyFill="1" applyBorder="1" applyAlignment="1"/>
    <xf numFmtId="171" fontId="42" fillId="19" borderId="7" xfId="0" applyNumberFormat="1" applyFont="1" applyFill="1" applyBorder="1" applyAlignment="1"/>
    <xf numFmtId="165" fontId="0" fillId="0" borderId="0" xfId="0" applyNumberFormat="1" applyFont="1" applyFill="1" applyAlignment="1">
      <alignment horizontal="center"/>
    </xf>
    <xf numFmtId="0" fontId="31" fillId="10" borderId="7" xfId="0" applyFont="1" applyFill="1" applyBorder="1" applyAlignment="1">
      <alignment horizontal="center" vertical="center"/>
    </xf>
    <xf numFmtId="0" fontId="31" fillId="10" borderId="5" xfId="0" applyFont="1" applyFill="1" applyBorder="1" applyAlignment="1">
      <alignment horizontal="center" vertical="center"/>
    </xf>
    <xf numFmtId="0" fontId="29" fillId="0" borderId="0" xfId="0" applyFont="1" applyAlignment="1">
      <alignment horizontal="right"/>
    </xf>
    <xf numFmtId="0" fontId="28" fillId="0" borderId="0" xfId="0" applyFont="1" applyAlignment="1">
      <alignment horizontal="center" vertical="center"/>
    </xf>
    <xf numFmtId="168" fontId="30" fillId="0" borderId="0" xfId="0" applyNumberFormat="1" applyFont="1" applyAlignment="1">
      <alignment horizontal="right" vertical="center"/>
    </xf>
    <xf numFmtId="169" fontId="16" fillId="0" borderId="0" xfId="0" applyNumberFormat="1" applyFont="1" applyAlignment="1">
      <alignment horizontal="right" vertical="center"/>
    </xf>
    <xf numFmtId="0" fontId="16" fillId="0" borderId="0" xfId="0" applyFont="1" applyAlignment="1">
      <alignment horizontal="right"/>
    </xf>
    <xf numFmtId="0" fontId="31" fillId="10" borderId="7" xfId="0" applyFont="1" applyFill="1" applyBorder="1" applyAlignment="1">
      <alignment horizontal="center" vertical="center"/>
    </xf>
    <xf numFmtId="0" fontId="31" fillId="10" borderId="9" xfId="0" applyFont="1" applyFill="1" applyBorder="1" applyAlignment="1">
      <alignment horizontal="center" vertical="center"/>
    </xf>
    <xf numFmtId="0" fontId="31" fillId="10" borderId="8" xfId="0" applyFont="1" applyFill="1" applyBorder="1" applyAlignment="1">
      <alignment horizontal="center" vertical="center"/>
    </xf>
    <xf numFmtId="0" fontId="0" fillId="16" borderId="7" xfId="0" applyFont="1" applyFill="1" applyBorder="1" applyAlignment="1">
      <alignment horizontal="left"/>
    </xf>
    <xf numFmtId="0" fontId="0" fillId="16" borderId="9" xfId="0" applyFont="1" applyFill="1" applyBorder="1" applyAlignment="1">
      <alignment horizontal="left"/>
    </xf>
    <xf numFmtId="0" fontId="0" fillId="16" borderId="8" xfId="0" applyFont="1" applyFill="1" applyBorder="1" applyAlignment="1">
      <alignment horizontal="left"/>
    </xf>
    <xf numFmtId="44" fontId="0" fillId="16" borderId="7" xfId="21" applyFont="1" applyFill="1" applyBorder="1" applyAlignment="1">
      <alignment horizontal="left"/>
    </xf>
    <xf numFmtId="44" fontId="0" fillId="16" borderId="8" xfId="21" applyFont="1" applyFill="1" applyBorder="1" applyAlignment="1">
      <alignment horizontal="left"/>
    </xf>
    <xf numFmtId="0" fontId="0" fillId="16" borderId="7" xfId="0" applyFill="1" applyBorder="1" applyAlignment="1"/>
    <xf numFmtId="0" fontId="0" fillId="16" borderId="9" xfId="0" applyFill="1" applyBorder="1" applyAlignment="1"/>
    <xf numFmtId="0" fontId="0" fillId="16" borderId="8" xfId="0" applyFill="1" applyBorder="1" applyAlignment="1"/>
    <xf numFmtId="171" fontId="0" fillId="16" borderId="7" xfId="0" applyNumberFormat="1" applyFill="1" applyBorder="1" applyAlignment="1"/>
    <xf numFmtId="171" fontId="0" fillId="16" borderId="8" xfId="0" applyNumberFormat="1" applyFill="1" applyBorder="1" applyAlignment="1"/>
    <xf numFmtId="0" fontId="0" fillId="16" borderId="7" xfId="0" applyFill="1" applyBorder="1" applyAlignment="1">
      <alignment wrapText="1"/>
    </xf>
    <xf numFmtId="0" fontId="0" fillId="16" borderId="9" xfId="0" applyFill="1" applyBorder="1" applyAlignment="1">
      <alignment wrapText="1"/>
    </xf>
    <xf numFmtId="0" fontId="0" fillId="16" borderId="8" xfId="0" applyFill="1" applyBorder="1" applyAlignment="1">
      <alignment wrapText="1"/>
    </xf>
    <xf numFmtId="0" fontId="16" fillId="0" borderId="0" xfId="0" applyFont="1" applyAlignment="1">
      <alignment horizontal="center" vertical="center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horizontal="left" vertical="center"/>
    </xf>
    <xf numFmtId="0" fontId="31" fillId="10" borderId="6" xfId="0" applyFont="1" applyFill="1" applyBorder="1" applyAlignment="1">
      <alignment horizontal="left" vertical="center"/>
    </xf>
    <xf numFmtId="0" fontId="31" fillId="10" borderId="5" xfId="0" applyFont="1" applyFill="1" applyBorder="1" applyAlignment="1">
      <alignment horizontal="center" vertical="center"/>
    </xf>
    <xf numFmtId="0" fontId="0" fillId="16" borderId="0" xfId="0" applyFill="1" applyAlignment="1"/>
    <xf numFmtId="171" fontId="27" fillId="19" borderId="7" xfId="0" applyNumberFormat="1" applyFont="1" applyFill="1" applyBorder="1" applyAlignment="1">
      <alignment horizontal="center" vertical="center"/>
    </xf>
    <xf numFmtId="171" fontId="27" fillId="19" borderId="8" xfId="0" applyNumberFormat="1" applyFont="1" applyFill="1" applyBorder="1" applyAlignment="1">
      <alignment horizontal="center" vertical="center"/>
    </xf>
    <xf numFmtId="171" fontId="42" fillId="19" borderId="18" xfId="0" applyNumberFormat="1" applyFont="1" applyFill="1" applyBorder="1" applyAlignment="1">
      <alignment horizontal="center"/>
    </xf>
    <xf numFmtId="171" fontId="42" fillId="19" borderId="0" xfId="0" applyNumberFormat="1" applyFont="1" applyFill="1" applyBorder="1" applyAlignment="1">
      <alignment horizontal="center"/>
    </xf>
    <xf numFmtId="0" fontId="32" fillId="16" borderId="7" xfId="0" applyFont="1" applyFill="1" applyBorder="1" applyAlignment="1">
      <alignment horizontal="center" vertical="center"/>
    </xf>
    <xf numFmtId="0" fontId="32" fillId="16" borderId="9" xfId="0" applyFont="1" applyFill="1" applyBorder="1" applyAlignment="1">
      <alignment horizontal="center" vertical="center"/>
    </xf>
    <xf numFmtId="0" fontId="32" fillId="16" borderId="8" xfId="0" applyFont="1" applyFill="1" applyBorder="1" applyAlignment="1">
      <alignment horizontal="center" vertical="center"/>
    </xf>
    <xf numFmtId="0" fontId="10" fillId="15" borderId="3" xfId="0" applyFont="1" applyFill="1" applyBorder="1" applyAlignment="1">
      <alignment horizontal="center"/>
    </xf>
    <xf numFmtId="0" fontId="1" fillId="0" borderId="0" xfId="32"/>
    <xf numFmtId="0" fontId="1" fillId="0" borderId="14" xfId="32" applyBorder="1"/>
    <xf numFmtId="0" fontId="1" fillId="0" borderId="19" xfId="32" applyBorder="1"/>
    <xf numFmtId="177" fontId="1" fillId="0" borderId="19" xfId="32" applyNumberFormat="1" applyBorder="1" applyAlignment="1">
      <alignment horizontal="left"/>
    </xf>
    <xf numFmtId="2" fontId="1" fillId="0" borderId="19" xfId="32" applyNumberFormat="1" applyBorder="1"/>
    <xf numFmtId="0" fontId="1" fillId="0" borderId="15" xfId="32" applyBorder="1"/>
    <xf numFmtId="0" fontId="1" fillId="0" borderId="10" xfId="32" applyBorder="1"/>
    <xf numFmtId="0" fontId="1" fillId="0" borderId="13" xfId="32" applyBorder="1"/>
    <xf numFmtId="177" fontId="1" fillId="0" borderId="13" xfId="32" applyNumberFormat="1" applyBorder="1" applyAlignment="1">
      <alignment horizontal="left"/>
    </xf>
    <xf numFmtId="2" fontId="1" fillId="0" borderId="13" xfId="32" applyNumberFormat="1" applyBorder="1"/>
    <xf numFmtId="0" fontId="1" fillId="0" borderId="11" xfId="32" applyBorder="1"/>
    <xf numFmtId="0" fontId="46" fillId="0" borderId="16" xfId="32" applyFont="1" applyBorder="1" applyAlignment="1">
      <alignment horizontal="center" vertical="top"/>
    </xf>
    <xf numFmtId="0" fontId="46" fillId="0" borderId="12" xfId="32" applyFont="1" applyBorder="1" applyAlignment="1">
      <alignment horizontal="center" vertical="top"/>
    </xf>
    <xf numFmtId="0" fontId="46" fillId="0" borderId="17" xfId="32" applyFont="1" applyBorder="1" applyAlignment="1">
      <alignment horizontal="center" vertical="top"/>
    </xf>
  </cellXfs>
  <cellStyles count="33">
    <cellStyle name="Accent" xfId="8" xr:uid="{00000000-0005-0000-0000-000000000000}"/>
    <cellStyle name="Accent 1" xfId="9" xr:uid="{00000000-0005-0000-0000-000001000000}"/>
    <cellStyle name="Accent 2" xfId="10" xr:uid="{00000000-0005-0000-0000-000002000000}"/>
    <cellStyle name="Accent 3" xfId="11" xr:uid="{00000000-0005-0000-0000-000003000000}"/>
    <cellStyle name="Bad" xfId="5" builtinId="27" customBuiltin="1"/>
    <cellStyle name="ConditionalStyle_1" xfId="12" xr:uid="{00000000-0005-0000-0000-000005000000}"/>
    <cellStyle name="Currency" xfId="1" builtinId="4"/>
    <cellStyle name="Currency 2" xfId="21" xr:uid="{CC4F7219-2FC1-40DB-A84D-13298ACFEB7C}"/>
    <cellStyle name="Currency 3" xfId="23" xr:uid="{A6F7CABD-B7B5-4C76-AFED-F0597C1690AD}"/>
    <cellStyle name="Currency 4" xfId="26" xr:uid="{02E3BB29-DA24-4F7A-82C4-02BED200C96B}"/>
    <cellStyle name="Date" xfId="30" xr:uid="{A1C3A37B-E6D6-4E2C-8607-3C44B036F49E}"/>
    <cellStyle name="Error" xfId="13" xr:uid="{00000000-0005-0000-0000-000007000000}"/>
    <cellStyle name="Footnote" xfId="14" xr:uid="{00000000-0005-0000-0000-000008000000}"/>
    <cellStyle name="Good" xfId="4" builtinId="26" customBuiltin="1"/>
    <cellStyle name="Heading" xfId="15" xr:uid="{00000000-0005-0000-0000-00000A000000}"/>
    <cellStyle name="Heading 1" xfId="2" builtinId="16" customBuiltin="1"/>
    <cellStyle name="Heading 1 2" xfId="29" xr:uid="{39185D2A-DF3A-4A67-9099-6C541FBB765B}"/>
    <cellStyle name="Heading 2" xfId="3" builtinId="17" customBuiltin="1"/>
    <cellStyle name="Heading 2 2" xfId="27" xr:uid="{B8E1C210-9C34-4710-BD21-175CDBA18065}"/>
    <cellStyle name="Heading 3 2" xfId="25" xr:uid="{AF3EF641-5C1C-49C7-9169-BD3F9551ADBE}"/>
    <cellStyle name="Hyperlink" xfId="16" xr:uid="{00000000-0005-0000-0000-00000D000000}"/>
    <cellStyle name="Neutral" xfId="6" builtinId="28" customBuiltin="1"/>
    <cellStyle name="Normal" xfId="0" builtinId="0" customBuiltin="1"/>
    <cellStyle name="Normal 2" xfId="20" xr:uid="{00000000-0005-0000-0000-000010000000}"/>
    <cellStyle name="Normal 3" xfId="22" xr:uid="{6F49F27C-6F44-4A5F-8825-8A36C5A2BB5C}"/>
    <cellStyle name="Normal 4" xfId="24" xr:uid="{1F954D10-E2E9-4172-8858-6F90F09CD66F}"/>
    <cellStyle name="Normal 5" xfId="32" xr:uid="{30DCFE9D-3C3D-4CE1-A529-89A637EBC17E}"/>
    <cellStyle name="Note" xfId="7" builtinId="10" customBuiltin="1"/>
    <cellStyle name="Phone" xfId="28" xr:uid="{56D65A7A-4EFD-41A4-9E25-711C4B69174B}"/>
    <cellStyle name="Status" xfId="17" xr:uid="{00000000-0005-0000-0000-000012000000}"/>
    <cellStyle name="Text" xfId="18" xr:uid="{00000000-0005-0000-0000-000013000000}"/>
    <cellStyle name="Title 2" xfId="31" xr:uid="{A203051C-C05D-4A5B-81F0-E988BDAD59F3}"/>
    <cellStyle name="Warning" xfId="19" xr:uid="{00000000-0005-0000-0000-000014000000}"/>
  </cellStyles>
  <dxfs count="124">
    <dxf>
      <font>
        <color rgb="FFFF0000"/>
        <family val="2"/>
      </font>
      <fill>
        <patternFill patternType="solid">
          <fgColor rgb="FFFFFFFF"/>
          <bgColor rgb="FFFFFFFF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7"/>
        </patternFill>
      </fill>
    </dxf>
    <dxf>
      <font>
        <color rgb="FFFF0000"/>
      </font>
    </dxf>
    <dxf>
      <font>
        <color rgb="FFFF0000"/>
      </font>
    </dxf>
    <dxf>
      <font>
        <color rgb="FFBFBFBF"/>
        <family val="2"/>
      </font>
      <fill>
        <patternFill patternType="solid">
          <fgColor rgb="FFFFFFFF"/>
          <bgColor rgb="FFFFFFFF"/>
        </patternFill>
      </fill>
    </dxf>
    <dxf>
      <font>
        <color rgb="FFFF0000"/>
        <family val="2"/>
      </font>
      <fill>
        <patternFill patternType="solid">
          <fgColor rgb="FFFFFFFF"/>
          <bgColor rgb="FFFFFFFF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ill>
        <patternFill>
          <bgColor theme="7"/>
        </patternFill>
      </fill>
    </dxf>
    <dxf>
      <font>
        <color rgb="FFFF0000"/>
      </font>
    </dxf>
    <dxf>
      <font>
        <color rgb="FFBFBFBF"/>
        <family val="2"/>
      </font>
      <fill>
        <patternFill patternType="solid">
          <fgColor rgb="FFFFFFFF"/>
          <bgColor rgb="FFFFFFFF"/>
        </patternFill>
      </fill>
    </dxf>
    <dxf>
      <font>
        <color rgb="FFFFFFFF"/>
        <family val="2"/>
      </font>
      <fill>
        <patternFill patternType="solid">
          <fgColor rgb="FFFFFFFF"/>
          <bgColor rgb="FFFFFFFF"/>
        </patternFill>
      </fill>
    </dxf>
    <dxf>
      <font>
        <color rgb="FFFFFFFF"/>
        <family val="2"/>
      </font>
      <fill>
        <patternFill patternType="solid">
          <fgColor rgb="FFFFFFFF"/>
          <bgColor rgb="FFFFFFFF"/>
        </patternFill>
      </fill>
    </dxf>
    <dxf>
      <font>
        <color rgb="FFFFFFFF"/>
        <family val="2"/>
      </font>
      <fill>
        <patternFill patternType="solid">
          <fgColor rgb="FFFFFFFF"/>
          <bgColor rgb="FFFFFFFF"/>
        </patternFill>
      </fill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7" formatCode="yyyy\-mm\-dd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theme="0"/>
        </patternFill>
      </fill>
      <border>
        <left style="thin">
          <color theme="8" tint="0.59996337778862885"/>
        </left>
        <right style="thin">
          <color theme="8" tint="0.59996337778862885"/>
        </right>
        <top style="thin">
          <color theme="8" tint="0.59996337778862885"/>
        </top>
        <bottom style="thin">
          <color theme="8" tint="0.59996337778862885"/>
        </bottom>
        <vertical style="thin">
          <color theme="8" tint="0.59996337778862885"/>
        </vertical>
        <horizontal style="thin">
          <color theme="8" tint="0.59996337778862885"/>
        </horizontal>
      </border>
    </dxf>
    <dxf>
      <fill>
        <patternFill>
          <bgColor theme="0"/>
        </patternFill>
      </fill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  <dxf>
      <border>
        <left style="thin">
          <color theme="8" tint="0.59996337778862885"/>
        </left>
        <right style="thin">
          <color theme="8" tint="0.59996337778862885"/>
        </right>
        <top style="double">
          <color theme="8" tint="0.59996337778862885"/>
        </top>
        <bottom style="thin">
          <color theme="8" tint="0.59996337778862885"/>
        </bottom>
        <vertical style="thin">
          <color theme="8" tint="0.59996337778862885"/>
        </vertical>
      </border>
    </dxf>
    <dxf>
      <fill>
        <patternFill>
          <bgColor theme="8" tint="0.79998168889431442"/>
        </patternFill>
      </fill>
      <border>
        <left style="thin">
          <color theme="8" tint="0.59996337778862885"/>
        </left>
        <right style="thin">
          <color theme="8" tint="0.59996337778862885"/>
        </right>
        <top style="thin">
          <color theme="8" tint="0.59996337778862885"/>
        </top>
        <bottom style="thin">
          <color theme="8" tint="0.59996337778862885"/>
        </bottom>
        <vertical style="thin">
          <color theme="8" tint="0.59996337778862885"/>
        </vertic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504D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#,##0.00&quot; &quot;;&quot;(&quot;#,##0.00&quot;)&quot;;&quot;-&quot;#&quot; &quot;;&quot; &quot;@&quot; &quot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0.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504D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504D"/>
        <name val="Calibri"/>
        <family val="2"/>
        <scheme val="none"/>
      </font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rgb="FFF2F2F2"/>
          <bgColor rgb="FFF2F2F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</font>
    </dxf>
    <dxf>
      <alignment horizontal="left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504D"/>
        <name val="Calibri"/>
        <family val="2"/>
        <scheme val="none"/>
      </font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rgb="FFF2F2F2"/>
          <bgColor rgb="FFF2F2F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color rgb="FF00B050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9" tint="0.79998168889431442"/>
        </patternFill>
      </fill>
    </dxf>
    <dxf>
      <alignment horizontal="left" vertical="center"/>
    </dxf>
  </dxfs>
  <tableStyles count="1" defaultTableStyle="TableStyleMedium2" defaultPivotStyle="PivotStyleLight16">
    <tableStyle name="Invoice that calculates total" pivot="0" count="4" xr9:uid="{36228E66-A1B6-4172-87B5-70C6584CA4ED}">
      <tableStyleElement type="headerRow" dxfId="36"/>
      <tableStyleElement type="totalRow" dxfId="35"/>
      <tableStyleElement type="firstRowStripe" dxfId="34"/>
      <tableStyleElement type="secondRowStripe" dxfId="33"/>
    </tableStyle>
  </tableStyles>
  <colors>
    <mruColors>
      <color rgb="FFFC5B5B"/>
      <color rgb="FFD1C8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127</xdr:colOff>
      <xdr:row>54</xdr:row>
      <xdr:rowOff>76200</xdr:rowOff>
    </xdr:from>
    <xdr:ext cx="2133346" cy="704469"/>
    <xdr:pic>
      <xdr:nvPicPr>
        <xdr:cNvPr id="2" name="image1.png">
          <a:extLst>
            <a:ext uri="{FF2B5EF4-FFF2-40B4-BE49-F238E27FC236}">
              <a16:creationId xmlns:a16="http://schemas.microsoft.com/office/drawing/2014/main" id="{52E0D88C-1102-4B70-AC90-2F05EA49E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5287752" y="14678025"/>
          <a:ext cx="2133346" cy="704469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6</xdr:col>
      <xdr:colOff>476250</xdr:colOff>
      <xdr:row>0</xdr:row>
      <xdr:rowOff>114300</xdr:rowOff>
    </xdr:from>
    <xdr:to>
      <xdr:col>10</xdr:col>
      <xdr:colOff>196850</xdr:colOff>
      <xdr:row>3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2AADD3-9C00-4FE2-8452-25F95BA5EC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355" b="20646"/>
        <a:stretch/>
      </xdr:blipFill>
      <xdr:spPr>
        <a:xfrm>
          <a:off x="4083050" y="114300"/>
          <a:ext cx="2381250" cy="711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4ACB3B-95C1-474F-9C1B-9FC4FE4E807A}" name="EmployeeMaster" displayName="EmployeeMaster" ref="A1:M89" totalsRowShown="0" headerRowDxfId="32" headerRowBorderDxfId="30" tableBorderDxfId="31" totalsRowBorderDxfId="29">
  <autoFilter ref="A1:M89" xr:uid="{A636C5CD-687F-4908-A113-F45FABC67237}"/>
  <sortState xmlns:xlrd2="http://schemas.microsoft.com/office/spreadsheetml/2017/richdata2" ref="A2:M89">
    <sortCondition ref="A1:A89"/>
  </sortState>
  <tableColumns count="13">
    <tableColumn id="1" xr3:uid="{71E54964-95F0-4864-A262-0628772AD915}" name="Employee ID" dataDxfId="28"/>
    <tableColumn id="2" xr3:uid="{EB7E2612-C07F-4360-99FB-FD7D16758DC6}" name="Full Name" dataDxfId="27"/>
    <tableColumn id="3" xr3:uid="{E0AA607C-206F-4E7A-8A25-4408CDAE214D}" name="Department" dataDxfId="26"/>
    <tableColumn id="4" xr3:uid="{E5F72134-CFEF-45F6-82D3-8C2C97A3C808}" name="Bank" dataDxfId="25"/>
    <tableColumn id="5" xr3:uid="{E1D40731-AF64-4695-A434-F86DF1949CBC}" name="Branch" dataDxfId="24"/>
    <tableColumn id="6" xr3:uid="{F0A078EC-00CC-4495-88D8-87FF0D3B037A}" name="Account Number" dataDxfId="23"/>
    <tableColumn id="7" xr3:uid="{3C3FF4C2-73BF-467B-9AAF-B06B3E49AAC0}" name="Start Date" dataDxfId="22"/>
    <tableColumn id="8" xr3:uid="{C37343F4-2472-49BC-8A77-6B55A37F3936}" name="Phone Number" dataDxfId="21"/>
    <tableColumn id="9" xr3:uid="{194EBD8E-1038-4340-9EB6-37A8F9387B9A}" name="Email Address" dataDxfId="20"/>
    <tableColumn id="10" xr3:uid="{DD053B48-7216-40FD-9008-3EC5423D9FF9}" name="NIS Number" dataDxfId="19"/>
    <tableColumn id="11" xr3:uid="{0D20E8DF-B69F-4FF4-9D0F-8A1961D7A670}" name="BIR Number" dataDxfId="18"/>
    <tableColumn id="12" xr3:uid="{F2506CD7-7684-47EE-831D-8FAF3475C60E}" name="Employment Status" dataDxfId="17"/>
    <tableColumn id="13" xr3:uid="{F557C565-F539-4EBB-81D7-DC218CF7B704}" name="Termination Date" dataDxfId="1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454F87-5C69-497B-B037-5E4534F10D25}" name="Week1" displayName="Week1" ref="A1:U90" totalsRowCount="1" headerRowDxfId="123" totalsRowDxfId="122">
  <autoFilter ref="A1:U89" xr:uid="{D4454F87-5C69-497B-B037-5E4534F10D25}"/>
  <tableColumns count="21">
    <tableColumn id="1" xr3:uid="{540695DD-D596-48B9-BB28-8062C0B4F7A5}" name="Full Name" totalsRowLabel="Total" dataDxfId="121" totalsRowDxfId="57"/>
    <tableColumn id="2" xr3:uid="{233EDA3D-9E72-4AAC-A6C4-4DC844592C60}" name="Last Name" dataDxfId="120" totalsRowDxfId="56"/>
    <tableColumn id="3" xr3:uid="{5B51EA3F-9229-4917-8A85-242908D1C82B}" name="Department" dataDxfId="119" totalsRowDxfId="55"/>
    <tableColumn id="4" xr3:uid="{621647CB-DDCF-4F9D-BC21-836339A20A98}" name="Comments Week 1" dataDxfId="118" totalsRowDxfId="54"/>
    <tableColumn id="5" xr3:uid="{4230760D-ED69-4148-85FC-B335E8F8D264}" name="Day Rates" dataDxfId="117" totalsRowDxfId="53"/>
    <tableColumn id="6" xr3:uid="{86683348-CCCA-4D1F-9359-5E86DB7D6D12}" name="Basic Hours" totalsRowFunction="sum" dataDxfId="116" totalsRowDxfId="52"/>
    <tableColumn id="7" xr3:uid="{70A4BB36-1DAE-4061-B678-A8541039BEAE}" name="OT Hours" totalsRowFunction="sum" dataDxfId="115" totalsRowDxfId="51"/>
    <tableColumn id="20" xr3:uid="{466BFF80-9A70-4C97-B1BC-8C3BF59994CB}" name="DT Hours" totalsRowFunction="sum" dataDxfId="114" totalsRowDxfId="50"/>
    <tableColumn id="21" xr3:uid="{1877A2CC-141C-47D6-A76A-CE5F3220053C}" name="TT Hours" totalsRowFunction="sum" dataDxfId="113" totalsRowDxfId="49"/>
    <tableColumn id="8" xr3:uid="{C86A0E0E-4B06-4C11-8883-CAA845AED973}" name="Total       Days" dataDxfId="112" totalsRowDxfId="48"/>
    <tableColumn id="9" xr3:uid="{414B9E96-DAA7-4A09-B38F-3C508DCC3C18}" name="Job Income" totalsRowFunction="sum" dataDxfId="111" totalsRowDxfId="47" dataCellStyle="Currency"/>
    <tableColumn id="10" xr3:uid="{4E01C596-6EB9-4B81-A8D2-403181AF0503}" name="ST Income" totalsRowFunction="sum" dataDxfId="110" totalsRowDxfId="46"/>
    <tableColumn id="19" xr3:uid="{2F3F8380-5CA5-479F-BFF8-CED3479C0F46}" name="Minimum Wage" dataDxfId="109" totalsRowDxfId="45">
      <calculatedColumnFormula>IF(AND(Week1[[#This Row],[Job Income]]&lt;&gt;"", Week1[[#This Row],[Job Income]]&lt;Week1[[#This Row],[Basic Hours]]*20.5), Week1[[#This Row],[Basic Hours]]*20.5, 0)</calculatedColumnFormula>
    </tableColumn>
    <tableColumn id="11" xr3:uid="{577629C3-FCD3-4DAC-BDC1-667A3CE3D32F}" name="OT Income" totalsRowFunction="sum" dataDxfId="108" totalsRowDxfId="44"/>
    <tableColumn id="12" xr3:uid="{52DC485E-DA22-4DCF-BD48-5B4E74C895F9}" name="Additions" totalsRowFunction="sum" dataDxfId="107" totalsRowDxfId="43"/>
    <tableColumn id="13" xr3:uid="{B05834A6-5495-4175-B8E3-0A80030FA025}" name="Performance" totalsRowFunction="sum" dataDxfId="106" totalsRowDxfId="42"/>
    <tableColumn id="14" xr3:uid="{1FF6415D-E3CD-4DA2-BC2B-4BCAA426FD9C}" name="Total Allowance" totalsRowFunction="sum" dataDxfId="105" totalsRowDxfId="41"/>
    <tableColumn id="15" xr3:uid="{DD8C71E9-ACE6-4740-8730-E179A6DD6143}" name="Gross Wages " totalsRowFunction="sum" dataDxfId="104" totalsRowDxfId="40">
      <calculatedColumnFormula array="1">_xlfn.IFS(
    K2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calculatedColumnFormula>
    </tableColumn>
    <tableColumn id="16" xr3:uid="{830688CA-E578-4BEF-A229-9EB068AA424E}" name="HSUR" totalsRowFunction="sum" dataDxfId="103" totalsRowDxfId="39">
      <calculatedColumnFormula>IF(Week1[[#This Row],[Gross Wages ]]=0, 0, 8.25)</calculatedColumnFormula>
    </tableColumn>
    <tableColumn id="17" xr3:uid="{039AF299-8411-45C5-8E62-4BA580E5CB86}" name="Deductions" totalsRowFunction="sum" dataDxfId="102" totalsRowDxfId="38"/>
    <tableColumn id="18" xr3:uid="{9A080EF8-B6D1-4AEC-A1D7-2818D8FED7E5}" name="Net Wages" totalsRowFunction="sum" dataDxfId="101" totalsRowDxfId="3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E2034-94D0-4ABE-A6F5-605A948F98E9}" name="Week2" displayName="Week2" ref="A1:U90" totalsRowCount="1" headerRowDxfId="100" totalsRowDxfId="99">
  <autoFilter ref="A1:U89" xr:uid="{14DE2034-94D0-4ABE-A6F5-605A948F98E9}"/>
  <tableColumns count="21">
    <tableColumn id="1" xr3:uid="{6EF7D038-D126-4D34-A9F5-AC8341C0F0B8}" name="First Name" totalsRowLabel="Total" dataDxfId="98" totalsRowDxfId="97"/>
    <tableColumn id="2" xr3:uid="{8D2A386A-7EED-4258-A474-D6E2D33DDC68}" name="Last Name" dataDxfId="96" totalsRowDxfId="95"/>
    <tableColumn id="3" xr3:uid="{40BABA5B-71B4-4334-9853-E5DE7EB28BCC}" name="Department" dataDxfId="94" totalsRowDxfId="93">
      <calculatedColumnFormula>Week1[[#This Row],[Department]]</calculatedColumnFormula>
    </tableColumn>
    <tableColumn id="4" xr3:uid="{8B57CAF8-714A-48C9-BA1E-1612B234D236}" name="Comments Week 2" totalsRowDxfId="92"/>
    <tableColumn id="5" xr3:uid="{CE39EB4D-B7A3-4F51-9A57-B25A9BA0966D}" name="Day Rates" dataDxfId="91" totalsRowDxfId="90"/>
    <tableColumn id="6" xr3:uid="{885891DA-24F4-404D-B041-B2C32B1EFAB4}" name="Basic    Hours" dataDxfId="89" totalsRowDxfId="88"/>
    <tableColumn id="7" xr3:uid="{D195DDD9-D6B3-46D2-969C-1F548D148FAB}" name="OT Hours" totalsRowFunction="sum" dataDxfId="87" totalsRowDxfId="86"/>
    <tableColumn id="22" xr3:uid="{9E0BB7C9-C5BD-4E77-97FD-97716FC30991}" name="DT Hours" totalsRowFunction="sum" dataDxfId="85" totalsRowDxfId="84"/>
    <tableColumn id="23" xr3:uid="{1736E30B-C8B3-45CE-84C5-3867D1A0DD34}" name="TT Hours" totalsRowFunction="sum" dataDxfId="83" totalsRowDxfId="82"/>
    <tableColumn id="8" xr3:uid="{7C26845C-18DA-41C7-B384-B34C4D5E309E}" name="Total       Days" dataDxfId="81" totalsRowDxfId="80"/>
    <tableColumn id="9" xr3:uid="{2A422A9F-235C-4058-A395-D0A2087B01CD}" name="Job Income" totalsRowFunction="sum" dataDxfId="79" totalsRowDxfId="78"/>
    <tableColumn id="10" xr3:uid="{954530E9-C98D-432B-B457-A3EF1F93764E}" name="ST Income" totalsRowFunction="sum" dataDxfId="77" totalsRowDxfId="76"/>
    <tableColumn id="19" xr3:uid="{D41BD54F-A2C8-4803-8308-115EAE319370}" name="Minimum Wage" totalsRowFunction="sum" dataDxfId="75" totalsRowDxfId="74">
      <calculatedColumnFormula>IF(AND(Week2[[#This Row],[Job Income]]&lt;&gt;"", Week2[[#This Row],[Job Income]]&lt;Week2[[#This Row],[Basic    Hours]]*20.5), Week2[[#This Row],[Basic    Hours]]*20.5, 0)</calculatedColumnFormula>
    </tableColumn>
    <tableColumn id="11" xr3:uid="{DBF01BE2-308C-4999-9A35-EE8805DB1BA3}" name="OT Income" totalsRowFunction="sum" dataDxfId="73" totalsRowDxfId="72">
      <calculatedColumnFormula>(Week2[[#This Row],[Day Rates]]/8*Week2[[#This Row],[OT Hours]]*1.5)+(Week2[[#This Row],[Day Rates]]/8*Week2[[#This Row],[DT Hours]]*2)+(Week2[[#This Row],[Day Rates]]/8*Week2[[#This Row],[TT Hours]]*3)</calculatedColumnFormula>
    </tableColumn>
    <tableColumn id="12" xr3:uid="{69BBCA6D-FA32-4BE2-881C-1B163CAF9CDB}" name="Additions" totalsRowFunction="sum" dataDxfId="71" totalsRowDxfId="70"/>
    <tableColumn id="13" xr3:uid="{D497C774-3954-4049-A1D3-3FDEF343F3CF}" name="Performance" totalsRowFunction="sum" dataDxfId="69" totalsRowDxfId="68"/>
    <tableColumn id="14" xr3:uid="{83EB5C73-9FD3-4334-8986-E834279AE4B8}" name="Total Allowance" totalsRowFunction="sum" dataDxfId="67" totalsRowDxfId="66"/>
    <tableColumn id="15" xr3:uid="{CD314637-B00D-4271-908E-D6630A0B8E91}" name="Gross Wages " totalsRowFunction="sum" dataDxfId="65" totalsRowDxfId="64">
      <calculatedColumnFormula array="1">_xlfn.IFS(
    K2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calculatedColumnFormula>
    </tableColumn>
    <tableColumn id="16" xr3:uid="{C5170844-D991-4DC2-B808-7D8175E1CFF2}" name="HSUR" totalsRowFunction="sum" dataDxfId="63" totalsRowDxfId="62"/>
    <tableColumn id="17" xr3:uid="{458C8E85-DF5A-4B77-9C78-F7FAA387FC47}" name="Deductions" totalsRowFunction="sum" dataDxfId="61" totalsRowDxfId="60"/>
    <tableColumn id="18" xr3:uid="{5F22017F-C287-4864-8072-F0AECEC2AA6D}" name="Net Wages" totalsRowFunction="sum" dataDxfId="59" totalsRowDxfId="5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CBB3-3119-4835-9219-002BF8A717B0}">
  <dimension ref="A1:M89"/>
  <sheetViews>
    <sheetView workbookViewId="0">
      <selection activeCell="E5" sqref="E5"/>
    </sheetView>
  </sheetViews>
  <sheetFormatPr defaultRowHeight="14.5" x14ac:dyDescent="0.35"/>
  <cols>
    <col min="1" max="1" width="13.26953125" style="148" customWidth="1"/>
    <col min="2" max="2" width="19.08984375" style="148" bestFit="1" customWidth="1"/>
    <col min="3" max="3" width="17.1796875" style="148" customWidth="1"/>
    <col min="4" max="4" width="24.90625" style="148" customWidth="1"/>
    <col min="5" max="5" width="17.7265625" style="148" customWidth="1"/>
    <col min="6" max="6" width="16.90625" style="148" customWidth="1"/>
    <col min="7" max="7" width="12.453125" style="148" customWidth="1"/>
    <col min="8" max="8" width="15.453125" style="148" customWidth="1"/>
    <col min="9" max="9" width="31.90625" style="148" bestFit="1" customWidth="1"/>
    <col min="10" max="11" width="12.81640625" style="148" customWidth="1"/>
    <col min="12" max="12" width="19.1796875" style="148" customWidth="1"/>
    <col min="13" max="13" width="17.54296875" style="148" customWidth="1"/>
    <col min="14" max="16384" width="8.7265625" style="148"/>
  </cols>
  <sheetData>
    <row r="1" spans="1:13" s="148" customFormat="1" ht="20" customHeight="1" x14ac:dyDescent="0.35">
      <c r="A1" s="161" t="s">
        <v>861</v>
      </c>
      <c r="B1" s="160" t="s">
        <v>210</v>
      </c>
      <c r="C1" s="160" t="s">
        <v>2</v>
      </c>
      <c r="D1" s="160" t="s">
        <v>211</v>
      </c>
      <c r="E1" s="160" t="s">
        <v>212</v>
      </c>
      <c r="F1" s="160" t="s">
        <v>860</v>
      </c>
      <c r="G1" s="160" t="s">
        <v>859</v>
      </c>
      <c r="H1" s="160" t="s">
        <v>858</v>
      </c>
      <c r="I1" s="160" t="s">
        <v>857</v>
      </c>
      <c r="J1" s="160" t="s">
        <v>856</v>
      </c>
      <c r="K1" s="160" t="s">
        <v>855</v>
      </c>
      <c r="L1" s="160" t="s">
        <v>854</v>
      </c>
      <c r="M1" s="159" t="s">
        <v>853</v>
      </c>
    </row>
    <row r="2" spans="1:13" s="148" customFormat="1" ht="20" customHeight="1" x14ac:dyDescent="0.35">
      <c r="A2" s="158" t="s">
        <v>852</v>
      </c>
      <c r="B2" s="155" t="s">
        <v>851</v>
      </c>
      <c r="C2" s="155" t="s">
        <v>286</v>
      </c>
      <c r="D2" s="155" t="s">
        <v>253</v>
      </c>
      <c r="E2" s="155" t="s">
        <v>368</v>
      </c>
      <c r="F2" s="157" t="s">
        <v>850</v>
      </c>
      <c r="G2" s="156">
        <v>45160</v>
      </c>
      <c r="H2" s="155" t="s">
        <v>849</v>
      </c>
      <c r="I2" s="155" t="s">
        <v>848</v>
      </c>
      <c r="J2" s="155" t="s">
        <v>847</v>
      </c>
      <c r="K2" s="155" t="s">
        <v>846</v>
      </c>
      <c r="L2" s="155" t="s">
        <v>246</v>
      </c>
      <c r="M2" s="154"/>
    </row>
    <row r="3" spans="1:13" s="148" customFormat="1" ht="20" customHeight="1" x14ac:dyDescent="0.35">
      <c r="A3" s="158" t="s">
        <v>845</v>
      </c>
      <c r="B3" s="155" t="s">
        <v>844</v>
      </c>
      <c r="C3" s="155" t="s">
        <v>310</v>
      </c>
      <c r="D3" s="155" t="s">
        <v>309</v>
      </c>
      <c r="E3" s="155" t="s">
        <v>269</v>
      </c>
      <c r="F3" s="157" t="s">
        <v>843</v>
      </c>
      <c r="G3" s="156">
        <v>45270</v>
      </c>
      <c r="H3" s="155" t="s">
        <v>842</v>
      </c>
      <c r="I3" s="155" t="s">
        <v>841</v>
      </c>
      <c r="J3" s="155" t="s">
        <v>840</v>
      </c>
      <c r="K3" s="155" t="s">
        <v>839</v>
      </c>
      <c r="L3" s="155" t="s">
        <v>246</v>
      </c>
      <c r="M3" s="154"/>
    </row>
    <row r="4" spans="1:13" s="148" customFormat="1" ht="20" customHeight="1" x14ac:dyDescent="0.35">
      <c r="A4" s="158" t="s">
        <v>838</v>
      </c>
      <c r="B4" s="155" t="s">
        <v>837</v>
      </c>
      <c r="C4" s="155" t="s">
        <v>295</v>
      </c>
      <c r="D4" s="155" t="s">
        <v>278</v>
      </c>
      <c r="E4" s="155" t="s">
        <v>252</v>
      </c>
      <c r="F4" s="157" t="s">
        <v>836</v>
      </c>
      <c r="G4" s="156">
        <v>44089</v>
      </c>
      <c r="H4" s="155" t="s">
        <v>835</v>
      </c>
      <c r="I4" s="155" t="s">
        <v>834</v>
      </c>
      <c r="J4" s="155" t="s">
        <v>833</v>
      </c>
      <c r="K4" s="155" t="s">
        <v>832</v>
      </c>
      <c r="L4" s="155" t="s">
        <v>246</v>
      </c>
      <c r="M4" s="154"/>
    </row>
    <row r="5" spans="1:13" s="148" customFormat="1" ht="20" customHeight="1" x14ac:dyDescent="0.35">
      <c r="A5" s="158" t="s">
        <v>831</v>
      </c>
      <c r="B5" s="155" t="s">
        <v>830</v>
      </c>
      <c r="C5" s="155" t="s">
        <v>286</v>
      </c>
      <c r="D5" s="155" t="s">
        <v>253</v>
      </c>
      <c r="E5" s="155" t="s">
        <v>294</v>
      </c>
      <c r="F5" s="157" t="s">
        <v>829</v>
      </c>
      <c r="G5" s="156">
        <v>44768</v>
      </c>
      <c r="H5" s="155" t="s">
        <v>828</v>
      </c>
      <c r="I5" s="155" t="s">
        <v>827</v>
      </c>
      <c r="J5" s="155" t="s">
        <v>826</v>
      </c>
      <c r="K5" s="155" t="s">
        <v>825</v>
      </c>
      <c r="L5" s="155" t="s">
        <v>246</v>
      </c>
      <c r="M5" s="154"/>
    </row>
    <row r="6" spans="1:13" s="148" customFormat="1" ht="20" customHeight="1" x14ac:dyDescent="0.35">
      <c r="A6" s="158" t="s">
        <v>824</v>
      </c>
      <c r="B6" s="155" t="s">
        <v>823</v>
      </c>
      <c r="C6" s="155" t="s">
        <v>286</v>
      </c>
      <c r="D6" s="155" t="s">
        <v>278</v>
      </c>
      <c r="E6" s="155" t="s">
        <v>269</v>
      </c>
      <c r="F6" s="157" t="s">
        <v>822</v>
      </c>
      <c r="G6" s="156">
        <v>45552</v>
      </c>
      <c r="H6" s="155" t="s">
        <v>821</v>
      </c>
      <c r="I6" s="155" t="s">
        <v>820</v>
      </c>
      <c r="J6" s="155" t="s">
        <v>819</v>
      </c>
      <c r="K6" s="155" t="s">
        <v>818</v>
      </c>
      <c r="L6" s="155" t="s">
        <v>246</v>
      </c>
      <c r="M6" s="154"/>
    </row>
    <row r="7" spans="1:13" s="148" customFormat="1" ht="20" customHeight="1" x14ac:dyDescent="0.35">
      <c r="A7" s="158" t="s">
        <v>817</v>
      </c>
      <c r="B7" s="155" t="s">
        <v>816</v>
      </c>
      <c r="C7" s="155" t="s">
        <v>310</v>
      </c>
      <c r="D7" s="155" t="s">
        <v>270</v>
      </c>
      <c r="E7" s="155" t="s">
        <v>252</v>
      </c>
      <c r="F7" s="157" t="s">
        <v>815</v>
      </c>
      <c r="G7" s="156">
        <v>45473</v>
      </c>
      <c r="H7" s="155" t="s">
        <v>814</v>
      </c>
      <c r="I7" s="155" t="s">
        <v>813</v>
      </c>
      <c r="J7" s="155" t="s">
        <v>812</v>
      </c>
      <c r="K7" s="155" t="s">
        <v>811</v>
      </c>
      <c r="L7" s="155" t="s">
        <v>246</v>
      </c>
      <c r="M7" s="154"/>
    </row>
    <row r="8" spans="1:13" s="148" customFormat="1" ht="20" customHeight="1" x14ac:dyDescent="0.35">
      <c r="A8" s="158" t="s">
        <v>810</v>
      </c>
      <c r="B8" s="155" t="s">
        <v>809</v>
      </c>
      <c r="C8" s="155" t="s">
        <v>317</v>
      </c>
      <c r="D8" s="155" t="s">
        <v>278</v>
      </c>
      <c r="E8" s="155" t="s">
        <v>325</v>
      </c>
      <c r="F8" s="157" t="s">
        <v>808</v>
      </c>
      <c r="G8" s="156">
        <v>45222</v>
      </c>
      <c r="H8" s="155" t="s">
        <v>807</v>
      </c>
      <c r="I8" s="155" t="s">
        <v>806</v>
      </c>
      <c r="J8" s="155" t="s">
        <v>805</v>
      </c>
      <c r="K8" s="155" t="s">
        <v>804</v>
      </c>
      <c r="L8" s="155" t="s">
        <v>246</v>
      </c>
      <c r="M8" s="154"/>
    </row>
    <row r="9" spans="1:13" s="148" customFormat="1" ht="20" customHeight="1" x14ac:dyDescent="0.35">
      <c r="A9" s="158" t="s">
        <v>803</v>
      </c>
      <c r="B9" s="155" t="s">
        <v>802</v>
      </c>
      <c r="C9" s="155" t="s">
        <v>317</v>
      </c>
      <c r="D9" s="155" t="s">
        <v>253</v>
      </c>
      <c r="E9" s="155" t="s">
        <v>325</v>
      </c>
      <c r="F9" s="157" t="s">
        <v>801</v>
      </c>
      <c r="G9" s="156">
        <v>44906</v>
      </c>
      <c r="H9" s="155" t="s">
        <v>800</v>
      </c>
      <c r="I9" s="155" t="s">
        <v>799</v>
      </c>
      <c r="J9" s="155" t="s">
        <v>798</v>
      </c>
      <c r="K9" s="155" t="s">
        <v>797</v>
      </c>
      <c r="L9" s="155" t="s">
        <v>246</v>
      </c>
      <c r="M9" s="154"/>
    </row>
    <row r="10" spans="1:13" s="148" customFormat="1" ht="20" customHeight="1" x14ac:dyDescent="0.35">
      <c r="A10" s="158" t="s">
        <v>796</v>
      </c>
      <c r="B10" s="155" t="s">
        <v>795</v>
      </c>
      <c r="C10" s="155" t="s">
        <v>317</v>
      </c>
      <c r="D10" s="155" t="s">
        <v>253</v>
      </c>
      <c r="E10" s="155" t="s">
        <v>325</v>
      </c>
      <c r="F10" s="157" t="s">
        <v>794</v>
      </c>
      <c r="G10" s="156">
        <v>45444</v>
      </c>
      <c r="H10" s="155" t="s">
        <v>793</v>
      </c>
      <c r="I10" s="155" t="s">
        <v>792</v>
      </c>
      <c r="J10" s="155" t="s">
        <v>791</v>
      </c>
      <c r="K10" s="155" t="s">
        <v>790</v>
      </c>
      <c r="L10" s="155" t="s">
        <v>246</v>
      </c>
      <c r="M10" s="154"/>
    </row>
    <row r="11" spans="1:13" s="148" customFormat="1" ht="20" customHeight="1" x14ac:dyDescent="0.35">
      <c r="A11" s="158" t="s">
        <v>789</v>
      </c>
      <c r="B11" s="155" t="s">
        <v>788</v>
      </c>
      <c r="C11" s="155" t="s">
        <v>254</v>
      </c>
      <c r="D11" s="155" t="s">
        <v>253</v>
      </c>
      <c r="E11" s="155" t="s">
        <v>325</v>
      </c>
      <c r="F11" s="157" t="s">
        <v>787</v>
      </c>
      <c r="G11" s="156">
        <v>45076</v>
      </c>
      <c r="H11" s="155" t="s">
        <v>786</v>
      </c>
      <c r="I11" s="155" t="s">
        <v>785</v>
      </c>
      <c r="J11" s="155" t="s">
        <v>784</v>
      </c>
      <c r="K11" s="155" t="s">
        <v>783</v>
      </c>
      <c r="L11" s="155" t="s">
        <v>246</v>
      </c>
      <c r="M11" s="154"/>
    </row>
    <row r="12" spans="1:13" s="148" customFormat="1" ht="20" customHeight="1" x14ac:dyDescent="0.35">
      <c r="A12" s="158" t="s">
        <v>782</v>
      </c>
      <c r="B12" s="155" t="s">
        <v>781</v>
      </c>
      <c r="C12" s="155" t="s">
        <v>254</v>
      </c>
      <c r="D12" s="155" t="s">
        <v>253</v>
      </c>
      <c r="E12" s="155" t="s">
        <v>294</v>
      </c>
      <c r="F12" s="157" t="s">
        <v>780</v>
      </c>
      <c r="G12" s="156">
        <v>45776</v>
      </c>
      <c r="H12" s="155" t="s">
        <v>779</v>
      </c>
      <c r="I12" s="155" t="s">
        <v>778</v>
      </c>
      <c r="J12" s="155" t="s">
        <v>777</v>
      </c>
      <c r="K12" s="155" t="s">
        <v>776</v>
      </c>
      <c r="L12" s="155" t="s">
        <v>246</v>
      </c>
      <c r="M12" s="154"/>
    </row>
    <row r="13" spans="1:13" s="148" customFormat="1" ht="20" customHeight="1" x14ac:dyDescent="0.35">
      <c r="A13" s="158" t="s">
        <v>775</v>
      </c>
      <c r="B13" s="155" t="s">
        <v>326</v>
      </c>
      <c r="C13" s="155" t="s">
        <v>254</v>
      </c>
      <c r="D13" s="155" t="s">
        <v>270</v>
      </c>
      <c r="E13" s="155" t="s">
        <v>294</v>
      </c>
      <c r="F13" s="157" t="s">
        <v>774</v>
      </c>
      <c r="G13" s="156">
        <v>44642</v>
      </c>
      <c r="H13" s="155" t="s">
        <v>773</v>
      </c>
      <c r="I13" s="155" t="s">
        <v>322</v>
      </c>
      <c r="J13" s="155" t="s">
        <v>772</v>
      </c>
      <c r="K13" s="155" t="s">
        <v>771</v>
      </c>
      <c r="L13" s="155" t="s">
        <v>246</v>
      </c>
      <c r="M13" s="154"/>
    </row>
    <row r="14" spans="1:13" s="148" customFormat="1" ht="20" customHeight="1" x14ac:dyDescent="0.35">
      <c r="A14" s="158" t="s">
        <v>770</v>
      </c>
      <c r="B14" s="155" t="s">
        <v>361</v>
      </c>
      <c r="C14" s="155" t="s">
        <v>310</v>
      </c>
      <c r="D14" s="155" t="s">
        <v>270</v>
      </c>
      <c r="E14" s="155" t="s">
        <v>269</v>
      </c>
      <c r="F14" s="157" t="s">
        <v>769</v>
      </c>
      <c r="G14" s="156">
        <v>45532</v>
      </c>
      <c r="H14" s="155" t="s">
        <v>768</v>
      </c>
      <c r="I14" s="155" t="s">
        <v>358</v>
      </c>
      <c r="J14" s="155" t="s">
        <v>767</v>
      </c>
      <c r="K14" s="155" t="s">
        <v>766</v>
      </c>
      <c r="L14" s="155" t="s">
        <v>246</v>
      </c>
      <c r="M14" s="154"/>
    </row>
    <row r="15" spans="1:13" s="148" customFormat="1" ht="20" customHeight="1" x14ac:dyDescent="0.35">
      <c r="A15" s="158" t="s">
        <v>765</v>
      </c>
      <c r="B15" s="155" t="s">
        <v>764</v>
      </c>
      <c r="C15" s="155" t="s">
        <v>254</v>
      </c>
      <c r="D15" s="155" t="s">
        <v>278</v>
      </c>
      <c r="E15" s="155" t="s">
        <v>269</v>
      </c>
      <c r="F15" s="157" t="s">
        <v>763</v>
      </c>
      <c r="G15" s="156">
        <v>44396</v>
      </c>
      <c r="H15" s="155" t="s">
        <v>762</v>
      </c>
      <c r="I15" s="155" t="s">
        <v>761</v>
      </c>
      <c r="J15" s="155" t="s">
        <v>760</v>
      </c>
      <c r="K15" s="155" t="s">
        <v>759</v>
      </c>
      <c r="L15" s="155" t="s">
        <v>246</v>
      </c>
      <c r="M15" s="154"/>
    </row>
    <row r="16" spans="1:13" s="148" customFormat="1" ht="20" customHeight="1" x14ac:dyDescent="0.35">
      <c r="A16" s="158" t="s">
        <v>758</v>
      </c>
      <c r="B16" s="155" t="s">
        <v>757</v>
      </c>
      <c r="C16" s="155" t="s">
        <v>295</v>
      </c>
      <c r="D16" s="155" t="s">
        <v>309</v>
      </c>
      <c r="E16" s="155" t="s">
        <v>269</v>
      </c>
      <c r="F16" s="157" t="s">
        <v>756</v>
      </c>
      <c r="G16" s="156">
        <v>44839</v>
      </c>
      <c r="H16" s="155" t="s">
        <v>755</v>
      </c>
      <c r="I16" s="155" t="s">
        <v>754</v>
      </c>
      <c r="J16" s="155" t="s">
        <v>753</v>
      </c>
      <c r="K16" s="155" t="s">
        <v>752</v>
      </c>
      <c r="L16" s="155" t="s">
        <v>246</v>
      </c>
      <c r="M16" s="154"/>
    </row>
    <row r="17" spans="1:13" s="148" customFormat="1" ht="20" customHeight="1" x14ac:dyDescent="0.35">
      <c r="A17" s="158" t="s">
        <v>751</v>
      </c>
      <c r="B17" s="155" t="s">
        <v>354</v>
      </c>
      <c r="C17" s="155" t="s">
        <v>295</v>
      </c>
      <c r="D17" s="155" t="s">
        <v>253</v>
      </c>
      <c r="E17" s="155" t="s">
        <v>294</v>
      </c>
      <c r="F17" s="157" t="s">
        <v>750</v>
      </c>
      <c r="G17" s="156">
        <v>44398</v>
      </c>
      <c r="H17" s="155" t="s">
        <v>749</v>
      </c>
      <c r="I17" s="155" t="s">
        <v>351</v>
      </c>
      <c r="J17" s="155" t="s">
        <v>748</v>
      </c>
      <c r="K17" s="155" t="s">
        <v>747</v>
      </c>
      <c r="L17" s="155" t="s">
        <v>246</v>
      </c>
      <c r="M17" s="154"/>
    </row>
    <row r="18" spans="1:13" s="148" customFormat="1" ht="20" customHeight="1" x14ac:dyDescent="0.35">
      <c r="A18" s="158" t="s">
        <v>746</v>
      </c>
      <c r="B18" s="155" t="s">
        <v>745</v>
      </c>
      <c r="C18" s="155" t="s">
        <v>254</v>
      </c>
      <c r="D18" s="155" t="s">
        <v>309</v>
      </c>
      <c r="E18" s="155" t="s">
        <v>269</v>
      </c>
      <c r="F18" s="157" t="s">
        <v>744</v>
      </c>
      <c r="G18" s="156">
        <v>44258</v>
      </c>
      <c r="H18" s="155" t="s">
        <v>743</v>
      </c>
      <c r="I18" s="155" t="s">
        <v>742</v>
      </c>
      <c r="J18" s="155" t="s">
        <v>741</v>
      </c>
      <c r="K18" s="155" t="s">
        <v>740</v>
      </c>
      <c r="L18" s="155" t="s">
        <v>246</v>
      </c>
      <c r="M18" s="154"/>
    </row>
    <row r="19" spans="1:13" s="148" customFormat="1" ht="20" customHeight="1" x14ac:dyDescent="0.35">
      <c r="A19" s="158" t="s">
        <v>739</v>
      </c>
      <c r="B19" s="155" t="s">
        <v>738</v>
      </c>
      <c r="C19" s="155" t="s">
        <v>254</v>
      </c>
      <c r="D19" s="155" t="s">
        <v>253</v>
      </c>
      <c r="E19" s="155" t="s">
        <v>269</v>
      </c>
      <c r="F19" s="157" t="s">
        <v>737</v>
      </c>
      <c r="G19" s="156">
        <v>44742</v>
      </c>
      <c r="H19" s="155" t="s">
        <v>736</v>
      </c>
      <c r="I19" s="155" t="s">
        <v>735</v>
      </c>
      <c r="J19" s="155" t="s">
        <v>734</v>
      </c>
      <c r="K19" s="155" t="s">
        <v>733</v>
      </c>
      <c r="L19" s="155" t="s">
        <v>246</v>
      </c>
      <c r="M19" s="154"/>
    </row>
    <row r="20" spans="1:13" s="148" customFormat="1" ht="20" customHeight="1" x14ac:dyDescent="0.35">
      <c r="A20" s="158" t="s">
        <v>732</v>
      </c>
      <c r="B20" s="155" t="s">
        <v>731</v>
      </c>
      <c r="C20" s="155" t="s">
        <v>317</v>
      </c>
      <c r="D20" s="155" t="s">
        <v>278</v>
      </c>
      <c r="E20" s="155" t="s">
        <v>368</v>
      </c>
      <c r="F20" s="157" t="s">
        <v>730</v>
      </c>
      <c r="G20" s="156">
        <v>45618</v>
      </c>
      <c r="H20" s="155" t="s">
        <v>729</v>
      </c>
      <c r="I20" s="155" t="s">
        <v>728</v>
      </c>
      <c r="J20" s="155" t="s">
        <v>727</v>
      </c>
      <c r="K20" s="155" t="s">
        <v>726</v>
      </c>
      <c r="L20" s="155" t="s">
        <v>246</v>
      </c>
      <c r="M20" s="154"/>
    </row>
    <row r="21" spans="1:13" s="148" customFormat="1" ht="20" customHeight="1" x14ac:dyDescent="0.35">
      <c r="A21" s="158" t="s">
        <v>725</v>
      </c>
      <c r="B21" s="155" t="s">
        <v>724</v>
      </c>
      <c r="C21" s="155" t="s">
        <v>310</v>
      </c>
      <c r="D21" s="155" t="s">
        <v>270</v>
      </c>
      <c r="E21" s="155" t="s">
        <v>294</v>
      </c>
      <c r="F21" s="157" t="s">
        <v>723</v>
      </c>
      <c r="G21" s="156">
        <v>44420</v>
      </c>
      <c r="H21" s="155" t="s">
        <v>722</v>
      </c>
      <c r="I21" s="155" t="s">
        <v>721</v>
      </c>
      <c r="J21" s="155" t="s">
        <v>720</v>
      </c>
      <c r="K21" s="155" t="s">
        <v>719</v>
      </c>
      <c r="L21" s="155" t="s">
        <v>246</v>
      </c>
      <c r="M21" s="154"/>
    </row>
    <row r="22" spans="1:13" s="148" customFormat="1" ht="20" customHeight="1" x14ac:dyDescent="0.35">
      <c r="A22" s="158" t="s">
        <v>718</v>
      </c>
      <c r="B22" s="155" t="s">
        <v>717</v>
      </c>
      <c r="C22" s="155" t="s">
        <v>317</v>
      </c>
      <c r="D22" s="155" t="s">
        <v>253</v>
      </c>
      <c r="E22" s="155" t="s">
        <v>252</v>
      </c>
      <c r="F22" s="157" t="s">
        <v>716</v>
      </c>
      <c r="G22" s="156">
        <v>44927</v>
      </c>
      <c r="H22" s="155" t="s">
        <v>715</v>
      </c>
      <c r="I22" s="155" t="s">
        <v>714</v>
      </c>
      <c r="J22" s="155" t="s">
        <v>713</v>
      </c>
      <c r="K22" s="155" t="s">
        <v>712</v>
      </c>
      <c r="L22" s="155" t="s">
        <v>246</v>
      </c>
      <c r="M22" s="154"/>
    </row>
    <row r="23" spans="1:13" s="148" customFormat="1" ht="20" customHeight="1" x14ac:dyDescent="0.35">
      <c r="A23" s="158" t="s">
        <v>711</v>
      </c>
      <c r="B23" s="155" t="s">
        <v>710</v>
      </c>
      <c r="C23" s="155" t="s">
        <v>317</v>
      </c>
      <c r="D23" s="155" t="s">
        <v>309</v>
      </c>
      <c r="E23" s="155" t="s">
        <v>294</v>
      </c>
      <c r="F23" s="157" t="s">
        <v>709</v>
      </c>
      <c r="G23" s="156">
        <v>44270</v>
      </c>
      <c r="H23" s="155" t="s">
        <v>708</v>
      </c>
      <c r="I23" s="155" t="s">
        <v>707</v>
      </c>
      <c r="J23" s="155" t="s">
        <v>706</v>
      </c>
      <c r="K23" s="155" t="s">
        <v>705</v>
      </c>
      <c r="L23" s="155" t="s">
        <v>246</v>
      </c>
      <c r="M23" s="154"/>
    </row>
    <row r="24" spans="1:13" s="148" customFormat="1" ht="20" customHeight="1" x14ac:dyDescent="0.35">
      <c r="A24" s="158" t="s">
        <v>704</v>
      </c>
      <c r="B24" s="155" t="s">
        <v>703</v>
      </c>
      <c r="C24" s="155" t="s">
        <v>310</v>
      </c>
      <c r="D24" s="155" t="s">
        <v>253</v>
      </c>
      <c r="E24" s="155" t="s">
        <v>368</v>
      </c>
      <c r="F24" s="157" t="s">
        <v>702</v>
      </c>
      <c r="G24" s="156">
        <v>44193</v>
      </c>
      <c r="H24" s="155" t="s">
        <v>701</v>
      </c>
      <c r="I24" s="155" t="s">
        <v>700</v>
      </c>
      <c r="J24" s="155" t="s">
        <v>699</v>
      </c>
      <c r="K24" s="155" t="s">
        <v>698</v>
      </c>
      <c r="L24" s="155" t="s">
        <v>246</v>
      </c>
      <c r="M24" s="154"/>
    </row>
    <row r="25" spans="1:13" s="148" customFormat="1" ht="20" customHeight="1" x14ac:dyDescent="0.35">
      <c r="A25" s="158" t="s">
        <v>697</v>
      </c>
      <c r="B25" s="155" t="s">
        <v>376</v>
      </c>
      <c r="C25" s="155" t="s">
        <v>310</v>
      </c>
      <c r="D25" s="155" t="s">
        <v>253</v>
      </c>
      <c r="E25" s="155" t="s">
        <v>252</v>
      </c>
      <c r="F25" s="157" t="s">
        <v>696</v>
      </c>
      <c r="G25" s="156">
        <v>44989</v>
      </c>
      <c r="H25" s="155" t="s">
        <v>695</v>
      </c>
      <c r="I25" s="155" t="s">
        <v>373</v>
      </c>
      <c r="J25" s="155" t="s">
        <v>694</v>
      </c>
      <c r="K25" s="155" t="s">
        <v>693</v>
      </c>
      <c r="L25" s="155" t="s">
        <v>246</v>
      </c>
      <c r="M25" s="154"/>
    </row>
    <row r="26" spans="1:13" s="148" customFormat="1" ht="20" customHeight="1" x14ac:dyDescent="0.35">
      <c r="A26" s="158" t="s">
        <v>692</v>
      </c>
      <c r="B26" s="155" t="s">
        <v>691</v>
      </c>
      <c r="C26" s="155" t="s">
        <v>295</v>
      </c>
      <c r="D26" s="155" t="s">
        <v>309</v>
      </c>
      <c r="E26" s="155" t="s">
        <v>368</v>
      </c>
      <c r="F26" s="157" t="s">
        <v>690</v>
      </c>
      <c r="G26" s="156">
        <v>45430</v>
      </c>
      <c r="H26" s="155" t="s">
        <v>689</v>
      </c>
      <c r="I26" s="155" t="s">
        <v>688</v>
      </c>
      <c r="J26" s="155" t="s">
        <v>687</v>
      </c>
      <c r="K26" s="155" t="s">
        <v>686</v>
      </c>
      <c r="L26" s="155" t="s">
        <v>246</v>
      </c>
      <c r="M26" s="154"/>
    </row>
    <row r="27" spans="1:13" s="148" customFormat="1" ht="20" customHeight="1" x14ac:dyDescent="0.35">
      <c r="A27" s="158" t="s">
        <v>685</v>
      </c>
      <c r="B27" s="155" t="s">
        <v>684</v>
      </c>
      <c r="C27" s="155" t="s">
        <v>310</v>
      </c>
      <c r="D27" s="155" t="s">
        <v>253</v>
      </c>
      <c r="E27" s="155" t="s">
        <v>252</v>
      </c>
      <c r="F27" s="157" t="s">
        <v>683</v>
      </c>
      <c r="G27" s="156">
        <v>45703</v>
      </c>
      <c r="H27" s="155" t="s">
        <v>682</v>
      </c>
      <c r="I27" s="155" t="s">
        <v>681</v>
      </c>
      <c r="J27" s="155" t="s">
        <v>680</v>
      </c>
      <c r="K27" s="155" t="s">
        <v>679</v>
      </c>
      <c r="L27" s="155" t="s">
        <v>246</v>
      </c>
      <c r="M27" s="154"/>
    </row>
    <row r="28" spans="1:13" s="148" customFormat="1" ht="20" customHeight="1" x14ac:dyDescent="0.35">
      <c r="A28" s="158" t="s">
        <v>678</v>
      </c>
      <c r="B28" s="155" t="s">
        <v>465</v>
      </c>
      <c r="C28" s="155" t="s">
        <v>295</v>
      </c>
      <c r="D28" s="155" t="s">
        <v>253</v>
      </c>
      <c r="E28" s="155" t="s">
        <v>252</v>
      </c>
      <c r="F28" s="157" t="s">
        <v>677</v>
      </c>
      <c r="G28" s="156">
        <v>44276</v>
      </c>
      <c r="H28" s="155" t="s">
        <v>676</v>
      </c>
      <c r="I28" s="155" t="s">
        <v>462</v>
      </c>
      <c r="J28" s="155" t="s">
        <v>675</v>
      </c>
      <c r="K28" s="155" t="s">
        <v>674</v>
      </c>
      <c r="L28" s="155" t="s">
        <v>246</v>
      </c>
      <c r="M28" s="154"/>
    </row>
    <row r="29" spans="1:13" s="148" customFormat="1" ht="20" customHeight="1" x14ac:dyDescent="0.35">
      <c r="A29" s="158" t="s">
        <v>673</v>
      </c>
      <c r="B29" s="155" t="s">
        <v>672</v>
      </c>
      <c r="C29" s="155" t="s">
        <v>286</v>
      </c>
      <c r="D29" s="155" t="s">
        <v>278</v>
      </c>
      <c r="E29" s="155" t="s">
        <v>252</v>
      </c>
      <c r="F29" s="157" t="s">
        <v>671</v>
      </c>
      <c r="G29" s="156">
        <v>45063</v>
      </c>
      <c r="H29" s="155" t="s">
        <v>670</v>
      </c>
      <c r="I29" s="155" t="s">
        <v>669</v>
      </c>
      <c r="J29" s="155" t="s">
        <v>668</v>
      </c>
      <c r="K29" s="155" t="s">
        <v>667</v>
      </c>
      <c r="L29" s="155" t="s">
        <v>246</v>
      </c>
      <c r="M29" s="154"/>
    </row>
    <row r="30" spans="1:13" s="148" customFormat="1" ht="20" customHeight="1" x14ac:dyDescent="0.35">
      <c r="A30" s="158" t="s">
        <v>666</v>
      </c>
      <c r="B30" s="155" t="s">
        <v>665</v>
      </c>
      <c r="C30" s="155" t="s">
        <v>317</v>
      </c>
      <c r="D30" s="155" t="s">
        <v>309</v>
      </c>
      <c r="E30" s="155" t="s">
        <v>269</v>
      </c>
      <c r="F30" s="157" t="s">
        <v>664</v>
      </c>
      <c r="G30" s="156">
        <v>45312</v>
      </c>
      <c r="H30" s="155" t="s">
        <v>663</v>
      </c>
      <c r="I30" s="155" t="s">
        <v>662</v>
      </c>
      <c r="J30" s="155" t="s">
        <v>661</v>
      </c>
      <c r="K30" s="155" t="s">
        <v>660</v>
      </c>
      <c r="L30" s="155" t="s">
        <v>246</v>
      </c>
      <c r="M30" s="154"/>
    </row>
    <row r="31" spans="1:13" s="148" customFormat="1" ht="20" customHeight="1" x14ac:dyDescent="0.35">
      <c r="A31" s="158" t="s">
        <v>659</v>
      </c>
      <c r="B31" s="155" t="s">
        <v>658</v>
      </c>
      <c r="C31" s="155" t="s">
        <v>317</v>
      </c>
      <c r="D31" s="155" t="s">
        <v>270</v>
      </c>
      <c r="E31" s="155" t="s">
        <v>252</v>
      </c>
      <c r="F31" s="157" t="s">
        <v>657</v>
      </c>
      <c r="G31" s="156">
        <v>44946</v>
      </c>
      <c r="H31" s="155" t="s">
        <v>656</v>
      </c>
      <c r="I31" s="155" t="s">
        <v>655</v>
      </c>
      <c r="J31" s="155" t="s">
        <v>654</v>
      </c>
      <c r="K31" s="155" t="s">
        <v>653</v>
      </c>
      <c r="L31" s="155" t="s">
        <v>246</v>
      </c>
      <c r="M31" s="154"/>
    </row>
    <row r="32" spans="1:13" s="148" customFormat="1" ht="20" customHeight="1" x14ac:dyDescent="0.35">
      <c r="A32" s="158" t="s">
        <v>652</v>
      </c>
      <c r="B32" s="155" t="s">
        <v>554</v>
      </c>
      <c r="C32" s="155" t="s">
        <v>295</v>
      </c>
      <c r="D32" s="155" t="s">
        <v>270</v>
      </c>
      <c r="E32" s="155" t="s">
        <v>325</v>
      </c>
      <c r="F32" s="157" t="s">
        <v>651</v>
      </c>
      <c r="G32" s="156">
        <v>44599</v>
      </c>
      <c r="H32" s="155" t="s">
        <v>650</v>
      </c>
      <c r="I32" s="155" t="s">
        <v>551</v>
      </c>
      <c r="J32" s="155" t="s">
        <v>649</v>
      </c>
      <c r="K32" s="155" t="s">
        <v>648</v>
      </c>
      <c r="L32" s="155" t="s">
        <v>246</v>
      </c>
      <c r="M32" s="154"/>
    </row>
    <row r="33" spans="1:13" s="148" customFormat="1" ht="20" customHeight="1" x14ac:dyDescent="0.35">
      <c r="A33" s="158" t="s">
        <v>647</v>
      </c>
      <c r="B33" s="155" t="s">
        <v>554</v>
      </c>
      <c r="C33" s="155" t="s">
        <v>317</v>
      </c>
      <c r="D33" s="155" t="s">
        <v>270</v>
      </c>
      <c r="E33" s="155" t="s">
        <v>325</v>
      </c>
      <c r="F33" s="157" t="s">
        <v>646</v>
      </c>
      <c r="G33" s="156">
        <v>45680</v>
      </c>
      <c r="H33" s="155" t="s">
        <v>645</v>
      </c>
      <c r="I33" s="155" t="s">
        <v>551</v>
      </c>
      <c r="J33" s="155" t="s">
        <v>644</v>
      </c>
      <c r="K33" s="155" t="s">
        <v>643</v>
      </c>
      <c r="L33" s="155" t="s">
        <v>246</v>
      </c>
      <c r="M33" s="154"/>
    </row>
    <row r="34" spans="1:13" s="148" customFormat="1" ht="20" customHeight="1" x14ac:dyDescent="0.35">
      <c r="A34" s="158" t="s">
        <v>642</v>
      </c>
      <c r="B34" s="155" t="s">
        <v>641</v>
      </c>
      <c r="C34" s="155" t="s">
        <v>254</v>
      </c>
      <c r="D34" s="155" t="s">
        <v>278</v>
      </c>
      <c r="E34" s="155" t="s">
        <v>368</v>
      </c>
      <c r="F34" s="157" t="s">
        <v>640</v>
      </c>
      <c r="G34" s="156">
        <v>45446</v>
      </c>
      <c r="H34" s="155" t="s">
        <v>639</v>
      </c>
      <c r="I34" s="155" t="s">
        <v>638</v>
      </c>
      <c r="J34" s="155" t="s">
        <v>637</v>
      </c>
      <c r="K34" s="155" t="s">
        <v>636</v>
      </c>
      <c r="L34" s="155" t="s">
        <v>246</v>
      </c>
      <c r="M34" s="154"/>
    </row>
    <row r="35" spans="1:13" s="148" customFormat="1" ht="20" customHeight="1" x14ac:dyDescent="0.35">
      <c r="A35" s="158" t="s">
        <v>635</v>
      </c>
      <c r="B35" s="155" t="s">
        <v>634</v>
      </c>
      <c r="C35" s="155" t="s">
        <v>286</v>
      </c>
      <c r="D35" s="155" t="s">
        <v>309</v>
      </c>
      <c r="E35" s="155" t="s">
        <v>252</v>
      </c>
      <c r="F35" s="157" t="s">
        <v>633</v>
      </c>
      <c r="G35" s="156">
        <v>45339</v>
      </c>
      <c r="H35" s="155" t="s">
        <v>632</v>
      </c>
      <c r="I35" s="155" t="s">
        <v>631</v>
      </c>
      <c r="J35" s="155" t="s">
        <v>630</v>
      </c>
      <c r="K35" s="155" t="s">
        <v>629</v>
      </c>
      <c r="L35" s="155" t="s">
        <v>246</v>
      </c>
      <c r="M35" s="154"/>
    </row>
    <row r="36" spans="1:13" s="148" customFormat="1" ht="20" customHeight="1" x14ac:dyDescent="0.35">
      <c r="A36" s="158" t="s">
        <v>628</v>
      </c>
      <c r="B36" s="155" t="s">
        <v>627</v>
      </c>
      <c r="C36" s="155" t="s">
        <v>310</v>
      </c>
      <c r="D36" s="155" t="s">
        <v>278</v>
      </c>
      <c r="E36" s="155" t="s">
        <v>294</v>
      </c>
      <c r="F36" s="157" t="s">
        <v>626</v>
      </c>
      <c r="G36" s="156">
        <v>45583</v>
      </c>
      <c r="H36" s="155" t="s">
        <v>625</v>
      </c>
      <c r="I36" s="155" t="s">
        <v>624</v>
      </c>
      <c r="J36" s="155" t="s">
        <v>623</v>
      </c>
      <c r="K36" s="155" t="s">
        <v>622</v>
      </c>
      <c r="L36" s="155" t="s">
        <v>246</v>
      </c>
      <c r="M36" s="154"/>
    </row>
    <row r="37" spans="1:13" s="148" customFormat="1" ht="20" customHeight="1" x14ac:dyDescent="0.35">
      <c r="A37" s="158" t="s">
        <v>621</v>
      </c>
      <c r="B37" s="155" t="s">
        <v>620</v>
      </c>
      <c r="C37" s="155" t="s">
        <v>295</v>
      </c>
      <c r="D37" s="155" t="s">
        <v>270</v>
      </c>
      <c r="E37" s="155" t="s">
        <v>269</v>
      </c>
      <c r="F37" s="157" t="s">
        <v>619</v>
      </c>
      <c r="G37" s="156">
        <v>44773</v>
      </c>
      <c r="H37" s="155" t="s">
        <v>618</v>
      </c>
      <c r="I37" s="155" t="s">
        <v>617</v>
      </c>
      <c r="J37" s="155" t="s">
        <v>616</v>
      </c>
      <c r="K37" s="155" t="s">
        <v>615</v>
      </c>
      <c r="L37" s="155" t="s">
        <v>246</v>
      </c>
      <c r="M37" s="154"/>
    </row>
    <row r="38" spans="1:13" s="148" customFormat="1" ht="20" customHeight="1" x14ac:dyDescent="0.35">
      <c r="A38" s="158" t="s">
        <v>614</v>
      </c>
      <c r="B38" s="155" t="s">
        <v>458</v>
      </c>
      <c r="C38" s="155" t="s">
        <v>286</v>
      </c>
      <c r="D38" s="155" t="s">
        <v>253</v>
      </c>
      <c r="E38" s="155" t="s">
        <v>252</v>
      </c>
      <c r="F38" s="157" t="s">
        <v>613</v>
      </c>
      <c r="G38" s="156">
        <v>44157</v>
      </c>
      <c r="H38" s="155" t="s">
        <v>612</v>
      </c>
      <c r="I38" s="155" t="s">
        <v>455</v>
      </c>
      <c r="J38" s="155" t="s">
        <v>611</v>
      </c>
      <c r="K38" s="155" t="s">
        <v>610</v>
      </c>
      <c r="L38" s="155" t="s">
        <v>246</v>
      </c>
      <c r="M38" s="154"/>
    </row>
    <row r="39" spans="1:13" s="148" customFormat="1" ht="20" customHeight="1" x14ac:dyDescent="0.35">
      <c r="A39" s="158" t="s">
        <v>609</v>
      </c>
      <c r="B39" s="155" t="s">
        <v>608</v>
      </c>
      <c r="C39" s="155" t="s">
        <v>254</v>
      </c>
      <c r="D39" s="155" t="s">
        <v>309</v>
      </c>
      <c r="E39" s="155" t="s">
        <v>252</v>
      </c>
      <c r="F39" s="157" t="s">
        <v>607</v>
      </c>
      <c r="G39" s="156">
        <v>45668</v>
      </c>
      <c r="H39" s="155" t="s">
        <v>606</v>
      </c>
      <c r="I39" s="155" t="s">
        <v>605</v>
      </c>
      <c r="J39" s="155" t="s">
        <v>604</v>
      </c>
      <c r="K39" s="155" t="s">
        <v>603</v>
      </c>
      <c r="L39" s="155" t="s">
        <v>246</v>
      </c>
      <c r="M39" s="154"/>
    </row>
    <row r="40" spans="1:13" s="148" customFormat="1" ht="20" customHeight="1" x14ac:dyDescent="0.35">
      <c r="A40" s="158" t="s">
        <v>602</v>
      </c>
      <c r="B40" s="155" t="s">
        <v>601</v>
      </c>
      <c r="C40" s="155" t="s">
        <v>254</v>
      </c>
      <c r="D40" s="155" t="s">
        <v>270</v>
      </c>
      <c r="E40" s="155" t="s">
        <v>325</v>
      </c>
      <c r="F40" s="157" t="s">
        <v>600</v>
      </c>
      <c r="G40" s="156">
        <v>44007</v>
      </c>
      <c r="H40" s="155" t="s">
        <v>599</v>
      </c>
      <c r="I40" s="155" t="s">
        <v>598</v>
      </c>
      <c r="J40" s="155" t="s">
        <v>597</v>
      </c>
      <c r="K40" s="155" t="s">
        <v>596</v>
      </c>
      <c r="L40" s="155" t="s">
        <v>246</v>
      </c>
      <c r="M40" s="154"/>
    </row>
    <row r="41" spans="1:13" s="148" customFormat="1" ht="20" customHeight="1" x14ac:dyDescent="0.35">
      <c r="A41" s="158" t="s">
        <v>595</v>
      </c>
      <c r="B41" s="155" t="s">
        <v>594</v>
      </c>
      <c r="C41" s="155" t="s">
        <v>295</v>
      </c>
      <c r="D41" s="155" t="s">
        <v>253</v>
      </c>
      <c r="E41" s="155" t="s">
        <v>269</v>
      </c>
      <c r="F41" s="157" t="s">
        <v>593</v>
      </c>
      <c r="G41" s="156">
        <v>44253</v>
      </c>
      <c r="H41" s="155" t="s">
        <v>592</v>
      </c>
      <c r="I41" s="155" t="s">
        <v>591</v>
      </c>
      <c r="J41" s="155" t="s">
        <v>590</v>
      </c>
      <c r="K41" s="155" t="s">
        <v>589</v>
      </c>
      <c r="L41" s="155" t="s">
        <v>246</v>
      </c>
      <c r="M41" s="154"/>
    </row>
    <row r="42" spans="1:13" s="148" customFormat="1" ht="20" customHeight="1" x14ac:dyDescent="0.35">
      <c r="A42" s="158" t="s">
        <v>588</v>
      </c>
      <c r="B42" s="155" t="s">
        <v>587</v>
      </c>
      <c r="C42" s="155" t="s">
        <v>310</v>
      </c>
      <c r="D42" s="155" t="s">
        <v>270</v>
      </c>
      <c r="E42" s="155" t="s">
        <v>368</v>
      </c>
      <c r="F42" s="157" t="s">
        <v>586</v>
      </c>
      <c r="G42" s="156">
        <v>45203</v>
      </c>
      <c r="H42" s="155" t="s">
        <v>585</v>
      </c>
      <c r="I42" s="155" t="s">
        <v>584</v>
      </c>
      <c r="J42" s="155" t="s">
        <v>583</v>
      </c>
      <c r="K42" s="155" t="s">
        <v>582</v>
      </c>
      <c r="L42" s="155" t="s">
        <v>246</v>
      </c>
      <c r="M42" s="154"/>
    </row>
    <row r="43" spans="1:13" s="148" customFormat="1" ht="20" customHeight="1" x14ac:dyDescent="0.35">
      <c r="A43" s="158" t="s">
        <v>581</v>
      </c>
      <c r="B43" s="155" t="s">
        <v>580</v>
      </c>
      <c r="C43" s="155" t="s">
        <v>295</v>
      </c>
      <c r="D43" s="155" t="s">
        <v>253</v>
      </c>
      <c r="E43" s="155" t="s">
        <v>325</v>
      </c>
      <c r="F43" s="157" t="s">
        <v>579</v>
      </c>
      <c r="G43" s="156">
        <v>43967</v>
      </c>
      <c r="H43" s="155" t="s">
        <v>578</v>
      </c>
      <c r="I43" s="155" t="s">
        <v>577</v>
      </c>
      <c r="J43" s="155" t="s">
        <v>576</v>
      </c>
      <c r="K43" s="155" t="s">
        <v>575</v>
      </c>
      <c r="L43" s="155" t="s">
        <v>246</v>
      </c>
      <c r="M43" s="154"/>
    </row>
    <row r="44" spans="1:13" s="148" customFormat="1" ht="20" customHeight="1" x14ac:dyDescent="0.35">
      <c r="A44" s="158" t="s">
        <v>574</v>
      </c>
      <c r="B44" s="155" t="s">
        <v>573</v>
      </c>
      <c r="C44" s="155" t="s">
        <v>295</v>
      </c>
      <c r="D44" s="155" t="s">
        <v>270</v>
      </c>
      <c r="E44" s="155" t="s">
        <v>252</v>
      </c>
      <c r="F44" s="157" t="s">
        <v>572</v>
      </c>
      <c r="G44" s="156">
        <v>45497</v>
      </c>
      <c r="H44" s="155" t="s">
        <v>571</v>
      </c>
      <c r="I44" s="155" t="s">
        <v>570</v>
      </c>
      <c r="J44" s="155" t="s">
        <v>569</v>
      </c>
      <c r="K44" s="155" t="s">
        <v>568</v>
      </c>
      <c r="L44" s="155" t="s">
        <v>246</v>
      </c>
      <c r="M44" s="154"/>
    </row>
    <row r="45" spans="1:13" s="148" customFormat="1" ht="20" customHeight="1" x14ac:dyDescent="0.35">
      <c r="A45" s="158" t="s">
        <v>567</v>
      </c>
      <c r="B45" s="155" t="s">
        <v>437</v>
      </c>
      <c r="C45" s="155" t="s">
        <v>317</v>
      </c>
      <c r="D45" s="155" t="s">
        <v>253</v>
      </c>
      <c r="E45" s="155" t="s">
        <v>294</v>
      </c>
      <c r="F45" s="157" t="s">
        <v>566</v>
      </c>
      <c r="G45" s="156">
        <v>44999</v>
      </c>
      <c r="H45" s="155" t="s">
        <v>565</v>
      </c>
      <c r="I45" s="155" t="s">
        <v>434</v>
      </c>
      <c r="J45" s="155" t="s">
        <v>564</v>
      </c>
      <c r="K45" s="155" t="s">
        <v>563</v>
      </c>
      <c r="L45" s="155" t="s">
        <v>246</v>
      </c>
      <c r="M45" s="154"/>
    </row>
    <row r="46" spans="1:13" s="148" customFormat="1" ht="20" customHeight="1" x14ac:dyDescent="0.35">
      <c r="A46" s="158" t="s">
        <v>562</v>
      </c>
      <c r="B46" s="155" t="s">
        <v>561</v>
      </c>
      <c r="C46" s="155" t="s">
        <v>317</v>
      </c>
      <c r="D46" s="155" t="s">
        <v>278</v>
      </c>
      <c r="E46" s="155" t="s">
        <v>368</v>
      </c>
      <c r="F46" s="157" t="s">
        <v>560</v>
      </c>
      <c r="G46" s="156">
        <v>44721</v>
      </c>
      <c r="H46" s="155" t="s">
        <v>559</v>
      </c>
      <c r="I46" s="155" t="s">
        <v>558</v>
      </c>
      <c r="J46" s="155" t="s">
        <v>557</v>
      </c>
      <c r="K46" s="155" t="s">
        <v>556</v>
      </c>
      <c r="L46" s="155" t="s">
        <v>246</v>
      </c>
      <c r="M46" s="154"/>
    </row>
    <row r="47" spans="1:13" s="148" customFormat="1" ht="20" customHeight="1" x14ac:dyDescent="0.35">
      <c r="A47" s="158" t="s">
        <v>555</v>
      </c>
      <c r="B47" s="155" t="s">
        <v>554</v>
      </c>
      <c r="C47" s="155" t="s">
        <v>295</v>
      </c>
      <c r="D47" s="155" t="s">
        <v>278</v>
      </c>
      <c r="E47" s="155" t="s">
        <v>269</v>
      </c>
      <c r="F47" s="157" t="s">
        <v>553</v>
      </c>
      <c r="G47" s="156">
        <v>44974</v>
      </c>
      <c r="H47" s="155" t="s">
        <v>552</v>
      </c>
      <c r="I47" s="155" t="s">
        <v>551</v>
      </c>
      <c r="J47" s="155" t="s">
        <v>550</v>
      </c>
      <c r="K47" s="155" t="s">
        <v>549</v>
      </c>
      <c r="L47" s="155" t="s">
        <v>246</v>
      </c>
      <c r="M47" s="154"/>
    </row>
    <row r="48" spans="1:13" s="148" customFormat="1" ht="20" customHeight="1" x14ac:dyDescent="0.35">
      <c r="A48" s="158" t="s">
        <v>548</v>
      </c>
      <c r="B48" s="155" t="s">
        <v>547</v>
      </c>
      <c r="C48" s="155" t="s">
        <v>317</v>
      </c>
      <c r="D48" s="155" t="s">
        <v>309</v>
      </c>
      <c r="E48" s="155" t="s">
        <v>325</v>
      </c>
      <c r="F48" s="157" t="s">
        <v>546</v>
      </c>
      <c r="G48" s="156">
        <v>44159</v>
      </c>
      <c r="H48" s="155" t="s">
        <v>545</v>
      </c>
      <c r="I48" s="155" t="s">
        <v>544</v>
      </c>
      <c r="J48" s="155" t="s">
        <v>543</v>
      </c>
      <c r="K48" s="155" t="s">
        <v>542</v>
      </c>
      <c r="L48" s="155" t="s">
        <v>246</v>
      </c>
      <c r="M48" s="154"/>
    </row>
    <row r="49" spans="1:13" s="148" customFormat="1" ht="20" customHeight="1" x14ac:dyDescent="0.35">
      <c r="A49" s="158" t="s">
        <v>541</v>
      </c>
      <c r="B49" s="155" t="s">
        <v>465</v>
      </c>
      <c r="C49" s="155" t="s">
        <v>286</v>
      </c>
      <c r="D49" s="155" t="s">
        <v>253</v>
      </c>
      <c r="E49" s="155" t="s">
        <v>325</v>
      </c>
      <c r="F49" s="157" t="s">
        <v>540</v>
      </c>
      <c r="G49" s="156">
        <v>44557</v>
      </c>
      <c r="H49" s="155" t="s">
        <v>539</v>
      </c>
      <c r="I49" s="155" t="s">
        <v>462</v>
      </c>
      <c r="J49" s="155" t="s">
        <v>538</v>
      </c>
      <c r="K49" s="155" t="s">
        <v>537</v>
      </c>
      <c r="L49" s="155" t="s">
        <v>246</v>
      </c>
      <c r="M49" s="154"/>
    </row>
    <row r="50" spans="1:13" s="148" customFormat="1" ht="20" customHeight="1" x14ac:dyDescent="0.35">
      <c r="A50" s="158" t="s">
        <v>536</v>
      </c>
      <c r="B50" s="155" t="s">
        <v>535</v>
      </c>
      <c r="C50" s="155" t="s">
        <v>254</v>
      </c>
      <c r="D50" s="155" t="s">
        <v>253</v>
      </c>
      <c r="E50" s="155" t="s">
        <v>325</v>
      </c>
      <c r="F50" s="157" t="s">
        <v>534</v>
      </c>
      <c r="G50" s="156">
        <v>45727</v>
      </c>
      <c r="H50" s="155" t="s">
        <v>533</v>
      </c>
      <c r="I50" s="155" t="s">
        <v>532</v>
      </c>
      <c r="J50" s="155" t="s">
        <v>531</v>
      </c>
      <c r="K50" s="155" t="s">
        <v>530</v>
      </c>
      <c r="L50" s="155" t="s">
        <v>246</v>
      </c>
      <c r="M50" s="154"/>
    </row>
    <row r="51" spans="1:13" s="148" customFormat="1" ht="20" customHeight="1" x14ac:dyDescent="0.35">
      <c r="A51" s="158" t="s">
        <v>529</v>
      </c>
      <c r="B51" s="155" t="s">
        <v>528</v>
      </c>
      <c r="C51" s="155" t="s">
        <v>310</v>
      </c>
      <c r="D51" s="155" t="s">
        <v>253</v>
      </c>
      <c r="E51" s="155" t="s">
        <v>294</v>
      </c>
      <c r="F51" s="157" t="s">
        <v>527</v>
      </c>
      <c r="G51" s="156">
        <v>44652</v>
      </c>
      <c r="H51" s="155" t="s">
        <v>526</v>
      </c>
      <c r="I51" s="155" t="s">
        <v>525</v>
      </c>
      <c r="J51" s="155" t="s">
        <v>524</v>
      </c>
      <c r="K51" s="155" t="s">
        <v>523</v>
      </c>
      <c r="L51" s="155" t="s">
        <v>246</v>
      </c>
      <c r="M51" s="154"/>
    </row>
    <row r="52" spans="1:13" s="148" customFormat="1" ht="20" customHeight="1" x14ac:dyDescent="0.35">
      <c r="A52" s="158" t="s">
        <v>522</v>
      </c>
      <c r="B52" s="155" t="s">
        <v>521</v>
      </c>
      <c r="C52" s="155" t="s">
        <v>317</v>
      </c>
      <c r="D52" s="155" t="s">
        <v>309</v>
      </c>
      <c r="E52" s="155" t="s">
        <v>368</v>
      </c>
      <c r="F52" s="157" t="s">
        <v>520</v>
      </c>
      <c r="G52" s="156">
        <v>44705</v>
      </c>
      <c r="H52" s="155" t="s">
        <v>519</v>
      </c>
      <c r="I52" s="155" t="s">
        <v>518</v>
      </c>
      <c r="J52" s="155" t="s">
        <v>517</v>
      </c>
      <c r="K52" s="155" t="s">
        <v>516</v>
      </c>
      <c r="L52" s="155" t="s">
        <v>246</v>
      </c>
      <c r="M52" s="154"/>
    </row>
    <row r="53" spans="1:13" s="148" customFormat="1" ht="20" customHeight="1" x14ac:dyDescent="0.35">
      <c r="A53" s="158" t="s">
        <v>515</v>
      </c>
      <c r="B53" s="155" t="s">
        <v>514</v>
      </c>
      <c r="C53" s="155" t="s">
        <v>254</v>
      </c>
      <c r="D53" s="155" t="s">
        <v>253</v>
      </c>
      <c r="E53" s="155" t="s">
        <v>269</v>
      </c>
      <c r="F53" s="157" t="s">
        <v>513</v>
      </c>
      <c r="G53" s="156">
        <v>44406</v>
      </c>
      <c r="H53" s="155" t="s">
        <v>512</v>
      </c>
      <c r="I53" s="155" t="s">
        <v>511</v>
      </c>
      <c r="J53" s="155" t="s">
        <v>510</v>
      </c>
      <c r="K53" s="155" t="s">
        <v>509</v>
      </c>
      <c r="L53" s="155" t="s">
        <v>246</v>
      </c>
      <c r="M53" s="154"/>
    </row>
    <row r="54" spans="1:13" s="148" customFormat="1" ht="20" customHeight="1" x14ac:dyDescent="0.35">
      <c r="A54" s="158" t="s">
        <v>508</v>
      </c>
      <c r="B54" s="155" t="s">
        <v>507</v>
      </c>
      <c r="C54" s="155" t="s">
        <v>295</v>
      </c>
      <c r="D54" s="155" t="s">
        <v>270</v>
      </c>
      <c r="E54" s="155" t="s">
        <v>325</v>
      </c>
      <c r="F54" s="157" t="s">
        <v>506</v>
      </c>
      <c r="G54" s="156">
        <v>45651</v>
      </c>
      <c r="H54" s="155" t="s">
        <v>505</v>
      </c>
      <c r="I54" s="155" t="s">
        <v>504</v>
      </c>
      <c r="J54" s="155" t="s">
        <v>503</v>
      </c>
      <c r="K54" s="155" t="s">
        <v>502</v>
      </c>
      <c r="L54" s="155" t="s">
        <v>246</v>
      </c>
      <c r="M54" s="154"/>
    </row>
    <row r="55" spans="1:13" s="148" customFormat="1" ht="20" customHeight="1" x14ac:dyDescent="0.35">
      <c r="A55" s="158" t="s">
        <v>501</v>
      </c>
      <c r="B55" s="155" t="s">
        <v>500</v>
      </c>
      <c r="C55" s="155" t="s">
        <v>295</v>
      </c>
      <c r="D55" s="155" t="s">
        <v>270</v>
      </c>
      <c r="E55" s="155" t="s">
        <v>252</v>
      </c>
      <c r="F55" s="157" t="s">
        <v>499</v>
      </c>
      <c r="G55" s="156">
        <v>45355</v>
      </c>
      <c r="H55" s="155" t="s">
        <v>498</v>
      </c>
      <c r="I55" s="155" t="s">
        <v>497</v>
      </c>
      <c r="J55" s="155" t="s">
        <v>496</v>
      </c>
      <c r="K55" s="155" t="s">
        <v>495</v>
      </c>
      <c r="L55" s="155" t="s">
        <v>246</v>
      </c>
      <c r="M55" s="154"/>
    </row>
    <row r="56" spans="1:13" s="148" customFormat="1" ht="20" customHeight="1" x14ac:dyDescent="0.35">
      <c r="A56" s="158" t="s">
        <v>494</v>
      </c>
      <c r="B56" s="155" t="s">
        <v>493</v>
      </c>
      <c r="C56" s="155" t="s">
        <v>317</v>
      </c>
      <c r="D56" s="155" t="s">
        <v>270</v>
      </c>
      <c r="E56" s="155" t="s">
        <v>252</v>
      </c>
      <c r="F56" s="157" t="s">
        <v>492</v>
      </c>
      <c r="G56" s="156">
        <v>44247</v>
      </c>
      <c r="H56" s="155" t="s">
        <v>491</v>
      </c>
      <c r="I56" s="155" t="s">
        <v>490</v>
      </c>
      <c r="J56" s="155" t="s">
        <v>489</v>
      </c>
      <c r="K56" s="155" t="s">
        <v>488</v>
      </c>
      <c r="L56" s="155" t="s">
        <v>246</v>
      </c>
      <c r="M56" s="154"/>
    </row>
    <row r="57" spans="1:13" s="148" customFormat="1" ht="20" customHeight="1" x14ac:dyDescent="0.35">
      <c r="A57" s="158" t="s">
        <v>487</v>
      </c>
      <c r="B57" s="155" t="s">
        <v>486</v>
      </c>
      <c r="C57" s="155" t="s">
        <v>310</v>
      </c>
      <c r="D57" s="155" t="s">
        <v>253</v>
      </c>
      <c r="E57" s="155" t="s">
        <v>252</v>
      </c>
      <c r="F57" s="157" t="s">
        <v>485</v>
      </c>
      <c r="G57" s="156">
        <v>44213</v>
      </c>
      <c r="H57" s="155" t="s">
        <v>484</v>
      </c>
      <c r="I57" s="155" t="s">
        <v>483</v>
      </c>
      <c r="J57" s="155" t="s">
        <v>482</v>
      </c>
      <c r="K57" s="155" t="s">
        <v>481</v>
      </c>
      <c r="L57" s="155" t="s">
        <v>246</v>
      </c>
      <c r="M57" s="154"/>
    </row>
    <row r="58" spans="1:13" s="148" customFormat="1" ht="20" customHeight="1" x14ac:dyDescent="0.35">
      <c r="A58" s="158" t="s">
        <v>480</v>
      </c>
      <c r="B58" s="155" t="s">
        <v>479</v>
      </c>
      <c r="C58" s="155" t="s">
        <v>286</v>
      </c>
      <c r="D58" s="155" t="s">
        <v>278</v>
      </c>
      <c r="E58" s="155" t="s">
        <v>294</v>
      </c>
      <c r="F58" s="157" t="s">
        <v>478</v>
      </c>
      <c r="G58" s="156">
        <v>44958</v>
      </c>
      <c r="H58" s="155" t="s">
        <v>477</v>
      </c>
      <c r="I58" s="155" t="s">
        <v>476</v>
      </c>
      <c r="J58" s="155" t="s">
        <v>475</v>
      </c>
      <c r="K58" s="155" t="s">
        <v>474</v>
      </c>
      <c r="L58" s="155" t="s">
        <v>246</v>
      </c>
      <c r="M58" s="154"/>
    </row>
    <row r="59" spans="1:13" s="148" customFormat="1" ht="20" customHeight="1" x14ac:dyDescent="0.35">
      <c r="A59" s="158" t="s">
        <v>473</v>
      </c>
      <c r="B59" s="155" t="s">
        <v>472</v>
      </c>
      <c r="C59" s="155" t="s">
        <v>295</v>
      </c>
      <c r="D59" s="155" t="s">
        <v>253</v>
      </c>
      <c r="E59" s="155" t="s">
        <v>368</v>
      </c>
      <c r="F59" s="157" t="s">
        <v>471</v>
      </c>
      <c r="G59" s="156">
        <v>45542</v>
      </c>
      <c r="H59" s="155" t="s">
        <v>470</v>
      </c>
      <c r="I59" s="155" t="s">
        <v>469</v>
      </c>
      <c r="J59" s="155" t="s">
        <v>468</v>
      </c>
      <c r="K59" s="155" t="s">
        <v>467</v>
      </c>
      <c r="L59" s="155" t="s">
        <v>246</v>
      </c>
      <c r="M59" s="154"/>
    </row>
    <row r="60" spans="1:13" s="148" customFormat="1" ht="20" customHeight="1" x14ac:dyDescent="0.35">
      <c r="A60" s="158" t="s">
        <v>466</v>
      </c>
      <c r="B60" s="155" t="s">
        <v>465</v>
      </c>
      <c r="C60" s="155" t="s">
        <v>310</v>
      </c>
      <c r="D60" s="155" t="s">
        <v>253</v>
      </c>
      <c r="E60" s="155" t="s">
        <v>269</v>
      </c>
      <c r="F60" s="157" t="s">
        <v>464</v>
      </c>
      <c r="G60" s="156">
        <v>45484</v>
      </c>
      <c r="H60" s="155" t="s">
        <v>463</v>
      </c>
      <c r="I60" s="155" t="s">
        <v>462</v>
      </c>
      <c r="J60" s="155" t="s">
        <v>461</v>
      </c>
      <c r="K60" s="155" t="s">
        <v>460</v>
      </c>
      <c r="L60" s="155" t="s">
        <v>246</v>
      </c>
      <c r="M60" s="154"/>
    </row>
    <row r="61" spans="1:13" s="148" customFormat="1" ht="20" customHeight="1" x14ac:dyDescent="0.35">
      <c r="A61" s="158" t="s">
        <v>459</v>
      </c>
      <c r="B61" s="155" t="s">
        <v>458</v>
      </c>
      <c r="C61" s="155" t="s">
        <v>254</v>
      </c>
      <c r="D61" s="155" t="s">
        <v>278</v>
      </c>
      <c r="E61" s="155" t="s">
        <v>325</v>
      </c>
      <c r="F61" s="157" t="s">
        <v>457</v>
      </c>
      <c r="G61" s="156">
        <v>44302</v>
      </c>
      <c r="H61" s="155" t="s">
        <v>456</v>
      </c>
      <c r="I61" s="155" t="s">
        <v>455</v>
      </c>
      <c r="J61" s="155" t="s">
        <v>454</v>
      </c>
      <c r="K61" s="155" t="s">
        <v>453</v>
      </c>
      <c r="L61" s="155" t="s">
        <v>246</v>
      </c>
      <c r="M61" s="154"/>
    </row>
    <row r="62" spans="1:13" s="148" customFormat="1" ht="20" customHeight="1" x14ac:dyDescent="0.35">
      <c r="A62" s="158" t="s">
        <v>452</v>
      </c>
      <c r="B62" s="155" t="s">
        <v>451</v>
      </c>
      <c r="C62" s="155" t="s">
        <v>317</v>
      </c>
      <c r="D62" s="155" t="s">
        <v>270</v>
      </c>
      <c r="E62" s="155" t="s">
        <v>368</v>
      </c>
      <c r="F62" s="157" t="s">
        <v>450</v>
      </c>
      <c r="G62" s="156">
        <v>44900</v>
      </c>
      <c r="H62" s="155" t="s">
        <v>449</v>
      </c>
      <c r="I62" s="155" t="s">
        <v>448</v>
      </c>
      <c r="J62" s="155" t="s">
        <v>447</v>
      </c>
      <c r="K62" s="155" t="s">
        <v>446</v>
      </c>
      <c r="L62" s="155" t="s">
        <v>246</v>
      </c>
      <c r="M62" s="154"/>
    </row>
    <row r="63" spans="1:13" s="148" customFormat="1" ht="20" customHeight="1" x14ac:dyDescent="0.35">
      <c r="A63" s="158" t="s">
        <v>445</v>
      </c>
      <c r="B63" s="155" t="s">
        <v>444</v>
      </c>
      <c r="C63" s="155" t="s">
        <v>295</v>
      </c>
      <c r="D63" s="155" t="s">
        <v>309</v>
      </c>
      <c r="E63" s="155" t="s">
        <v>368</v>
      </c>
      <c r="F63" s="157" t="s">
        <v>443</v>
      </c>
      <c r="G63" s="156">
        <v>45676</v>
      </c>
      <c r="H63" s="155" t="s">
        <v>442</v>
      </c>
      <c r="I63" s="155" t="s">
        <v>441</v>
      </c>
      <c r="J63" s="155" t="s">
        <v>440</v>
      </c>
      <c r="K63" s="155" t="s">
        <v>439</v>
      </c>
      <c r="L63" s="155" t="s">
        <v>246</v>
      </c>
      <c r="M63" s="154"/>
    </row>
    <row r="64" spans="1:13" s="148" customFormat="1" ht="20" customHeight="1" x14ac:dyDescent="0.35">
      <c r="A64" s="158" t="s">
        <v>438</v>
      </c>
      <c r="B64" s="155" t="s">
        <v>437</v>
      </c>
      <c r="C64" s="155" t="s">
        <v>317</v>
      </c>
      <c r="D64" s="155" t="s">
        <v>278</v>
      </c>
      <c r="E64" s="155" t="s">
        <v>368</v>
      </c>
      <c r="F64" s="157" t="s">
        <v>436</v>
      </c>
      <c r="G64" s="156">
        <v>44868</v>
      </c>
      <c r="H64" s="155" t="s">
        <v>435</v>
      </c>
      <c r="I64" s="155" t="s">
        <v>434</v>
      </c>
      <c r="J64" s="155" t="s">
        <v>433</v>
      </c>
      <c r="K64" s="155" t="s">
        <v>432</v>
      </c>
      <c r="L64" s="155" t="s">
        <v>246</v>
      </c>
      <c r="M64" s="154"/>
    </row>
    <row r="65" spans="1:13" s="148" customFormat="1" ht="20" customHeight="1" x14ac:dyDescent="0.35">
      <c r="A65" s="158" t="s">
        <v>431</v>
      </c>
      <c r="B65" s="155" t="s">
        <v>296</v>
      </c>
      <c r="C65" s="155" t="s">
        <v>286</v>
      </c>
      <c r="D65" s="155" t="s">
        <v>270</v>
      </c>
      <c r="E65" s="155" t="s">
        <v>325</v>
      </c>
      <c r="F65" s="157" t="s">
        <v>430</v>
      </c>
      <c r="G65" s="156">
        <v>44351</v>
      </c>
      <c r="H65" s="155" t="s">
        <v>429</v>
      </c>
      <c r="I65" s="155" t="s">
        <v>291</v>
      </c>
      <c r="J65" s="155" t="s">
        <v>428</v>
      </c>
      <c r="K65" s="155" t="s">
        <v>427</v>
      </c>
      <c r="L65" s="155" t="s">
        <v>246</v>
      </c>
      <c r="M65" s="154"/>
    </row>
    <row r="66" spans="1:13" s="148" customFormat="1" ht="20" customHeight="1" x14ac:dyDescent="0.35">
      <c r="A66" s="158" t="s">
        <v>426</v>
      </c>
      <c r="B66" s="155" t="s">
        <v>425</v>
      </c>
      <c r="C66" s="155" t="s">
        <v>317</v>
      </c>
      <c r="D66" s="155" t="s">
        <v>253</v>
      </c>
      <c r="E66" s="155" t="s">
        <v>269</v>
      </c>
      <c r="F66" s="157" t="s">
        <v>424</v>
      </c>
      <c r="G66" s="156">
        <v>45664</v>
      </c>
      <c r="H66" s="155" t="s">
        <v>423</v>
      </c>
      <c r="I66" s="155" t="s">
        <v>422</v>
      </c>
      <c r="J66" s="155" t="s">
        <v>421</v>
      </c>
      <c r="K66" s="155" t="s">
        <v>420</v>
      </c>
      <c r="L66" s="155" t="s">
        <v>246</v>
      </c>
      <c r="M66" s="154"/>
    </row>
    <row r="67" spans="1:13" s="148" customFormat="1" ht="20" customHeight="1" x14ac:dyDescent="0.35">
      <c r="A67" s="158" t="s">
        <v>419</v>
      </c>
      <c r="B67" s="155" t="s">
        <v>418</v>
      </c>
      <c r="C67" s="155" t="s">
        <v>310</v>
      </c>
      <c r="D67" s="155" t="s">
        <v>270</v>
      </c>
      <c r="E67" s="155" t="s">
        <v>252</v>
      </c>
      <c r="F67" s="157" t="s">
        <v>417</v>
      </c>
      <c r="G67" s="156">
        <v>44997</v>
      </c>
      <c r="H67" s="155" t="s">
        <v>416</v>
      </c>
      <c r="I67" s="155" t="s">
        <v>415</v>
      </c>
      <c r="J67" s="155" t="s">
        <v>414</v>
      </c>
      <c r="K67" s="155" t="s">
        <v>413</v>
      </c>
      <c r="L67" s="155" t="s">
        <v>246</v>
      </c>
      <c r="M67" s="154"/>
    </row>
    <row r="68" spans="1:13" s="148" customFormat="1" ht="20" customHeight="1" x14ac:dyDescent="0.35">
      <c r="A68" s="158" t="s">
        <v>412</v>
      </c>
      <c r="B68" s="155" t="s">
        <v>411</v>
      </c>
      <c r="C68" s="155" t="s">
        <v>254</v>
      </c>
      <c r="D68" s="155" t="s">
        <v>253</v>
      </c>
      <c r="E68" s="155" t="s">
        <v>294</v>
      </c>
      <c r="F68" s="157" t="s">
        <v>410</v>
      </c>
      <c r="G68" s="156">
        <v>45642</v>
      </c>
      <c r="H68" s="155" t="s">
        <v>409</v>
      </c>
      <c r="I68" s="155" t="s">
        <v>408</v>
      </c>
      <c r="J68" s="155" t="s">
        <v>407</v>
      </c>
      <c r="K68" s="155" t="s">
        <v>406</v>
      </c>
      <c r="L68" s="155" t="s">
        <v>246</v>
      </c>
      <c r="M68" s="154"/>
    </row>
    <row r="69" spans="1:13" s="148" customFormat="1" ht="20" customHeight="1" x14ac:dyDescent="0.35">
      <c r="A69" s="158" t="s">
        <v>405</v>
      </c>
      <c r="B69" s="155" t="s">
        <v>404</v>
      </c>
      <c r="C69" s="155" t="s">
        <v>317</v>
      </c>
      <c r="D69" s="155" t="s">
        <v>278</v>
      </c>
      <c r="E69" s="155" t="s">
        <v>269</v>
      </c>
      <c r="F69" s="157" t="s">
        <v>403</v>
      </c>
      <c r="G69" s="156">
        <v>44595</v>
      </c>
      <c r="H69" s="155" t="s">
        <v>402</v>
      </c>
      <c r="I69" s="155" t="s">
        <v>401</v>
      </c>
      <c r="J69" s="155" t="s">
        <v>400</v>
      </c>
      <c r="K69" s="155" t="s">
        <v>399</v>
      </c>
      <c r="L69" s="155" t="s">
        <v>246</v>
      </c>
      <c r="M69" s="154"/>
    </row>
    <row r="70" spans="1:13" s="148" customFormat="1" ht="20" customHeight="1" x14ac:dyDescent="0.35">
      <c r="A70" s="158" t="s">
        <v>398</v>
      </c>
      <c r="B70" s="155" t="s">
        <v>397</v>
      </c>
      <c r="C70" s="155" t="s">
        <v>310</v>
      </c>
      <c r="D70" s="155" t="s">
        <v>278</v>
      </c>
      <c r="E70" s="155" t="s">
        <v>252</v>
      </c>
      <c r="F70" s="157" t="s">
        <v>396</v>
      </c>
      <c r="G70" s="156">
        <v>45664</v>
      </c>
      <c r="H70" s="155" t="s">
        <v>395</v>
      </c>
      <c r="I70" s="155" t="s">
        <v>394</v>
      </c>
      <c r="J70" s="155" t="s">
        <v>393</v>
      </c>
      <c r="K70" s="155" t="s">
        <v>392</v>
      </c>
      <c r="L70" s="155" t="s">
        <v>246</v>
      </c>
      <c r="M70" s="154"/>
    </row>
    <row r="71" spans="1:13" s="148" customFormat="1" ht="20" customHeight="1" x14ac:dyDescent="0.35">
      <c r="A71" s="158" t="s">
        <v>391</v>
      </c>
      <c r="B71" s="155" t="s">
        <v>390</v>
      </c>
      <c r="C71" s="155" t="s">
        <v>310</v>
      </c>
      <c r="D71" s="155" t="s">
        <v>278</v>
      </c>
      <c r="E71" s="155" t="s">
        <v>252</v>
      </c>
      <c r="F71" s="157" t="s">
        <v>389</v>
      </c>
      <c r="G71" s="156">
        <v>45789</v>
      </c>
      <c r="H71" s="155" t="s">
        <v>388</v>
      </c>
      <c r="I71" s="155" t="s">
        <v>387</v>
      </c>
      <c r="J71" s="155" t="s">
        <v>386</v>
      </c>
      <c r="K71" s="155" t="s">
        <v>385</v>
      </c>
      <c r="L71" s="155" t="s">
        <v>246</v>
      </c>
      <c r="M71" s="154"/>
    </row>
    <row r="72" spans="1:13" s="148" customFormat="1" ht="20" customHeight="1" x14ac:dyDescent="0.35">
      <c r="A72" s="158" t="s">
        <v>384</v>
      </c>
      <c r="B72" s="155" t="s">
        <v>383</v>
      </c>
      <c r="C72" s="155" t="s">
        <v>295</v>
      </c>
      <c r="D72" s="155" t="s">
        <v>309</v>
      </c>
      <c r="E72" s="155" t="s">
        <v>294</v>
      </c>
      <c r="F72" s="157" t="s">
        <v>382</v>
      </c>
      <c r="G72" s="156">
        <v>44857</v>
      </c>
      <c r="H72" s="155" t="s">
        <v>381</v>
      </c>
      <c r="I72" s="155" t="s">
        <v>380</v>
      </c>
      <c r="J72" s="155" t="s">
        <v>379</v>
      </c>
      <c r="K72" s="155" t="s">
        <v>378</v>
      </c>
      <c r="L72" s="155" t="s">
        <v>246</v>
      </c>
      <c r="M72" s="154"/>
    </row>
    <row r="73" spans="1:13" s="148" customFormat="1" ht="20" customHeight="1" x14ac:dyDescent="0.35">
      <c r="A73" s="158" t="s">
        <v>377</v>
      </c>
      <c r="B73" s="155" t="s">
        <v>376</v>
      </c>
      <c r="C73" s="155" t="s">
        <v>310</v>
      </c>
      <c r="D73" s="155" t="s">
        <v>309</v>
      </c>
      <c r="E73" s="155" t="s">
        <v>325</v>
      </c>
      <c r="F73" s="157" t="s">
        <v>375</v>
      </c>
      <c r="G73" s="156">
        <v>45346</v>
      </c>
      <c r="H73" s="155" t="s">
        <v>374</v>
      </c>
      <c r="I73" s="155" t="s">
        <v>373</v>
      </c>
      <c r="J73" s="155" t="s">
        <v>372</v>
      </c>
      <c r="K73" s="155" t="s">
        <v>371</v>
      </c>
      <c r="L73" s="155" t="s">
        <v>246</v>
      </c>
      <c r="M73" s="154"/>
    </row>
    <row r="74" spans="1:13" s="148" customFormat="1" ht="20" customHeight="1" x14ac:dyDescent="0.35">
      <c r="A74" s="158" t="s">
        <v>370</v>
      </c>
      <c r="B74" s="155" t="s">
        <v>369</v>
      </c>
      <c r="C74" s="155" t="s">
        <v>317</v>
      </c>
      <c r="D74" s="155" t="s">
        <v>253</v>
      </c>
      <c r="E74" s="155" t="s">
        <v>368</v>
      </c>
      <c r="F74" s="157" t="s">
        <v>367</v>
      </c>
      <c r="G74" s="156">
        <v>44248</v>
      </c>
      <c r="H74" s="155" t="s">
        <v>366</v>
      </c>
      <c r="I74" s="155" t="s">
        <v>365</v>
      </c>
      <c r="J74" s="155" t="s">
        <v>364</v>
      </c>
      <c r="K74" s="155" t="s">
        <v>363</v>
      </c>
      <c r="L74" s="155" t="s">
        <v>246</v>
      </c>
      <c r="M74" s="154"/>
    </row>
    <row r="75" spans="1:13" s="148" customFormat="1" ht="20" customHeight="1" x14ac:dyDescent="0.35">
      <c r="A75" s="158" t="s">
        <v>362</v>
      </c>
      <c r="B75" s="155" t="s">
        <v>361</v>
      </c>
      <c r="C75" s="155" t="s">
        <v>295</v>
      </c>
      <c r="D75" s="155" t="s">
        <v>278</v>
      </c>
      <c r="E75" s="155" t="s">
        <v>269</v>
      </c>
      <c r="F75" s="157" t="s">
        <v>360</v>
      </c>
      <c r="G75" s="156">
        <v>45159</v>
      </c>
      <c r="H75" s="155" t="s">
        <v>359</v>
      </c>
      <c r="I75" s="155" t="s">
        <v>358</v>
      </c>
      <c r="J75" s="155" t="s">
        <v>357</v>
      </c>
      <c r="K75" s="155" t="s">
        <v>356</v>
      </c>
      <c r="L75" s="155" t="s">
        <v>246</v>
      </c>
      <c r="M75" s="154"/>
    </row>
    <row r="76" spans="1:13" s="148" customFormat="1" ht="20" customHeight="1" x14ac:dyDescent="0.35">
      <c r="A76" s="158" t="s">
        <v>355</v>
      </c>
      <c r="B76" s="155" t="s">
        <v>354</v>
      </c>
      <c r="C76" s="155" t="s">
        <v>286</v>
      </c>
      <c r="D76" s="155" t="s">
        <v>278</v>
      </c>
      <c r="E76" s="155" t="s">
        <v>294</v>
      </c>
      <c r="F76" s="157" t="s">
        <v>353</v>
      </c>
      <c r="G76" s="156">
        <v>44949</v>
      </c>
      <c r="H76" s="155" t="s">
        <v>352</v>
      </c>
      <c r="I76" s="155" t="s">
        <v>351</v>
      </c>
      <c r="J76" s="155" t="s">
        <v>350</v>
      </c>
      <c r="K76" s="155" t="s">
        <v>349</v>
      </c>
      <c r="L76" s="155" t="s">
        <v>246</v>
      </c>
      <c r="M76" s="154"/>
    </row>
    <row r="77" spans="1:13" s="148" customFormat="1" ht="20" customHeight="1" x14ac:dyDescent="0.35">
      <c r="A77" s="158" t="s">
        <v>348</v>
      </c>
      <c r="B77" s="155" t="s">
        <v>347</v>
      </c>
      <c r="C77" s="155" t="s">
        <v>317</v>
      </c>
      <c r="D77" s="155" t="s">
        <v>270</v>
      </c>
      <c r="E77" s="155" t="s">
        <v>325</v>
      </c>
      <c r="F77" s="157" t="s">
        <v>346</v>
      </c>
      <c r="G77" s="156">
        <v>45752</v>
      </c>
      <c r="H77" s="155" t="s">
        <v>345</v>
      </c>
      <c r="I77" s="155" t="s">
        <v>344</v>
      </c>
      <c r="J77" s="155" t="s">
        <v>343</v>
      </c>
      <c r="K77" s="155" t="s">
        <v>342</v>
      </c>
      <c r="L77" s="155" t="s">
        <v>246</v>
      </c>
      <c r="M77" s="154"/>
    </row>
    <row r="78" spans="1:13" s="148" customFormat="1" ht="20" customHeight="1" x14ac:dyDescent="0.35">
      <c r="A78" s="158" t="s">
        <v>341</v>
      </c>
      <c r="B78" s="155" t="s">
        <v>340</v>
      </c>
      <c r="C78" s="155" t="s">
        <v>286</v>
      </c>
      <c r="D78" s="155" t="s">
        <v>278</v>
      </c>
      <c r="E78" s="155" t="s">
        <v>269</v>
      </c>
      <c r="F78" s="157" t="s">
        <v>339</v>
      </c>
      <c r="G78" s="156">
        <v>44716</v>
      </c>
      <c r="H78" s="155" t="s">
        <v>338</v>
      </c>
      <c r="I78" s="155" t="s">
        <v>337</v>
      </c>
      <c r="J78" s="155" t="s">
        <v>336</v>
      </c>
      <c r="K78" s="155" t="s">
        <v>335</v>
      </c>
      <c r="L78" s="155" t="s">
        <v>246</v>
      </c>
      <c r="M78" s="154"/>
    </row>
    <row r="79" spans="1:13" s="148" customFormat="1" ht="20" customHeight="1" x14ac:dyDescent="0.35">
      <c r="A79" s="158" t="s">
        <v>334</v>
      </c>
      <c r="B79" s="155" t="s">
        <v>333</v>
      </c>
      <c r="C79" s="155" t="s">
        <v>254</v>
      </c>
      <c r="D79" s="155" t="s">
        <v>270</v>
      </c>
      <c r="E79" s="155" t="s">
        <v>269</v>
      </c>
      <c r="F79" s="157" t="s">
        <v>332</v>
      </c>
      <c r="G79" s="156">
        <v>44866</v>
      </c>
      <c r="H79" s="155" t="s">
        <v>331</v>
      </c>
      <c r="I79" s="155" t="s">
        <v>330</v>
      </c>
      <c r="J79" s="155" t="s">
        <v>329</v>
      </c>
      <c r="K79" s="155" t="s">
        <v>328</v>
      </c>
      <c r="L79" s="155" t="s">
        <v>246</v>
      </c>
      <c r="M79" s="154"/>
    </row>
    <row r="80" spans="1:13" s="148" customFormat="1" ht="20" customHeight="1" x14ac:dyDescent="0.35">
      <c r="A80" s="158" t="s">
        <v>327</v>
      </c>
      <c r="B80" s="155" t="s">
        <v>326</v>
      </c>
      <c r="C80" s="155" t="s">
        <v>317</v>
      </c>
      <c r="D80" s="155" t="s">
        <v>278</v>
      </c>
      <c r="E80" s="155" t="s">
        <v>325</v>
      </c>
      <c r="F80" s="157" t="s">
        <v>324</v>
      </c>
      <c r="G80" s="156">
        <v>44535</v>
      </c>
      <c r="H80" s="155" t="s">
        <v>323</v>
      </c>
      <c r="I80" s="155" t="s">
        <v>322</v>
      </c>
      <c r="J80" s="155" t="s">
        <v>321</v>
      </c>
      <c r="K80" s="155" t="s">
        <v>320</v>
      </c>
      <c r="L80" s="155" t="s">
        <v>246</v>
      </c>
      <c r="M80" s="154"/>
    </row>
    <row r="81" spans="1:13" s="148" customFormat="1" ht="20" customHeight="1" x14ac:dyDescent="0.35">
      <c r="A81" s="158" t="s">
        <v>319</v>
      </c>
      <c r="B81" s="155" t="s">
        <v>318</v>
      </c>
      <c r="C81" s="155" t="s">
        <v>317</v>
      </c>
      <c r="D81" s="155" t="s">
        <v>278</v>
      </c>
      <c r="E81" s="155" t="s">
        <v>294</v>
      </c>
      <c r="F81" s="157" t="s">
        <v>316</v>
      </c>
      <c r="G81" s="156">
        <v>44552</v>
      </c>
      <c r="H81" s="155" t="s">
        <v>315</v>
      </c>
      <c r="I81" s="155" t="s">
        <v>314</v>
      </c>
      <c r="J81" s="155" t="s">
        <v>313</v>
      </c>
      <c r="K81" s="155" t="s">
        <v>312</v>
      </c>
      <c r="L81" s="155" t="s">
        <v>246</v>
      </c>
      <c r="M81" s="154"/>
    </row>
    <row r="82" spans="1:13" s="148" customFormat="1" ht="20" customHeight="1" x14ac:dyDescent="0.35">
      <c r="A82" s="158" t="s">
        <v>311</v>
      </c>
      <c r="B82" s="155" t="s">
        <v>296</v>
      </c>
      <c r="C82" s="155" t="s">
        <v>310</v>
      </c>
      <c r="D82" s="155" t="s">
        <v>309</v>
      </c>
      <c r="E82" s="155" t="s">
        <v>252</v>
      </c>
      <c r="F82" s="157" t="s">
        <v>308</v>
      </c>
      <c r="G82" s="156">
        <v>44544</v>
      </c>
      <c r="H82" s="155" t="s">
        <v>307</v>
      </c>
      <c r="I82" s="155" t="s">
        <v>291</v>
      </c>
      <c r="J82" s="155" t="s">
        <v>306</v>
      </c>
      <c r="K82" s="155" t="s">
        <v>305</v>
      </c>
      <c r="L82" s="155" t="s">
        <v>246</v>
      </c>
      <c r="M82" s="154"/>
    </row>
    <row r="83" spans="1:13" s="148" customFormat="1" ht="20" customHeight="1" x14ac:dyDescent="0.35">
      <c r="A83" s="158" t="s">
        <v>304</v>
      </c>
      <c r="B83" s="155" t="s">
        <v>303</v>
      </c>
      <c r="C83" s="155" t="s">
        <v>286</v>
      </c>
      <c r="D83" s="155" t="s">
        <v>278</v>
      </c>
      <c r="E83" s="155" t="s">
        <v>294</v>
      </c>
      <c r="F83" s="157" t="s">
        <v>302</v>
      </c>
      <c r="G83" s="156">
        <v>44066</v>
      </c>
      <c r="H83" s="155" t="s">
        <v>301</v>
      </c>
      <c r="I83" s="155" t="s">
        <v>300</v>
      </c>
      <c r="J83" s="155" t="s">
        <v>299</v>
      </c>
      <c r="K83" s="155" t="s">
        <v>298</v>
      </c>
      <c r="L83" s="155" t="s">
        <v>246</v>
      </c>
      <c r="M83" s="154"/>
    </row>
    <row r="84" spans="1:13" s="148" customFormat="1" ht="20" customHeight="1" x14ac:dyDescent="0.35">
      <c r="A84" s="158" t="s">
        <v>297</v>
      </c>
      <c r="B84" s="155" t="s">
        <v>296</v>
      </c>
      <c r="C84" s="155" t="s">
        <v>295</v>
      </c>
      <c r="D84" s="155" t="s">
        <v>270</v>
      </c>
      <c r="E84" s="155" t="s">
        <v>294</v>
      </c>
      <c r="F84" s="157" t="s">
        <v>293</v>
      </c>
      <c r="G84" s="156">
        <v>44771</v>
      </c>
      <c r="H84" s="155" t="s">
        <v>292</v>
      </c>
      <c r="I84" s="155" t="s">
        <v>291</v>
      </c>
      <c r="J84" s="155" t="s">
        <v>290</v>
      </c>
      <c r="K84" s="155" t="s">
        <v>289</v>
      </c>
      <c r="L84" s="155" t="s">
        <v>246</v>
      </c>
      <c r="M84" s="154"/>
    </row>
    <row r="85" spans="1:13" s="148" customFormat="1" ht="20" customHeight="1" x14ac:dyDescent="0.35">
      <c r="A85" s="158" t="s">
        <v>288</v>
      </c>
      <c r="B85" s="155" t="s">
        <v>287</v>
      </c>
      <c r="C85" s="155" t="s">
        <v>286</v>
      </c>
      <c r="D85" s="155" t="s">
        <v>270</v>
      </c>
      <c r="E85" s="155" t="s">
        <v>269</v>
      </c>
      <c r="F85" s="157" t="s">
        <v>285</v>
      </c>
      <c r="G85" s="156">
        <v>45444</v>
      </c>
      <c r="H85" s="155" t="s">
        <v>284</v>
      </c>
      <c r="I85" s="155" t="s">
        <v>283</v>
      </c>
      <c r="J85" s="155" t="s">
        <v>282</v>
      </c>
      <c r="K85" s="155" t="s">
        <v>281</v>
      </c>
      <c r="L85" s="155" t="s">
        <v>246</v>
      </c>
      <c r="M85" s="154"/>
    </row>
    <row r="86" spans="1:13" s="148" customFormat="1" ht="20" customHeight="1" x14ac:dyDescent="0.35">
      <c r="A86" s="158" t="s">
        <v>280</v>
      </c>
      <c r="B86" s="155" t="s">
        <v>279</v>
      </c>
      <c r="C86" s="155" t="s">
        <v>254</v>
      </c>
      <c r="D86" s="155" t="s">
        <v>278</v>
      </c>
      <c r="E86" s="155" t="s">
        <v>252</v>
      </c>
      <c r="F86" s="157" t="s">
        <v>277</v>
      </c>
      <c r="G86" s="156">
        <v>44178</v>
      </c>
      <c r="H86" s="155" t="s">
        <v>276</v>
      </c>
      <c r="I86" s="155" t="s">
        <v>275</v>
      </c>
      <c r="J86" s="155" t="s">
        <v>274</v>
      </c>
      <c r="K86" s="155" t="s">
        <v>273</v>
      </c>
      <c r="L86" s="155" t="s">
        <v>246</v>
      </c>
      <c r="M86" s="154"/>
    </row>
    <row r="87" spans="1:13" s="148" customFormat="1" ht="20" customHeight="1" x14ac:dyDescent="0.35">
      <c r="A87" s="158" t="s">
        <v>272</v>
      </c>
      <c r="B87" s="155" t="s">
        <v>271</v>
      </c>
      <c r="C87" s="155" t="s">
        <v>254</v>
      </c>
      <c r="D87" s="155" t="s">
        <v>270</v>
      </c>
      <c r="E87" s="155" t="s">
        <v>269</v>
      </c>
      <c r="F87" s="157" t="s">
        <v>268</v>
      </c>
      <c r="G87" s="156">
        <v>44243</v>
      </c>
      <c r="H87" s="155" t="s">
        <v>267</v>
      </c>
      <c r="I87" s="155" t="s">
        <v>266</v>
      </c>
      <c r="J87" s="155" t="s">
        <v>265</v>
      </c>
      <c r="K87" s="155" t="s">
        <v>264</v>
      </c>
      <c r="L87" s="155" t="s">
        <v>246</v>
      </c>
      <c r="M87" s="154"/>
    </row>
    <row r="88" spans="1:13" s="148" customFormat="1" ht="20" customHeight="1" x14ac:dyDescent="0.35">
      <c r="A88" s="158" t="s">
        <v>263</v>
      </c>
      <c r="B88" s="155" t="s">
        <v>262</v>
      </c>
      <c r="C88" s="155" t="s">
        <v>254</v>
      </c>
      <c r="D88" s="155" t="s">
        <v>253</v>
      </c>
      <c r="E88" s="155" t="s">
        <v>252</v>
      </c>
      <c r="F88" s="157" t="s">
        <v>261</v>
      </c>
      <c r="G88" s="156">
        <v>44368</v>
      </c>
      <c r="H88" s="155" t="s">
        <v>260</v>
      </c>
      <c r="I88" s="155" t="s">
        <v>259</v>
      </c>
      <c r="J88" s="155" t="s">
        <v>258</v>
      </c>
      <c r="K88" s="155" t="s">
        <v>257</v>
      </c>
      <c r="L88" s="155" t="s">
        <v>246</v>
      </c>
      <c r="M88" s="154"/>
    </row>
    <row r="89" spans="1:13" s="148" customFormat="1" ht="20" customHeight="1" x14ac:dyDescent="0.35">
      <c r="A89" s="153" t="s">
        <v>256</v>
      </c>
      <c r="B89" s="150" t="s">
        <v>255</v>
      </c>
      <c r="C89" s="150" t="s">
        <v>254</v>
      </c>
      <c r="D89" s="150" t="s">
        <v>253</v>
      </c>
      <c r="E89" s="150" t="s">
        <v>252</v>
      </c>
      <c r="F89" s="152" t="s">
        <v>251</v>
      </c>
      <c r="G89" s="151">
        <v>44428</v>
      </c>
      <c r="H89" s="150" t="s">
        <v>250</v>
      </c>
      <c r="I89" s="150" t="s">
        <v>249</v>
      </c>
      <c r="J89" s="150" t="s">
        <v>248</v>
      </c>
      <c r="K89" s="150" t="s">
        <v>247</v>
      </c>
      <c r="L89" s="150" t="s">
        <v>246</v>
      </c>
      <c r="M89" s="14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99"/>
  <sheetViews>
    <sheetView zoomScaleNormal="100" workbookViewId="0">
      <pane xSplit="3" ySplit="1" topLeftCell="D2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RowHeight="15" customHeight="1" x14ac:dyDescent="0.35"/>
  <cols>
    <col min="1" max="1" width="19.54296875" customWidth="1"/>
    <col min="2" max="2" width="14.26953125" customWidth="1"/>
    <col min="3" max="3" width="18.7265625" style="21" bestFit="1" customWidth="1"/>
    <col min="4" max="4" width="20.81640625" customWidth="1"/>
    <col min="5" max="5" width="13" style="41" bestFit="1" customWidth="1"/>
    <col min="6" max="6" width="10.1796875" customWidth="1"/>
    <col min="7" max="9" width="7.54296875" customWidth="1"/>
    <col min="10" max="10" width="10.81640625" customWidth="1"/>
    <col min="11" max="11" width="13.26953125" customWidth="1"/>
    <col min="12" max="13" width="13.26953125" style="41" customWidth="1"/>
    <col min="14" max="14" width="13.7265625" style="41" customWidth="1"/>
    <col min="15" max="15" width="12.54296875" style="41" customWidth="1"/>
    <col min="16" max="16" width="15.54296875" style="41" hidden="1" customWidth="1"/>
    <col min="17" max="17" width="18.453125" style="41" hidden="1" customWidth="1"/>
    <col min="18" max="18" width="16" style="46" bestFit="1" customWidth="1"/>
    <col min="19" max="19" width="10.54296875" style="41" customWidth="1"/>
    <col min="20" max="20" width="14.1796875" style="41" customWidth="1"/>
    <col min="21" max="21" width="14.81640625" style="41" customWidth="1"/>
    <col min="22" max="22" width="16.54296875" customWidth="1"/>
    <col min="23" max="24" width="12.54296875" customWidth="1"/>
    <col min="25" max="1022" width="14.54296875" customWidth="1"/>
  </cols>
  <sheetData>
    <row r="1" spans="1:24" s="55" customFormat="1" ht="27.75" customHeight="1" x14ac:dyDescent="0.35">
      <c r="A1" s="47" t="s">
        <v>210</v>
      </c>
      <c r="B1" s="47" t="s">
        <v>1</v>
      </c>
      <c r="C1" s="47" t="s">
        <v>2</v>
      </c>
      <c r="D1" s="47" t="s">
        <v>3</v>
      </c>
      <c r="E1" s="48" t="s">
        <v>4</v>
      </c>
      <c r="F1" s="49" t="s">
        <v>5</v>
      </c>
      <c r="G1" s="50" t="s">
        <v>6</v>
      </c>
      <c r="H1" s="50" t="s">
        <v>7</v>
      </c>
      <c r="I1" s="50" t="s">
        <v>8</v>
      </c>
      <c r="J1" s="49" t="s">
        <v>9</v>
      </c>
      <c r="K1" s="47" t="s">
        <v>10</v>
      </c>
      <c r="L1" s="51" t="s">
        <v>11</v>
      </c>
      <c r="M1" s="94" t="s">
        <v>12</v>
      </c>
      <c r="N1" s="52" t="s">
        <v>13</v>
      </c>
      <c r="O1" s="48" t="s">
        <v>14</v>
      </c>
      <c r="P1" s="48" t="s">
        <v>15</v>
      </c>
      <c r="Q1" s="53" t="s">
        <v>16</v>
      </c>
      <c r="R1" s="63" t="s">
        <v>17</v>
      </c>
      <c r="S1" s="48" t="s">
        <v>18</v>
      </c>
      <c r="T1" s="54" t="s">
        <v>19</v>
      </c>
      <c r="U1" s="64" t="s">
        <v>20</v>
      </c>
    </row>
    <row r="2" spans="1:24" ht="20.25" customHeight="1" x14ac:dyDescent="0.35">
      <c r="A2" s="2" t="s">
        <v>21</v>
      </c>
      <c r="B2" s="2" t="s">
        <v>22</v>
      </c>
      <c r="C2" s="2" t="s">
        <v>23</v>
      </c>
      <c r="D2" s="3"/>
      <c r="E2" s="36">
        <v>200</v>
      </c>
      <c r="F2" s="110">
        <v>20</v>
      </c>
      <c r="G2" s="101"/>
      <c r="H2" s="101"/>
      <c r="I2" s="101"/>
      <c r="J2" s="5">
        <f t="shared" ref="J2:J36" si="0">IFERROR(F2/8, 0)</f>
        <v>2.5</v>
      </c>
      <c r="K2" s="79">
        <v>672</v>
      </c>
      <c r="L2" s="27">
        <f>E2*J2</f>
        <v>500</v>
      </c>
      <c r="M2" s="27">
        <f>IF(AND(Week1[[#This Row],[Job Income]]&lt;&gt;"", Week1[[#This Row],[Job Income]]&lt;Week1[[#This Row],[Basic Hours]]*20.5), Week1[[#This Row],[Basic Hours]]*20.5, 0)</f>
        <v>0</v>
      </c>
      <c r="N2" s="105">
        <f>(Week1[[#This Row],[Day Rates]]/8*Week1[[#This Row],[OT Hours]]*1.5)+(Week1[[#This Row],[Day Rates]]/8*Week1[[#This Row],[DT Hours]]*2)+(Week1[[#This Row],[Day Rates]]/8*Week1[[#This Row],[TT Hours]]*3)</f>
        <v>0</v>
      </c>
      <c r="O2" s="27"/>
      <c r="P2" s="27">
        <f>IF(K2-L2&lt;=0, 0, K2-L2)</f>
        <v>172</v>
      </c>
      <c r="Q2" s="27">
        <f t="shared" ref="Q2:Q36" si="1">IFERROR(N2+O2+P2, 0)</f>
        <v>172</v>
      </c>
      <c r="R2" s="100" cm="1">
        <f t="array" ref="R2">_xlfn.IFS(
    K2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672</v>
      </c>
      <c r="S2" s="31">
        <f>IF(Week1[[#This Row],[Gross Wages ]]=0, 0, 8.25)</f>
        <v>8.25</v>
      </c>
      <c r="T2" s="32"/>
      <c r="U2" s="30">
        <f t="shared" ref="U2:U36" si="2">R2-SUM(S2:T2)</f>
        <v>663.75</v>
      </c>
    </row>
    <row r="3" spans="1:24" ht="20.25" customHeight="1" x14ac:dyDescent="0.35">
      <c r="A3" s="2" t="s">
        <v>24</v>
      </c>
      <c r="B3" s="2" t="s">
        <v>25</v>
      </c>
      <c r="C3" s="2" t="s">
        <v>23</v>
      </c>
      <c r="D3" s="3"/>
      <c r="E3" s="36">
        <v>200</v>
      </c>
      <c r="F3" s="110">
        <v>14.5</v>
      </c>
      <c r="G3" s="101"/>
      <c r="H3" s="101"/>
      <c r="I3" s="101"/>
      <c r="J3" s="5">
        <f t="shared" si="0"/>
        <v>1.8125</v>
      </c>
      <c r="K3" s="79">
        <v>602</v>
      </c>
      <c r="L3" s="27">
        <f>E3*J3</f>
        <v>362.5</v>
      </c>
      <c r="M3" s="27">
        <f>IF(AND(Week1[[#This Row],[Job Income]]&lt;&gt;"", Week1[[#This Row],[Job Income]]&lt;Week1[[#This Row],[Basic Hours]]*20.5), Week1[[#This Row],[Basic Hours]]*20.5, 0)</f>
        <v>0</v>
      </c>
      <c r="N3" s="105">
        <f>(Week1[[#This Row],[Day Rates]]/8*Week1[[#This Row],[OT Hours]]*1.5)+(Week1[[#This Row],[Day Rates]]/8*Week1[[#This Row],[DT Hours]]*2)+(Week1[[#This Row],[Day Rates]]/8*Week1[[#This Row],[TT Hours]]*3)</f>
        <v>0</v>
      </c>
      <c r="O3" s="27"/>
      <c r="P3" s="27">
        <f>IF(K3-L3&lt;=0, 0, K3-L3)</f>
        <v>239.5</v>
      </c>
      <c r="Q3" s="27">
        <f t="shared" si="1"/>
        <v>239.5</v>
      </c>
      <c r="R3" s="30" cm="1">
        <f t="array" ref="R3">_xlfn.IFS(
    K3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602</v>
      </c>
      <c r="S3" s="31">
        <f>IF(Week1[[#This Row],[Gross Wages ]]=0, 0, 8.25)</f>
        <v>8.25</v>
      </c>
      <c r="T3" s="32"/>
      <c r="U3" s="30">
        <f t="shared" si="2"/>
        <v>593.75</v>
      </c>
      <c r="W3" s="98"/>
      <c r="X3" s="98"/>
    </row>
    <row r="4" spans="1:24" ht="20.25" customHeight="1" x14ac:dyDescent="0.35">
      <c r="A4" s="2" t="s">
        <v>26</v>
      </c>
      <c r="B4" s="2" t="s">
        <v>27</v>
      </c>
      <c r="C4" s="2" t="s">
        <v>23</v>
      </c>
      <c r="D4" s="12"/>
      <c r="E4" s="36">
        <v>200</v>
      </c>
      <c r="F4" s="110">
        <v>27.5</v>
      </c>
      <c r="G4" s="101"/>
      <c r="H4" s="101"/>
      <c r="I4" s="101"/>
      <c r="J4" s="5">
        <f t="shared" si="0"/>
        <v>3.4375</v>
      </c>
      <c r="K4" s="79">
        <v>700</v>
      </c>
      <c r="L4" s="27">
        <f>E4*J4</f>
        <v>687.5</v>
      </c>
      <c r="M4" s="27">
        <f>IF(AND(Week1[[#This Row],[Job Income]]&lt;&gt;"", Week1[[#This Row],[Job Income]]&lt;Week1[[#This Row],[Basic Hours]]*20.5), Week1[[#This Row],[Basic Hours]]*20.5, 0)</f>
        <v>0</v>
      </c>
      <c r="N4" s="105">
        <f>(Week1[[#This Row],[Day Rates]]/8*Week1[[#This Row],[OT Hours]]*1.5)+(Week1[[#This Row],[Day Rates]]/8*Week1[[#This Row],[DT Hours]]*2)+(Week1[[#This Row],[Day Rates]]/8*Week1[[#This Row],[TT Hours]]*3)</f>
        <v>0</v>
      </c>
      <c r="O4" s="27"/>
      <c r="P4" s="27">
        <f>IF(K4-L4&lt;=0, 0, K4-L4)</f>
        <v>12.5</v>
      </c>
      <c r="Q4" s="27">
        <f t="shared" si="1"/>
        <v>12.5</v>
      </c>
      <c r="R4" s="30" cm="1">
        <f t="array" ref="R4">_xlfn.IFS(
    K4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700</v>
      </c>
      <c r="S4" s="31">
        <f>IF(Week1[[#This Row],[Gross Wages ]]=0, 0, 8.25)</f>
        <v>8.25</v>
      </c>
      <c r="T4" s="32"/>
      <c r="U4" s="30">
        <f t="shared" si="2"/>
        <v>691.75</v>
      </c>
      <c r="W4" s="98"/>
      <c r="X4" s="98"/>
    </row>
    <row r="5" spans="1:24" ht="20.25" customHeight="1" x14ac:dyDescent="0.35">
      <c r="A5" s="2" t="s">
        <v>28</v>
      </c>
      <c r="B5" s="2" t="s">
        <v>29</v>
      </c>
      <c r="C5" s="2" t="s">
        <v>30</v>
      </c>
      <c r="D5" s="3"/>
      <c r="E5" s="36">
        <v>250</v>
      </c>
      <c r="F5" s="110">
        <v>40</v>
      </c>
      <c r="G5" s="102"/>
      <c r="H5" s="102"/>
      <c r="I5" s="102"/>
      <c r="J5" s="5">
        <f t="shared" si="0"/>
        <v>5</v>
      </c>
      <c r="K5" s="80"/>
      <c r="L5" s="33">
        <f t="shared" ref="L5:L14" si="3">IF(F5&lt;=40, (E5/8*F5), E5/8*40)</f>
        <v>1250</v>
      </c>
      <c r="M5" s="27">
        <f>IF(AND(Week1[[#This Row],[Job Income]]&lt;&gt;"", Week1[[#This Row],[Job Income]]&lt;Week1[[#This Row],[Basic Hours]]*20.5), Week1[[#This Row],[Basic Hours]]*20.5, 0)</f>
        <v>0</v>
      </c>
      <c r="N5" s="105">
        <f>(Week1[[#This Row],[Day Rates]]/8*Week1[[#This Row],[OT Hours]]*1.5)+(Week1[[#This Row],[Day Rates]]/8*Week1[[#This Row],[DT Hours]]*2)+(Week1[[#This Row],[Day Rates]]/8*Week1[[#This Row],[TT Hours]]*3)</f>
        <v>0</v>
      </c>
      <c r="O5" s="27"/>
      <c r="P5" s="28"/>
      <c r="Q5" s="27">
        <f t="shared" si="1"/>
        <v>0</v>
      </c>
      <c r="R5" s="30" cm="1">
        <f t="array" ref="R5">_xlfn.IFS(
    K5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1250</v>
      </c>
      <c r="S5" s="34"/>
      <c r="T5" s="32"/>
      <c r="U5" s="30">
        <f t="shared" si="2"/>
        <v>1250</v>
      </c>
      <c r="W5" s="98"/>
      <c r="X5" s="98"/>
    </row>
    <row r="6" spans="1:24" ht="20.25" customHeight="1" x14ac:dyDescent="0.35">
      <c r="A6" s="2" t="s">
        <v>31</v>
      </c>
      <c r="B6" s="2" t="s">
        <v>32</v>
      </c>
      <c r="C6" s="2" t="s">
        <v>30</v>
      </c>
      <c r="D6" s="3"/>
      <c r="E6" s="36">
        <v>200</v>
      </c>
      <c r="F6" s="4"/>
      <c r="G6" s="102"/>
      <c r="H6" s="102"/>
      <c r="I6" s="102"/>
      <c r="J6" s="5">
        <f t="shared" si="0"/>
        <v>0</v>
      </c>
      <c r="K6" s="80"/>
      <c r="L6" s="33">
        <f t="shared" si="3"/>
        <v>0</v>
      </c>
      <c r="M6" s="27">
        <f>IF(AND(Week1[[#This Row],[Job Income]]&lt;&gt;"", Week1[[#This Row],[Job Income]]&lt;Week1[[#This Row],[Basic Hours]]*20.5), Week1[[#This Row],[Basic Hours]]*20.5, 0)</f>
        <v>0</v>
      </c>
      <c r="N6" s="105">
        <f>(Week1[[#This Row],[Day Rates]]/8*Week1[[#This Row],[OT Hours]]*1.5)+(Week1[[#This Row],[Day Rates]]/8*Week1[[#This Row],[DT Hours]]*2)+(Week1[[#This Row],[Day Rates]]/8*Week1[[#This Row],[TT Hours]]*3)</f>
        <v>0</v>
      </c>
      <c r="O6" s="27"/>
      <c r="P6" s="28"/>
      <c r="Q6" s="27">
        <f t="shared" si="1"/>
        <v>0</v>
      </c>
      <c r="R6" s="30" cm="1">
        <f t="array" ref="R6">_xlfn.IFS(
    K6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0</v>
      </c>
      <c r="S6" s="31">
        <f>IF(Week1[[#This Row],[Gross Wages ]]=0, 0, 8.25)</f>
        <v>0</v>
      </c>
      <c r="T6" s="32"/>
      <c r="U6" s="30">
        <f t="shared" si="2"/>
        <v>0</v>
      </c>
    </row>
    <row r="7" spans="1:24" ht="20.25" customHeight="1" x14ac:dyDescent="0.35">
      <c r="A7" s="2" t="s">
        <v>33</v>
      </c>
      <c r="B7" s="2" t="s">
        <v>34</v>
      </c>
      <c r="C7" s="2" t="s">
        <v>30</v>
      </c>
      <c r="D7" s="3"/>
      <c r="E7" s="36">
        <v>200</v>
      </c>
      <c r="F7" s="110">
        <v>32</v>
      </c>
      <c r="G7" s="102"/>
      <c r="H7" s="102"/>
      <c r="I7" s="102"/>
      <c r="J7" s="5">
        <f t="shared" si="0"/>
        <v>4</v>
      </c>
      <c r="K7" s="80"/>
      <c r="L7" s="33">
        <f t="shared" si="3"/>
        <v>800</v>
      </c>
      <c r="M7" s="27">
        <f>IF(AND(Week1[[#This Row],[Job Income]]&lt;&gt;"", Week1[[#This Row],[Job Income]]&lt;Week1[[#This Row],[Basic Hours]]*20.5), Week1[[#This Row],[Basic Hours]]*20.5, 0)</f>
        <v>0</v>
      </c>
      <c r="N7" s="105">
        <f>(Week1[[#This Row],[Day Rates]]/8*Week1[[#This Row],[OT Hours]]*1.5)+(Week1[[#This Row],[Day Rates]]/8*Week1[[#This Row],[DT Hours]]*2)+(Week1[[#This Row],[Day Rates]]/8*Week1[[#This Row],[TT Hours]]*3)</f>
        <v>0</v>
      </c>
      <c r="O7" s="27"/>
      <c r="P7" s="28"/>
      <c r="Q7" s="27">
        <f t="shared" si="1"/>
        <v>0</v>
      </c>
      <c r="R7" s="30" cm="1">
        <f t="array" ref="R7">_xlfn.IFS(
    K7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800</v>
      </c>
      <c r="S7" s="31">
        <f>IF(Week1[[#This Row],[Gross Wages ]]=0, 0, 8.25)</f>
        <v>8.25</v>
      </c>
      <c r="T7" s="32"/>
      <c r="U7" s="30">
        <f t="shared" si="2"/>
        <v>791.75</v>
      </c>
    </row>
    <row r="8" spans="1:24" ht="20.25" customHeight="1" x14ac:dyDescent="0.35">
      <c r="A8" s="2" t="s">
        <v>35</v>
      </c>
      <c r="B8" s="2" t="s">
        <v>36</v>
      </c>
      <c r="C8" s="2" t="s">
        <v>30</v>
      </c>
      <c r="D8" s="3"/>
      <c r="E8" s="36">
        <v>200</v>
      </c>
      <c r="F8" s="110">
        <v>40</v>
      </c>
      <c r="G8" s="102"/>
      <c r="H8" s="102"/>
      <c r="I8" s="102"/>
      <c r="J8" s="5">
        <f t="shared" si="0"/>
        <v>5</v>
      </c>
      <c r="K8" s="80"/>
      <c r="L8" s="33">
        <f t="shared" si="3"/>
        <v>1000</v>
      </c>
      <c r="M8" s="27">
        <f>IF(AND(Week1[[#This Row],[Job Income]]&lt;&gt;"", Week1[[#This Row],[Job Income]]&lt;Week1[[#This Row],[Basic Hours]]*20.5), Week1[[#This Row],[Basic Hours]]*20.5, 0)</f>
        <v>0</v>
      </c>
      <c r="N8" s="105">
        <f>(Week1[[#This Row],[Day Rates]]/8*Week1[[#This Row],[OT Hours]]*1.5)+(Week1[[#This Row],[Day Rates]]/8*Week1[[#This Row],[DT Hours]]*2)+(Week1[[#This Row],[Day Rates]]/8*Week1[[#This Row],[TT Hours]]*3)</f>
        <v>0</v>
      </c>
      <c r="O8" s="27"/>
      <c r="P8" s="28"/>
      <c r="Q8" s="27">
        <f t="shared" si="1"/>
        <v>0</v>
      </c>
      <c r="R8" s="30" cm="1">
        <f t="array" ref="R8">_xlfn.IFS(
    K8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1000</v>
      </c>
      <c r="S8" s="34"/>
      <c r="T8" s="32"/>
      <c r="U8" s="30">
        <f t="shared" si="2"/>
        <v>1000</v>
      </c>
      <c r="W8" s="98"/>
      <c r="X8" s="98"/>
    </row>
    <row r="9" spans="1:24" ht="20.25" customHeight="1" x14ac:dyDescent="0.35">
      <c r="A9" s="2" t="s">
        <v>37</v>
      </c>
      <c r="B9" s="2" t="s">
        <v>38</v>
      </c>
      <c r="C9" s="2" t="s">
        <v>39</v>
      </c>
      <c r="D9" s="3"/>
      <c r="E9" s="36">
        <v>200</v>
      </c>
      <c r="F9" s="110">
        <v>38.5</v>
      </c>
      <c r="G9" s="102"/>
      <c r="H9" s="102"/>
      <c r="I9" s="102"/>
      <c r="J9" s="5">
        <f t="shared" ref="J9" si="4">IFERROR(F9/8, 0)</f>
        <v>4.8125</v>
      </c>
      <c r="K9" s="80"/>
      <c r="L9" s="33">
        <f t="shared" ref="L9" si="5">IF(F9&lt;=40, (E9/8*F9), E9/8*40)</f>
        <v>962.5</v>
      </c>
      <c r="M9" s="27">
        <f>IF(AND(Week1[[#This Row],[Job Income]]&lt;&gt;"", Week1[[#This Row],[Job Income]]&lt;Week1[[#This Row],[Basic Hours]]*20.5), Week1[[#This Row],[Basic Hours]]*20.5, 0)</f>
        <v>0</v>
      </c>
      <c r="N9" s="105">
        <f>(Week1[[#This Row],[Day Rates]]/8*Week1[[#This Row],[OT Hours]]*1.5)+(Week1[[#This Row],[Day Rates]]/8*Week1[[#This Row],[DT Hours]]*2)+(Week1[[#This Row],[Day Rates]]/8*Week1[[#This Row],[TT Hours]]*3)</f>
        <v>0</v>
      </c>
      <c r="O9" s="27"/>
      <c r="P9" s="28"/>
      <c r="Q9" s="27">
        <f t="shared" ref="Q9" si="6">IFERROR(N9+O9+P9, 0)</f>
        <v>0</v>
      </c>
      <c r="R9" s="30" cm="1">
        <f t="array" ref="R9">_xlfn.IFS(
    K9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962.5</v>
      </c>
      <c r="S9" s="29">
        <f>IF(Week1[[#This Row],[Gross Wages ]]=0, 0, 8.25)</f>
        <v>8.25</v>
      </c>
      <c r="T9" s="32"/>
      <c r="U9" s="30">
        <f t="shared" ref="U9" si="7">R9-SUM(S9:T9)</f>
        <v>954.25</v>
      </c>
    </row>
    <row r="10" spans="1:24" ht="20.25" customHeight="1" x14ac:dyDescent="0.35">
      <c r="A10" s="2" t="s">
        <v>40</v>
      </c>
      <c r="B10" s="2" t="s">
        <v>41</v>
      </c>
      <c r="C10" s="2" t="s">
        <v>39</v>
      </c>
      <c r="D10" s="3"/>
      <c r="E10" s="36">
        <v>200</v>
      </c>
      <c r="F10" s="110">
        <v>38.5</v>
      </c>
      <c r="G10" s="102"/>
      <c r="H10" s="102"/>
      <c r="I10" s="102"/>
      <c r="J10" s="5">
        <f t="shared" ref="J10" si="8">IFERROR(F10/8, 0)</f>
        <v>4.8125</v>
      </c>
      <c r="K10" s="80"/>
      <c r="L10" s="33">
        <f t="shared" ref="L10" si="9">IF(F10&lt;=40, (E10/8*F10), E10/8*40)</f>
        <v>962.5</v>
      </c>
      <c r="M10" s="27">
        <f>IF(AND(Week1[[#This Row],[Job Income]]&lt;&gt;"", Week1[[#This Row],[Job Income]]&lt;Week1[[#This Row],[Basic Hours]]*20.5), Week1[[#This Row],[Basic Hours]]*20.5, 0)</f>
        <v>0</v>
      </c>
      <c r="N10" s="105">
        <f>(Week1[[#This Row],[Day Rates]]/8*Week1[[#This Row],[OT Hours]]*1.5)+(Week1[[#This Row],[Day Rates]]/8*Week1[[#This Row],[DT Hours]]*2)+(Week1[[#This Row],[Day Rates]]/8*Week1[[#This Row],[TT Hours]]*3)</f>
        <v>0</v>
      </c>
      <c r="O10" s="27"/>
      <c r="P10" s="28"/>
      <c r="Q10" s="27">
        <f t="shared" ref="Q10" si="10">IFERROR(N10+O10+P10, 0)</f>
        <v>0</v>
      </c>
      <c r="R10" s="30" cm="1">
        <f t="array" ref="R10">_xlfn.IFS(
    K10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962.5</v>
      </c>
      <c r="S10" s="29">
        <f>IF(Week1[[#This Row],[Gross Wages ]]=0, 0, 8.25)</f>
        <v>8.25</v>
      </c>
      <c r="T10" s="32"/>
      <c r="U10" s="30">
        <f t="shared" ref="U10" si="11">R10-SUM(S10:T10)</f>
        <v>954.25</v>
      </c>
      <c r="W10" s="98"/>
      <c r="X10" s="98"/>
    </row>
    <row r="11" spans="1:24" ht="20.25" customHeight="1" x14ac:dyDescent="0.35">
      <c r="A11" s="2" t="s">
        <v>42</v>
      </c>
      <c r="B11" s="2" t="s">
        <v>43</v>
      </c>
      <c r="C11" s="2" t="s">
        <v>39</v>
      </c>
      <c r="D11" s="3"/>
      <c r="E11" s="36">
        <v>200</v>
      </c>
      <c r="F11" s="110">
        <v>38.5</v>
      </c>
      <c r="G11" s="102"/>
      <c r="H11" s="102"/>
      <c r="I11" s="102"/>
      <c r="J11" s="5">
        <f t="shared" ref="J11" si="12">IFERROR(F11/8, 0)</f>
        <v>4.8125</v>
      </c>
      <c r="K11" s="80"/>
      <c r="L11" s="33">
        <f t="shared" ref="L11" si="13">IF(F11&lt;=40, (E11/8*F11), E11/8*40)</f>
        <v>962.5</v>
      </c>
      <c r="M11" s="27">
        <f>IF(AND(Week1[[#This Row],[Job Income]]&lt;&gt;"", Week1[[#This Row],[Job Income]]&lt;Week1[[#This Row],[Basic Hours]]*20.5), Week1[[#This Row],[Basic Hours]]*20.5, 0)</f>
        <v>0</v>
      </c>
      <c r="N11" s="105">
        <f>(Week1[[#This Row],[Day Rates]]/8*Week1[[#This Row],[OT Hours]]*1.5)+(Week1[[#This Row],[Day Rates]]/8*Week1[[#This Row],[DT Hours]]*2)+(Week1[[#This Row],[Day Rates]]/8*Week1[[#This Row],[TT Hours]]*3)</f>
        <v>0</v>
      </c>
      <c r="O11" s="27"/>
      <c r="P11" s="28"/>
      <c r="Q11" s="27">
        <f t="shared" ref="Q11" si="14">IFERROR(N11+O11+P11, 0)</f>
        <v>0</v>
      </c>
      <c r="R11" s="30" cm="1">
        <f t="array" ref="R11">_xlfn.IFS(
    K11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962.5</v>
      </c>
      <c r="S11" s="29">
        <f>IF(Week1[[#This Row],[Gross Wages ]]=0, 0, 8.25)</f>
        <v>8.25</v>
      </c>
      <c r="T11" s="32"/>
      <c r="U11" s="30">
        <f t="shared" ref="U11" si="15">R11-SUM(S11:T11)</f>
        <v>954.25</v>
      </c>
    </row>
    <row r="12" spans="1:24" ht="20.25" customHeight="1" x14ac:dyDescent="0.35">
      <c r="A12" s="2" t="s">
        <v>44</v>
      </c>
      <c r="B12" s="2" t="s">
        <v>45</v>
      </c>
      <c r="C12" s="2" t="s">
        <v>39</v>
      </c>
      <c r="D12" s="3"/>
      <c r="E12" s="36">
        <v>200</v>
      </c>
      <c r="F12" s="4"/>
      <c r="G12" s="102"/>
      <c r="H12" s="102"/>
      <c r="I12" s="102"/>
      <c r="J12" s="5">
        <f t="shared" ref="J12" si="16">IFERROR(F12/8, 0)</f>
        <v>0</v>
      </c>
      <c r="K12" s="80"/>
      <c r="L12" s="33">
        <f t="shared" ref="L12" si="17">IF(F12&lt;=40, (E12/8*F12), E12/8*40)</f>
        <v>0</v>
      </c>
      <c r="M12" s="27">
        <f>IF(AND(Week1[[#This Row],[Job Income]]&lt;&gt;"", Week1[[#This Row],[Job Income]]&lt;Week1[[#This Row],[Basic Hours]]*20.5), Week1[[#This Row],[Basic Hours]]*20.5, 0)</f>
        <v>0</v>
      </c>
      <c r="N12" s="105">
        <f>(Week1[[#This Row],[Day Rates]]/8*Week1[[#This Row],[OT Hours]]*1.5)+(Week1[[#This Row],[Day Rates]]/8*Week1[[#This Row],[DT Hours]]*2)+(Week1[[#This Row],[Day Rates]]/8*Week1[[#This Row],[TT Hours]]*3)</f>
        <v>0</v>
      </c>
      <c r="O12" s="27"/>
      <c r="P12" s="28"/>
      <c r="Q12" s="27">
        <f t="shared" ref="Q12" si="18">IFERROR(N12+O12+P12, 0)</f>
        <v>0</v>
      </c>
      <c r="R12" s="30" cm="1">
        <f t="array" ref="R12">_xlfn.IFS(
    K12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0</v>
      </c>
      <c r="S12" s="29">
        <f>IF(Week1[[#This Row],[Gross Wages ]]=0, 0, 8.25)</f>
        <v>0</v>
      </c>
      <c r="T12" s="32"/>
      <c r="U12" s="30">
        <f t="shared" ref="U12" si="19">R12-SUM(S12:T12)</f>
        <v>0</v>
      </c>
    </row>
    <row r="13" spans="1:24" ht="20.25" customHeight="1" x14ac:dyDescent="0.35">
      <c r="A13" s="2" t="s">
        <v>46</v>
      </c>
      <c r="B13" s="2" t="s">
        <v>47</v>
      </c>
      <c r="C13" s="2" t="s">
        <v>48</v>
      </c>
      <c r="D13" s="12"/>
      <c r="E13" s="36">
        <v>200</v>
      </c>
      <c r="F13" s="110">
        <v>32</v>
      </c>
      <c r="G13" s="102"/>
      <c r="H13" s="102"/>
      <c r="I13" s="102"/>
      <c r="J13" s="5">
        <f t="shared" si="0"/>
        <v>4</v>
      </c>
      <c r="K13" s="80"/>
      <c r="L13" s="33">
        <f t="shared" si="3"/>
        <v>800</v>
      </c>
      <c r="M13" s="27">
        <f>IF(AND(Week1[[#This Row],[Job Income]]&lt;&gt;"", Week1[[#This Row],[Job Income]]&lt;Week1[[#This Row],[Basic Hours]]*20.5), Week1[[#This Row],[Basic Hours]]*20.5, 0)</f>
        <v>0</v>
      </c>
      <c r="N13" s="105">
        <f>(Week1[[#This Row],[Day Rates]]/8*Week1[[#This Row],[OT Hours]]*1.5)+(Week1[[#This Row],[Day Rates]]/8*Week1[[#This Row],[DT Hours]]*2)+(Week1[[#This Row],[Day Rates]]/8*Week1[[#This Row],[TT Hours]]*3)</f>
        <v>0</v>
      </c>
      <c r="O13" s="27"/>
      <c r="P13" s="28"/>
      <c r="Q13" s="27">
        <f t="shared" si="1"/>
        <v>0</v>
      </c>
      <c r="R13" s="30" cm="1">
        <f t="array" ref="R13">_xlfn.IFS(
    K13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800</v>
      </c>
      <c r="S13" s="31">
        <f>IF(Week1[[#This Row],[Gross Wages ]]=0, 0, 8.25)</f>
        <v>8.25</v>
      </c>
      <c r="T13" s="32"/>
      <c r="U13" s="30">
        <f t="shared" si="2"/>
        <v>791.75</v>
      </c>
    </row>
    <row r="14" spans="1:24" ht="20.25" customHeight="1" x14ac:dyDescent="0.35">
      <c r="A14" s="2" t="s">
        <v>49</v>
      </c>
      <c r="B14" s="2" t="s">
        <v>50</v>
      </c>
      <c r="C14" s="2" t="s">
        <v>48</v>
      </c>
      <c r="D14" s="12"/>
      <c r="E14" s="36">
        <v>200</v>
      </c>
      <c r="F14" s="110">
        <v>32</v>
      </c>
      <c r="G14" s="102"/>
      <c r="H14" s="102"/>
      <c r="I14" s="102"/>
      <c r="J14" s="5">
        <f t="shared" si="0"/>
        <v>4</v>
      </c>
      <c r="K14" s="80"/>
      <c r="L14" s="33">
        <f t="shared" si="3"/>
        <v>800</v>
      </c>
      <c r="M14" s="27">
        <f>IF(AND(Week1[[#This Row],[Job Income]]&lt;&gt;"", Week1[[#This Row],[Job Income]]&lt;Week1[[#This Row],[Basic Hours]]*20.5), Week1[[#This Row],[Basic Hours]]*20.5, 0)</f>
        <v>0</v>
      </c>
      <c r="N14" s="105">
        <f>(Week1[[#This Row],[Day Rates]]/8*Week1[[#This Row],[OT Hours]]*1.5)+(Week1[[#This Row],[Day Rates]]/8*Week1[[#This Row],[DT Hours]]*2)+(Week1[[#This Row],[Day Rates]]/8*Week1[[#This Row],[TT Hours]]*3)</f>
        <v>0</v>
      </c>
      <c r="O14" s="27"/>
      <c r="P14" s="28"/>
      <c r="Q14" s="27">
        <f t="shared" si="1"/>
        <v>0</v>
      </c>
      <c r="R14" s="30" cm="1">
        <f t="array" ref="R14">_xlfn.IFS(
    K14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800</v>
      </c>
      <c r="S14" s="31">
        <f>IF(Week1[[#This Row],[Gross Wages ]]=0, 0, 8.25)</f>
        <v>8.25</v>
      </c>
      <c r="T14" s="32"/>
      <c r="U14" s="30">
        <f t="shared" si="2"/>
        <v>791.75</v>
      </c>
      <c r="W14" s="98"/>
      <c r="X14" s="98"/>
    </row>
    <row r="15" spans="1:24" ht="20.25" customHeight="1" x14ac:dyDescent="0.35">
      <c r="A15" s="2" t="s">
        <v>51</v>
      </c>
      <c r="B15" s="2" t="s">
        <v>52</v>
      </c>
      <c r="C15" s="2" t="s">
        <v>39</v>
      </c>
      <c r="D15" s="3"/>
      <c r="E15" s="36">
        <v>200</v>
      </c>
      <c r="F15" s="110">
        <v>30.5</v>
      </c>
      <c r="G15" s="102"/>
      <c r="H15" s="102"/>
      <c r="I15" s="102"/>
      <c r="J15" s="5">
        <f t="shared" ref="J15" si="20">IFERROR(F15/8, 0)</f>
        <v>3.8125</v>
      </c>
      <c r="K15" s="80"/>
      <c r="L15" s="33">
        <f t="shared" ref="L15" si="21">IF(F15&lt;=40, (E15/8*F15), E15/8*40)</f>
        <v>762.5</v>
      </c>
      <c r="M15" s="27">
        <f>IF(AND(Week1[[#This Row],[Job Income]]&lt;&gt;"", Week1[[#This Row],[Job Income]]&lt;Week1[[#This Row],[Basic Hours]]*20.5), Week1[[#This Row],[Basic Hours]]*20.5, 0)</f>
        <v>0</v>
      </c>
      <c r="N15" s="105">
        <f>(Week1[[#This Row],[Day Rates]]/8*Week1[[#This Row],[OT Hours]]*1.5)+(Week1[[#This Row],[Day Rates]]/8*Week1[[#This Row],[DT Hours]]*2)+(Week1[[#This Row],[Day Rates]]/8*Week1[[#This Row],[TT Hours]]*3)</f>
        <v>0</v>
      </c>
      <c r="O15" s="27"/>
      <c r="P15" s="28"/>
      <c r="Q15" s="27"/>
      <c r="R15" s="30" cm="1">
        <f t="array" ref="R15">_xlfn.IFS(
    K15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762.5</v>
      </c>
      <c r="S15" s="31">
        <f>IF(Week1[[#This Row],[Gross Wages ]]=0, 0, 8.25)</f>
        <v>8.25</v>
      </c>
      <c r="T15" s="32"/>
      <c r="U15" s="30">
        <f t="shared" ref="U15" si="22">R15-SUM(S15:T15)</f>
        <v>754.25</v>
      </c>
      <c r="W15" s="98"/>
      <c r="X15" s="98"/>
    </row>
    <row r="16" spans="1:24" ht="20.25" customHeight="1" x14ac:dyDescent="0.35">
      <c r="A16" s="2" t="s">
        <v>53</v>
      </c>
      <c r="B16" s="2" t="s">
        <v>54</v>
      </c>
      <c r="C16" s="2" t="s">
        <v>39</v>
      </c>
      <c r="D16" s="3"/>
      <c r="E16" s="36">
        <v>200</v>
      </c>
      <c r="F16" s="110">
        <v>38.5</v>
      </c>
      <c r="G16" s="102"/>
      <c r="H16" s="102"/>
      <c r="I16" s="102"/>
      <c r="J16" s="5">
        <f t="shared" ref="J16" si="23">IFERROR(F16/8, 0)</f>
        <v>4.8125</v>
      </c>
      <c r="K16" s="80"/>
      <c r="L16" s="33">
        <f t="shared" ref="L16" si="24">IF(F16&lt;=40, (E16/8*F16), E16/8*40)</f>
        <v>962.5</v>
      </c>
      <c r="M16" s="27">
        <f>IF(AND(Week1[[#This Row],[Job Income]]&lt;&gt;"", Week1[[#This Row],[Job Income]]&lt;Week1[[#This Row],[Basic Hours]]*20.5), Week1[[#This Row],[Basic Hours]]*20.5, 0)</f>
        <v>0</v>
      </c>
      <c r="N16" s="105">
        <f>(Week1[[#This Row],[Day Rates]]/8*Week1[[#This Row],[OT Hours]]*1.5)+(Week1[[#This Row],[Day Rates]]/8*Week1[[#This Row],[DT Hours]]*2)+(Week1[[#This Row],[Day Rates]]/8*Week1[[#This Row],[TT Hours]]*3)</f>
        <v>0</v>
      </c>
      <c r="O16" s="27"/>
      <c r="P16" s="28"/>
      <c r="Q16" s="27">
        <f t="shared" ref="Q16" si="25">IFERROR(N16+O16+P16, 0)</f>
        <v>0</v>
      </c>
      <c r="R16" s="30" cm="1">
        <f t="array" ref="R16">_xlfn.IFS(
    K16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962.5</v>
      </c>
      <c r="S16" s="29">
        <f>IF(Week1[[#This Row],[Gross Wages ]]=0, 0, 8.25)</f>
        <v>8.25</v>
      </c>
      <c r="T16" s="32"/>
      <c r="U16" s="30">
        <f>R16-SUM(S16:T16)</f>
        <v>954.25</v>
      </c>
      <c r="W16" s="98"/>
      <c r="X16" s="98"/>
    </row>
    <row r="17" spans="1:24" ht="20.25" customHeight="1" x14ac:dyDescent="0.35">
      <c r="A17" s="2" t="s">
        <v>55</v>
      </c>
      <c r="B17" s="2" t="s">
        <v>56</v>
      </c>
      <c r="C17" s="2" t="s">
        <v>57</v>
      </c>
      <c r="D17" s="7"/>
      <c r="E17" s="36">
        <v>240</v>
      </c>
      <c r="F17" s="110">
        <v>40</v>
      </c>
      <c r="G17" s="101"/>
      <c r="H17" s="101"/>
      <c r="I17" s="101"/>
      <c r="J17" s="5">
        <f t="shared" si="0"/>
        <v>5</v>
      </c>
      <c r="K17" s="79"/>
      <c r="L17" s="27">
        <f>E17*J17</f>
        <v>1200</v>
      </c>
      <c r="M17" s="27">
        <f>IF(AND(Week1[[#This Row],[Job Income]]&lt;&gt;"", Week1[[#This Row],[Job Income]]&lt;Week1[[#This Row],[Basic Hours]]*20.5), Week1[[#This Row],[Basic Hours]]*20.5, 0)</f>
        <v>0</v>
      </c>
      <c r="N17" s="105">
        <f>(Week1[[#This Row],[Day Rates]]/8*Week1[[#This Row],[OT Hours]]*1.5)+(Week1[[#This Row],[Day Rates]]/8*Week1[[#This Row],[DT Hours]]*2)+(Week1[[#This Row],[Day Rates]]/8*Week1[[#This Row],[TT Hours]]*3)</f>
        <v>0</v>
      </c>
      <c r="O17" s="27"/>
      <c r="P17" s="27">
        <f t="shared" ref="P17:P24" si="26">IF(K17-L17&lt;=0, 0, K17-L17)</f>
        <v>0</v>
      </c>
      <c r="Q17" s="27">
        <f t="shared" si="1"/>
        <v>0</v>
      </c>
      <c r="R17" s="30" cm="1">
        <f t="array" ref="R17">_xlfn.IFS(
    K17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1200</v>
      </c>
      <c r="S17" s="31">
        <f>IF(Week1[[#This Row],[Gross Wages ]]=0, 0, 8.25)</f>
        <v>8.25</v>
      </c>
      <c r="T17" s="32"/>
      <c r="U17" s="30">
        <f t="shared" si="2"/>
        <v>1191.75</v>
      </c>
      <c r="W17" s="98"/>
      <c r="X17" s="98"/>
    </row>
    <row r="18" spans="1:24" ht="20.25" customHeight="1" x14ac:dyDescent="0.35">
      <c r="A18" s="2" t="s">
        <v>58</v>
      </c>
      <c r="B18" s="2" t="s">
        <v>59</v>
      </c>
      <c r="C18" s="2" t="s">
        <v>57</v>
      </c>
      <c r="D18" s="7"/>
      <c r="E18" s="37">
        <v>225</v>
      </c>
      <c r="F18" s="110">
        <v>30.5</v>
      </c>
      <c r="G18" s="101"/>
      <c r="H18" s="101"/>
      <c r="I18" s="101"/>
      <c r="J18" s="5">
        <f t="shared" si="0"/>
        <v>3.8125</v>
      </c>
      <c r="K18" s="79"/>
      <c r="L18" s="42">
        <f>ROUNDUP(E18/8, 2)*F18</f>
        <v>857.96500000000003</v>
      </c>
      <c r="M18" s="27">
        <f>IF(AND(Week1[[#This Row],[Job Income]]&lt;&gt;"", Week1[[#This Row],[Job Income]]&lt;Week1[[#This Row],[Basic Hours]]*20.5), Week1[[#This Row],[Basic Hours]]*20.5, 0)</f>
        <v>0</v>
      </c>
      <c r="N18" s="105">
        <f>(Week1[[#This Row],[Day Rates]]/8*Week1[[#This Row],[OT Hours]]*1.5)+(Week1[[#This Row],[Day Rates]]/8*Week1[[#This Row],[DT Hours]]*2)+(Week1[[#This Row],[Day Rates]]/8*Week1[[#This Row],[TT Hours]]*3)</f>
        <v>0</v>
      </c>
      <c r="O18" s="27"/>
      <c r="P18" s="27">
        <f t="shared" si="26"/>
        <v>0</v>
      </c>
      <c r="Q18" s="27">
        <f t="shared" si="1"/>
        <v>0</v>
      </c>
      <c r="R18" s="30" cm="1">
        <f t="array" ref="R18">_xlfn.IFS(
    K18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857.96500000000003</v>
      </c>
      <c r="S18" s="31">
        <f>IF(Week1[[#This Row],[Gross Wages ]]=0, 0, 8.25)</f>
        <v>8.25</v>
      </c>
      <c r="T18" s="32"/>
      <c r="U18" s="30">
        <f t="shared" si="2"/>
        <v>849.71500000000003</v>
      </c>
      <c r="W18" s="98"/>
      <c r="X18" s="98"/>
    </row>
    <row r="19" spans="1:24" ht="20.25" customHeight="1" x14ac:dyDescent="0.35">
      <c r="A19" s="2" t="s">
        <v>60</v>
      </c>
      <c r="B19" s="2" t="s">
        <v>61</v>
      </c>
      <c r="C19" s="2" t="s">
        <v>57</v>
      </c>
      <c r="D19" s="7"/>
      <c r="E19" s="37">
        <v>225</v>
      </c>
      <c r="F19" s="110">
        <v>40</v>
      </c>
      <c r="G19" s="101"/>
      <c r="H19" s="101"/>
      <c r="I19" s="101"/>
      <c r="J19" s="5">
        <f t="shared" si="0"/>
        <v>5</v>
      </c>
      <c r="K19" s="79"/>
      <c r="L19" s="42">
        <f>ROUNDUP(E19/8, 2)*F19</f>
        <v>1125.2</v>
      </c>
      <c r="M19" s="27">
        <f>IF(AND(Week1[[#This Row],[Job Income]]&lt;&gt;"", Week1[[#This Row],[Job Income]]&lt;Week1[[#This Row],[Basic Hours]]*20.5), Week1[[#This Row],[Basic Hours]]*20.5, 0)</f>
        <v>0</v>
      </c>
      <c r="N19" s="105">
        <f>(Week1[[#This Row],[Day Rates]]/8*Week1[[#This Row],[OT Hours]]*1.5)+(Week1[[#This Row],[Day Rates]]/8*Week1[[#This Row],[DT Hours]]*2)+(Week1[[#This Row],[Day Rates]]/8*Week1[[#This Row],[TT Hours]]*3)</f>
        <v>0</v>
      </c>
      <c r="O19" s="27"/>
      <c r="P19" s="27">
        <f t="shared" si="26"/>
        <v>0</v>
      </c>
      <c r="Q19" s="27">
        <f t="shared" si="1"/>
        <v>0</v>
      </c>
      <c r="R19" s="30" cm="1">
        <f t="array" ref="R19">_xlfn.IFS(
    K19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1125.2</v>
      </c>
      <c r="S19" s="34"/>
      <c r="T19" s="32"/>
      <c r="U19" s="30">
        <f t="shared" si="2"/>
        <v>1125.2</v>
      </c>
      <c r="W19" s="98"/>
      <c r="X19" s="98"/>
    </row>
    <row r="20" spans="1:24" ht="20.25" customHeight="1" x14ac:dyDescent="0.35">
      <c r="A20" s="2" t="s">
        <v>62</v>
      </c>
      <c r="B20" s="2" t="s">
        <v>54</v>
      </c>
      <c r="C20" s="2" t="s">
        <v>63</v>
      </c>
      <c r="D20" s="6"/>
      <c r="E20" s="36">
        <v>164</v>
      </c>
      <c r="F20" s="110">
        <v>12</v>
      </c>
      <c r="G20" s="101"/>
      <c r="H20" s="101"/>
      <c r="I20" s="101"/>
      <c r="J20" s="5">
        <f t="shared" si="0"/>
        <v>1.5</v>
      </c>
      <c r="K20" s="79">
        <v>815</v>
      </c>
      <c r="L20" s="27">
        <f>E20*J20</f>
        <v>246</v>
      </c>
      <c r="M20" s="27">
        <f>IF(AND(Week1[[#This Row],[Job Income]]&lt;&gt;"", Week1[[#This Row],[Job Income]]&lt;Week1[[#This Row],[Basic Hours]]*20.5), Week1[[#This Row],[Basic Hours]]*20.5, 0)</f>
        <v>0</v>
      </c>
      <c r="N20" s="105">
        <f>(Week1[[#This Row],[Day Rates]]/8*Week1[[#This Row],[OT Hours]]*1.5)+(Week1[[#This Row],[Day Rates]]/8*Week1[[#This Row],[DT Hours]]*2)+(Week1[[#This Row],[Day Rates]]/8*Week1[[#This Row],[TT Hours]]*3)</f>
        <v>0</v>
      </c>
      <c r="O20" s="27"/>
      <c r="P20" s="27">
        <f t="shared" si="26"/>
        <v>569</v>
      </c>
      <c r="Q20" s="27">
        <f t="shared" si="1"/>
        <v>569</v>
      </c>
      <c r="R20" s="30" cm="1">
        <f t="array" ref="R20">_xlfn.IFS(
    K20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815</v>
      </c>
      <c r="S20" s="31">
        <f>IF(Week1[[#This Row],[Gross Wages ]]=0, 0, 8.25)</f>
        <v>8.25</v>
      </c>
      <c r="T20" s="32"/>
      <c r="U20" s="30">
        <f t="shared" si="2"/>
        <v>806.75</v>
      </c>
    </row>
    <row r="21" spans="1:24" ht="20.25" customHeight="1" x14ac:dyDescent="0.35">
      <c r="A21" s="2" t="s">
        <v>64</v>
      </c>
      <c r="B21" s="2" t="s">
        <v>65</v>
      </c>
      <c r="C21" s="2" t="s">
        <v>63</v>
      </c>
      <c r="D21" s="3"/>
      <c r="E21" s="36">
        <v>164</v>
      </c>
      <c r="F21" s="110">
        <v>12</v>
      </c>
      <c r="G21" s="101"/>
      <c r="H21" s="101"/>
      <c r="I21" s="101"/>
      <c r="J21" s="5">
        <f t="shared" si="0"/>
        <v>1.5</v>
      </c>
      <c r="K21" s="79">
        <v>829</v>
      </c>
      <c r="L21" s="27">
        <f>E21*J21</f>
        <v>246</v>
      </c>
      <c r="M21" s="27">
        <f>IF(AND(Week1[[#This Row],[Job Income]]&lt;&gt;"", Week1[[#This Row],[Job Income]]&lt;Week1[[#This Row],[Basic Hours]]*20.5), Week1[[#This Row],[Basic Hours]]*20.5, 0)</f>
        <v>0</v>
      </c>
      <c r="N21" s="105">
        <f>(Week1[[#This Row],[Day Rates]]/8*Week1[[#This Row],[OT Hours]]*1.5)+(Week1[[#This Row],[Day Rates]]/8*Week1[[#This Row],[DT Hours]]*2)+(Week1[[#This Row],[Day Rates]]/8*Week1[[#This Row],[TT Hours]]*3)</f>
        <v>0</v>
      </c>
      <c r="O21" s="27"/>
      <c r="P21" s="27">
        <f t="shared" si="26"/>
        <v>583</v>
      </c>
      <c r="Q21" s="27">
        <f t="shared" si="1"/>
        <v>583</v>
      </c>
      <c r="R21" s="30" cm="1">
        <f t="array" ref="R21">_xlfn.IFS(
    K21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829</v>
      </c>
      <c r="S21" s="31">
        <f>IF(Week1[[#This Row],[Gross Wages ]]=0, 0, 8.25)</f>
        <v>8.25</v>
      </c>
      <c r="T21" s="32"/>
      <c r="U21" s="30">
        <f t="shared" si="2"/>
        <v>820.75</v>
      </c>
      <c r="W21" s="98"/>
      <c r="X21" s="98"/>
    </row>
    <row r="22" spans="1:24" ht="20.25" customHeight="1" x14ac:dyDescent="0.35">
      <c r="A22" s="2" t="s">
        <v>66</v>
      </c>
      <c r="B22" s="2" t="s">
        <v>67</v>
      </c>
      <c r="C22" s="2" t="s">
        <v>68</v>
      </c>
      <c r="D22" s="3"/>
      <c r="E22" s="36">
        <v>164</v>
      </c>
      <c r="F22" s="110">
        <v>18.5</v>
      </c>
      <c r="G22" s="101"/>
      <c r="H22" s="101"/>
      <c r="I22" s="101"/>
      <c r="J22" s="5">
        <f t="shared" si="0"/>
        <v>2.3125</v>
      </c>
      <c r="K22" s="79">
        <v>918</v>
      </c>
      <c r="L22" s="27">
        <f>E22*J22</f>
        <v>379.25</v>
      </c>
      <c r="M22" s="27">
        <f>IF(AND(Week1[[#This Row],[Job Income]]&lt;&gt;"", Week1[[#This Row],[Job Income]]&lt;Week1[[#This Row],[Basic Hours]]*20.5), Week1[[#This Row],[Basic Hours]]*20.5, 0)</f>
        <v>0</v>
      </c>
      <c r="N22" s="105">
        <f>(Week1[[#This Row],[Day Rates]]/8*Week1[[#This Row],[OT Hours]]*1.5)+(Week1[[#This Row],[Day Rates]]/8*Week1[[#This Row],[DT Hours]]*2)+(Week1[[#This Row],[Day Rates]]/8*Week1[[#This Row],[TT Hours]]*3)</f>
        <v>0</v>
      </c>
      <c r="O22" s="27"/>
      <c r="P22" s="27">
        <f t="shared" si="26"/>
        <v>538.75</v>
      </c>
      <c r="Q22" s="27">
        <f t="shared" si="1"/>
        <v>538.75</v>
      </c>
      <c r="R22" s="30" cm="1">
        <f t="array" ref="R22">_xlfn.IFS(
    K22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918</v>
      </c>
      <c r="S22" s="31">
        <f>IF(Week1[[#This Row],[Gross Wages ]]=0, 0, 8.25)</f>
        <v>8.25</v>
      </c>
      <c r="T22" s="32"/>
      <c r="U22" s="30">
        <f t="shared" si="2"/>
        <v>909.75</v>
      </c>
      <c r="W22" s="98"/>
      <c r="X22" s="98"/>
    </row>
    <row r="23" spans="1:24" ht="20.25" customHeight="1" x14ac:dyDescent="0.35">
      <c r="A23" s="2" t="s">
        <v>69</v>
      </c>
      <c r="B23" s="2" t="s">
        <v>70</v>
      </c>
      <c r="C23" s="2" t="s">
        <v>68</v>
      </c>
      <c r="D23" s="12"/>
      <c r="E23" s="36">
        <v>164</v>
      </c>
      <c r="F23" s="110">
        <v>21</v>
      </c>
      <c r="G23" s="101"/>
      <c r="H23" s="101"/>
      <c r="I23" s="101"/>
      <c r="J23" s="5">
        <f t="shared" si="0"/>
        <v>2.625</v>
      </c>
      <c r="K23" s="79">
        <v>906</v>
      </c>
      <c r="L23" s="27">
        <f>E23*J23</f>
        <v>430.5</v>
      </c>
      <c r="M23" s="27">
        <f>IF(AND(Week1[[#This Row],[Job Income]]&lt;&gt;"", Week1[[#This Row],[Job Income]]&lt;Week1[[#This Row],[Basic Hours]]*20.5), Week1[[#This Row],[Basic Hours]]*20.5, 0)</f>
        <v>0</v>
      </c>
      <c r="N23" s="105">
        <f>(Week1[[#This Row],[Day Rates]]/8*Week1[[#This Row],[OT Hours]]*1.5)+(Week1[[#This Row],[Day Rates]]/8*Week1[[#This Row],[DT Hours]]*2)+(Week1[[#This Row],[Day Rates]]/8*Week1[[#This Row],[TT Hours]]*3)</f>
        <v>0</v>
      </c>
      <c r="O23" s="27"/>
      <c r="P23" s="27">
        <f t="shared" si="26"/>
        <v>475.5</v>
      </c>
      <c r="Q23" s="27">
        <f t="shared" si="1"/>
        <v>475.5</v>
      </c>
      <c r="R23" s="30" cm="1">
        <f t="array" ref="R23">_xlfn.IFS(
    K23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906</v>
      </c>
      <c r="S23" s="34"/>
      <c r="T23" s="32"/>
      <c r="U23" s="30">
        <f t="shared" si="2"/>
        <v>906</v>
      </c>
      <c r="W23" s="98"/>
      <c r="X23" s="98"/>
    </row>
    <row r="24" spans="1:24" ht="20.25" customHeight="1" x14ac:dyDescent="0.35">
      <c r="A24" s="2" t="s">
        <v>71</v>
      </c>
      <c r="B24" s="2" t="s">
        <v>72</v>
      </c>
      <c r="C24" s="2" t="s">
        <v>73</v>
      </c>
      <c r="D24" s="6"/>
      <c r="E24" s="36">
        <v>164</v>
      </c>
      <c r="F24" s="110">
        <v>17.5</v>
      </c>
      <c r="G24" s="101"/>
      <c r="H24" s="101"/>
      <c r="I24" s="101"/>
      <c r="J24" s="5">
        <f t="shared" si="0"/>
        <v>2.1875</v>
      </c>
      <c r="K24" s="79">
        <v>836</v>
      </c>
      <c r="L24" s="27">
        <f>E24*J24</f>
        <v>358.75</v>
      </c>
      <c r="M24" s="27">
        <f>IF(AND(Week1[[#This Row],[Job Income]]&lt;&gt;"", Week1[[#This Row],[Job Income]]&lt;Week1[[#This Row],[Basic Hours]]*20.5), Week1[[#This Row],[Basic Hours]]*20.5, 0)</f>
        <v>0</v>
      </c>
      <c r="N24" s="105">
        <f>(Week1[[#This Row],[Day Rates]]/8*Week1[[#This Row],[OT Hours]]*1.5)+(Week1[[#This Row],[Day Rates]]/8*Week1[[#This Row],[DT Hours]]*2)+(Week1[[#This Row],[Day Rates]]/8*Week1[[#This Row],[TT Hours]]*3)</f>
        <v>0</v>
      </c>
      <c r="O24" s="27"/>
      <c r="P24" s="27">
        <f t="shared" si="26"/>
        <v>477.25</v>
      </c>
      <c r="Q24" s="27">
        <f t="shared" si="1"/>
        <v>477.25</v>
      </c>
      <c r="R24" s="30" cm="1">
        <f t="array" ref="R24">_xlfn.IFS(
    K24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836</v>
      </c>
      <c r="S24" s="31">
        <f>IF(Week1[[#This Row],[Gross Wages ]]=0, 0, 8.25)</f>
        <v>8.25</v>
      </c>
      <c r="T24" s="32"/>
      <c r="U24" s="30">
        <f t="shared" si="2"/>
        <v>827.75</v>
      </c>
      <c r="W24" s="98"/>
      <c r="X24" s="98"/>
    </row>
    <row r="25" spans="1:24" ht="20.25" customHeight="1" x14ac:dyDescent="0.35">
      <c r="A25" s="2" t="s">
        <v>74</v>
      </c>
      <c r="B25" s="2" t="s">
        <v>75</v>
      </c>
      <c r="C25" s="2" t="s">
        <v>76</v>
      </c>
      <c r="D25" s="6"/>
      <c r="E25" s="36">
        <v>250</v>
      </c>
      <c r="F25" s="110">
        <v>40</v>
      </c>
      <c r="G25" s="102"/>
      <c r="H25" s="102"/>
      <c r="I25" s="102"/>
      <c r="J25" s="5">
        <f t="shared" si="0"/>
        <v>5</v>
      </c>
      <c r="K25" s="80"/>
      <c r="L25" s="33">
        <f>IF(F25&lt;=40, (ROUNDUP(E25/8, 2)*F25), ROUNDUP(E25/8, 2)*40)</f>
        <v>1250</v>
      </c>
      <c r="M25" s="27">
        <f>IF(AND(Week1[[#This Row],[Job Income]]&lt;&gt;"", Week1[[#This Row],[Job Income]]&lt;Week1[[#This Row],[Basic Hours]]*20.5), Week1[[#This Row],[Basic Hours]]*20.5, 0)</f>
        <v>0</v>
      </c>
      <c r="N25" s="105">
        <f>(Week1[[#This Row],[Day Rates]]/8*Week1[[#This Row],[OT Hours]]*1.5)+(Week1[[#This Row],[Day Rates]]/8*Week1[[#This Row],[DT Hours]]*2)+(Week1[[#This Row],[Day Rates]]/8*Week1[[#This Row],[TT Hours]]*3)</f>
        <v>0</v>
      </c>
      <c r="O25" s="27"/>
      <c r="P25" s="28"/>
      <c r="Q25" s="27">
        <f t="shared" si="1"/>
        <v>0</v>
      </c>
      <c r="R25" s="30" cm="1">
        <f t="array" ref="R25">_xlfn.IFS(
    K25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1250</v>
      </c>
      <c r="S25" s="31">
        <f>IF(Week1[[#This Row],[Gross Wages ]]=0, 0, 8.25)</f>
        <v>8.25</v>
      </c>
      <c r="T25" s="32"/>
      <c r="U25" s="30">
        <f t="shared" si="2"/>
        <v>1241.75</v>
      </c>
      <c r="W25" s="98"/>
      <c r="X25" s="98"/>
    </row>
    <row r="26" spans="1:24" ht="20.25" customHeight="1" x14ac:dyDescent="0.35">
      <c r="A26" s="2" t="s">
        <v>77</v>
      </c>
      <c r="B26" s="2" t="s">
        <v>78</v>
      </c>
      <c r="C26" s="2" t="s">
        <v>76</v>
      </c>
      <c r="D26" s="6"/>
      <c r="E26" s="36">
        <v>250</v>
      </c>
      <c r="F26" s="110">
        <v>38.5</v>
      </c>
      <c r="G26" s="102"/>
      <c r="H26" s="102"/>
      <c r="I26" s="102"/>
      <c r="J26" s="5">
        <f t="shared" si="0"/>
        <v>4.8125</v>
      </c>
      <c r="K26" s="80"/>
      <c r="L26" s="33">
        <f>IF(F26&lt;=40, (ROUNDUP(E26/8, 2)*F26), ROUNDUP(E26/8, 2)*40)</f>
        <v>1203.125</v>
      </c>
      <c r="M26" s="27">
        <f>IF(AND(Week1[[#This Row],[Job Income]]&lt;&gt;"", Week1[[#This Row],[Job Income]]&lt;Week1[[#This Row],[Basic Hours]]*20.5), Week1[[#This Row],[Basic Hours]]*20.5, 0)</f>
        <v>0</v>
      </c>
      <c r="N26" s="105">
        <f>(Week1[[#This Row],[Day Rates]]/8*Week1[[#This Row],[OT Hours]]*1.5)+(Week1[[#This Row],[Day Rates]]/8*Week1[[#This Row],[DT Hours]]*2)+(Week1[[#This Row],[Day Rates]]/8*Week1[[#This Row],[TT Hours]]*3)</f>
        <v>0</v>
      </c>
      <c r="O26" s="27"/>
      <c r="P26" s="28"/>
      <c r="Q26" s="27">
        <f t="shared" si="1"/>
        <v>0</v>
      </c>
      <c r="R26" s="30" cm="1">
        <f t="array" ref="R26">_xlfn.IFS(
    K26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1203.125</v>
      </c>
      <c r="S26" s="31">
        <f>IF(Week1[[#This Row],[Gross Wages ]]=0, 0, 8.25)</f>
        <v>8.25</v>
      </c>
      <c r="T26" s="32"/>
      <c r="U26" s="30">
        <f t="shared" si="2"/>
        <v>1194.875</v>
      </c>
      <c r="W26" s="98"/>
      <c r="X26" s="98"/>
    </row>
    <row r="27" spans="1:24" ht="20.25" customHeight="1" x14ac:dyDescent="0.35">
      <c r="A27" s="2" t="s">
        <v>79</v>
      </c>
      <c r="B27" s="2" t="s">
        <v>80</v>
      </c>
      <c r="C27" s="2" t="s">
        <v>81</v>
      </c>
      <c r="D27" s="6"/>
      <c r="E27" s="36">
        <v>200</v>
      </c>
      <c r="F27" s="110">
        <v>37.5</v>
      </c>
      <c r="G27" s="101"/>
      <c r="H27" s="101"/>
      <c r="I27" s="101"/>
      <c r="J27" s="5">
        <f t="shared" si="0"/>
        <v>4.6875</v>
      </c>
      <c r="K27" s="79"/>
      <c r="L27" s="27">
        <f>E27*J27</f>
        <v>937.5</v>
      </c>
      <c r="M27" s="27">
        <f>IF(AND(Week1[[#This Row],[Job Income]]&lt;&gt;"", Week1[[#This Row],[Job Income]]&lt;Week1[[#This Row],[Basic Hours]]*20.5), Week1[[#This Row],[Basic Hours]]*20.5, 0)</f>
        <v>0</v>
      </c>
      <c r="N27" s="105">
        <f>(Week1[[#This Row],[Day Rates]]/8*Week1[[#This Row],[OT Hours]]*1.5)+(Week1[[#This Row],[Day Rates]]/8*Week1[[#This Row],[DT Hours]]*2)+(Week1[[#This Row],[Day Rates]]/8*Week1[[#This Row],[TT Hours]]*3)</f>
        <v>0</v>
      </c>
      <c r="O27" s="27"/>
      <c r="P27" s="27">
        <f>IF(K27-L27&lt;=0, 0, K27-L27)</f>
        <v>0</v>
      </c>
      <c r="Q27" s="27">
        <f t="shared" si="1"/>
        <v>0</v>
      </c>
      <c r="R27" s="30" cm="1">
        <f t="array" ref="R27">_xlfn.IFS(
    K27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937.5</v>
      </c>
      <c r="S27" s="31">
        <f>IF(Week1[[#This Row],[Gross Wages ]]=0, 0, 8.25)</f>
        <v>8.25</v>
      </c>
      <c r="T27" s="32"/>
      <c r="U27" s="30">
        <f t="shared" si="2"/>
        <v>929.25</v>
      </c>
      <c r="W27" s="98"/>
      <c r="X27" s="98"/>
    </row>
    <row r="28" spans="1:24" ht="20.25" customHeight="1" x14ac:dyDescent="0.35">
      <c r="A28" s="2" t="s">
        <v>77</v>
      </c>
      <c r="B28" s="2" t="s">
        <v>82</v>
      </c>
      <c r="C28" s="2" t="s">
        <v>81</v>
      </c>
      <c r="D28" s="6"/>
      <c r="E28" s="36">
        <v>200</v>
      </c>
      <c r="F28" s="110"/>
      <c r="G28" s="101"/>
      <c r="H28" s="101"/>
      <c r="I28" s="101"/>
      <c r="J28" s="5">
        <f t="shared" si="0"/>
        <v>0</v>
      </c>
      <c r="K28" s="79"/>
      <c r="L28" s="27">
        <f>E28*J28</f>
        <v>0</v>
      </c>
      <c r="M28" s="27">
        <f>IF(AND(Week1[[#This Row],[Job Income]]&lt;&gt;"", Week1[[#This Row],[Job Income]]&lt;Week1[[#This Row],[Basic Hours]]*20.5), Week1[[#This Row],[Basic Hours]]*20.5, 0)</f>
        <v>0</v>
      </c>
      <c r="N28" s="105">
        <f>(Week1[[#This Row],[Day Rates]]/8*Week1[[#This Row],[OT Hours]]*1.5)+(Week1[[#This Row],[Day Rates]]/8*Week1[[#This Row],[DT Hours]]*2)+(Week1[[#This Row],[Day Rates]]/8*Week1[[#This Row],[TT Hours]]*3)</f>
        <v>0</v>
      </c>
      <c r="O28" s="27"/>
      <c r="P28" s="27">
        <f>IF(K28-L28&lt;=0, 0, K28-L28)</f>
        <v>0</v>
      </c>
      <c r="Q28" s="27">
        <f t="shared" si="1"/>
        <v>0</v>
      </c>
      <c r="R28" s="30" cm="1">
        <f t="array" ref="R28">_xlfn.IFS(
    K28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0</v>
      </c>
      <c r="S28" s="31">
        <f>IF(Week1[[#This Row],[Gross Wages ]]=0, 0, 8.25)</f>
        <v>0</v>
      </c>
      <c r="T28" s="32"/>
      <c r="U28" s="30">
        <f t="shared" si="2"/>
        <v>0</v>
      </c>
      <c r="W28" s="98"/>
      <c r="X28" s="98"/>
    </row>
    <row r="29" spans="1:24" ht="20.25" customHeight="1" x14ac:dyDescent="0.35">
      <c r="A29" s="2" t="s">
        <v>83</v>
      </c>
      <c r="B29" s="2" t="s">
        <v>84</v>
      </c>
      <c r="C29" s="2" t="s">
        <v>81</v>
      </c>
      <c r="D29" s="3"/>
      <c r="E29" s="36">
        <v>200</v>
      </c>
      <c r="F29" s="110">
        <v>22.5</v>
      </c>
      <c r="G29" s="101"/>
      <c r="H29" s="101"/>
      <c r="I29" s="101"/>
      <c r="J29" s="5">
        <f t="shared" si="0"/>
        <v>2.8125</v>
      </c>
      <c r="K29" s="79"/>
      <c r="L29" s="27">
        <f>E29*J29</f>
        <v>562.5</v>
      </c>
      <c r="M29" s="27">
        <f>IF(AND(Week1[[#This Row],[Job Income]]&lt;&gt;"", Week1[[#This Row],[Job Income]]&lt;Week1[[#This Row],[Basic Hours]]*20.5), Week1[[#This Row],[Basic Hours]]*20.5, 0)</f>
        <v>0</v>
      </c>
      <c r="N29" s="105">
        <f>(Week1[[#This Row],[Day Rates]]/8*Week1[[#This Row],[OT Hours]]*1.5)+(Week1[[#This Row],[Day Rates]]/8*Week1[[#This Row],[DT Hours]]*2)+(Week1[[#This Row],[Day Rates]]/8*Week1[[#This Row],[TT Hours]]*3)</f>
        <v>0</v>
      </c>
      <c r="O29" s="27"/>
      <c r="P29" s="27">
        <f>IF(K29-L29&lt;=0, 0, K29-L29)</f>
        <v>0</v>
      </c>
      <c r="Q29" s="27">
        <f t="shared" si="1"/>
        <v>0</v>
      </c>
      <c r="R29" s="30" cm="1">
        <f t="array" ref="R29">_xlfn.IFS(
    K29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562.5</v>
      </c>
      <c r="S29" s="31">
        <f>IF(Week1[[#This Row],[Gross Wages ]]=0, 0, 8.25)</f>
        <v>8.25</v>
      </c>
      <c r="T29" s="32"/>
      <c r="U29" s="30">
        <f t="shared" si="2"/>
        <v>554.25</v>
      </c>
      <c r="W29" s="98"/>
      <c r="X29" s="98"/>
    </row>
    <row r="30" spans="1:24" ht="20.25" customHeight="1" x14ac:dyDescent="0.35">
      <c r="A30" s="2" t="s">
        <v>85</v>
      </c>
      <c r="B30" s="2" t="s">
        <v>86</v>
      </c>
      <c r="C30" s="2" t="s">
        <v>81</v>
      </c>
      <c r="D30" s="3"/>
      <c r="E30" s="36">
        <v>200</v>
      </c>
      <c r="F30" s="110">
        <v>37.5</v>
      </c>
      <c r="G30" s="101"/>
      <c r="H30" s="101"/>
      <c r="I30" s="101"/>
      <c r="J30" s="5">
        <f t="shared" si="0"/>
        <v>4.6875</v>
      </c>
      <c r="K30" s="79"/>
      <c r="L30" s="27">
        <f>E30*J30</f>
        <v>937.5</v>
      </c>
      <c r="M30" s="27">
        <f>IF(AND(Week1[[#This Row],[Job Income]]&lt;&gt;"", Week1[[#This Row],[Job Income]]&lt;Week1[[#This Row],[Basic Hours]]*20.5), Week1[[#This Row],[Basic Hours]]*20.5, 0)</f>
        <v>0</v>
      </c>
      <c r="N30" s="105">
        <f>(Week1[[#This Row],[Day Rates]]/8*Week1[[#This Row],[OT Hours]]*1.5)+(Week1[[#This Row],[Day Rates]]/8*Week1[[#This Row],[DT Hours]]*2)+(Week1[[#This Row],[Day Rates]]/8*Week1[[#This Row],[TT Hours]]*3)</f>
        <v>0</v>
      </c>
      <c r="O30" s="27"/>
      <c r="P30" s="27">
        <f>IF(K30-L30&lt;=0, 0, K30-L30)</f>
        <v>0</v>
      </c>
      <c r="Q30" s="27">
        <f t="shared" si="1"/>
        <v>0</v>
      </c>
      <c r="R30" s="30" cm="1">
        <f t="array" ref="R30">_xlfn.IFS(
    K30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937.5</v>
      </c>
      <c r="S30" s="31">
        <f>IF(Week1[[#This Row],[Gross Wages ]]=0, 0, 8.25)</f>
        <v>8.25</v>
      </c>
      <c r="T30" s="32"/>
      <c r="U30" s="30">
        <f t="shared" si="2"/>
        <v>929.25</v>
      </c>
    </row>
    <row r="31" spans="1:24" ht="20.25" customHeight="1" x14ac:dyDescent="0.35">
      <c r="A31" s="2" t="s">
        <v>87</v>
      </c>
      <c r="B31" s="2" t="s">
        <v>88</v>
      </c>
      <c r="C31" s="2" t="s">
        <v>81</v>
      </c>
      <c r="D31" s="7"/>
      <c r="E31" s="38">
        <v>200</v>
      </c>
      <c r="F31" s="110"/>
      <c r="G31" s="101"/>
      <c r="H31" s="101"/>
      <c r="I31" s="101"/>
      <c r="J31" s="5">
        <f t="shared" si="0"/>
        <v>0</v>
      </c>
      <c r="K31" s="79"/>
      <c r="L31" s="27">
        <f>E31*J31</f>
        <v>0</v>
      </c>
      <c r="M31" s="27">
        <f>IF(AND(Week1[[#This Row],[Job Income]]&lt;&gt;"", Week1[[#This Row],[Job Income]]&lt;Week1[[#This Row],[Basic Hours]]*20.5), Week1[[#This Row],[Basic Hours]]*20.5, 0)</f>
        <v>0</v>
      </c>
      <c r="N31" s="105">
        <f>(Week1[[#This Row],[Day Rates]]/8*Week1[[#This Row],[OT Hours]]*1.5)+(Week1[[#This Row],[Day Rates]]/8*Week1[[#This Row],[DT Hours]]*2)+(Week1[[#This Row],[Day Rates]]/8*Week1[[#This Row],[TT Hours]]*3)</f>
        <v>0</v>
      </c>
      <c r="O31" s="27"/>
      <c r="P31" s="27">
        <f>IF(K31-L31&lt;=0, 0, K31-L31)</f>
        <v>0</v>
      </c>
      <c r="Q31" s="27">
        <f t="shared" si="1"/>
        <v>0</v>
      </c>
      <c r="R31" s="30" cm="1">
        <f t="array" ref="R31">_xlfn.IFS(
    K31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0</v>
      </c>
      <c r="S31" s="31">
        <f>IF(Week1[[#This Row],[Gross Wages ]]=0, 0, 8.25)</f>
        <v>0</v>
      </c>
      <c r="T31" s="32"/>
      <c r="U31" s="30">
        <f t="shared" si="2"/>
        <v>0</v>
      </c>
      <c r="W31" s="98"/>
      <c r="X31" s="98"/>
    </row>
    <row r="32" spans="1:24" ht="20.25" customHeight="1" x14ac:dyDescent="0.35">
      <c r="A32" s="2" t="s">
        <v>89</v>
      </c>
      <c r="B32" s="2" t="s">
        <v>90</v>
      </c>
      <c r="C32" s="2" t="s">
        <v>91</v>
      </c>
      <c r="D32" s="3"/>
      <c r="E32" s="36">
        <v>200</v>
      </c>
      <c r="F32" s="110">
        <v>40</v>
      </c>
      <c r="G32" s="102"/>
      <c r="H32" s="102"/>
      <c r="I32" s="102"/>
      <c r="J32" s="5">
        <f t="shared" si="0"/>
        <v>5</v>
      </c>
      <c r="K32" s="80"/>
      <c r="L32" s="33">
        <f t="shared" ref="L32:L36" si="27">IF(F32&lt;=40, (E32/8*F32), E32/8*40)</f>
        <v>1000</v>
      </c>
      <c r="M32" s="27">
        <f>IF(AND(Week1[[#This Row],[Job Income]]&lt;&gt;"", Week1[[#This Row],[Job Income]]&lt;Week1[[#This Row],[Basic Hours]]*20.5), Week1[[#This Row],[Basic Hours]]*20.5, 0)</f>
        <v>0</v>
      </c>
      <c r="N32" s="105">
        <f>(Week1[[#This Row],[Day Rates]]/8*Week1[[#This Row],[OT Hours]]*1.5)+(Week1[[#This Row],[Day Rates]]/8*Week1[[#This Row],[DT Hours]]*2)+(Week1[[#This Row],[Day Rates]]/8*Week1[[#This Row],[TT Hours]]*3)</f>
        <v>0</v>
      </c>
      <c r="O32" s="27"/>
      <c r="P32" s="28"/>
      <c r="Q32" s="27">
        <f t="shared" si="1"/>
        <v>0</v>
      </c>
      <c r="R32" s="30" cm="1">
        <f t="array" ref="R32">_xlfn.IFS(
    K32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1000</v>
      </c>
      <c r="S32" s="31">
        <f>IF(Week1[[#This Row],[Gross Wages ]]=0, 0, 8.25)</f>
        <v>8.25</v>
      </c>
      <c r="T32" s="32"/>
      <c r="U32" s="30">
        <f t="shared" si="2"/>
        <v>991.75</v>
      </c>
      <c r="W32" s="98"/>
      <c r="X32" s="98"/>
    </row>
    <row r="33" spans="1:24" ht="20.25" customHeight="1" x14ac:dyDescent="0.35">
      <c r="A33" s="2" t="s">
        <v>92</v>
      </c>
      <c r="B33" s="2" t="s">
        <v>93</v>
      </c>
      <c r="C33" s="2" t="s">
        <v>91</v>
      </c>
      <c r="D33" s="3"/>
      <c r="E33" s="36">
        <v>200</v>
      </c>
      <c r="F33" s="110">
        <v>38.5</v>
      </c>
      <c r="G33" s="102"/>
      <c r="H33" s="102"/>
      <c r="I33" s="102"/>
      <c r="J33" s="5">
        <f t="shared" si="0"/>
        <v>4.8125</v>
      </c>
      <c r="K33" s="80"/>
      <c r="L33" s="33">
        <f t="shared" si="27"/>
        <v>962.5</v>
      </c>
      <c r="M33" s="27">
        <f>IF(AND(Week1[[#This Row],[Job Income]]&lt;&gt;"", Week1[[#This Row],[Job Income]]&lt;Week1[[#This Row],[Basic Hours]]*20.5), Week1[[#This Row],[Basic Hours]]*20.5, 0)</f>
        <v>0</v>
      </c>
      <c r="N33" s="105">
        <f>(Week1[[#This Row],[Day Rates]]/8*Week1[[#This Row],[OT Hours]]*1.5)+(Week1[[#This Row],[Day Rates]]/8*Week1[[#This Row],[DT Hours]]*2)+(Week1[[#This Row],[Day Rates]]/8*Week1[[#This Row],[TT Hours]]*3)</f>
        <v>0</v>
      </c>
      <c r="O33" s="27"/>
      <c r="P33" s="28"/>
      <c r="Q33" s="27">
        <f t="shared" si="1"/>
        <v>0</v>
      </c>
      <c r="R33" s="30" cm="1">
        <f t="array" ref="R33">_xlfn.IFS(
    K33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962.5</v>
      </c>
      <c r="S33" s="31">
        <f>IF(Week1[[#This Row],[Gross Wages ]]=0, 0, 8.25)</f>
        <v>8.25</v>
      </c>
      <c r="T33" s="32"/>
      <c r="U33" s="30">
        <f t="shared" si="2"/>
        <v>954.25</v>
      </c>
      <c r="W33" s="98"/>
      <c r="X33" s="98"/>
    </row>
    <row r="34" spans="1:24" ht="20.25" customHeight="1" x14ac:dyDescent="0.35">
      <c r="A34" s="2" t="s">
        <v>94</v>
      </c>
      <c r="B34" s="2" t="s">
        <v>95</v>
      </c>
      <c r="C34" s="2" t="s">
        <v>91</v>
      </c>
      <c r="D34" s="3"/>
      <c r="E34" s="36">
        <v>200</v>
      </c>
      <c r="F34" s="110">
        <v>38.5</v>
      </c>
      <c r="G34" s="102"/>
      <c r="H34" s="102"/>
      <c r="I34" s="102"/>
      <c r="J34" s="5">
        <f t="shared" si="0"/>
        <v>4.8125</v>
      </c>
      <c r="K34" s="80"/>
      <c r="L34" s="33">
        <f t="shared" si="27"/>
        <v>962.5</v>
      </c>
      <c r="M34" s="27">
        <f>IF(AND(Week1[[#This Row],[Job Income]]&lt;&gt;"", Week1[[#This Row],[Job Income]]&lt;Week1[[#This Row],[Basic Hours]]*20.5), Week1[[#This Row],[Basic Hours]]*20.5, 0)</f>
        <v>0</v>
      </c>
      <c r="N34" s="105">
        <f>(Week1[[#This Row],[Day Rates]]/8*Week1[[#This Row],[OT Hours]]*1.5)+(Week1[[#This Row],[Day Rates]]/8*Week1[[#This Row],[DT Hours]]*2)+(Week1[[#This Row],[Day Rates]]/8*Week1[[#This Row],[TT Hours]]*3)</f>
        <v>0</v>
      </c>
      <c r="O34" s="27"/>
      <c r="P34" s="28"/>
      <c r="Q34" s="27">
        <f t="shared" si="1"/>
        <v>0</v>
      </c>
      <c r="R34" s="30" cm="1">
        <f t="array" ref="R34">_xlfn.IFS(
    K34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962.5</v>
      </c>
      <c r="S34" s="31">
        <f>IF(Week1[[#This Row],[Gross Wages ]]=0, 0, 8.25)</f>
        <v>8.25</v>
      </c>
      <c r="T34" s="32"/>
      <c r="U34" s="30">
        <f t="shared" si="2"/>
        <v>954.25</v>
      </c>
      <c r="W34" s="98"/>
      <c r="X34" s="98"/>
    </row>
    <row r="35" spans="1:24" ht="20.25" customHeight="1" x14ac:dyDescent="0.35">
      <c r="A35" s="2" t="s">
        <v>96</v>
      </c>
      <c r="B35" s="2" t="s">
        <v>97</v>
      </c>
      <c r="C35" s="2" t="s">
        <v>91</v>
      </c>
      <c r="D35" s="3"/>
      <c r="E35" s="36">
        <v>200</v>
      </c>
      <c r="F35" s="110"/>
      <c r="G35" s="102"/>
      <c r="H35" s="102"/>
      <c r="I35" s="102"/>
      <c r="J35" s="5">
        <f t="shared" ref="J35" si="28">IFERROR(F35/8, 0)</f>
        <v>0</v>
      </c>
      <c r="K35" s="80"/>
      <c r="L35" s="33">
        <f t="shared" si="27"/>
        <v>0</v>
      </c>
      <c r="M35" s="27">
        <f>IF(AND(Week1[[#This Row],[Job Income]]&lt;&gt;"", Week1[[#This Row],[Job Income]]&lt;Week1[[#This Row],[Basic Hours]]*20.5), Week1[[#This Row],[Basic Hours]]*20.5, 0)</f>
        <v>0</v>
      </c>
      <c r="N35" s="105">
        <f>(Week1[[#This Row],[Day Rates]]/8*Week1[[#This Row],[OT Hours]]*1.5)+(Week1[[#This Row],[Day Rates]]/8*Week1[[#This Row],[DT Hours]]*2)+(Week1[[#This Row],[Day Rates]]/8*Week1[[#This Row],[TT Hours]]*3)</f>
        <v>0</v>
      </c>
      <c r="O35" s="27"/>
      <c r="P35" s="28"/>
      <c r="Q35" s="27">
        <f t="shared" ref="Q35" si="29">IFERROR(N35+O35+P35, 0)</f>
        <v>0</v>
      </c>
      <c r="R35" s="30" cm="1">
        <f t="array" ref="R35">_xlfn.IFS(
    K35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0</v>
      </c>
      <c r="S35" s="93">
        <f>IF(Week1[[#This Row],[Gross Wages ]]=0, 0, 8.25)</f>
        <v>0</v>
      </c>
      <c r="T35" s="32"/>
      <c r="U35" s="30">
        <f t="shared" si="2"/>
        <v>0</v>
      </c>
      <c r="W35" s="98"/>
      <c r="X35" s="98"/>
    </row>
    <row r="36" spans="1:24" ht="20.25" customHeight="1" x14ac:dyDescent="0.35">
      <c r="A36" s="2" t="s">
        <v>98</v>
      </c>
      <c r="B36" s="2" t="s">
        <v>99</v>
      </c>
      <c r="C36" s="2" t="s">
        <v>100</v>
      </c>
      <c r="D36" s="12"/>
      <c r="E36" s="36">
        <v>250</v>
      </c>
      <c r="F36" s="110"/>
      <c r="G36" s="102"/>
      <c r="H36" s="102"/>
      <c r="I36" s="102"/>
      <c r="J36" s="5">
        <f t="shared" si="0"/>
        <v>0</v>
      </c>
      <c r="K36" s="80"/>
      <c r="L36" s="33">
        <f t="shared" si="27"/>
        <v>0</v>
      </c>
      <c r="M36" s="27">
        <f>IF(AND(Week1[[#This Row],[Job Income]]&lt;&gt;"", Week1[[#This Row],[Job Income]]&lt;Week1[[#This Row],[Basic Hours]]*20.5), Week1[[#This Row],[Basic Hours]]*20.5, 0)</f>
        <v>0</v>
      </c>
      <c r="N36" s="105">
        <f>(Week1[[#This Row],[Day Rates]]/8*Week1[[#This Row],[OT Hours]]*1.5)+(Week1[[#This Row],[Day Rates]]/8*Week1[[#This Row],[DT Hours]]*2)+(Week1[[#This Row],[Day Rates]]/8*Week1[[#This Row],[TT Hours]]*3)</f>
        <v>0</v>
      </c>
      <c r="O36" s="27"/>
      <c r="P36" s="28"/>
      <c r="Q36" s="27">
        <f t="shared" si="1"/>
        <v>0</v>
      </c>
      <c r="R36" s="30" cm="1">
        <f t="array" ref="R36">_xlfn.IFS(
    K36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0</v>
      </c>
      <c r="S36" s="31">
        <f>IF(Week1[[#This Row],[Gross Wages ]]=0, 0, 8.25)</f>
        <v>0</v>
      </c>
      <c r="T36" s="32"/>
      <c r="U36" s="30">
        <f t="shared" si="2"/>
        <v>0</v>
      </c>
    </row>
    <row r="37" spans="1:24" ht="20.25" customHeight="1" x14ac:dyDescent="0.35">
      <c r="A37" s="2" t="s">
        <v>101</v>
      </c>
      <c r="B37" s="2" t="s">
        <v>102</v>
      </c>
      <c r="C37" s="2" t="s">
        <v>100</v>
      </c>
      <c r="D37" s="3"/>
      <c r="E37" s="37">
        <v>225</v>
      </c>
      <c r="F37" s="110">
        <v>40</v>
      </c>
      <c r="G37" s="102"/>
      <c r="H37" s="102"/>
      <c r="I37" s="102"/>
      <c r="J37" s="5">
        <f t="shared" ref="J37:J72" si="30">IFERROR(F37/8, 0)</f>
        <v>5</v>
      </c>
      <c r="K37" s="80"/>
      <c r="L37" s="43">
        <f>IF(F37&lt;=40, (ROUNDUP(E37/8, 2)*F37), ROUNDUP(E37/8, 2)*40)</f>
        <v>1125.2</v>
      </c>
      <c r="M37" s="27">
        <f>IF(AND(Week1[[#This Row],[Job Income]]&lt;&gt;"", Week1[[#This Row],[Job Income]]&lt;Week1[[#This Row],[Basic Hours]]*20.5), Week1[[#This Row],[Basic Hours]]*20.5, 0)</f>
        <v>0</v>
      </c>
      <c r="N37" s="105">
        <f>(Week1[[#This Row],[Day Rates]]/8*Week1[[#This Row],[OT Hours]]*1.5)+(Week1[[#This Row],[Day Rates]]/8*Week1[[#This Row],[DT Hours]]*2)+(Week1[[#This Row],[Day Rates]]/8*Week1[[#This Row],[TT Hours]]*3)</f>
        <v>0</v>
      </c>
      <c r="O37" s="27"/>
      <c r="P37" s="28"/>
      <c r="Q37" s="27">
        <f t="shared" ref="Q37:Q72" si="31">IFERROR(N37+O37+P37, 0)</f>
        <v>0</v>
      </c>
      <c r="R37" s="30" cm="1">
        <f t="array" ref="R37">_xlfn.IFS(
    K37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1125.2</v>
      </c>
      <c r="S37" s="31">
        <f>IF(Week1[[#This Row],[Gross Wages ]]=0, 0, 8.25)</f>
        <v>8.25</v>
      </c>
      <c r="T37" s="32"/>
      <c r="U37" s="30">
        <f t="shared" ref="U37:U62" si="32">R37-SUM(S37:T37)</f>
        <v>1116.95</v>
      </c>
    </row>
    <row r="38" spans="1:24" ht="20.25" customHeight="1" x14ac:dyDescent="0.35">
      <c r="A38" s="2" t="s">
        <v>103</v>
      </c>
      <c r="B38" s="2" t="s">
        <v>104</v>
      </c>
      <c r="C38" s="2" t="s">
        <v>100</v>
      </c>
      <c r="D38" s="3"/>
      <c r="E38" s="37">
        <v>225</v>
      </c>
      <c r="F38" s="110">
        <v>40</v>
      </c>
      <c r="G38" s="102"/>
      <c r="H38" s="102"/>
      <c r="I38" s="102"/>
      <c r="J38" s="5">
        <f t="shared" si="30"/>
        <v>5</v>
      </c>
      <c r="K38" s="80"/>
      <c r="L38" s="43">
        <f>IF(F38&lt;=40, (ROUNDUP(E38/8, 2)*F38), ROUNDUP(E38/8, 2)*40)</f>
        <v>1125.2</v>
      </c>
      <c r="M38" s="27">
        <f>IF(AND(Week1[[#This Row],[Job Income]]&lt;&gt;"", Week1[[#This Row],[Job Income]]&lt;Week1[[#This Row],[Basic Hours]]*20.5), Week1[[#This Row],[Basic Hours]]*20.5, 0)</f>
        <v>0</v>
      </c>
      <c r="N38" s="105">
        <f>(Week1[[#This Row],[Day Rates]]/8*Week1[[#This Row],[OT Hours]]*1.5)+(Week1[[#This Row],[Day Rates]]/8*Week1[[#This Row],[DT Hours]]*2)+(Week1[[#This Row],[Day Rates]]/8*Week1[[#This Row],[TT Hours]]*3)</f>
        <v>0</v>
      </c>
      <c r="O38" s="27"/>
      <c r="P38" s="28"/>
      <c r="Q38" s="27">
        <f t="shared" si="31"/>
        <v>0</v>
      </c>
      <c r="R38" s="30" cm="1">
        <f t="array" ref="R38">_xlfn.IFS(
    K38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1125.2</v>
      </c>
      <c r="S38" s="31">
        <f>IF(Week1[[#This Row],[Gross Wages ]]=0, 0, 8.25)</f>
        <v>8.25</v>
      </c>
      <c r="T38" s="32"/>
      <c r="U38" s="30">
        <f t="shared" si="32"/>
        <v>1116.95</v>
      </c>
      <c r="W38" s="98"/>
      <c r="X38" s="98"/>
    </row>
    <row r="39" spans="1:24" ht="20.25" customHeight="1" x14ac:dyDescent="0.35">
      <c r="A39" s="2" t="s">
        <v>105</v>
      </c>
      <c r="B39" s="2" t="s">
        <v>106</v>
      </c>
      <c r="C39" s="2" t="s">
        <v>100</v>
      </c>
      <c r="D39" s="3"/>
      <c r="E39" s="36">
        <v>200</v>
      </c>
      <c r="F39" s="110"/>
      <c r="G39" s="102"/>
      <c r="H39" s="102"/>
      <c r="I39" s="102"/>
      <c r="J39" s="5">
        <f t="shared" si="30"/>
        <v>0</v>
      </c>
      <c r="K39" s="80"/>
      <c r="L39" s="33">
        <f>IF(F39&lt;=40, (E39/8*F39), E39/8*40)</f>
        <v>0</v>
      </c>
      <c r="M39" s="27">
        <f>IF(AND(Week1[[#This Row],[Job Income]]&lt;&gt;"", Week1[[#This Row],[Job Income]]&lt;Week1[[#This Row],[Basic Hours]]*20.5), Week1[[#This Row],[Basic Hours]]*20.5, 0)</f>
        <v>0</v>
      </c>
      <c r="N39" s="105">
        <f>(Week1[[#This Row],[Day Rates]]/8*Week1[[#This Row],[OT Hours]]*1.5)+(Week1[[#This Row],[Day Rates]]/8*Week1[[#This Row],[DT Hours]]*2)+(Week1[[#This Row],[Day Rates]]/8*Week1[[#This Row],[TT Hours]]*3)</f>
        <v>0</v>
      </c>
      <c r="O39" s="27"/>
      <c r="P39" s="28"/>
      <c r="Q39" s="27">
        <f t="shared" si="31"/>
        <v>0</v>
      </c>
      <c r="R39" s="30" cm="1">
        <f t="array" ref="R39">_xlfn.IFS(
    K39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0</v>
      </c>
      <c r="S39" s="31">
        <f>IF(Week1[[#This Row],[Gross Wages ]]=0, 0, 8.25)</f>
        <v>0</v>
      </c>
      <c r="T39" s="32"/>
      <c r="U39" s="30">
        <f t="shared" si="32"/>
        <v>0</v>
      </c>
      <c r="W39" s="98"/>
      <c r="X39" s="98"/>
    </row>
    <row r="40" spans="1:24" ht="20.25" customHeight="1" x14ac:dyDescent="0.35">
      <c r="A40" s="2" t="s">
        <v>107</v>
      </c>
      <c r="B40" s="2" t="s">
        <v>108</v>
      </c>
      <c r="C40" s="2" t="s">
        <v>100</v>
      </c>
      <c r="D40" s="3"/>
      <c r="E40" s="36">
        <v>200</v>
      </c>
      <c r="F40" s="110">
        <v>32</v>
      </c>
      <c r="G40" s="102"/>
      <c r="H40" s="102"/>
      <c r="I40" s="102"/>
      <c r="J40" s="5">
        <f>IFERROR(F40/8, 0)</f>
        <v>4</v>
      </c>
      <c r="K40" s="80"/>
      <c r="L40" s="33">
        <f>IF(F40&lt;=40, (E40/8*F40), E40/8*40)</f>
        <v>800</v>
      </c>
      <c r="M40" s="27">
        <f>IF(AND(Week1[[#This Row],[Job Income]]&lt;&gt;"", Week1[[#This Row],[Job Income]]&lt;Week1[[#This Row],[Basic Hours]]*20.5), Week1[[#This Row],[Basic Hours]]*20.5, 0)</f>
        <v>0</v>
      </c>
      <c r="N40" s="105">
        <f>(Week1[[#This Row],[Day Rates]]/8*Week1[[#This Row],[OT Hours]]*1.5)+(Week1[[#This Row],[Day Rates]]/8*Week1[[#This Row],[DT Hours]]*2)+(Week1[[#This Row],[Day Rates]]/8*Week1[[#This Row],[TT Hours]]*3)</f>
        <v>0</v>
      </c>
      <c r="O40" s="27"/>
      <c r="P40" s="28"/>
      <c r="Q40" s="27">
        <f>IFERROR(N40+O40+P40, 0)</f>
        <v>0</v>
      </c>
      <c r="R40" s="30" cm="1">
        <f t="array" ref="R40">_xlfn.IFS(
    K40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800</v>
      </c>
      <c r="S40" s="31">
        <f>IF(Week1[[#This Row],[Gross Wages ]]=0, 0, 8.25)</f>
        <v>8.25</v>
      </c>
      <c r="T40" s="32"/>
      <c r="U40" s="30">
        <f>R40-SUM(S40:T40)</f>
        <v>791.75</v>
      </c>
      <c r="W40" s="98"/>
      <c r="X40" s="98"/>
    </row>
    <row r="41" spans="1:24" ht="20.25" customHeight="1" x14ac:dyDescent="0.35">
      <c r="A41" s="2" t="s">
        <v>109</v>
      </c>
      <c r="B41" s="2" t="s">
        <v>110</v>
      </c>
      <c r="C41" s="2" t="s">
        <v>39</v>
      </c>
      <c r="D41" s="8"/>
      <c r="E41" s="36">
        <v>200</v>
      </c>
      <c r="F41" s="110">
        <f>24+8</f>
        <v>32</v>
      </c>
      <c r="G41" s="102"/>
      <c r="H41" s="102"/>
      <c r="I41" s="102"/>
      <c r="J41" s="5">
        <f t="shared" si="30"/>
        <v>4</v>
      </c>
      <c r="K41" s="80"/>
      <c r="L41" s="33">
        <f>IF(F41&lt;=40, (E41/8*F41), E41/8*40)</f>
        <v>800</v>
      </c>
      <c r="M41" s="27">
        <f>IF(AND(Week1[[#This Row],[Job Income]]&lt;&gt;"", Week1[[#This Row],[Job Income]]&lt;Week1[[#This Row],[Basic Hours]]*20.5), Week1[[#This Row],[Basic Hours]]*20.5, 0)</f>
        <v>0</v>
      </c>
      <c r="N41" s="105">
        <f>(Week1[[#This Row],[Day Rates]]/8*Week1[[#This Row],[OT Hours]]*1.5)+(Week1[[#This Row],[Day Rates]]/8*Week1[[#This Row],[DT Hours]]*2)+(Week1[[#This Row],[Day Rates]]/8*Week1[[#This Row],[TT Hours]]*3)</f>
        <v>0</v>
      </c>
      <c r="O41" s="27"/>
      <c r="P41" s="28"/>
      <c r="Q41" s="27">
        <f t="shared" si="31"/>
        <v>0</v>
      </c>
      <c r="R41" s="30" cm="1">
        <f t="array" ref="R41">_xlfn.IFS(
    K41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800</v>
      </c>
      <c r="S41" s="31">
        <f>IF(Week1[[#This Row],[Gross Wages ]]=0, 0, 8.25)</f>
        <v>8.25</v>
      </c>
      <c r="T41" s="32"/>
      <c r="U41" s="30">
        <f t="shared" si="32"/>
        <v>791.75</v>
      </c>
    </row>
    <row r="42" spans="1:24" ht="20.25" customHeight="1" x14ac:dyDescent="0.35">
      <c r="A42" s="2" t="s">
        <v>111</v>
      </c>
      <c r="B42" s="2" t="s">
        <v>112</v>
      </c>
      <c r="C42" s="2" t="s">
        <v>39</v>
      </c>
      <c r="D42" s="3"/>
      <c r="E42" s="104">
        <v>200</v>
      </c>
      <c r="F42" s="110">
        <v>38.5</v>
      </c>
      <c r="G42" s="102"/>
      <c r="H42" s="102"/>
      <c r="I42" s="102"/>
      <c r="J42" s="5">
        <f t="shared" ref="J42" si="33">IFERROR(F42/8, 0)</f>
        <v>4.8125</v>
      </c>
      <c r="K42" s="80"/>
      <c r="L42" s="33">
        <f>IF(F42&lt;=40, (E42/8*F42), E42/8*40)</f>
        <v>962.5</v>
      </c>
      <c r="M42" s="27">
        <f>IF(AND(Week1[[#This Row],[Job Income]]&lt;&gt;"", Week1[[#This Row],[Job Income]]&lt;Week1[[#This Row],[Basic Hours]]*20.5), Week1[[#This Row],[Basic Hours]]*20.5, 0)</f>
        <v>0</v>
      </c>
      <c r="N42" s="105">
        <f>(Week1[[#This Row],[Day Rates]]/8*Week1[[#This Row],[OT Hours]]*1.5)+(Week1[[#This Row],[Day Rates]]/8*Week1[[#This Row],[DT Hours]]*2)+(Week1[[#This Row],[Day Rates]]/8*Week1[[#This Row],[TT Hours]]*3)</f>
        <v>0</v>
      </c>
      <c r="O42" s="27"/>
      <c r="P42" s="28"/>
      <c r="Q42" s="27"/>
      <c r="R42" s="30" cm="1">
        <f t="array" ref="R42">_xlfn.IFS(
    K42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962.5</v>
      </c>
      <c r="S42" s="31">
        <f>IF(Week1[[#This Row],[Gross Wages ]]=0, 0, 8.25)</f>
        <v>8.25</v>
      </c>
      <c r="T42" s="32"/>
      <c r="U42" s="30">
        <f>R42-SUM(S42:T42)</f>
        <v>954.25</v>
      </c>
    </row>
    <row r="43" spans="1:24" ht="20.25" customHeight="1" x14ac:dyDescent="0.35">
      <c r="A43" s="2" t="s">
        <v>113</v>
      </c>
      <c r="B43" s="2" t="s">
        <v>114</v>
      </c>
      <c r="C43" s="2" t="s">
        <v>39</v>
      </c>
      <c r="D43" s="3"/>
      <c r="E43" s="104">
        <v>200</v>
      </c>
      <c r="F43" s="110">
        <v>38.5</v>
      </c>
      <c r="G43" s="102"/>
      <c r="H43" s="102"/>
      <c r="I43" s="102"/>
      <c r="J43" s="5">
        <f t="shared" ref="J43" si="34">IFERROR(F43/8, 0)</f>
        <v>4.8125</v>
      </c>
      <c r="K43" s="80"/>
      <c r="L43" s="33">
        <f>IF(F43&lt;=40, (E43/8*F43), E43/8*40)</f>
        <v>962.5</v>
      </c>
      <c r="M43" s="27">
        <f>IF(AND(Week1[[#This Row],[Job Income]]&lt;&gt;"", Week1[[#This Row],[Job Income]]&lt;Week1[[#This Row],[Basic Hours]]*20.5), Week1[[#This Row],[Basic Hours]]*20.5, 0)</f>
        <v>0</v>
      </c>
      <c r="N43" s="105">
        <f>(Week1[[#This Row],[Day Rates]]/8*Week1[[#This Row],[OT Hours]]*1.5)+(Week1[[#This Row],[Day Rates]]/8*Week1[[#This Row],[DT Hours]]*2)+(Week1[[#This Row],[Day Rates]]/8*Week1[[#This Row],[TT Hours]]*3)</f>
        <v>0</v>
      </c>
      <c r="O43" s="27"/>
      <c r="P43" s="28"/>
      <c r="Q43" s="27"/>
      <c r="R43" s="30" cm="1">
        <f t="array" ref="R43">_xlfn.IFS(
    K43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962.5</v>
      </c>
      <c r="S43" s="31">
        <f>IF(Week1[[#This Row],[Gross Wages ]]=0, 0, 8.25)</f>
        <v>8.25</v>
      </c>
      <c r="T43" s="32"/>
      <c r="U43" s="30">
        <f>R43-SUM(S43:T43)</f>
        <v>954.25</v>
      </c>
    </row>
    <row r="44" spans="1:24" ht="20.25" customHeight="1" x14ac:dyDescent="0.35">
      <c r="A44" s="2" t="s">
        <v>115</v>
      </c>
      <c r="B44" s="2" t="s">
        <v>116</v>
      </c>
      <c r="C44" s="2" t="s">
        <v>39</v>
      </c>
      <c r="D44" s="3"/>
      <c r="E44" s="37">
        <v>225</v>
      </c>
      <c r="F44" s="110">
        <v>40</v>
      </c>
      <c r="G44" s="102"/>
      <c r="H44" s="102"/>
      <c r="I44" s="102"/>
      <c r="J44" s="5">
        <f t="shared" si="30"/>
        <v>5</v>
      </c>
      <c r="K44" s="80"/>
      <c r="L44" s="43">
        <f>IF(F44&lt;=40, (ROUNDUP(E44/8, 2)*F44), ROUNDUP(E44/8, 2)*40)</f>
        <v>1125.2</v>
      </c>
      <c r="M44" s="27">
        <f>IF(AND(Week1[[#This Row],[Job Income]]&lt;&gt;"", Week1[[#This Row],[Job Income]]&lt;Week1[[#This Row],[Basic Hours]]*20.5), Week1[[#This Row],[Basic Hours]]*20.5, 0)</f>
        <v>0</v>
      </c>
      <c r="N44" s="105">
        <f>(Week1[[#This Row],[Day Rates]]/8*Week1[[#This Row],[OT Hours]]*1.5)+(Week1[[#This Row],[Day Rates]]/8*Week1[[#This Row],[DT Hours]]*2)+(Week1[[#This Row],[Day Rates]]/8*Week1[[#This Row],[TT Hours]]*3)</f>
        <v>0</v>
      </c>
      <c r="O44" s="27"/>
      <c r="P44" s="28"/>
      <c r="Q44" s="27">
        <f t="shared" si="31"/>
        <v>0</v>
      </c>
      <c r="R44" s="30" cm="1">
        <f t="array" ref="R44">_xlfn.IFS(
    K44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1125.2</v>
      </c>
      <c r="S44" s="31">
        <f>IF(Week1[[#This Row],[Gross Wages ]]=0, 0, 8.25)</f>
        <v>8.25</v>
      </c>
      <c r="T44" s="32"/>
      <c r="U44" s="30">
        <f t="shared" si="32"/>
        <v>1116.95</v>
      </c>
      <c r="W44" s="98"/>
      <c r="X44" s="98"/>
    </row>
    <row r="45" spans="1:24" ht="20.25" customHeight="1" x14ac:dyDescent="0.35">
      <c r="A45" s="2" t="s">
        <v>117</v>
      </c>
      <c r="B45" s="2" t="s">
        <v>118</v>
      </c>
      <c r="C45" s="2" t="s">
        <v>39</v>
      </c>
      <c r="D45" s="3"/>
      <c r="E45" s="36">
        <v>200</v>
      </c>
      <c r="F45" s="110">
        <v>38.5</v>
      </c>
      <c r="G45" s="102"/>
      <c r="H45" s="102"/>
      <c r="I45" s="102"/>
      <c r="J45" s="5">
        <f>IFERROR(F45/8, 0)</f>
        <v>4.8125</v>
      </c>
      <c r="K45" s="80"/>
      <c r="L45" s="33">
        <f>IF(F45&lt;=40, (E45/8*F45), E45/8*40)</f>
        <v>962.5</v>
      </c>
      <c r="M45" s="27">
        <f>IF(AND(Week1[[#This Row],[Job Income]]&lt;&gt;"", Week1[[#This Row],[Job Income]]&lt;Week1[[#This Row],[Basic Hours]]*20.5), Week1[[#This Row],[Basic Hours]]*20.5, 0)</f>
        <v>0</v>
      </c>
      <c r="N45" s="105">
        <f>(Week1[[#This Row],[Day Rates]]/8*Week1[[#This Row],[OT Hours]]*1.5)+(Week1[[#This Row],[Day Rates]]/8*Week1[[#This Row],[DT Hours]]*2)+(Week1[[#This Row],[Day Rates]]/8*Week1[[#This Row],[TT Hours]]*3)</f>
        <v>0</v>
      </c>
      <c r="O45" s="27"/>
      <c r="P45" s="28"/>
      <c r="Q45" s="27"/>
      <c r="R45" s="30" cm="1">
        <f t="array" ref="R45">_xlfn.IFS(
    K45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962.5</v>
      </c>
      <c r="S45" s="31">
        <f>IF(Week1[[#This Row],[Gross Wages ]]=0, 0, 8.25)</f>
        <v>8.25</v>
      </c>
      <c r="T45" s="32"/>
      <c r="U45" s="30">
        <f>R45-SUM(S45:T45)</f>
        <v>954.25</v>
      </c>
      <c r="W45" s="98"/>
      <c r="X45" s="98"/>
    </row>
    <row r="46" spans="1:24" ht="20.25" customHeight="1" x14ac:dyDescent="0.35">
      <c r="A46" s="2" t="s">
        <v>119</v>
      </c>
      <c r="B46" s="2" t="s">
        <v>27</v>
      </c>
      <c r="C46" s="2" t="s">
        <v>39</v>
      </c>
      <c r="D46" s="3"/>
      <c r="E46" s="104">
        <v>200</v>
      </c>
      <c r="F46" s="110">
        <v>38.5</v>
      </c>
      <c r="G46" s="102"/>
      <c r="H46" s="102"/>
      <c r="I46" s="102"/>
      <c r="J46" s="5">
        <f t="shared" ref="J46" si="35">IFERROR(F46/8, 0)</f>
        <v>4.8125</v>
      </c>
      <c r="K46" s="80"/>
      <c r="L46" s="33">
        <f t="shared" ref="L46:L50" si="36">IF(F46&lt;=40, (E46/8*F46), E46/8*40)</f>
        <v>962.5</v>
      </c>
      <c r="M46" s="27">
        <f>IF(AND(Week1[[#This Row],[Job Income]]&lt;&gt;"", Week1[[#This Row],[Job Income]]&lt;Week1[[#This Row],[Basic Hours]]*20.5), Week1[[#This Row],[Basic Hours]]*20.5, 0)</f>
        <v>0</v>
      </c>
      <c r="N46" s="105">
        <f>(Week1[[#This Row],[Day Rates]]/8*Week1[[#This Row],[OT Hours]]*1.5)+(Week1[[#This Row],[Day Rates]]/8*Week1[[#This Row],[DT Hours]]*2)+(Week1[[#This Row],[Day Rates]]/8*Week1[[#This Row],[TT Hours]]*3)</f>
        <v>0</v>
      </c>
      <c r="O46" s="27"/>
      <c r="P46" s="28"/>
      <c r="Q46" s="27">
        <f t="shared" ref="Q46" si="37">IFERROR(N46+O46+P46, 0)</f>
        <v>0</v>
      </c>
      <c r="R46" s="30" cm="1">
        <f t="array" ref="R46">_xlfn.IFS(
    K46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962.5</v>
      </c>
      <c r="S46" s="31">
        <f>IF(Week1[[#This Row],[Gross Wages ]]=0, 0, 8.25)</f>
        <v>8.25</v>
      </c>
      <c r="T46" s="32"/>
      <c r="U46" s="30">
        <f t="shared" ref="U46" si="38">R46-SUM(S46:T46)</f>
        <v>954.25</v>
      </c>
    </row>
    <row r="47" spans="1:24" ht="20.25" customHeight="1" x14ac:dyDescent="0.35">
      <c r="A47" s="2" t="s">
        <v>120</v>
      </c>
      <c r="B47" s="2" t="s">
        <v>121</v>
      </c>
      <c r="C47" s="2" t="s">
        <v>39</v>
      </c>
      <c r="D47" s="3"/>
      <c r="E47" s="104">
        <v>200</v>
      </c>
      <c r="F47" s="110">
        <v>38.5</v>
      </c>
      <c r="G47" s="102"/>
      <c r="H47" s="102"/>
      <c r="I47" s="102"/>
      <c r="J47" s="5">
        <f t="shared" ref="J47" si="39">IFERROR(F47/8, 0)</f>
        <v>4.8125</v>
      </c>
      <c r="K47" s="80"/>
      <c r="L47" s="33">
        <f t="shared" ref="L47" si="40">IF(F47&lt;=40, (E47/8*F47), E47/8*40)</f>
        <v>962.5</v>
      </c>
      <c r="M47" s="27">
        <f>IF(AND(Week1[[#This Row],[Job Income]]&lt;&gt;"", Week1[[#This Row],[Job Income]]&lt;Week1[[#This Row],[Basic Hours]]*20.5), Week1[[#This Row],[Basic Hours]]*20.5, 0)</f>
        <v>0</v>
      </c>
      <c r="N47" s="105">
        <f>(Week1[[#This Row],[Day Rates]]/8*Week1[[#This Row],[OT Hours]]*1.5)+(Week1[[#This Row],[Day Rates]]/8*Week1[[#This Row],[DT Hours]]*2)+(Week1[[#This Row],[Day Rates]]/8*Week1[[#This Row],[TT Hours]]*3)</f>
        <v>0</v>
      </c>
      <c r="O47" s="27"/>
      <c r="P47" s="28"/>
      <c r="Q47" s="27">
        <f t="shared" ref="Q47" si="41">IFERROR(N47+O47+P47, 0)</f>
        <v>0</v>
      </c>
      <c r="R47" s="30" cm="1">
        <f t="array" ref="R47">_xlfn.IFS(
    K47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962.5</v>
      </c>
      <c r="S47" s="31">
        <f>IF(Week1[[#This Row],[Gross Wages ]]=0, 0, 8.25)</f>
        <v>8.25</v>
      </c>
      <c r="T47" s="32"/>
      <c r="U47" s="30">
        <f t="shared" ref="U47" si="42">R47-SUM(S47:T47)</f>
        <v>954.25</v>
      </c>
      <c r="W47" s="98"/>
      <c r="X47" s="98"/>
    </row>
    <row r="48" spans="1:24" ht="20.25" customHeight="1" x14ac:dyDescent="0.35">
      <c r="A48" s="2" t="s">
        <v>122</v>
      </c>
      <c r="B48" s="2" t="s">
        <v>123</v>
      </c>
      <c r="C48" s="2" t="s">
        <v>39</v>
      </c>
      <c r="D48" s="3"/>
      <c r="E48" s="36">
        <v>250</v>
      </c>
      <c r="F48" s="110">
        <v>38.5</v>
      </c>
      <c r="G48" s="102"/>
      <c r="H48" s="102"/>
      <c r="I48" s="102"/>
      <c r="J48" s="5">
        <f t="shared" si="30"/>
        <v>4.8125</v>
      </c>
      <c r="K48" s="80"/>
      <c r="L48" s="33">
        <f t="shared" si="36"/>
        <v>1203.125</v>
      </c>
      <c r="M48" s="27">
        <f>IF(AND(Week1[[#This Row],[Job Income]]&lt;&gt;"", Week1[[#This Row],[Job Income]]&lt;Week1[[#This Row],[Basic Hours]]*20.5), Week1[[#This Row],[Basic Hours]]*20.5, 0)</f>
        <v>0</v>
      </c>
      <c r="N48" s="105">
        <f>(Week1[[#This Row],[Day Rates]]/8*Week1[[#This Row],[OT Hours]]*1.5)+(Week1[[#This Row],[Day Rates]]/8*Week1[[#This Row],[DT Hours]]*2)+(Week1[[#This Row],[Day Rates]]/8*Week1[[#This Row],[TT Hours]]*3)</f>
        <v>0</v>
      </c>
      <c r="O48" s="27"/>
      <c r="P48" s="28"/>
      <c r="Q48" s="27">
        <f t="shared" si="31"/>
        <v>0</v>
      </c>
      <c r="R48" s="30" cm="1">
        <f t="array" ref="R48">_xlfn.IFS(
    K48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1203.125</v>
      </c>
      <c r="S48" s="27">
        <f>IF(Week1[[#This Row],[Gross Wages ]]=0, 0, 8.25)</f>
        <v>8.25</v>
      </c>
      <c r="T48" s="32"/>
      <c r="U48" s="30">
        <f t="shared" si="32"/>
        <v>1194.875</v>
      </c>
      <c r="W48" s="98"/>
      <c r="X48" s="98"/>
    </row>
    <row r="49" spans="1:24" ht="20.25" customHeight="1" x14ac:dyDescent="0.35">
      <c r="A49" s="2" t="s">
        <v>124</v>
      </c>
      <c r="B49" s="2" t="s">
        <v>125</v>
      </c>
      <c r="C49" s="2" t="s">
        <v>39</v>
      </c>
      <c r="D49" s="3"/>
      <c r="E49" s="36">
        <v>200</v>
      </c>
      <c r="F49" s="110">
        <v>38.5</v>
      </c>
      <c r="G49" s="102"/>
      <c r="H49" s="102"/>
      <c r="I49" s="102"/>
      <c r="J49" s="5">
        <f t="shared" si="30"/>
        <v>4.8125</v>
      </c>
      <c r="K49" s="80"/>
      <c r="L49" s="33">
        <f t="shared" si="36"/>
        <v>962.5</v>
      </c>
      <c r="M49" s="27">
        <f>IF(AND(Week1[[#This Row],[Job Income]]&lt;&gt;"", Week1[[#This Row],[Job Income]]&lt;Week1[[#This Row],[Basic Hours]]*20.5), Week1[[#This Row],[Basic Hours]]*20.5, 0)</f>
        <v>0</v>
      </c>
      <c r="N49" s="105">
        <f>(Week1[[#This Row],[Day Rates]]/8*Week1[[#This Row],[OT Hours]]*1.5)+(Week1[[#This Row],[Day Rates]]/8*Week1[[#This Row],[DT Hours]]*2)+(Week1[[#This Row],[Day Rates]]/8*Week1[[#This Row],[TT Hours]]*3)</f>
        <v>0</v>
      </c>
      <c r="O49" s="27"/>
      <c r="P49" s="28"/>
      <c r="Q49" s="27">
        <f t="shared" si="31"/>
        <v>0</v>
      </c>
      <c r="R49" s="30" cm="1">
        <f t="array" ref="R49">_xlfn.IFS(
    K49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962.5</v>
      </c>
      <c r="S49" s="27">
        <f>IF(Week1[[#This Row],[Gross Wages ]]=0, 0, 8.25)</f>
        <v>8.25</v>
      </c>
      <c r="T49" s="32"/>
      <c r="U49" s="30">
        <f t="shared" si="32"/>
        <v>954.25</v>
      </c>
      <c r="W49" s="98"/>
      <c r="X49" s="98"/>
    </row>
    <row r="50" spans="1:24" ht="20.25" customHeight="1" x14ac:dyDescent="0.35">
      <c r="A50" s="2" t="s">
        <v>126</v>
      </c>
      <c r="B50" s="2" t="s">
        <v>127</v>
      </c>
      <c r="C50" s="2" t="s">
        <v>128</v>
      </c>
      <c r="D50" s="3"/>
      <c r="E50" s="36">
        <v>200</v>
      </c>
      <c r="F50" s="110">
        <v>22.5</v>
      </c>
      <c r="G50" s="101"/>
      <c r="H50" s="101"/>
      <c r="I50" s="101"/>
      <c r="J50" s="5">
        <f t="shared" si="30"/>
        <v>2.8125</v>
      </c>
      <c r="K50" s="81"/>
      <c r="L50" s="44">
        <f t="shared" si="36"/>
        <v>562.5</v>
      </c>
      <c r="M50" s="27">
        <f>IF(AND(Week1[[#This Row],[Job Income]]&lt;&gt;"", Week1[[#This Row],[Job Income]]&lt;Week1[[#This Row],[Basic Hours]]*20.5), Week1[[#This Row],[Basic Hours]]*20.5, 0)</f>
        <v>0</v>
      </c>
      <c r="N50" s="105">
        <f>(Week1[[#This Row],[Day Rates]]/8*Week1[[#This Row],[OT Hours]]*1.5)+(Week1[[#This Row],[Day Rates]]/8*Week1[[#This Row],[DT Hours]]*2)+(Week1[[#This Row],[Day Rates]]/8*Week1[[#This Row],[TT Hours]]*3)</f>
        <v>0</v>
      </c>
      <c r="O50" s="27"/>
      <c r="P50" s="27">
        <f t="shared" ref="P50:P82" si="43">IF(K50-L50&lt;=0, 0, K50-L50)</f>
        <v>0</v>
      </c>
      <c r="Q50" s="27">
        <f t="shared" si="31"/>
        <v>0</v>
      </c>
      <c r="R50" s="30" cm="1">
        <f t="array" ref="R50">_xlfn.IFS(
    K50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562.5</v>
      </c>
      <c r="S50" s="31">
        <f>IF(Week1[[#This Row],[Gross Wages ]]=0, 0, 8.25)</f>
        <v>8.25</v>
      </c>
      <c r="T50" s="32"/>
      <c r="U50" s="30">
        <f t="shared" si="32"/>
        <v>554.25</v>
      </c>
      <c r="W50" s="98"/>
      <c r="X50" s="98"/>
    </row>
    <row r="51" spans="1:24" ht="20.25" customHeight="1" x14ac:dyDescent="0.35">
      <c r="A51" s="2" t="s">
        <v>129</v>
      </c>
      <c r="B51" s="2" t="s">
        <v>130</v>
      </c>
      <c r="C51" s="2" t="s">
        <v>128</v>
      </c>
      <c r="D51" s="3"/>
      <c r="E51" s="36">
        <v>164</v>
      </c>
      <c r="F51" s="110">
        <v>28.5</v>
      </c>
      <c r="G51" s="101"/>
      <c r="H51" s="101"/>
      <c r="I51" s="101"/>
      <c r="J51" s="5">
        <f t="shared" si="30"/>
        <v>3.5625</v>
      </c>
      <c r="K51" s="79"/>
      <c r="L51" s="27">
        <f t="shared" ref="L51:L81" si="44">E51*J51</f>
        <v>584.25</v>
      </c>
      <c r="M51" s="27">
        <f>IF(AND(Week1[[#This Row],[Job Income]]&lt;&gt;"", Week1[[#This Row],[Job Income]]&lt;Week1[[#This Row],[Basic Hours]]*20.5), Week1[[#This Row],[Basic Hours]]*20.5, 0)</f>
        <v>0</v>
      </c>
      <c r="N51" s="105">
        <f>(Week1[[#This Row],[Day Rates]]/8*Week1[[#This Row],[OT Hours]]*1.5)+(Week1[[#This Row],[Day Rates]]/8*Week1[[#This Row],[DT Hours]]*2)+(Week1[[#This Row],[Day Rates]]/8*Week1[[#This Row],[TT Hours]]*3)</f>
        <v>0</v>
      </c>
      <c r="O51" s="27"/>
      <c r="P51" s="27">
        <f t="shared" si="43"/>
        <v>0</v>
      </c>
      <c r="Q51" s="27">
        <f t="shared" si="31"/>
        <v>0</v>
      </c>
      <c r="R51" s="30" cm="1">
        <f t="array" ref="R51">_xlfn.IFS(
    K51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584.25</v>
      </c>
      <c r="S51" s="31">
        <f>IF(Week1[[#This Row],[Gross Wages ]]=0, 0, 8.25)</f>
        <v>8.25</v>
      </c>
      <c r="T51" s="32"/>
      <c r="U51" s="30">
        <f t="shared" si="32"/>
        <v>576</v>
      </c>
      <c r="W51" s="98"/>
      <c r="X51" s="98"/>
    </row>
    <row r="52" spans="1:24" ht="20.25" customHeight="1" x14ac:dyDescent="0.35">
      <c r="A52" s="2" t="s">
        <v>131</v>
      </c>
      <c r="B52" s="2" t="s">
        <v>132</v>
      </c>
      <c r="C52" s="2" t="s">
        <v>128</v>
      </c>
      <c r="D52" s="3"/>
      <c r="E52" s="36">
        <v>164</v>
      </c>
      <c r="F52" s="110">
        <v>30</v>
      </c>
      <c r="G52" s="101"/>
      <c r="H52" s="101"/>
      <c r="I52" s="101"/>
      <c r="J52" s="5">
        <f t="shared" si="30"/>
        <v>3.75</v>
      </c>
      <c r="K52" s="79"/>
      <c r="L52" s="27">
        <f t="shared" si="44"/>
        <v>615</v>
      </c>
      <c r="M52" s="27">
        <f>IF(AND(Week1[[#This Row],[Job Income]]&lt;&gt;"", Week1[[#This Row],[Job Income]]&lt;Week1[[#This Row],[Basic Hours]]*20.5), Week1[[#This Row],[Basic Hours]]*20.5, 0)</f>
        <v>0</v>
      </c>
      <c r="N52" s="105">
        <f>(Week1[[#This Row],[Day Rates]]/8*Week1[[#This Row],[OT Hours]]*1.5)+(Week1[[#This Row],[Day Rates]]/8*Week1[[#This Row],[DT Hours]]*2)+(Week1[[#This Row],[Day Rates]]/8*Week1[[#This Row],[TT Hours]]*3)</f>
        <v>0</v>
      </c>
      <c r="O52" s="27"/>
      <c r="P52" s="27">
        <f t="shared" si="43"/>
        <v>0</v>
      </c>
      <c r="Q52" s="27">
        <f t="shared" si="31"/>
        <v>0</v>
      </c>
      <c r="R52" s="30" cm="1">
        <f t="array" ref="R52">_xlfn.IFS(
    K52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615</v>
      </c>
      <c r="S52" s="31">
        <f>IF(Week1[[#This Row],[Gross Wages ]]=0, 0, 8.25)</f>
        <v>8.25</v>
      </c>
      <c r="T52" s="32"/>
      <c r="U52" s="30">
        <f t="shared" si="32"/>
        <v>606.75</v>
      </c>
      <c r="W52" s="98"/>
      <c r="X52" s="98"/>
    </row>
    <row r="53" spans="1:24" ht="20.25" customHeight="1" x14ac:dyDescent="0.35">
      <c r="A53" s="2" t="s">
        <v>133</v>
      </c>
      <c r="B53" s="2" t="s">
        <v>134</v>
      </c>
      <c r="C53" s="2" t="s">
        <v>128</v>
      </c>
      <c r="D53" s="3"/>
      <c r="E53" s="36">
        <v>164</v>
      </c>
      <c r="F53" s="110">
        <v>24.5</v>
      </c>
      <c r="G53" s="101"/>
      <c r="H53" s="101"/>
      <c r="I53" s="101"/>
      <c r="J53" s="5">
        <f t="shared" si="30"/>
        <v>3.0625</v>
      </c>
      <c r="K53" s="79"/>
      <c r="L53" s="27">
        <f t="shared" si="44"/>
        <v>502.25</v>
      </c>
      <c r="M53" s="27">
        <f>IF(AND(Week1[[#This Row],[Job Income]]&lt;&gt;"", Week1[[#This Row],[Job Income]]&lt;Week1[[#This Row],[Basic Hours]]*20.5), Week1[[#This Row],[Basic Hours]]*20.5, 0)</f>
        <v>0</v>
      </c>
      <c r="N53" s="105">
        <f>(Week1[[#This Row],[Day Rates]]/8*Week1[[#This Row],[OT Hours]]*1.5)+(Week1[[#This Row],[Day Rates]]/8*Week1[[#This Row],[DT Hours]]*2)+(Week1[[#This Row],[Day Rates]]/8*Week1[[#This Row],[TT Hours]]*3)</f>
        <v>0</v>
      </c>
      <c r="O53" s="27"/>
      <c r="P53" s="27">
        <f t="shared" si="43"/>
        <v>0</v>
      </c>
      <c r="Q53" s="27">
        <f t="shared" si="31"/>
        <v>0</v>
      </c>
      <c r="R53" s="30" cm="1">
        <f t="array" ref="R53">_xlfn.IFS(
    K53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502.25</v>
      </c>
      <c r="S53" s="31">
        <f>IF(Week1[[#This Row],[Gross Wages ]]=0, 0, 8.25)</f>
        <v>8.25</v>
      </c>
      <c r="T53" s="32"/>
      <c r="U53" s="30">
        <f t="shared" si="32"/>
        <v>494</v>
      </c>
      <c r="W53" s="98"/>
      <c r="X53" s="98"/>
    </row>
    <row r="54" spans="1:24" ht="20.25" customHeight="1" x14ac:dyDescent="0.35">
      <c r="A54" s="2" t="s">
        <v>135</v>
      </c>
      <c r="B54" s="2" t="s">
        <v>134</v>
      </c>
      <c r="C54" s="2" t="s">
        <v>128</v>
      </c>
      <c r="D54" s="3"/>
      <c r="E54" s="36">
        <v>164</v>
      </c>
      <c r="F54" s="110">
        <v>21</v>
      </c>
      <c r="G54" s="101"/>
      <c r="H54" s="101"/>
      <c r="I54" s="101"/>
      <c r="J54" s="5">
        <f t="shared" si="30"/>
        <v>2.625</v>
      </c>
      <c r="K54" s="79"/>
      <c r="L54" s="27">
        <f t="shared" si="44"/>
        <v>430.5</v>
      </c>
      <c r="M54" s="27">
        <f>IF(AND(Week1[[#This Row],[Job Income]]&lt;&gt;"", Week1[[#This Row],[Job Income]]&lt;Week1[[#This Row],[Basic Hours]]*20.5), Week1[[#This Row],[Basic Hours]]*20.5, 0)</f>
        <v>0</v>
      </c>
      <c r="N54" s="105">
        <f>(Week1[[#This Row],[Day Rates]]/8*Week1[[#This Row],[OT Hours]]*1.5)+(Week1[[#This Row],[Day Rates]]/8*Week1[[#This Row],[DT Hours]]*2)+(Week1[[#This Row],[Day Rates]]/8*Week1[[#This Row],[TT Hours]]*3)</f>
        <v>0</v>
      </c>
      <c r="O54" s="27"/>
      <c r="P54" s="27">
        <f t="shared" si="43"/>
        <v>0</v>
      </c>
      <c r="Q54" s="27">
        <f t="shared" si="31"/>
        <v>0</v>
      </c>
      <c r="R54" s="30" cm="1">
        <f t="array" ref="R54">_xlfn.IFS(
    K54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430.5</v>
      </c>
      <c r="S54" s="31">
        <f>IF(Week1[[#This Row],[Gross Wages ]]=0, 0, 8.25)</f>
        <v>8.25</v>
      </c>
      <c r="T54" s="32"/>
      <c r="U54" s="30">
        <f t="shared" si="32"/>
        <v>422.25</v>
      </c>
      <c r="W54" s="98"/>
      <c r="X54" s="98"/>
    </row>
    <row r="55" spans="1:24" ht="20.25" customHeight="1" x14ac:dyDescent="0.35">
      <c r="A55" s="2" t="s">
        <v>136</v>
      </c>
      <c r="B55" s="2" t="s">
        <v>137</v>
      </c>
      <c r="C55" s="2" t="s">
        <v>128</v>
      </c>
      <c r="D55" s="12"/>
      <c r="E55" s="36">
        <v>164</v>
      </c>
      <c r="F55" s="110">
        <v>21</v>
      </c>
      <c r="G55" s="101"/>
      <c r="H55" s="101"/>
      <c r="I55" s="101"/>
      <c r="J55" s="5">
        <f t="shared" si="30"/>
        <v>2.625</v>
      </c>
      <c r="K55" s="79"/>
      <c r="L55" s="27">
        <f t="shared" si="44"/>
        <v>430.5</v>
      </c>
      <c r="M55" s="27">
        <f>IF(AND(Week1[[#This Row],[Job Income]]&lt;&gt;"", Week1[[#This Row],[Job Income]]&lt;Week1[[#This Row],[Basic Hours]]*20.5), Week1[[#This Row],[Basic Hours]]*20.5, 0)</f>
        <v>0</v>
      </c>
      <c r="N55" s="105">
        <f>(Week1[[#This Row],[Day Rates]]/8*Week1[[#This Row],[OT Hours]]*1.5)+(Week1[[#This Row],[Day Rates]]/8*Week1[[#This Row],[DT Hours]]*2)+(Week1[[#This Row],[Day Rates]]/8*Week1[[#This Row],[TT Hours]]*3)</f>
        <v>0</v>
      </c>
      <c r="O55" s="27"/>
      <c r="P55" s="27">
        <f t="shared" si="43"/>
        <v>0</v>
      </c>
      <c r="Q55" s="27">
        <f t="shared" si="31"/>
        <v>0</v>
      </c>
      <c r="R55" s="30" cm="1">
        <f t="array" ref="R55">_xlfn.IFS(
    K55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430.5</v>
      </c>
      <c r="S55" s="31">
        <f>IF(Week1[[#This Row],[Gross Wages ]]=0, 0, 8.25)</f>
        <v>8.25</v>
      </c>
      <c r="T55" s="32"/>
      <c r="U55" s="30">
        <f t="shared" si="32"/>
        <v>422.25</v>
      </c>
      <c r="W55" s="98"/>
      <c r="X55" s="98"/>
    </row>
    <row r="56" spans="1:24" ht="20.25" customHeight="1" x14ac:dyDescent="0.35">
      <c r="A56" s="2" t="s">
        <v>133</v>
      </c>
      <c r="B56" s="2" t="s">
        <v>138</v>
      </c>
      <c r="C56" s="2" t="s">
        <v>128</v>
      </c>
      <c r="D56" s="3"/>
      <c r="E56" s="36">
        <v>164</v>
      </c>
      <c r="F56" s="110">
        <v>20.5</v>
      </c>
      <c r="G56" s="101"/>
      <c r="H56" s="101"/>
      <c r="I56" s="101"/>
      <c r="J56" s="5">
        <f t="shared" si="30"/>
        <v>2.5625</v>
      </c>
      <c r="K56" s="79"/>
      <c r="L56" s="27">
        <f t="shared" si="44"/>
        <v>420.25</v>
      </c>
      <c r="M56" s="27">
        <f>IF(AND(Week1[[#This Row],[Job Income]]&lt;&gt;"", Week1[[#This Row],[Job Income]]&lt;Week1[[#This Row],[Basic Hours]]*20.5), Week1[[#This Row],[Basic Hours]]*20.5, 0)</f>
        <v>0</v>
      </c>
      <c r="N56" s="105">
        <f>(Week1[[#This Row],[Day Rates]]/8*Week1[[#This Row],[OT Hours]]*1.5)+(Week1[[#This Row],[Day Rates]]/8*Week1[[#This Row],[DT Hours]]*2)+(Week1[[#This Row],[Day Rates]]/8*Week1[[#This Row],[TT Hours]]*3)</f>
        <v>0</v>
      </c>
      <c r="O56" s="27"/>
      <c r="P56" s="27">
        <f t="shared" si="43"/>
        <v>0</v>
      </c>
      <c r="Q56" s="27">
        <f t="shared" si="31"/>
        <v>0</v>
      </c>
      <c r="R56" s="30" cm="1">
        <f t="array" ref="R56">_xlfn.IFS(
    K56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420.25</v>
      </c>
      <c r="S56" s="31">
        <f>IF(Week1[[#This Row],[Gross Wages ]]=0, 0, 8.25)</f>
        <v>8.25</v>
      </c>
      <c r="T56" s="32"/>
      <c r="U56" s="30">
        <f t="shared" si="32"/>
        <v>412</v>
      </c>
      <c r="W56" s="98"/>
      <c r="X56" s="98"/>
    </row>
    <row r="57" spans="1:24" ht="20.25" customHeight="1" x14ac:dyDescent="0.35">
      <c r="A57" s="2" t="s">
        <v>139</v>
      </c>
      <c r="B57" s="2" t="s">
        <v>140</v>
      </c>
      <c r="C57" s="2" t="s">
        <v>128</v>
      </c>
      <c r="D57" s="3"/>
      <c r="E57" s="36">
        <v>164</v>
      </c>
      <c r="F57" s="110">
        <v>19.5</v>
      </c>
      <c r="G57" s="101"/>
      <c r="H57" s="101"/>
      <c r="I57" s="101"/>
      <c r="J57" s="5">
        <f t="shared" si="30"/>
        <v>2.4375</v>
      </c>
      <c r="K57" s="79"/>
      <c r="L57" s="27">
        <f t="shared" si="44"/>
        <v>399.75</v>
      </c>
      <c r="M57" s="27">
        <f>IF(AND(Week1[[#This Row],[Job Income]]&lt;&gt;"", Week1[[#This Row],[Job Income]]&lt;Week1[[#This Row],[Basic Hours]]*20.5), Week1[[#This Row],[Basic Hours]]*20.5, 0)</f>
        <v>0</v>
      </c>
      <c r="N57" s="105">
        <f>(Week1[[#This Row],[Day Rates]]/8*Week1[[#This Row],[OT Hours]]*1.5)+(Week1[[#This Row],[Day Rates]]/8*Week1[[#This Row],[DT Hours]]*2)+(Week1[[#This Row],[Day Rates]]/8*Week1[[#This Row],[TT Hours]]*3)</f>
        <v>0</v>
      </c>
      <c r="O57" s="27"/>
      <c r="P57" s="27">
        <f t="shared" si="43"/>
        <v>0</v>
      </c>
      <c r="Q57" s="27">
        <f t="shared" si="31"/>
        <v>0</v>
      </c>
      <c r="R57" s="30" cm="1">
        <f t="array" ref="R57">_xlfn.IFS(
    K57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399.75</v>
      </c>
      <c r="S57" s="31">
        <f>IF(Week1[[#This Row],[Gross Wages ]]=0, 0, 8.25)</f>
        <v>8.25</v>
      </c>
      <c r="T57" s="32"/>
      <c r="U57" s="30">
        <f t="shared" si="32"/>
        <v>391.5</v>
      </c>
      <c r="W57" s="98"/>
      <c r="X57" s="98"/>
    </row>
    <row r="58" spans="1:24" ht="20.25" customHeight="1" x14ac:dyDescent="0.35">
      <c r="A58" s="2" t="s">
        <v>141</v>
      </c>
      <c r="B58" s="2" t="s">
        <v>142</v>
      </c>
      <c r="C58" s="2" t="s">
        <v>128</v>
      </c>
      <c r="D58" s="3"/>
      <c r="E58" s="36">
        <v>164</v>
      </c>
      <c r="F58" s="110">
        <v>38.5</v>
      </c>
      <c r="G58" s="101"/>
      <c r="H58" s="101"/>
      <c r="I58" s="101"/>
      <c r="J58" s="5">
        <f t="shared" si="30"/>
        <v>4.8125</v>
      </c>
      <c r="K58" s="79"/>
      <c r="L58" s="27">
        <f t="shared" si="44"/>
        <v>789.25</v>
      </c>
      <c r="M58" s="27">
        <f>IF(AND(Week1[[#This Row],[Job Income]]&lt;&gt;"", Week1[[#This Row],[Job Income]]&lt;Week1[[#This Row],[Basic Hours]]*20.5), Week1[[#This Row],[Basic Hours]]*20.5, 0)</f>
        <v>0</v>
      </c>
      <c r="N58" s="105">
        <f>(Week1[[#This Row],[Day Rates]]/8*Week1[[#This Row],[OT Hours]]*1.5)+(Week1[[#This Row],[Day Rates]]/8*Week1[[#This Row],[DT Hours]]*2)+(Week1[[#This Row],[Day Rates]]/8*Week1[[#This Row],[TT Hours]]*3)</f>
        <v>0</v>
      </c>
      <c r="O58" s="27"/>
      <c r="P58" s="27">
        <f t="shared" si="43"/>
        <v>0</v>
      </c>
      <c r="Q58" s="27">
        <f t="shared" si="31"/>
        <v>0</v>
      </c>
      <c r="R58" s="30" cm="1">
        <f t="array" ref="R58">_xlfn.IFS(
    K58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789.25</v>
      </c>
      <c r="S58" s="31">
        <f>IF(Week1[[#This Row],[Gross Wages ]]=0, 0, 8.25)</f>
        <v>8.25</v>
      </c>
      <c r="T58" s="32"/>
      <c r="U58" s="30">
        <f t="shared" si="32"/>
        <v>781</v>
      </c>
    </row>
    <row r="59" spans="1:24" ht="20.25" customHeight="1" x14ac:dyDescent="0.35">
      <c r="A59" s="2" t="s">
        <v>143</v>
      </c>
      <c r="B59" s="2" t="s">
        <v>144</v>
      </c>
      <c r="C59" s="2" t="s">
        <v>128</v>
      </c>
      <c r="D59" s="6"/>
      <c r="E59" s="36">
        <v>164</v>
      </c>
      <c r="F59" s="110"/>
      <c r="G59" s="101"/>
      <c r="H59" s="101"/>
      <c r="I59" s="101"/>
      <c r="J59" s="5">
        <f t="shared" si="30"/>
        <v>0</v>
      </c>
      <c r="K59" s="79"/>
      <c r="L59" s="27">
        <f t="shared" si="44"/>
        <v>0</v>
      </c>
      <c r="M59" s="27">
        <f>IF(AND(Week1[[#This Row],[Job Income]]&lt;&gt;"", Week1[[#This Row],[Job Income]]&lt;Week1[[#This Row],[Basic Hours]]*20.5), Week1[[#This Row],[Basic Hours]]*20.5, 0)</f>
        <v>0</v>
      </c>
      <c r="N59" s="105">
        <f>(Week1[[#This Row],[Day Rates]]/8*Week1[[#This Row],[OT Hours]]*1.5)+(Week1[[#This Row],[Day Rates]]/8*Week1[[#This Row],[DT Hours]]*2)+(Week1[[#This Row],[Day Rates]]/8*Week1[[#This Row],[TT Hours]]*3)</f>
        <v>0</v>
      </c>
      <c r="O59" s="27"/>
      <c r="P59" s="27">
        <f t="shared" si="43"/>
        <v>0</v>
      </c>
      <c r="Q59" s="27">
        <f t="shared" si="31"/>
        <v>0</v>
      </c>
      <c r="R59" s="30" cm="1">
        <f t="array" ref="R59">_xlfn.IFS(
    K59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0</v>
      </c>
      <c r="S59" s="34"/>
      <c r="T59" s="32"/>
      <c r="U59" s="30">
        <f t="shared" si="32"/>
        <v>0</v>
      </c>
      <c r="W59" s="98"/>
      <c r="X59" s="98"/>
    </row>
    <row r="60" spans="1:24" ht="20.25" customHeight="1" x14ac:dyDescent="0.35">
      <c r="A60" s="2" t="s">
        <v>145</v>
      </c>
      <c r="B60" s="2" t="s">
        <v>146</v>
      </c>
      <c r="C60" s="2" t="s">
        <v>128</v>
      </c>
      <c r="D60" s="3"/>
      <c r="E60" s="36">
        <v>164</v>
      </c>
      <c r="F60" s="110">
        <v>16</v>
      </c>
      <c r="G60" s="101"/>
      <c r="H60" s="101"/>
      <c r="I60" s="101"/>
      <c r="J60" s="5">
        <f t="shared" si="30"/>
        <v>2</v>
      </c>
      <c r="K60" s="79"/>
      <c r="L60" s="27">
        <f t="shared" si="44"/>
        <v>328</v>
      </c>
      <c r="M60" s="27">
        <f>IF(AND(Week1[[#This Row],[Job Income]]&lt;&gt;"", Week1[[#This Row],[Job Income]]&lt;Week1[[#This Row],[Basic Hours]]*20.5), Week1[[#This Row],[Basic Hours]]*20.5, 0)</f>
        <v>0</v>
      </c>
      <c r="N60" s="105">
        <f>(Week1[[#This Row],[Day Rates]]/8*Week1[[#This Row],[OT Hours]]*1.5)+(Week1[[#This Row],[Day Rates]]/8*Week1[[#This Row],[DT Hours]]*2)+(Week1[[#This Row],[Day Rates]]/8*Week1[[#This Row],[TT Hours]]*3)</f>
        <v>0</v>
      </c>
      <c r="O60" s="27"/>
      <c r="P60" s="27">
        <f t="shared" si="43"/>
        <v>0</v>
      </c>
      <c r="Q60" s="27">
        <f t="shared" si="31"/>
        <v>0</v>
      </c>
      <c r="R60" s="30" cm="1">
        <f t="array" ref="R60">_xlfn.IFS(
    K60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328</v>
      </c>
      <c r="S60" s="28"/>
      <c r="T60" s="32"/>
      <c r="U60" s="30">
        <f t="shared" si="32"/>
        <v>328</v>
      </c>
    </row>
    <row r="61" spans="1:24" ht="20.25" customHeight="1" x14ac:dyDescent="0.35">
      <c r="A61" s="2" t="s">
        <v>147</v>
      </c>
      <c r="B61" s="2" t="s">
        <v>148</v>
      </c>
      <c r="C61" s="2" t="s">
        <v>128</v>
      </c>
      <c r="D61" s="3"/>
      <c r="E61" s="36">
        <v>164</v>
      </c>
      <c r="F61" s="110">
        <v>30</v>
      </c>
      <c r="G61" s="101"/>
      <c r="H61" s="101"/>
      <c r="I61" s="101"/>
      <c r="J61" s="5">
        <f>IFERROR(F61/8, 0)</f>
        <v>3.75</v>
      </c>
      <c r="K61" s="79"/>
      <c r="L61" s="27">
        <f>E61*J61</f>
        <v>615</v>
      </c>
      <c r="M61" s="27">
        <f>IF(AND(Week1[[#This Row],[Job Income]]&lt;&gt;"", Week1[[#This Row],[Job Income]]&lt;Week1[[#This Row],[Basic Hours]]*20.5), Week1[[#This Row],[Basic Hours]]*20.5, 0)</f>
        <v>0</v>
      </c>
      <c r="N61" s="105">
        <f>(Week1[[#This Row],[Day Rates]]/8*Week1[[#This Row],[OT Hours]]*1.5)+(Week1[[#This Row],[Day Rates]]/8*Week1[[#This Row],[DT Hours]]*2)+(Week1[[#This Row],[Day Rates]]/8*Week1[[#This Row],[TT Hours]]*3)</f>
        <v>0</v>
      </c>
      <c r="O61" s="27"/>
      <c r="P61" s="27">
        <f>IF(K61-L61&lt;=0, 0, K61-L61)</f>
        <v>0</v>
      </c>
      <c r="Q61" s="27">
        <f>IFERROR(N61+O61+P61, 0)</f>
        <v>0</v>
      </c>
      <c r="R61" s="30" cm="1">
        <f t="array" ref="R61">_xlfn.IFS(
    K61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615</v>
      </c>
      <c r="S61" s="28"/>
      <c r="T61" s="32"/>
      <c r="U61" s="30">
        <f t="shared" si="32"/>
        <v>615</v>
      </c>
      <c r="W61" s="98"/>
      <c r="X61" s="98"/>
    </row>
    <row r="62" spans="1:24" ht="20.25" customHeight="1" x14ac:dyDescent="0.35">
      <c r="A62" s="2" t="s">
        <v>149</v>
      </c>
      <c r="B62" s="2" t="s">
        <v>150</v>
      </c>
      <c r="C62" s="2" t="s">
        <v>128</v>
      </c>
      <c r="D62" s="3"/>
      <c r="E62" s="36">
        <v>164</v>
      </c>
      <c r="F62" s="110">
        <v>29.5</v>
      </c>
      <c r="G62" s="101"/>
      <c r="H62" s="101"/>
      <c r="I62" s="101"/>
      <c r="J62" s="5">
        <f t="shared" si="30"/>
        <v>3.6875</v>
      </c>
      <c r="K62" s="81"/>
      <c r="L62" s="29">
        <f t="shared" si="44"/>
        <v>604.75</v>
      </c>
      <c r="M62" s="27">
        <f>IF(AND(Week1[[#This Row],[Job Income]]&lt;&gt;"", Week1[[#This Row],[Job Income]]&lt;Week1[[#This Row],[Basic Hours]]*20.5), Week1[[#This Row],[Basic Hours]]*20.5, 0)</f>
        <v>0</v>
      </c>
      <c r="N62" s="105">
        <f>(Week1[[#This Row],[Day Rates]]/8*Week1[[#This Row],[OT Hours]]*1.5)+(Week1[[#This Row],[Day Rates]]/8*Week1[[#This Row],[DT Hours]]*2)+(Week1[[#This Row],[Day Rates]]/8*Week1[[#This Row],[TT Hours]]*3)</f>
        <v>0</v>
      </c>
      <c r="O62" s="27"/>
      <c r="P62" s="27">
        <f t="shared" si="43"/>
        <v>0</v>
      </c>
      <c r="Q62" s="27">
        <f t="shared" si="31"/>
        <v>0</v>
      </c>
      <c r="R62" s="30" cm="1">
        <f t="array" ref="R62">_xlfn.IFS(
    K62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604.75</v>
      </c>
      <c r="S62" s="29">
        <f>IF(Week1[[#This Row],[Gross Wages ]]=0, 0, 8.25)</f>
        <v>8.25</v>
      </c>
      <c r="T62" s="32"/>
      <c r="U62" s="30">
        <f t="shared" si="32"/>
        <v>596.5</v>
      </c>
      <c r="W62" s="98"/>
      <c r="X62" s="98"/>
    </row>
    <row r="63" spans="1:24" ht="20.25" customHeight="1" x14ac:dyDescent="0.35">
      <c r="A63" s="2" t="s">
        <v>151</v>
      </c>
      <c r="B63" s="2" t="s">
        <v>152</v>
      </c>
      <c r="C63" s="2" t="s">
        <v>128</v>
      </c>
      <c r="D63" s="3"/>
      <c r="E63" s="36">
        <v>164</v>
      </c>
      <c r="F63" s="110">
        <v>38.5</v>
      </c>
      <c r="G63" s="101"/>
      <c r="H63" s="101"/>
      <c r="I63" s="101"/>
      <c r="J63" s="5">
        <f t="shared" ref="J63:J64" si="45">IFERROR(F63/8, 0)</f>
        <v>4.8125</v>
      </c>
      <c r="K63" s="81"/>
      <c r="L63" s="29">
        <f t="shared" ref="L63:L64" si="46">E63*J63</f>
        <v>789.25</v>
      </c>
      <c r="M63" s="27">
        <f>IF(AND(Week1[[#This Row],[Job Income]]&lt;&gt;"", Week1[[#This Row],[Job Income]]&lt;Week1[[#This Row],[Basic Hours]]*20.5), Week1[[#This Row],[Basic Hours]]*20.5, 0)</f>
        <v>0</v>
      </c>
      <c r="N63" s="105">
        <f>(Week1[[#This Row],[Day Rates]]/8*Week1[[#This Row],[OT Hours]]*1.5)+(Week1[[#This Row],[Day Rates]]/8*Week1[[#This Row],[DT Hours]]*2)+(Week1[[#This Row],[Day Rates]]/8*Week1[[#This Row],[TT Hours]]*3)</f>
        <v>0</v>
      </c>
      <c r="O63" s="27"/>
      <c r="P63" s="27">
        <f t="shared" ref="P63:P64" si="47">IF(K63-L63&lt;=0, 0, K63-L63)</f>
        <v>0</v>
      </c>
      <c r="Q63" s="27">
        <f t="shared" ref="Q63:Q64" si="48">IFERROR(N63+O63+P63, 0)</f>
        <v>0</v>
      </c>
      <c r="R63" s="30" cm="1">
        <f t="array" ref="R63">_xlfn.IFS(
    K63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789.25</v>
      </c>
      <c r="S63" s="29">
        <f>IF(Week1[[#This Row],[Gross Wages ]]=0, 0, 8.25)</f>
        <v>8.25</v>
      </c>
      <c r="T63" s="32"/>
      <c r="U63" s="30">
        <f t="shared" ref="U63:U64" si="49">R63-SUM(S63:T63)</f>
        <v>781</v>
      </c>
      <c r="W63" s="98"/>
      <c r="X63" s="98"/>
    </row>
    <row r="64" spans="1:24" ht="20.25" customHeight="1" x14ac:dyDescent="0.35">
      <c r="A64" s="2" t="s">
        <v>153</v>
      </c>
      <c r="B64" s="2" t="s">
        <v>154</v>
      </c>
      <c r="C64" s="2" t="s">
        <v>128</v>
      </c>
      <c r="D64" s="3"/>
      <c r="E64" s="36">
        <v>164</v>
      </c>
      <c r="F64" s="110">
        <v>30.5</v>
      </c>
      <c r="G64" s="101"/>
      <c r="H64" s="101"/>
      <c r="I64" s="101"/>
      <c r="J64" s="5">
        <f t="shared" si="45"/>
        <v>3.8125</v>
      </c>
      <c r="K64" s="81"/>
      <c r="L64" s="29">
        <f t="shared" si="46"/>
        <v>625.25</v>
      </c>
      <c r="M64" s="27">
        <f>IF(AND(Week1[[#This Row],[Job Income]]&lt;&gt;"", Week1[[#This Row],[Job Income]]&lt;Week1[[#This Row],[Basic Hours]]*20.5), Week1[[#This Row],[Basic Hours]]*20.5, 0)</f>
        <v>0</v>
      </c>
      <c r="N64" s="105">
        <f>(Week1[[#This Row],[Day Rates]]/8*Week1[[#This Row],[OT Hours]]*1.5)+(Week1[[#This Row],[Day Rates]]/8*Week1[[#This Row],[DT Hours]]*2)+(Week1[[#This Row],[Day Rates]]/8*Week1[[#This Row],[TT Hours]]*3)</f>
        <v>0</v>
      </c>
      <c r="O64" s="27"/>
      <c r="P64" s="27">
        <f t="shared" si="47"/>
        <v>0</v>
      </c>
      <c r="Q64" s="27">
        <f t="shared" si="48"/>
        <v>0</v>
      </c>
      <c r="R64" s="30" cm="1">
        <f t="array" ref="R64">_xlfn.IFS(
    K64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625.25</v>
      </c>
      <c r="S64" s="29">
        <f>IF(Week1[[#This Row],[Gross Wages ]]=0, 0, 8.25)</f>
        <v>8.25</v>
      </c>
      <c r="T64" s="32"/>
      <c r="U64" s="30">
        <f t="shared" si="49"/>
        <v>617</v>
      </c>
      <c r="W64" s="98"/>
      <c r="X64" s="98"/>
    </row>
    <row r="65" spans="1:24" ht="20.25" customHeight="1" x14ac:dyDescent="0.35">
      <c r="A65" s="2" t="s">
        <v>155</v>
      </c>
      <c r="B65" s="2" t="s">
        <v>82</v>
      </c>
      <c r="C65" s="2" t="s">
        <v>156</v>
      </c>
      <c r="D65" s="23"/>
      <c r="E65" s="36">
        <v>200</v>
      </c>
      <c r="F65" s="110">
        <v>32</v>
      </c>
      <c r="G65" s="101"/>
      <c r="H65" s="101"/>
      <c r="I65" s="101"/>
      <c r="J65" s="5">
        <f t="shared" si="30"/>
        <v>4</v>
      </c>
      <c r="K65" s="79"/>
      <c r="L65" s="27">
        <f t="shared" si="44"/>
        <v>800</v>
      </c>
      <c r="M65" s="27">
        <f>IF(AND(Week1[[#This Row],[Job Income]]&lt;&gt;"", Week1[[#This Row],[Job Income]]&lt;Week1[[#This Row],[Basic Hours]]*20.5), Week1[[#This Row],[Basic Hours]]*20.5, 0)</f>
        <v>0</v>
      </c>
      <c r="N65" s="105">
        <f>(Week1[[#This Row],[Day Rates]]/8*Week1[[#This Row],[OT Hours]]*1.5)+(Week1[[#This Row],[Day Rates]]/8*Week1[[#This Row],[DT Hours]]*2)+(Week1[[#This Row],[Day Rates]]/8*Week1[[#This Row],[TT Hours]]*3)</f>
        <v>0</v>
      </c>
      <c r="O65" s="27"/>
      <c r="P65" s="27">
        <f t="shared" si="43"/>
        <v>0</v>
      </c>
      <c r="Q65" s="27">
        <f>IFERROR(N65+O65+P65, 0)</f>
        <v>0</v>
      </c>
      <c r="R65" s="30" cm="1">
        <f t="array" ref="R65">_xlfn.IFS(
    K65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800</v>
      </c>
      <c r="S65" s="31">
        <f>IF(Week1[[#This Row],[Gross Wages ]]=0, 0, 8.25)</f>
        <v>8.25</v>
      </c>
      <c r="T65" s="32"/>
      <c r="U65" s="30">
        <f t="shared" ref="U65" si="50">R65-SUM(S65:T65)</f>
        <v>791.75</v>
      </c>
      <c r="W65" s="98"/>
      <c r="X65" s="98"/>
    </row>
    <row r="66" spans="1:24" ht="20.25" customHeight="1" x14ac:dyDescent="0.35">
      <c r="A66" s="2" t="s">
        <v>157</v>
      </c>
      <c r="B66" s="2" t="s">
        <v>41</v>
      </c>
      <c r="C66" s="2" t="s">
        <v>156</v>
      </c>
      <c r="D66" s="24"/>
      <c r="E66" s="36">
        <v>200</v>
      </c>
      <c r="F66" s="110">
        <v>32</v>
      </c>
      <c r="G66" s="101"/>
      <c r="H66" s="101"/>
      <c r="I66" s="101"/>
      <c r="J66" s="5">
        <f t="shared" si="30"/>
        <v>4</v>
      </c>
      <c r="K66" s="79"/>
      <c r="L66" s="27">
        <f t="shared" si="44"/>
        <v>800</v>
      </c>
      <c r="M66" s="27">
        <f>IF(AND(Week1[[#This Row],[Job Income]]&lt;&gt;"", Week1[[#This Row],[Job Income]]&lt;Week1[[#This Row],[Basic Hours]]*20.5), Week1[[#This Row],[Basic Hours]]*20.5, 0)</f>
        <v>0</v>
      </c>
      <c r="N66" s="105">
        <f>(Week1[[#This Row],[Day Rates]]/8*Week1[[#This Row],[OT Hours]]*1.5)+(Week1[[#This Row],[Day Rates]]/8*Week1[[#This Row],[DT Hours]]*2)+(Week1[[#This Row],[Day Rates]]/8*Week1[[#This Row],[TT Hours]]*3)</f>
        <v>0</v>
      </c>
      <c r="O66" s="27"/>
      <c r="P66" s="27">
        <f t="shared" si="43"/>
        <v>0</v>
      </c>
      <c r="Q66" s="27">
        <f t="shared" si="31"/>
        <v>0</v>
      </c>
      <c r="R66" s="30" cm="1">
        <f t="array" ref="R66">_xlfn.IFS(
    K66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800</v>
      </c>
      <c r="S66" s="31">
        <f>IF(Week1[[#This Row],[Gross Wages ]]=0, 0, 8.25)</f>
        <v>8.25</v>
      </c>
      <c r="T66" s="32"/>
      <c r="U66" s="30">
        <f t="shared" ref="U66:U86" si="51">R66-SUM(S66:T66)</f>
        <v>791.75</v>
      </c>
      <c r="W66" s="98"/>
      <c r="X66" s="98"/>
    </row>
    <row r="67" spans="1:24" ht="20.25" customHeight="1" x14ac:dyDescent="0.35">
      <c r="A67" s="2" t="s">
        <v>158</v>
      </c>
      <c r="B67" s="2" t="s">
        <v>159</v>
      </c>
      <c r="C67" s="2" t="s">
        <v>156</v>
      </c>
      <c r="D67" s="12"/>
      <c r="E67" s="36">
        <v>200</v>
      </c>
      <c r="F67" s="110">
        <v>40</v>
      </c>
      <c r="G67" s="101"/>
      <c r="H67" s="101"/>
      <c r="I67" s="101"/>
      <c r="J67" s="5">
        <f t="shared" si="30"/>
        <v>5</v>
      </c>
      <c r="K67" s="79"/>
      <c r="L67" s="27">
        <f t="shared" si="44"/>
        <v>1000</v>
      </c>
      <c r="M67" s="27">
        <f>IF(AND(Week1[[#This Row],[Job Income]]&lt;&gt;"", Week1[[#This Row],[Job Income]]&lt;Week1[[#This Row],[Basic Hours]]*20.5), Week1[[#This Row],[Basic Hours]]*20.5, 0)</f>
        <v>0</v>
      </c>
      <c r="N67" s="105">
        <f>(Week1[[#This Row],[Day Rates]]/8*Week1[[#This Row],[OT Hours]]*1.5)+(Week1[[#This Row],[Day Rates]]/8*Week1[[#This Row],[DT Hours]]*2)+(Week1[[#This Row],[Day Rates]]/8*Week1[[#This Row],[TT Hours]]*3)</f>
        <v>0</v>
      </c>
      <c r="O67" s="27"/>
      <c r="P67" s="27">
        <f t="shared" si="43"/>
        <v>0</v>
      </c>
      <c r="Q67" s="27">
        <f t="shared" si="31"/>
        <v>0</v>
      </c>
      <c r="R67" s="30" cm="1">
        <f t="array" ref="R67">_xlfn.IFS(
    K67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1000</v>
      </c>
      <c r="S67" s="34"/>
      <c r="T67" s="32"/>
      <c r="U67" s="30">
        <f t="shared" si="51"/>
        <v>1000</v>
      </c>
      <c r="W67" s="98"/>
      <c r="X67" s="98"/>
    </row>
    <row r="68" spans="1:24" ht="20.25" customHeight="1" x14ac:dyDescent="0.35">
      <c r="A68" s="2" t="s">
        <v>160</v>
      </c>
      <c r="B68" s="2" t="s">
        <v>161</v>
      </c>
      <c r="C68" s="2" t="s">
        <v>156</v>
      </c>
      <c r="D68" s="24"/>
      <c r="E68" s="36">
        <v>200</v>
      </c>
      <c r="F68" s="110">
        <v>32</v>
      </c>
      <c r="G68" s="101"/>
      <c r="H68" s="101"/>
      <c r="I68" s="101"/>
      <c r="J68" s="5">
        <f t="shared" si="30"/>
        <v>4</v>
      </c>
      <c r="K68" s="79"/>
      <c r="L68" s="27">
        <f t="shared" si="44"/>
        <v>800</v>
      </c>
      <c r="M68" s="27">
        <f>IF(AND(Week1[[#This Row],[Job Income]]&lt;&gt;"", Week1[[#This Row],[Job Income]]&lt;Week1[[#This Row],[Basic Hours]]*20.5), Week1[[#This Row],[Basic Hours]]*20.5, 0)</f>
        <v>0</v>
      </c>
      <c r="N68" s="105">
        <f>(Week1[[#This Row],[Day Rates]]/8*Week1[[#This Row],[OT Hours]]*1.5)+(Week1[[#This Row],[Day Rates]]/8*Week1[[#This Row],[DT Hours]]*2)+(Week1[[#This Row],[Day Rates]]/8*Week1[[#This Row],[TT Hours]]*3)</f>
        <v>0</v>
      </c>
      <c r="O68" s="27"/>
      <c r="P68" s="27">
        <f t="shared" si="43"/>
        <v>0</v>
      </c>
      <c r="Q68" s="27">
        <f t="shared" si="31"/>
        <v>0</v>
      </c>
      <c r="R68" s="30" cm="1">
        <f t="array" ref="R68">_xlfn.IFS(
    K68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800</v>
      </c>
      <c r="S68" s="31">
        <f>IF(Week1[[#This Row],[Gross Wages ]]=0, 0, 8.25)</f>
        <v>8.25</v>
      </c>
      <c r="T68" s="32"/>
      <c r="U68" s="30">
        <f t="shared" si="51"/>
        <v>791.75</v>
      </c>
      <c r="W68" s="98"/>
      <c r="X68" s="98"/>
    </row>
    <row r="69" spans="1:24" ht="20.25" customHeight="1" x14ac:dyDescent="0.35">
      <c r="A69" s="2" t="s">
        <v>162</v>
      </c>
      <c r="B69" s="2" t="s">
        <v>163</v>
      </c>
      <c r="C69" s="2" t="s">
        <v>156</v>
      </c>
      <c r="D69" s="24"/>
      <c r="E69" s="36">
        <v>200</v>
      </c>
      <c r="F69" s="110">
        <v>40</v>
      </c>
      <c r="G69" s="101"/>
      <c r="H69" s="101"/>
      <c r="I69" s="101"/>
      <c r="J69" s="5">
        <f t="shared" si="30"/>
        <v>5</v>
      </c>
      <c r="K69" s="79"/>
      <c r="L69" s="27">
        <f t="shared" si="44"/>
        <v>1000</v>
      </c>
      <c r="M69" s="27">
        <f>IF(AND(Week1[[#This Row],[Job Income]]&lt;&gt;"", Week1[[#This Row],[Job Income]]&lt;Week1[[#This Row],[Basic Hours]]*20.5), Week1[[#This Row],[Basic Hours]]*20.5, 0)</f>
        <v>0</v>
      </c>
      <c r="N69" s="105">
        <f>(Week1[[#This Row],[Day Rates]]/8*Week1[[#This Row],[OT Hours]]*1.5)+(Week1[[#This Row],[Day Rates]]/8*Week1[[#This Row],[DT Hours]]*2)+(Week1[[#This Row],[Day Rates]]/8*Week1[[#This Row],[TT Hours]]*3)</f>
        <v>0</v>
      </c>
      <c r="O69" s="27"/>
      <c r="P69" s="27">
        <f t="shared" si="43"/>
        <v>0</v>
      </c>
      <c r="Q69" s="27">
        <f t="shared" si="31"/>
        <v>0</v>
      </c>
      <c r="R69" s="30" cm="1">
        <f t="array" ref="R69">_xlfn.IFS(
    K69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1000</v>
      </c>
      <c r="S69" s="31">
        <f>IF(Week1[[#This Row],[Gross Wages ]]=0, 0, 8.25)</f>
        <v>8.25</v>
      </c>
      <c r="T69" s="32"/>
      <c r="U69" s="30">
        <f t="shared" si="51"/>
        <v>991.75</v>
      </c>
      <c r="W69" s="98"/>
      <c r="X69" s="98"/>
    </row>
    <row r="70" spans="1:24" ht="20.25" customHeight="1" x14ac:dyDescent="0.35">
      <c r="A70" s="2" t="s">
        <v>164</v>
      </c>
      <c r="B70" s="2" t="s">
        <v>165</v>
      </c>
      <c r="C70" s="2" t="s">
        <v>156</v>
      </c>
      <c r="D70" s="24"/>
      <c r="E70" s="36">
        <v>200</v>
      </c>
      <c r="F70" s="110">
        <f>8+24</f>
        <v>32</v>
      </c>
      <c r="G70" s="101"/>
      <c r="H70" s="101"/>
      <c r="I70" s="101"/>
      <c r="J70" s="5">
        <f t="shared" si="30"/>
        <v>4</v>
      </c>
      <c r="K70" s="79"/>
      <c r="L70" s="27">
        <f t="shared" si="44"/>
        <v>800</v>
      </c>
      <c r="M70" s="27">
        <f>IF(AND(Week1[[#This Row],[Job Income]]&lt;&gt;"", Week1[[#This Row],[Job Income]]&lt;Week1[[#This Row],[Basic Hours]]*20.5), Week1[[#This Row],[Basic Hours]]*20.5, 0)</f>
        <v>0</v>
      </c>
      <c r="N70" s="105">
        <f>(Week1[[#This Row],[Day Rates]]/8*Week1[[#This Row],[OT Hours]]*1.5)+(Week1[[#This Row],[Day Rates]]/8*Week1[[#This Row],[DT Hours]]*2)+(Week1[[#This Row],[Day Rates]]/8*Week1[[#This Row],[TT Hours]]*3)</f>
        <v>0</v>
      </c>
      <c r="O70" s="27"/>
      <c r="P70" s="27">
        <f t="shared" si="43"/>
        <v>0</v>
      </c>
      <c r="Q70" s="27">
        <f t="shared" si="31"/>
        <v>0</v>
      </c>
      <c r="R70" s="30" cm="1">
        <f t="array" ref="R70">_xlfn.IFS(
    K70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800</v>
      </c>
      <c r="S70" s="31">
        <f>IF(Week1[[#This Row],[Gross Wages ]]=0, 0, 8.25)</f>
        <v>8.25</v>
      </c>
      <c r="T70" s="32"/>
      <c r="U70" s="30">
        <f t="shared" si="51"/>
        <v>791.75</v>
      </c>
      <c r="W70" s="98"/>
      <c r="X70" s="98"/>
    </row>
    <row r="71" spans="1:24" ht="20.25" customHeight="1" x14ac:dyDescent="0.35">
      <c r="A71" s="2" t="s">
        <v>166</v>
      </c>
      <c r="B71" s="2" t="s">
        <v>167</v>
      </c>
      <c r="C71" s="2" t="s">
        <v>156</v>
      </c>
      <c r="D71" s="24" t="s">
        <v>168</v>
      </c>
      <c r="E71" s="36">
        <v>200</v>
      </c>
      <c r="F71" s="110">
        <v>24</v>
      </c>
      <c r="G71" s="101"/>
      <c r="H71" s="101"/>
      <c r="I71" s="101"/>
      <c r="J71" s="5">
        <f t="shared" si="30"/>
        <v>3</v>
      </c>
      <c r="K71" s="79"/>
      <c r="L71" s="27">
        <f t="shared" si="44"/>
        <v>600</v>
      </c>
      <c r="M71" s="27">
        <f>IF(AND(Week1[[#This Row],[Job Income]]&lt;&gt;"", Week1[[#This Row],[Job Income]]&lt;Week1[[#This Row],[Basic Hours]]*20.5), Week1[[#This Row],[Basic Hours]]*20.5, 0)</f>
        <v>0</v>
      </c>
      <c r="N71" s="105">
        <f>(Week1[[#This Row],[Day Rates]]/8*Week1[[#This Row],[OT Hours]]*1.5)+(Week1[[#This Row],[Day Rates]]/8*Week1[[#This Row],[DT Hours]]*2)+(Week1[[#This Row],[Day Rates]]/8*Week1[[#This Row],[TT Hours]]*3)</f>
        <v>0</v>
      </c>
      <c r="O71" s="27"/>
      <c r="P71" s="27">
        <f t="shared" si="43"/>
        <v>0</v>
      </c>
      <c r="Q71" s="27">
        <f t="shared" si="31"/>
        <v>0</v>
      </c>
      <c r="R71" s="30" cm="1">
        <f t="array" ref="R71">_xlfn.IFS(
    K71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600</v>
      </c>
      <c r="S71" s="31">
        <f>IF(Week1[[#This Row],[Gross Wages ]]=0, 0, 8.25)</f>
        <v>8.25</v>
      </c>
      <c r="T71" s="32"/>
      <c r="U71" s="30">
        <f t="shared" si="51"/>
        <v>591.75</v>
      </c>
      <c r="W71" s="98"/>
      <c r="X71" s="98"/>
    </row>
    <row r="72" spans="1:24" ht="20.25" customHeight="1" x14ac:dyDescent="0.35">
      <c r="A72" s="2" t="s">
        <v>169</v>
      </c>
      <c r="B72" s="2" t="s">
        <v>170</v>
      </c>
      <c r="C72" s="2" t="s">
        <v>156</v>
      </c>
      <c r="D72" s="24"/>
      <c r="E72" s="36">
        <v>200</v>
      </c>
      <c r="F72" s="110">
        <v>40</v>
      </c>
      <c r="G72" s="101"/>
      <c r="H72" s="101"/>
      <c r="I72" s="101"/>
      <c r="J72" s="5">
        <f t="shared" si="30"/>
        <v>5</v>
      </c>
      <c r="K72" s="79"/>
      <c r="L72" s="27">
        <f t="shared" si="44"/>
        <v>1000</v>
      </c>
      <c r="M72" s="27">
        <f>IF(AND(Week1[[#This Row],[Job Income]]&lt;&gt;"", Week1[[#This Row],[Job Income]]&lt;Week1[[#This Row],[Basic Hours]]*20.5), Week1[[#This Row],[Basic Hours]]*20.5, 0)</f>
        <v>0</v>
      </c>
      <c r="N72" s="105">
        <f>(Week1[[#This Row],[Day Rates]]/8*Week1[[#This Row],[OT Hours]]*1.5)+(Week1[[#This Row],[Day Rates]]/8*Week1[[#This Row],[DT Hours]]*2)+(Week1[[#This Row],[Day Rates]]/8*Week1[[#This Row],[TT Hours]]*3)</f>
        <v>0</v>
      </c>
      <c r="O72" s="27"/>
      <c r="P72" s="27">
        <f t="shared" si="43"/>
        <v>0</v>
      </c>
      <c r="Q72" s="27">
        <f t="shared" si="31"/>
        <v>0</v>
      </c>
      <c r="R72" s="30" cm="1">
        <f t="array" ref="R72">_xlfn.IFS(
    K72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1000</v>
      </c>
      <c r="S72" s="31">
        <f>IF(Week1[[#This Row],[Gross Wages ]]=0, 0, 8.25)</f>
        <v>8.25</v>
      </c>
      <c r="T72" s="32"/>
      <c r="U72" s="30">
        <f t="shared" si="51"/>
        <v>991.75</v>
      </c>
      <c r="W72" s="98"/>
      <c r="X72" s="98"/>
    </row>
    <row r="73" spans="1:24" ht="20.25" customHeight="1" x14ac:dyDescent="0.35">
      <c r="A73" s="2" t="s">
        <v>171</v>
      </c>
      <c r="B73" s="2" t="s">
        <v>172</v>
      </c>
      <c r="C73" s="2" t="s">
        <v>156</v>
      </c>
      <c r="D73" s="24"/>
      <c r="E73" s="36">
        <v>200</v>
      </c>
      <c r="F73" s="110">
        <v>40</v>
      </c>
      <c r="G73" s="101"/>
      <c r="H73" s="101"/>
      <c r="I73" s="101"/>
      <c r="J73" s="5">
        <f t="shared" ref="J73:J89" si="52">IFERROR(F73/8, 0)</f>
        <v>5</v>
      </c>
      <c r="K73" s="79"/>
      <c r="L73" s="27">
        <f t="shared" si="44"/>
        <v>1000</v>
      </c>
      <c r="M73" s="27">
        <f>IF(AND(Week1[[#This Row],[Job Income]]&lt;&gt;"", Week1[[#This Row],[Job Income]]&lt;Week1[[#This Row],[Basic Hours]]*20.5), Week1[[#This Row],[Basic Hours]]*20.5, 0)</f>
        <v>0</v>
      </c>
      <c r="N73" s="105">
        <f>(Week1[[#This Row],[Day Rates]]/8*Week1[[#This Row],[OT Hours]]*1.5)+(Week1[[#This Row],[Day Rates]]/8*Week1[[#This Row],[DT Hours]]*2)+(Week1[[#This Row],[Day Rates]]/8*Week1[[#This Row],[TT Hours]]*3)</f>
        <v>0</v>
      </c>
      <c r="O73" s="27"/>
      <c r="P73" s="27">
        <f t="shared" si="43"/>
        <v>0</v>
      </c>
      <c r="Q73" s="27">
        <f t="shared" ref="Q73:Q89" si="53">IFERROR(N73+O73+P73, 0)</f>
        <v>0</v>
      </c>
      <c r="R73" s="30" cm="1">
        <f t="array" ref="R73">_xlfn.IFS(
    K73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1000</v>
      </c>
      <c r="S73" s="31">
        <f>IF(Week1[[#This Row],[Gross Wages ]]=0, 0, 8.25)</f>
        <v>8.25</v>
      </c>
      <c r="T73" s="32"/>
      <c r="U73" s="30">
        <f t="shared" si="51"/>
        <v>991.75</v>
      </c>
      <c r="W73" s="98"/>
      <c r="X73" s="98"/>
    </row>
    <row r="74" spans="1:24" ht="20.25" customHeight="1" x14ac:dyDescent="0.35">
      <c r="A74" s="2" t="s">
        <v>21</v>
      </c>
      <c r="B74" s="2" t="s">
        <v>173</v>
      </c>
      <c r="C74" s="2" t="s">
        <v>156</v>
      </c>
      <c r="D74" s="24"/>
      <c r="E74" s="36">
        <v>200</v>
      </c>
      <c r="F74" s="110">
        <v>40</v>
      </c>
      <c r="G74" s="101"/>
      <c r="H74" s="101"/>
      <c r="I74" s="101"/>
      <c r="J74" s="5">
        <f t="shared" si="52"/>
        <v>5</v>
      </c>
      <c r="K74" s="79"/>
      <c r="L74" s="27">
        <f t="shared" si="44"/>
        <v>1000</v>
      </c>
      <c r="M74" s="27">
        <f>IF(AND(Week1[[#This Row],[Job Income]]&lt;&gt;"", Week1[[#This Row],[Job Income]]&lt;Week1[[#This Row],[Basic Hours]]*20.5), Week1[[#This Row],[Basic Hours]]*20.5, 0)</f>
        <v>0</v>
      </c>
      <c r="N74" s="105">
        <f>(Week1[[#This Row],[Day Rates]]/8*Week1[[#This Row],[OT Hours]]*1.5)+(Week1[[#This Row],[Day Rates]]/8*Week1[[#This Row],[DT Hours]]*2)+(Week1[[#This Row],[Day Rates]]/8*Week1[[#This Row],[TT Hours]]*3)</f>
        <v>0</v>
      </c>
      <c r="O74" s="27"/>
      <c r="P74" s="27">
        <f t="shared" si="43"/>
        <v>0</v>
      </c>
      <c r="Q74" s="27">
        <f t="shared" si="53"/>
        <v>0</v>
      </c>
      <c r="R74" s="30" cm="1">
        <f t="array" ref="R74">_xlfn.IFS(
    K74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1000</v>
      </c>
      <c r="S74" s="31">
        <f>IF(Week1[[#This Row],[Gross Wages ]]=0, 0, 8.25)</f>
        <v>8.25</v>
      </c>
      <c r="T74" s="32"/>
      <c r="U74" s="30">
        <f t="shared" si="51"/>
        <v>991.75</v>
      </c>
      <c r="W74" s="98"/>
      <c r="X74" s="98"/>
    </row>
    <row r="75" spans="1:24" ht="20.25" customHeight="1" x14ac:dyDescent="0.35">
      <c r="A75" s="2" t="s">
        <v>174</v>
      </c>
      <c r="B75" s="2" t="s">
        <v>175</v>
      </c>
      <c r="C75" s="2" t="s">
        <v>156</v>
      </c>
      <c r="D75" s="24"/>
      <c r="E75" s="36">
        <v>200</v>
      </c>
      <c r="F75" s="110">
        <v>28.5</v>
      </c>
      <c r="G75" s="101"/>
      <c r="H75" s="101"/>
      <c r="I75" s="101"/>
      <c r="J75" s="5">
        <f t="shared" si="52"/>
        <v>3.5625</v>
      </c>
      <c r="K75" s="79"/>
      <c r="L75" s="27">
        <f t="shared" si="44"/>
        <v>712.5</v>
      </c>
      <c r="M75" s="27">
        <f>IF(AND(Week1[[#This Row],[Job Income]]&lt;&gt;"", Week1[[#This Row],[Job Income]]&lt;Week1[[#This Row],[Basic Hours]]*20.5), Week1[[#This Row],[Basic Hours]]*20.5, 0)</f>
        <v>0</v>
      </c>
      <c r="N75" s="105">
        <f>(Week1[[#This Row],[Day Rates]]/8*Week1[[#This Row],[OT Hours]]*1.5)+(Week1[[#This Row],[Day Rates]]/8*Week1[[#This Row],[DT Hours]]*2)+(Week1[[#This Row],[Day Rates]]/8*Week1[[#This Row],[TT Hours]]*3)</f>
        <v>0</v>
      </c>
      <c r="O75" s="27"/>
      <c r="P75" s="27">
        <f t="shared" si="43"/>
        <v>0</v>
      </c>
      <c r="Q75" s="27">
        <f t="shared" si="53"/>
        <v>0</v>
      </c>
      <c r="R75" s="30" cm="1">
        <f t="array" ref="R75">_xlfn.IFS(
    K75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712.5</v>
      </c>
      <c r="S75" s="31">
        <f>IF(Week1[[#This Row],[Gross Wages ]]=0, 0, 8.25)</f>
        <v>8.25</v>
      </c>
      <c r="T75" s="32"/>
      <c r="U75" s="30">
        <f t="shared" si="51"/>
        <v>704.25</v>
      </c>
      <c r="W75" s="98"/>
      <c r="X75" s="98"/>
    </row>
    <row r="76" spans="1:24" ht="20.25" customHeight="1" x14ac:dyDescent="0.35">
      <c r="A76" s="2" t="s">
        <v>176</v>
      </c>
      <c r="B76" s="2" t="s">
        <v>177</v>
      </c>
      <c r="C76" s="2" t="s">
        <v>156</v>
      </c>
      <c r="D76" s="24"/>
      <c r="E76" s="36">
        <v>200</v>
      </c>
      <c r="F76" s="110">
        <v>40</v>
      </c>
      <c r="G76" s="101"/>
      <c r="H76" s="101"/>
      <c r="I76" s="101"/>
      <c r="J76" s="5">
        <f t="shared" si="52"/>
        <v>5</v>
      </c>
      <c r="K76" s="79"/>
      <c r="L76" s="27">
        <f t="shared" si="44"/>
        <v>1000</v>
      </c>
      <c r="M76" s="27">
        <f>IF(AND(Week1[[#This Row],[Job Income]]&lt;&gt;"", Week1[[#This Row],[Job Income]]&lt;Week1[[#This Row],[Basic Hours]]*20.5), Week1[[#This Row],[Basic Hours]]*20.5, 0)</f>
        <v>0</v>
      </c>
      <c r="N76" s="105">
        <f>(Week1[[#This Row],[Day Rates]]/8*Week1[[#This Row],[OT Hours]]*1.5)+(Week1[[#This Row],[Day Rates]]/8*Week1[[#This Row],[DT Hours]]*2)+(Week1[[#This Row],[Day Rates]]/8*Week1[[#This Row],[TT Hours]]*3)</f>
        <v>0</v>
      </c>
      <c r="O76" s="27"/>
      <c r="P76" s="27">
        <f t="shared" si="43"/>
        <v>0</v>
      </c>
      <c r="Q76" s="27">
        <f t="shared" si="53"/>
        <v>0</v>
      </c>
      <c r="R76" s="30" cm="1">
        <f t="array" ref="R76">_xlfn.IFS(
    K76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1000</v>
      </c>
      <c r="S76" s="31">
        <f>IF(Week1[[#This Row],[Gross Wages ]]=0, 0, 8.25)</f>
        <v>8.25</v>
      </c>
      <c r="T76" s="32"/>
      <c r="U76" s="30">
        <f t="shared" si="51"/>
        <v>991.75</v>
      </c>
      <c r="W76" s="98"/>
      <c r="X76" s="98"/>
    </row>
    <row r="77" spans="1:24" ht="20.25" customHeight="1" x14ac:dyDescent="0.35">
      <c r="A77" s="2" t="s">
        <v>178</v>
      </c>
      <c r="B77" s="2" t="s">
        <v>179</v>
      </c>
      <c r="C77" s="2" t="s">
        <v>156</v>
      </c>
      <c r="D77" s="24"/>
      <c r="E77" s="36">
        <v>200</v>
      </c>
      <c r="F77" s="110">
        <v>40</v>
      </c>
      <c r="G77" s="101"/>
      <c r="H77" s="101"/>
      <c r="I77" s="101"/>
      <c r="J77" s="5">
        <f t="shared" si="52"/>
        <v>5</v>
      </c>
      <c r="K77" s="79"/>
      <c r="L77" s="27">
        <f t="shared" si="44"/>
        <v>1000</v>
      </c>
      <c r="M77" s="27">
        <f>IF(AND(Week1[[#This Row],[Job Income]]&lt;&gt;"", Week1[[#This Row],[Job Income]]&lt;Week1[[#This Row],[Basic Hours]]*20.5), Week1[[#This Row],[Basic Hours]]*20.5, 0)</f>
        <v>0</v>
      </c>
      <c r="N77" s="105">
        <f>(Week1[[#This Row],[Day Rates]]/8*Week1[[#This Row],[OT Hours]]*1.5)+(Week1[[#This Row],[Day Rates]]/8*Week1[[#This Row],[DT Hours]]*2)+(Week1[[#This Row],[Day Rates]]/8*Week1[[#This Row],[TT Hours]]*3)</f>
        <v>0</v>
      </c>
      <c r="O77" s="27"/>
      <c r="P77" s="27">
        <f t="shared" si="43"/>
        <v>0</v>
      </c>
      <c r="Q77" s="27">
        <f t="shared" si="53"/>
        <v>0</v>
      </c>
      <c r="R77" s="30" cm="1">
        <f t="array" ref="R77">_xlfn.IFS(
    K77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1000</v>
      </c>
      <c r="S77" s="31">
        <f>IF(Week1[[#This Row],[Gross Wages ]]=0, 0, 8.25)</f>
        <v>8.25</v>
      </c>
      <c r="T77" s="32"/>
      <c r="U77" s="30">
        <f t="shared" si="51"/>
        <v>991.75</v>
      </c>
      <c r="W77" s="98"/>
      <c r="X77" s="98"/>
    </row>
    <row r="78" spans="1:24" ht="20.25" customHeight="1" x14ac:dyDescent="0.35">
      <c r="A78" s="2" t="s">
        <v>180</v>
      </c>
      <c r="B78" s="2" t="s">
        <v>181</v>
      </c>
      <c r="C78" s="2" t="s">
        <v>156</v>
      </c>
      <c r="D78" s="24"/>
      <c r="E78" s="36">
        <v>200</v>
      </c>
      <c r="F78" s="110">
        <v>40</v>
      </c>
      <c r="G78" s="101"/>
      <c r="H78" s="101"/>
      <c r="I78" s="101"/>
      <c r="J78" s="5">
        <f t="shared" si="52"/>
        <v>5</v>
      </c>
      <c r="K78" s="79"/>
      <c r="L78" s="27">
        <f t="shared" si="44"/>
        <v>1000</v>
      </c>
      <c r="M78" s="27">
        <f>IF(AND(Week1[[#This Row],[Job Income]]&lt;&gt;"", Week1[[#This Row],[Job Income]]&lt;Week1[[#This Row],[Basic Hours]]*20.5), Week1[[#This Row],[Basic Hours]]*20.5, 0)</f>
        <v>0</v>
      </c>
      <c r="N78" s="105">
        <f>(Week1[[#This Row],[Day Rates]]/8*Week1[[#This Row],[OT Hours]]*1.5)+(Week1[[#This Row],[Day Rates]]/8*Week1[[#This Row],[DT Hours]]*2)+(Week1[[#This Row],[Day Rates]]/8*Week1[[#This Row],[TT Hours]]*3)</f>
        <v>0</v>
      </c>
      <c r="O78" s="27"/>
      <c r="P78" s="27">
        <f t="shared" si="43"/>
        <v>0</v>
      </c>
      <c r="Q78" s="27">
        <f t="shared" si="53"/>
        <v>0</v>
      </c>
      <c r="R78" s="30" cm="1">
        <f t="array" ref="R78">_xlfn.IFS(
    K78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1000</v>
      </c>
      <c r="S78" s="31">
        <f>IF(Week1[[#This Row],[Gross Wages ]]=0, 0, 8.25)</f>
        <v>8.25</v>
      </c>
      <c r="T78" s="32"/>
      <c r="U78" s="30">
        <f t="shared" si="51"/>
        <v>991.75</v>
      </c>
    </row>
    <row r="79" spans="1:24" ht="20.25" customHeight="1" x14ac:dyDescent="0.35">
      <c r="A79" s="2" t="s">
        <v>182</v>
      </c>
      <c r="B79" s="2" t="s">
        <v>183</v>
      </c>
      <c r="C79" s="2" t="s">
        <v>156</v>
      </c>
      <c r="D79" s="24"/>
      <c r="E79" s="36">
        <v>200</v>
      </c>
      <c r="F79" s="110">
        <v>39.5</v>
      </c>
      <c r="G79" s="101"/>
      <c r="H79" s="101"/>
      <c r="I79" s="101"/>
      <c r="J79" s="5">
        <f t="shared" si="52"/>
        <v>4.9375</v>
      </c>
      <c r="K79" s="79"/>
      <c r="L79" s="27">
        <f t="shared" si="44"/>
        <v>987.5</v>
      </c>
      <c r="M79" s="27">
        <f>IF(AND(Week1[[#This Row],[Job Income]]&lt;&gt;"", Week1[[#This Row],[Job Income]]&lt;Week1[[#This Row],[Basic Hours]]*20.5), Week1[[#This Row],[Basic Hours]]*20.5, 0)</f>
        <v>0</v>
      </c>
      <c r="N79" s="105">
        <f>(Week1[[#This Row],[Day Rates]]/8*Week1[[#This Row],[OT Hours]]*1.5)+(Week1[[#This Row],[Day Rates]]/8*Week1[[#This Row],[DT Hours]]*2)+(Week1[[#This Row],[Day Rates]]/8*Week1[[#This Row],[TT Hours]]*3)</f>
        <v>0</v>
      </c>
      <c r="O79" s="27"/>
      <c r="P79" s="27">
        <f t="shared" si="43"/>
        <v>0</v>
      </c>
      <c r="Q79" s="27">
        <f t="shared" si="53"/>
        <v>0</v>
      </c>
      <c r="R79" s="30" cm="1">
        <f t="array" ref="R79">_xlfn.IFS(
    K79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987.5</v>
      </c>
      <c r="S79" s="31">
        <f>IF(Week1[[#This Row],[Gross Wages ]]=0, 0, 8.25)</f>
        <v>8.25</v>
      </c>
      <c r="T79" s="32"/>
      <c r="U79" s="30">
        <f t="shared" si="51"/>
        <v>979.25</v>
      </c>
    </row>
    <row r="80" spans="1:24" ht="20.25" customHeight="1" x14ac:dyDescent="0.35">
      <c r="A80" s="2" t="s">
        <v>184</v>
      </c>
      <c r="B80" s="2" t="s">
        <v>185</v>
      </c>
      <c r="C80" s="2" t="s">
        <v>156</v>
      </c>
      <c r="D80" s="99"/>
      <c r="E80" s="36">
        <v>200</v>
      </c>
      <c r="F80" s="110">
        <v>40</v>
      </c>
      <c r="G80" s="101"/>
      <c r="H80" s="101"/>
      <c r="I80" s="101"/>
      <c r="J80" s="5">
        <f t="shared" si="52"/>
        <v>5</v>
      </c>
      <c r="K80" s="79"/>
      <c r="L80" s="27">
        <f t="shared" si="44"/>
        <v>1000</v>
      </c>
      <c r="M80" s="27">
        <f>IF(AND(Week1[[#This Row],[Job Income]]&lt;&gt;"", Week1[[#This Row],[Job Income]]&lt;Week1[[#This Row],[Basic Hours]]*20.5), Week1[[#This Row],[Basic Hours]]*20.5, 0)</f>
        <v>0</v>
      </c>
      <c r="N80" s="105">
        <f>(Week1[[#This Row],[Day Rates]]/8*Week1[[#This Row],[OT Hours]]*1.5)+(Week1[[#This Row],[Day Rates]]/8*Week1[[#This Row],[DT Hours]]*2)+(Week1[[#This Row],[Day Rates]]/8*Week1[[#This Row],[TT Hours]]*3)</f>
        <v>0</v>
      </c>
      <c r="O80" s="27"/>
      <c r="P80" s="27">
        <f t="shared" si="43"/>
        <v>0</v>
      </c>
      <c r="Q80" s="27">
        <f t="shared" si="53"/>
        <v>0</v>
      </c>
      <c r="R80" s="30" cm="1">
        <f t="array" ref="R80">_xlfn.IFS(
    K80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1000</v>
      </c>
      <c r="S80" s="31">
        <f>IF(Week1[[#This Row],[Gross Wages ]]=0, 0, 8.25)</f>
        <v>8.25</v>
      </c>
      <c r="T80" s="32"/>
      <c r="U80" s="30">
        <f t="shared" si="51"/>
        <v>991.75</v>
      </c>
      <c r="W80" s="98"/>
      <c r="X80" s="98"/>
    </row>
    <row r="81" spans="1:24" ht="20.25" customHeight="1" x14ac:dyDescent="0.35">
      <c r="A81" s="2" t="s">
        <v>186</v>
      </c>
      <c r="B81" s="2" t="s">
        <v>123</v>
      </c>
      <c r="C81" s="2" t="s">
        <v>156</v>
      </c>
      <c r="D81" s="24"/>
      <c r="E81" s="36">
        <v>200</v>
      </c>
      <c r="F81" s="110">
        <v>37</v>
      </c>
      <c r="G81" s="101"/>
      <c r="H81" s="101"/>
      <c r="I81" s="101"/>
      <c r="J81" s="5">
        <f t="shared" si="52"/>
        <v>4.625</v>
      </c>
      <c r="K81" s="79"/>
      <c r="L81" s="27">
        <f t="shared" si="44"/>
        <v>925</v>
      </c>
      <c r="M81" s="27">
        <f>IF(AND(Week1[[#This Row],[Job Income]]&lt;&gt;"", Week1[[#This Row],[Job Income]]&lt;Week1[[#This Row],[Basic Hours]]*20.5), Week1[[#This Row],[Basic Hours]]*20.5, 0)</f>
        <v>0</v>
      </c>
      <c r="N81" s="105">
        <f>(Week1[[#This Row],[Day Rates]]/8*Week1[[#This Row],[OT Hours]]*1.5)+(Week1[[#This Row],[Day Rates]]/8*Week1[[#This Row],[DT Hours]]*2)+(Week1[[#This Row],[Day Rates]]/8*Week1[[#This Row],[TT Hours]]*3)</f>
        <v>0</v>
      </c>
      <c r="O81" s="27"/>
      <c r="P81" s="27">
        <f t="shared" si="43"/>
        <v>0</v>
      </c>
      <c r="Q81" s="27">
        <f t="shared" si="53"/>
        <v>0</v>
      </c>
      <c r="R81" s="30" cm="1">
        <f t="array" ref="R81">_xlfn.IFS(
    K81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925</v>
      </c>
      <c r="S81" s="31">
        <f>IF(Week1[[#This Row],[Gross Wages ]]=0, 0, 8.25)</f>
        <v>8.25</v>
      </c>
      <c r="T81" s="32"/>
      <c r="U81" s="30">
        <f t="shared" si="51"/>
        <v>916.75</v>
      </c>
      <c r="W81" s="98"/>
      <c r="X81" s="98"/>
    </row>
    <row r="82" spans="1:24" ht="20.25" customHeight="1" x14ac:dyDescent="0.35">
      <c r="A82" s="2" t="s">
        <v>120</v>
      </c>
      <c r="B82" s="2" t="s">
        <v>187</v>
      </c>
      <c r="C82" s="2" t="s">
        <v>188</v>
      </c>
      <c r="D82" s="99"/>
      <c r="E82" s="36">
        <v>200</v>
      </c>
      <c r="F82" s="110">
        <v>40</v>
      </c>
      <c r="G82" s="102"/>
      <c r="H82" s="102"/>
      <c r="I82" s="102"/>
      <c r="J82" s="5">
        <f t="shared" si="52"/>
        <v>5</v>
      </c>
      <c r="K82" s="82">
        <v>252</v>
      </c>
      <c r="L82" s="35">
        <f>IF(F82&lt;=40, (E82/8*F82), E82/8*40)</f>
        <v>1000</v>
      </c>
      <c r="M82" s="27">
        <f>IF(AND(Week1[[#This Row],[Job Income]]&lt;&gt;"", Week1[[#This Row],[Job Income]]&lt;Week1[[#This Row],[Basic Hours]]*20.5), Week1[[#This Row],[Basic Hours]]*20.5, 0)</f>
        <v>820</v>
      </c>
      <c r="N82" s="105">
        <f>(Week1[[#This Row],[Day Rates]]/8*Week1[[#This Row],[OT Hours]]*1.5)+(Week1[[#This Row],[Day Rates]]/8*Week1[[#This Row],[DT Hours]]*2)+(Week1[[#This Row],[Day Rates]]/8*Week1[[#This Row],[TT Hours]]*3)</f>
        <v>0</v>
      </c>
      <c r="O82" s="27"/>
      <c r="P82" s="27">
        <f t="shared" si="43"/>
        <v>0</v>
      </c>
      <c r="Q82" s="27">
        <f t="shared" si="53"/>
        <v>0</v>
      </c>
      <c r="R82" s="30" cm="1">
        <f t="array" ref="R82">_xlfn.IFS(
    K82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820</v>
      </c>
      <c r="S82" s="31">
        <f>IF(Week1[[#This Row],[Gross Wages ]]=0, 0, 8.25)</f>
        <v>8.25</v>
      </c>
      <c r="T82" s="32"/>
      <c r="U82" s="30">
        <f t="shared" si="51"/>
        <v>811.75</v>
      </c>
      <c r="W82" s="98"/>
      <c r="X82" s="98"/>
    </row>
    <row r="83" spans="1:24" ht="20.25" customHeight="1" x14ac:dyDescent="0.35">
      <c r="A83" s="2" t="s">
        <v>189</v>
      </c>
      <c r="B83" s="2" t="s">
        <v>190</v>
      </c>
      <c r="C83" s="2" t="s">
        <v>188</v>
      </c>
      <c r="D83" s="99"/>
      <c r="E83" s="36">
        <v>400</v>
      </c>
      <c r="F83" s="110">
        <v>40</v>
      </c>
      <c r="G83" s="102"/>
      <c r="H83" s="102"/>
      <c r="I83" s="102"/>
      <c r="J83" s="5">
        <f t="shared" si="52"/>
        <v>5</v>
      </c>
      <c r="K83" s="80"/>
      <c r="L83" s="33">
        <f>IF(F83&lt;=40, (E83/8*F83), E83/8*40)</f>
        <v>2000</v>
      </c>
      <c r="M83" s="27">
        <f>IF(AND(Week1[[#This Row],[Job Income]]&lt;&gt;"", Week1[[#This Row],[Job Income]]&lt;Week1[[#This Row],[Basic Hours]]*20.5), Week1[[#This Row],[Basic Hours]]*20.5, 0)</f>
        <v>0</v>
      </c>
      <c r="N83" s="105">
        <f>(Week1[[#This Row],[Day Rates]]/8*Week1[[#This Row],[OT Hours]]*1.5)+(Week1[[#This Row],[Day Rates]]/8*Week1[[#This Row],[DT Hours]]*2)+(Week1[[#This Row],[Day Rates]]/8*Week1[[#This Row],[TT Hours]]*3)</f>
        <v>0</v>
      </c>
      <c r="O83" s="27">
        <f>200+200+300</f>
        <v>700</v>
      </c>
      <c r="P83" s="28"/>
      <c r="Q83" s="27">
        <f t="shared" si="53"/>
        <v>700</v>
      </c>
      <c r="R83" s="30" cm="1">
        <f t="array" ref="R83">_xlfn.IFS(
    K83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2700</v>
      </c>
      <c r="S83" s="31">
        <f>IF(Week1[[#This Row],[Gross Wages ]]=0, 0, 8.25)</f>
        <v>8.25</v>
      </c>
      <c r="T83" s="32"/>
      <c r="U83" s="30">
        <f t="shared" si="51"/>
        <v>2691.75</v>
      </c>
    </row>
    <row r="84" spans="1:24" ht="20.25" customHeight="1" x14ac:dyDescent="0.35">
      <c r="A84" s="2" t="s">
        <v>191</v>
      </c>
      <c r="B84" s="2" t="s">
        <v>192</v>
      </c>
      <c r="C84" s="2" t="s">
        <v>193</v>
      </c>
      <c r="D84" s="9"/>
      <c r="E84" s="36">
        <v>200</v>
      </c>
      <c r="F84" s="110">
        <v>36.5</v>
      </c>
      <c r="G84" s="101"/>
      <c r="H84" s="101"/>
      <c r="I84" s="101"/>
      <c r="J84" s="5">
        <f t="shared" si="52"/>
        <v>4.5625</v>
      </c>
      <c r="K84" s="79"/>
      <c r="L84" s="27">
        <f t="shared" ref="L84:L88" si="54">E84*J84</f>
        <v>912.5</v>
      </c>
      <c r="M84" s="27">
        <f>IF(AND(Week1[[#This Row],[Job Income]]&lt;&gt;"", Week1[[#This Row],[Job Income]]&lt;Week1[[#This Row],[Basic Hours]]*20.5), Week1[[#This Row],[Basic Hours]]*20.5, 0)</f>
        <v>0</v>
      </c>
      <c r="N84" s="105">
        <f>(Week1[[#This Row],[Day Rates]]/8*Week1[[#This Row],[OT Hours]]*1.5)+(Week1[[#This Row],[Day Rates]]/8*Week1[[#This Row],[DT Hours]]*2)+(Week1[[#This Row],[Day Rates]]/8*Week1[[#This Row],[TT Hours]]*3)</f>
        <v>0</v>
      </c>
      <c r="O84" s="27"/>
      <c r="P84" s="27">
        <f t="shared" ref="P84:P89" si="55">IF(K84-L84&lt;=0, 0, K84-L84)</f>
        <v>0</v>
      </c>
      <c r="Q84" s="27">
        <f t="shared" si="53"/>
        <v>0</v>
      </c>
      <c r="R84" s="30" cm="1">
        <f t="array" ref="R84">_xlfn.IFS(
    K84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912.5</v>
      </c>
      <c r="S84" s="31">
        <f>IF(Week1[[#This Row],[Gross Wages ]]=0, 0, 8.25)</f>
        <v>8.25</v>
      </c>
      <c r="T84" s="32"/>
      <c r="U84" s="30">
        <f t="shared" si="51"/>
        <v>904.25</v>
      </c>
    </row>
    <row r="85" spans="1:24" ht="20.25" customHeight="1" x14ac:dyDescent="0.35">
      <c r="A85" s="2" t="s">
        <v>194</v>
      </c>
      <c r="B85" s="2" t="s">
        <v>195</v>
      </c>
      <c r="C85" s="2" t="s">
        <v>193</v>
      </c>
      <c r="D85" s="9"/>
      <c r="E85" s="36">
        <v>200</v>
      </c>
      <c r="F85" s="110">
        <v>36</v>
      </c>
      <c r="G85" s="101"/>
      <c r="H85" s="101"/>
      <c r="I85" s="101"/>
      <c r="J85" s="5">
        <f t="shared" si="52"/>
        <v>4.5</v>
      </c>
      <c r="K85" s="79"/>
      <c r="L85" s="27">
        <f t="shared" si="54"/>
        <v>900</v>
      </c>
      <c r="M85" s="27">
        <f>IF(AND(Week1[[#This Row],[Job Income]]&lt;&gt;"", Week1[[#This Row],[Job Income]]&lt;Week1[[#This Row],[Basic Hours]]*20.5), Week1[[#This Row],[Basic Hours]]*20.5, 0)</f>
        <v>0</v>
      </c>
      <c r="N85" s="105">
        <f>(Week1[[#This Row],[Day Rates]]/8*Week1[[#This Row],[OT Hours]]*1.5)+(Week1[[#This Row],[Day Rates]]/8*Week1[[#This Row],[DT Hours]]*2)+(Week1[[#This Row],[Day Rates]]/8*Week1[[#This Row],[TT Hours]]*3)</f>
        <v>0</v>
      </c>
      <c r="O85" s="27"/>
      <c r="P85" s="27">
        <f t="shared" si="55"/>
        <v>0</v>
      </c>
      <c r="Q85" s="27">
        <f t="shared" si="53"/>
        <v>0</v>
      </c>
      <c r="R85" s="30" cm="1">
        <f t="array" ref="R85">_xlfn.IFS(
    K85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900</v>
      </c>
      <c r="S85" s="31">
        <f>IF(Week1[[#This Row],[Gross Wages ]]=0, 0, 8.25)</f>
        <v>8.25</v>
      </c>
      <c r="T85" s="32"/>
      <c r="U85" s="30">
        <f t="shared" si="51"/>
        <v>891.75</v>
      </c>
    </row>
    <row r="86" spans="1:24" ht="20.25" customHeight="1" x14ac:dyDescent="0.35">
      <c r="A86" s="2" t="s">
        <v>196</v>
      </c>
      <c r="B86" s="2" t="s">
        <v>75</v>
      </c>
      <c r="C86" s="2" t="s">
        <v>193</v>
      </c>
      <c r="D86" s="9"/>
      <c r="E86" s="36">
        <v>200</v>
      </c>
      <c r="F86" s="110"/>
      <c r="G86" s="101"/>
      <c r="H86" s="101"/>
      <c r="I86" s="101"/>
      <c r="J86" s="5">
        <f t="shared" si="52"/>
        <v>0</v>
      </c>
      <c r="K86" s="79"/>
      <c r="L86" s="27">
        <f t="shared" si="54"/>
        <v>0</v>
      </c>
      <c r="M86" s="27">
        <f>IF(AND(Week1[[#This Row],[Job Income]]&lt;&gt;"", Week1[[#This Row],[Job Income]]&lt;Week1[[#This Row],[Basic Hours]]*20.5), Week1[[#This Row],[Basic Hours]]*20.5, 0)</f>
        <v>0</v>
      </c>
      <c r="N86" s="105">
        <f>(Week1[[#This Row],[Day Rates]]/8*Week1[[#This Row],[OT Hours]]*1.5)+(Week1[[#This Row],[Day Rates]]/8*Week1[[#This Row],[DT Hours]]*2)+(Week1[[#This Row],[Day Rates]]/8*Week1[[#This Row],[TT Hours]]*3)</f>
        <v>0</v>
      </c>
      <c r="O86" s="27"/>
      <c r="P86" s="27">
        <f t="shared" si="55"/>
        <v>0</v>
      </c>
      <c r="Q86" s="27">
        <f t="shared" si="53"/>
        <v>0</v>
      </c>
      <c r="R86" s="30" cm="1">
        <f t="array" ref="R86">_xlfn.IFS(
    K86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0</v>
      </c>
      <c r="S86" s="31">
        <f>IF(Week1[[#This Row],[Gross Wages ]]=0, 0, 8.25)</f>
        <v>0</v>
      </c>
      <c r="T86" s="32"/>
      <c r="U86" s="30">
        <f t="shared" si="51"/>
        <v>0</v>
      </c>
      <c r="W86" s="98"/>
      <c r="X86" s="1"/>
    </row>
    <row r="87" spans="1:24" ht="20.25" customHeight="1" x14ac:dyDescent="0.35">
      <c r="A87" s="2" t="s">
        <v>197</v>
      </c>
      <c r="B87" s="2" t="s">
        <v>99</v>
      </c>
      <c r="C87" s="2" t="s">
        <v>198</v>
      </c>
      <c r="D87" s="12"/>
      <c r="E87" s="36">
        <v>164</v>
      </c>
      <c r="F87" s="110">
        <v>29.5</v>
      </c>
      <c r="G87" s="101"/>
      <c r="H87" s="101"/>
      <c r="I87" s="101"/>
      <c r="J87" s="5">
        <f t="shared" si="52"/>
        <v>3.6875</v>
      </c>
      <c r="K87" s="79"/>
      <c r="L87" s="27">
        <f t="shared" si="54"/>
        <v>604.75</v>
      </c>
      <c r="M87" s="27">
        <f>IF(AND(Week1[[#This Row],[Job Income]]&lt;&gt;"", Week1[[#This Row],[Job Income]]&lt;Week1[[#This Row],[Basic Hours]]*20.5), Week1[[#This Row],[Basic Hours]]*20.5, 0)</f>
        <v>0</v>
      </c>
      <c r="N87" s="105">
        <f>(Week1[[#This Row],[Day Rates]]/8*Week1[[#This Row],[OT Hours]]*1.5)+(Week1[[#This Row],[Day Rates]]/8*Week1[[#This Row],[DT Hours]]*2)+(Week1[[#This Row],[Day Rates]]/8*Week1[[#This Row],[TT Hours]]*3)</f>
        <v>0</v>
      </c>
      <c r="O87" s="27"/>
      <c r="P87" s="27">
        <f t="shared" si="55"/>
        <v>0</v>
      </c>
      <c r="Q87" s="27">
        <f t="shared" si="53"/>
        <v>0</v>
      </c>
      <c r="R87" s="30" cm="1">
        <f t="array" ref="R87">_xlfn.IFS(
    K87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604.75</v>
      </c>
      <c r="S87" s="28"/>
      <c r="T87" s="32"/>
      <c r="U87" s="30">
        <f t="shared" ref="U87:U89" si="56">R87-T87</f>
        <v>604.75</v>
      </c>
      <c r="W87" s="98"/>
      <c r="X87" s="1"/>
    </row>
    <row r="88" spans="1:24" ht="20.25" customHeight="1" x14ac:dyDescent="0.35">
      <c r="A88" s="2" t="s">
        <v>199</v>
      </c>
      <c r="B88" s="2" t="s">
        <v>200</v>
      </c>
      <c r="C88" s="2" t="s">
        <v>198</v>
      </c>
      <c r="D88" s="3"/>
      <c r="E88" s="36">
        <v>0</v>
      </c>
      <c r="F88" s="110"/>
      <c r="G88" s="101"/>
      <c r="H88" s="101"/>
      <c r="I88" s="101"/>
      <c r="J88" s="5">
        <f t="shared" si="52"/>
        <v>0</v>
      </c>
      <c r="K88" s="79"/>
      <c r="L88" s="27">
        <f t="shared" si="54"/>
        <v>0</v>
      </c>
      <c r="M88" s="27">
        <f>IF(AND(Week1[[#This Row],[Job Income]]&lt;&gt;"", Week1[[#This Row],[Job Income]]&lt;Week1[[#This Row],[Basic Hours]]*20.5), Week1[[#This Row],[Basic Hours]]*20.5, 0)</f>
        <v>0</v>
      </c>
      <c r="N88" s="105">
        <f>(Week1[[#This Row],[Day Rates]]/8*Week1[[#This Row],[OT Hours]]*1.5)+(Week1[[#This Row],[Day Rates]]/8*Week1[[#This Row],[DT Hours]]*2)+(Week1[[#This Row],[Day Rates]]/8*Week1[[#This Row],[TT Hours]]*3)</f>
        <v>0</v>
      </c>
      <c r="O88" s="27"/>
      <c r="P88" s="27">
        <f t="shared" si="55"/>
        <v>0</v>
      </c>
      <c r="Q88" s="27">
        <f t="shared" si="53"/>
        <v>0</v>
      </c>
      <c r="R88" s="30" cm="1">
        <f t="array" ref="R88">_xlfn.IFS(
    K88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0</v>
      </c>
      <c r="S88" s="28"/>
      <c r="T88" s="32"/>
      <c r="U88" s="30">
        <f t="shared" si="56"/>
        <v>0</v>
      </c>
      <c r="W88" s="98"/>
      <c r="X88" s="1"/>
    </row>
    <row r="89" spans="1:24" ht="20.25" customHeight="1" x14ac:dyDescent="0.35">
      <c r="A89" s="2" t="s">
        <v>201</v>
      </c>
      <c r="B89" s="2" t="s">
        <v>93</v>
      </c>
      <c r="C89" s="2" t="s">
        <v>202</v>
      </c>
      <c r="D89" s="3"/>
      <c r="E89" s="36">
        <v>200</v>
      </c>
      <c r="F89" s="4"/>
      <c r="G89" s="101"/>
      <c r="H89" s="101"/>
      <c r="I89" s="101"/>
      <c r="J89" s="5">
        <f t="shared" si="52"/>
        <v>0</v>
      </c>
      <c r="K89" s="79"/>
      <c r="L89" s="45"/>
      <c r="M89" s="45"/>
      <c r="N89" s="106"/>
      <c r="O89" s="27"/>
      <c r="P89" s="27">
        <f t="shared" si="55"/>
        <v>0</v>
      </c>
      <c r="Q89" s="27">
        <f t="shared" si="53"/>
        <v>0</v>
      </c>
      <c r="R89" s="30" cm="1">
        <f t="array" ref="R89">_xlfn.IFS(
    K89 = "", Week1[[#This Row],[ST Income]] + Week1[[#This Row],[Total Allowance]],
    Week1[[#This Row],[Job Income]] &lt; Week1[[#This Row],[Basic Hours]] * 20.5, Week1[[#This Row],[Basic Hours]] * 20.5 + Week1[[#This Row],[OT Income]] + Week1[[#This Row],[Additions]],
    Week1[[#This Row],[Job Income]] &gt;= Week1[[#This Row],[ST Income]], Week1[[#This Row],[Job Income]] + Week1[[#This Row],[OT Income]] + Week1[[#This Row],[Additions]],
    TRUE, Week1[[#This Row],[Job Income]]+Week1[[#This Row],[OT Income]]+Week1[[#This Row],[Additions]]
)</f>
        <v>0</v>
      </c>
      <c r="S89" s="28"/>
      <c r="T89" s="32"/>
      <c r="U89" s="30">
        <f t="shared" si="56"/>
        <v>0</v>
      </c>
      <c r="W89" s="98"/>
      <c r="X89" s="1"/>
    </row>
    <row r="90" spans="1:24" ht="20.25" customHeight="1" x14ac:dyDescent="0.35">
      <c r="A90" s="69" t="s">
        <v>203</v>
      </c>
      <c r="B90" s="69"/>
      <c r="C90" s="69"/>
      <c r="D90" s="76"/>
      <c r="E90" s="71"/>
      <c r="F90" s="107">
        <f>SUBTOTAL(109,Week1[Basic Hours])</f>
        <v>2530</v>
      </c>
      <c r="G90" s="72">
        <f>SUBTOTAL(109,Week1[OT Hours])</f>
        <v>0</v>
      </c>
      <c r="H90" s="72">
        <f>SUBTOTAL(109,Week1[DT Hours])</f>
        <v>0</v>
      </c>
      <c r="I90" s="72">
        <f>SUBTOTAL(109,Week1[TT Hours])</f>
        <v>0</v>
      </c>
      <c r="J90" s="72"/>
      <c r="K90" s="77">
        <f>SUBTOTAL(109,Week1[Job Income])</f>
        <v>6530</v>
      </c>
      <c r="L90" s="73">
        <f>SUBTOTAL(109,Week1[ST Income])</f>
        <v>63964.264999999999</v>
      </c>
      <c r="M90" s="73"/>
      <c r="N90" s="78">
        <f>SUBTOTAL(109,Week1[OT Income])</f>
        <v>0</v>
      </c>
      <c r="O90" s="73">
        <f>SUBTOTAL(109,Week1[Additions])</f>
        <v>700</v>
      </c>
      <c r="P90" s="73">
        <f>SUBTOTAL(109,Week1[Performance])</f>
        <v>3067.5</v>
      </c>
      <c r="Q90" s="73">
        <f>SUBTOTAL(109,Week1[Total Allowance])</f>
        <v>3767.5</v>
      </c>
      <c r="R90" s="74">
        <f>SUBTOTAL(109,Week1[[Gross Wages ]])</f>
        <v>67551.764999999999</v>
      </c>
      <c r="S90" s="73">
        <f>SUBTOTAL(109,Week1[HSUR])</f>
        <v>569.25</v>
      </c>
      <c r="T90" s="75">
        <f>SUBTOTAL(109,Week1[Deductions])</f>
        <v>0</v>
      </c>
      <c r="U90" s="74">
        <f>SUBTOTAL(109,Week1[Net Wages])</f>
        <v>66982.514999999999</v>
      </c>
      <c r="W90" s="98"/>
      <c r="X90" s="98"/>
    </row>
    <row r="91" spans="1:24" ht="20.25" customHeight="1" x14ac:dyDescent="0.35">
      <c r="D91" s="11"/>
      <c r="E91" s="39"/>
      <c r="F91" s="98"/>
      <c r="G91" s="98"/>
      <c r="H91" s="98"/>
      <c r="I91" s="98"/>
      <c r="J91" s="22"/>
      <c r="K91" s="1"/>
      <c r="L91" s="27"/>
      <c r="M91" s="27"/>
      <c r="N91" s="27"/>
      <c r="O91" s="27"/>
      <c r="P91" s="27"/>
      <c r="Q91" s="27"/>
      <c r="R91" s="31"/>
      <c r="S91" s="31"/>
      <c r="T91" s="31"/>
      <c r="U91" s="31"/>
      <c r="W91" s="98"/>
      <c r="X91" s="98"/>
    </row>
    <row r="92" spans="1:24" ht="20.25" customHeight="1" x14ac:dyDescent="0.35">
      <c r="D92" s="11"/>
      <c r="E92" s="39"/>
      <c r="F92" s="98"/>
      <c r="G92" s="98"/>
      <c r="H92" s="98"/>
      <c r="I92" s="98"/>
      <c r="J92" s="22"/>
      <c r="K92" s="1"/>
      <c r="L92" s="27"/>
      <c r="M92" s="27"/>
      <c r="N92" s="27"/>
      <c r="O92" s="27"/>
      <c r="P92" s="27"/>
      <c r="Q92" s="27"/>
      <c r="R92" s="31"/>
      <c r="S92" s="31"/>
      <c r="T92" s="31"/>
      <c r="U92" s="31"/>
      <c r="W92" s="98"/>
      <c r="X92" s="98"/>
    </row>
    <row r="93" spans="1:24" ht="20.25" customHeight="1" x14ac:dyDescent="0.35">
      <c r="D93" s="11"/>
      <c r="E93" s="39"/>
      <c r="F93" s="98"/>
      <c r="G93" s="98"/>
      <c r="H93" s="98"/>
      <c r="I93" s="98"/>
      <c r="J93" s="22"/>
      <c r="K93" s="1"/>
      <c r="L93" s="27"/>
      <c r="M93" s="27"/>
      <c r="N93" s="27"/>
      <c r="O93" s="27"/>
      <c r="P93" s="27"/>
      <c r="Q93" s="27"/>
      <c r="R93" s="31"/>
      <c r="S93" s="31"/>
      <c r="T93" s="31"/>
      <c r="U93" s="31"/>
      <c r="W93" s="98"/>
      <c r="X93" s="98"/>
    </row>
    <row r="94" spans="1:24" ht="20.25" customHeight="1" x14ac:dyDescent="0.35">
      <c r="D94" s="98"/>
      <c r="E94" s="40"/>
      <c r="F94" s="98"/>
      <c r="G94" s="98"/>
      <c r="H94" s="98"/>
      <c r="I94" s="98"/>
      <c r="J94" s="22"/>
      <c r="K94" s="98"/>
      <c r="L94" s="27"/>
      <c r="M94" s="27"/>
      <c r="N94" s="27"/>
      <c r="O94" s="31"/>
      <c r="P94" s="31"/>
      <c r="Q94" s="31"/>
      <c r="R94" s="31"/>
      <c r="S94" s="31"/>
      <c r="T94" s="31"/>
      <c r="U94" s="31"/>
      <c r="W94" s="98"/>
      <c r="X94" s="98"/>
    </row>
    <row r="95" spans="1:24" ht="14.25" customHeight="1" x14ac:dyDescent="0.35">
      <c r="D95" s="98"/>
      <c r="E95" s="40"/>
      <c r="F95" s="98"/>
      <c r="G95" s="98"/>
      <c r="H95" s="98"/>
      <c r="I95" s="98"/>
      <c r="J95" s="98"/>
      <c r="K95" s="98"/>
      <c r="L95" s="27"/>
      <c r="M95" s="27"/>
      <c r="N95" s="27"/>
      <c r="O95" s="31"/>
      <c r="P95" s="31"/>
      <c r="Q95" s="31"/>
      <c r="R95" s="31"/>
      <c r="S95" s="31"/>
      <c r="T95" s="31"/>
      <c r="U95" s="31"/>
      <c r="W95" s="98"/>
      <c r="X95" s="98"/>
    </row>
    <row r="96" spans="1:24" ht="14.25" customHeight="1" x14ac:dyDescent="0.35">
      <c r="D96" s="98"/>
      <c r="E96" s="40"/>
      <c r="F96" s="98"/>
      <c r="G96" s="98"/>
      <c r="H96" s="98"/>
      <c r="I96" s="98"/>
      <c r="J96" s="98"/>
      <c r="K96" s="98"/>
      <c r="L96" s="27"/>
      <c r="M96" s="27"/>
      <c r="N96" s="27"/>
      <c r="O96" s="31"/>
      <c r="P96" s="31"/>
      <c r="Q96" s="31"/>
      <c r="R96" s="31"/>
      <c r="S96" s="31"/>
      <c r="T96" s="31"/>
      <c r="U96" s="31"/>
      <c r="W96" s="98"/>
      <c r="X96" s="98"/>
    </row>
    <row r="97" spans="1:21" ht="14.25" customHeight="1" x14ac:dyDescent="0.35">
      <c r="D97" s="98"/>
      <c r="E97" s="40"/>
      <c r="F97" s="98"/>
      <c r="G97" s="98"/>
      <c r="H97" s="98"/>
      <c r="I97" s="98"/>
      <c r="J97" s="98"/>
      <c r="K97" s="98"/>
      <c r="L97" s="27"/>
      <c r="M97" s="27"/>
      <c r="N97" s="27"/>
      <c r="O97" s="31"/>
      <c r="P97" s="31"/>
      <c r="Q97" s="31"/>
      <c r="R97" s="31"/>
      <c r="S97" s="31"/>
      <c r="T97" s="31"/>
      <c r="U97" s="31"/>
    </row>
    <row r="98" spans="1:21" ht="14.25" customHeight="1" x14ac:dyDescent="0.35">
      <c r="D98" s="98"/>
      <c r="E98" s="40"/>
      <c r="F98" s="98"/>
      <c r="G98" s="98"/>
      <c r="H98" s="98"/>
      <c r="I98" s="98"/>
      <c r="J98" s="98"/>
      <c r="K98" s="98"/>
      <c r="L98" s="27"/>
      <c r="M98" s="27"/>
      <c r="N98" s="27"/>
      <c r="O98" s="31"/>
      <c r="P98" s="31"/>
      <c r="Q98" s="31"/>
      <c r="R98" s="31"/>
      <c r="S98" s="31"/>
      <c r="T98" s="31"/>
      <c r="U98" s="31"/>
    </row>
    <row r="99" spans="1:21" ht="14.25" customHeight="1" x14ac:dyDescent="0.35">
      <c r="D99" s="98"/>
      <c r="E99" s="40"/>
      <c r="F99" s="98"/>
      <c r="G99" s="98"/>
      <c r="H99" s="98"/>
      <c r="I99" s="98"/>
      <c r="J99" s="98"/>
      <c r="K99" s="98"/>
      <c r="L99" s="27"/>
      <c r="M99" s="27"/>
      <c r="N99" s="27"/>
      <c r="O99" s="31"/>
      <c r="P99" s="31"/>
      <c r="Q99" s="31"/>
      <c r="R99" s="31"/>
      <c r="S99" s="31"/>
      <c r="T99" s="31"/>
      <c r="U99" s="31"/>
    </row>
    <row r="100" spans="1:21" ht="14.25" customHeight="1" x14ac:dyDescent="0.35">
      <c r="D100" s="98"/>
      <c r="E100" s="40"/>
      <c r="F100" s="98"/>
      <c r="G100" s="98"/>
      <c r="H100" s="98"/>
      <c r="I100" s="98"/>
      <c r="J100" s="98"/>
      <c r="K100" s="98"/>
      <c r="L100" s="27"/>
      <c r="M100" s="27"/>
      <c r="N100" s="27"/>
      <c r="O100" s="31"/>
      <c r="P100" s="31"/>
      <c r="Q100" s="31"/>
      <c r="R100" s="31"/>
      <c r="S100" s="31"/>
      <c r="T100" s="31"/>
      <c r="U100" s="31"/>
    </row>
    <row r="101" spans="1:21" ht="14.25" customHeight="1" x14ac:dyDescent="0.35">
      <c r="D101" s="98"/>
      <c r="E101" s="40"/>
      <c r="F101" s="98"/>
      <c r="G101" s="98"/>
      <c r="H101" s="98"/>
      <c r="I101" s="98"/>
      <c r="J101" s="98"/>
      <c r="K101" s="98"/>
      <c r="L101" s="27"/>
      <c r="M101" s="27"/>
      <c r="N101" s="27"/>
      <c r="O101" s="31"/>
      <c r="P101" s="31"/>
      <c r="Q101" s="31"/>
      <c r="R101" s="31"/>
      <c r="S101" s="31"/>
      <c r="T101" s="31"/>
      <c r="U101" s="31"/>
    </row>
    <row r="102" spans="1:21" ht="14.25" customHeight="1" x14ac:dyDescent="0.35">
      <c r="D102" s="98"/>
      <c r="E102" s="40"/>
      <c r="F102" s="98"/>
      <c r="G102" s="98"/>
      <c r="H102" s="98"/>
      <c r="I102" s="98"/>
      <c r="J102" s="98"/>
      <c r="K102" s="98"/>
      <c r="L102" s="27"/>
      <c r="M102" s="27"/>
      <c r="N102" s="27"/>
      <c r="O102" s="31"/>
      <c r="P102" s="31"/>
      <c r="Q102" s="31"/>
      <c r="R102" s="31"/>
      <c r="S102" s="31"/>
      <c r="T102" s="31"/>
      <c r="U102" s="31"/>
    </row>
    <row r="103" spans="1:21" ht="14.25" customHeight="1" x14ac:dyDescent="0.35">
      <c r="D103" s="98"/>
      <c r="E103" s="40"/>
      <c r="F103" s="98"/>
      <c r="G103" s="98"/>
      <c r="H103" s="98"/>
      <c r="I103" s="98"/>
      <c r="J103" s="98"/>
      <c r="K103" s="98"/>
      <c r="L103" s="27"/>
      <c r="M103" s="27"/>
      <c r="N103" s="27"/>
      <c r="O103" s="31"/>
      <c r="P103" s="31"/>
      <c r="Q103" s="31"/>
      <c r="R103" s="31"/>
      <c r="S103" s="31"/>
      <c r="T103" s="31"/>
      <c r="U103" s="31"/>
    </row>
    <row r="104" spans="1:21" ht="14.25" customHeight="1" x14ac:dyDescent="0.35">
      <c r="D104" s="98"/>
      <c r="E104" s="40"/>
      <c r="F104" s="98"/>
      <c r="G104" s="98"/>
      <c r="H104" s="98"/>
      <c r="I104" s="98"/>
      <c r="J104" s="98"/>
      <c r="K104" s="98"/>
      <c r="L104" s="27"/>
      <c r="M104" s="27"/>
      <c r="N104" s="27"/>
      <c r="O104" s="31"/>
      <c r="P104" s="31"/>
      <c r="Q104" s="31"/>
      <c r="R104" s="31"/>
      <c r="S104" s="31"/>
      <c r="T104" s="31"/>
      <c r="U104" s="31"/>
    </row>
    <row r="105" spans="1:21" ht="14.25" customHeight="1" x14ac:dyDescent="0.35">
      <c r="A105" s="2" t="s">
        <v>204</v>
      </c>
      <c r="D105" s="98"/>
      <c r="E105" s="40"/>
      <c r="F105" s="98"/>
      <c r="G105" s="98"/>
      <c r="H105" s="98"/>
      <c r="I105" s="98"/>
      <c r="J105" s="98"/>
      <c r="K105" s="98"/>
      <c r="L105" s="27"/>
      <c r="M105" s="27"/>
      <c r="N105" s="27"/>
      <c r="O105" s="31"/>
      <c r="P105" s="31"/>
      <c r="Q105" s="31"/>
      <c r="R105" s="31"/>
      <c r="S105" s="31"/>
      <c r="T105" s="31"/>
      <c r="U105" s="31"/>
    </row>
    <row r="106" spans="1:21" ht="14.25" customHeight="1" x14ac:dyDescent="0.35"/>
    <row r="107" spans="1:21" ht="14.25" customHeight="1" x14ac:dyDescent="0.35"/>
    <row r="108" spans="1:21" ht="14.25" customHeight="1" x14ac:dyDescent="0.35"/>
    <row r="109" spans="1:21" ht="14.25" customHeight="1" x14ac:dyDescent="0.35"/>
    <row r="110" spans="1:21" ht="14.25" customHeight="1" x14ac:dyDescent="0.35"/>
    <row r="111" spans="1:21" ht="14.25" customHeight="1" x14ac:dyDescent="0.35"/>
    <row r="112" spans="1:21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honeticPr fontId="44" type="noConversion"/>
  <conditionalFormatting sqref="D83">
    <cfRule type="cellIs" dxfId="15" priority="1" stopIfTrue="1" operator="equal">
      <formula>0</formula>
    </cfRule>
  </conditionalFormatting>
  <conditionalFormatting sqref="D66:E66">
    <cfRule type="cellIs" dxfId="14" priority="13" stopIfTrue="1" operator="equal">
      <formula>0</formula>
    </cfRule>
  </conditionalFormatting>
  <conditionalFormatting sqref="D68:E82">
    <cfRule type="cellIs" dxfId="13" priority="16" stopIfTrue="1" operator="equal">
      <formula>0</formula>
    </cfRule>
  </conditionalFormatting>
  <conditionalFormatting sqref="J91:J93 J2:J89">
    <cfRule type="cellIs" dxfId="12" priority="17" stopIfTrue="1" operator="equal">
      <formula>0</formula>
    </cfRule>
  </conditionalFormatting>
  <conditionalFormatting sqref="M32:M49 M5:M16 K2:K89">
    <cfRule type="expression" dxfId="11" priority="8">
      <formula>K2&lt;L2</formula>
    </cfRule>
  </conditionalFormatting>
  <conditionalFormatting sqref="M2:M89">
    <cfRule type="expression" dxfId="10" priority="2">
      <formula>M2&gt;0</formula>
    </cfRule>
  </conditionalFormatting>
  <conditionalFormatting sqref="M25:M26">
    <cfRule type="expression" dxfId="9" priority="5">
      <formula>M25&lt;N25</formula>
    </cfRule>
  </conditionalFormatting>
  <conditionalFormatting sqref="M83">
    <cfRule type="expression" dxfId="8" priority="3">
      <formula>M83&lt;N83</formula>
    </cfRule>
  </conditionalFormatting>
  <conditionalFormatting sqref="R2:R89">
    <cfRule type="expression" dxfId="7" priority="7">
      <formula>AND(K2&lt;&gt;"", K2&lt;F2*20.5)</formula>
    </cfRule>
  </conditionalFormatting>
  <conditionalFormatting sqref="U2:U89">
    <cfRule type="cellIs" dxfId="6" priority="18" stopIfTrue="1" operator="lessThan">
      <formula>0</formula>
    </cfRule>
  </conditionalFormatting>
  <printOptions gridLines="1"/>
  <pageMargins left="0.7" right="0.7" top="0.75" bottom="0.75" header="0.3" footer="0.3"/>
  <pageSetup paperSize="5" scale="95" fitToHeight="0" orientation="landscape" r:id="rId1"/>
  <headerFooter alignWithMargins="0">
    <oddFooter>&amp;R&amp;"Calibri1,Regular"Page &amp;P</oddFooter>
  </headerFooter>
  <ignoredErrors>
    <ignoredError sqref="M3" calculatedColumn="1"/>
  </ignoredErrors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99"/>
  <sheetViews>
    <sheetView zoomScaleNormal="100" workbookViewId="0">
      <pane xSplit="3" ySplit="1" topLeftCell="D2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RowHeight="15" customHeight="1" x14ac:dyDescent="0.35"/>
  <cols>
    <col min="1" max="1" width="19.54296875" customWidth="1"/>
    <col min="2" max="2" width="14.26953125" customWidth="1"/>
    <col min="3" max="3" width="18.7265625" style="25" bestFit="1" customWidth="1"/>
    <col min="4" max="4" width="20.81640625" customWidth="1"/>
    <col min="5" max="5" width="12.54296875" customWidth="1"/>
    <col min="6" max="6" width="11.1796875" customWidth="1"/>
    <col min="7" max="9" width="7.54296875" customWidth="1"/>
    <col min="10" max="10" width="10.81640625" customWidth="1"/>
    <col min="11" max="11" width="13.26953125" style="41" customWidth="1"/>
    <col min="12" max="13" width="12.54296875" style="41" customWidth="1"/>
    <col min="14" max="14" width="13.7265625" style="41" customWidth="1"/>
    <col min="15" max="15" width="12.54296875" style="41" customWidth="1"/>
    <col min="16" max="16" width="14.54296875" style="41" hidden="1" customWidth="1"/>
    <col min="17" max="17" width="14.81640625" style="41" hidden="1" customWidth="1"/>
    <col min="18" max="18" width="14.81640625" style="41" customWidth="1"/>
    <col min="19" max="19" width="10.54296875" style="41" customWidth="1"/>
    <col min="20" max="20" width="13.1796875" style="41" customWidth="1"/>
    <col min="21" max="21" width="15.81640625" style="41" customWidth="1"/>
    <col min="22" max="22" width="20.1796875" style="26" customWidth="1"/>
    <col min="23" max="23" width="16.54296875" style="26" customWidth="1"/>
    <col min="24" max="24" width="20.453125" style="26" customWidth="1"/>
    <col min="25" max="25" width="24.453125" style="26" customWidth="1"/>
    <col min="26" max="26" width="19.1796875" style="26" customWidth="1"/>
    <col min="27" max="27" width="16.54296875" customWidth="1"/>
    <col min="28" max="29" width="12.54296875" customWidth="1"/>
    <col min="30" max="1027" width="14.54296875" customWidth="1"/>
  </cols>
  <sheetData>
    <row r="1" spans="1:29" s="55" customFormat="1" ht="32.5" customHeight="1" x14ac:dyDescent="0.35">
      <c r="A1" s="47" t="s">
        <v>0</v>
      </c>
      <c r="B1" s="47" t="s">
        <v>1</v>
      </c>
      <c r="C1" s="47" t="s">
        <v>2</v>
      </c>
      <c r="D1" s="47" t="s">
        <v>205</v>
      </c>
      <c r="E1" s="47" t="s">
        <v>4</v>
      </c>
      <c r="F1" s="49" t="s">
        <v>206</v>
      </c>
      <c r="G1" s="50" t="s">
        <v>6</v>
      </c>
      <c r="H1" s="50" t="s">
        <v>7</v>
      </c>
      <c r="I1" s="50" t="s">
        <v>8</v>
      </c>
      <c r="J1" s="49" t="s">
        <v>9</v>
      </c>
      <c r="K1" s="48" t="s">
        <v>10</v>
      </c>
      <c r="L1" s="59" t="s">
        <v>11</v>
      </c>
      <c r="M1" s="94" t="s">
        <v>12</v>
      </c>
      <c r="N1" s="52" t="s">
        <v>13</v>
      </c>
      <c r="O1" s="48" t="s">
        <v>14</v>
      </c>
      <c r="P1" s="48" t="s">
        <v>15</v>
      </c>
      <c r="Q1" s="53" t="s">
        <v>16</v>
      </c>
      <c r="R1" s="63" t="s">
        <v>17</v>
      </c>
      <c r="S1" s="48" t="s">
        <v>18</v>
      </c>
      <c r="T1" s="54" t="s">
        <v>19</v>
      </c>
      <c r="U1" s="64" t="s">
        <v>20</v>
      </c>
      <c r="V1" s="58"/>
      <c r="W1" s="47"/>
      <c r="X1" s="47"/>
      <c r="Y1" s="47"/>
      <c r="Z1" s="47"/>
    </row>
    <row r="2" spans="1:29" ht="20.25" customHeight="1" x14ac:dyDescent="0.35">
      <c r="A2" s="2" t="str">
        <f>'Week 1'!A2</f>
        <v>Nicholas</v>
      </c>
      <c r="B2" s="2" t="str">
        <f>'Week 1'!B2</f>
        <v>Miller</v>
      </c>
      <c r="C2" s="2" t="str">
        <f>Week1[[#This Row],[Department]]</f>
        <v>Bagging</v>
      </c>
      <c r="D2" s="3"/>
      <c r="E2" s="36">
        <f>'Week 1'!E2</f>
        <v>200</v>
      </c>
      <c r="F2" s="22">
        <v>26.5</v>
      </c>
      <c r="G2" s="101"/>
      <c r="H2" s="101"/>
      <c r="I2" s="101"/>
      <c r="J2" s="5">
        <f t="shared" ref="J2:J51" si="0">IFERROR(F2/8, 0)</f>
        <v>3.3125</v>
      </c>
      <c r="K2" s="27">
        <v>1155</v>
      </c>
      <c r="L2" s="27">
        <f>E2*J2</f>
        <v>662.5</v>
      </c>
      <c r="M2" s="27">
        <f>IF(AND(Week2[[#This Row],[Job Income]]&lt;&gt;"", Week2[[#This Row],[Job Income]]&lt;Week2[[#This Row],[Basic    Hours]]*20.5), Week2[[#This Row],[Basic    Hours]]*20.5, 0)</f>
        <v>0</v>
      </c>
      <c r="N2" s="105">
        <f>(Week2[[#This Row],[Day Rates]]/8*Week2[[#This Row],[OT Hours]]*1.5)+(Week2[[#This Row],[Day Rates]]/8*Week2[[#This Row],[DT Hours]]*2)+(Week2[[#This Row],[Day Rates]]/8*Week2[[#This Row],[TT Hours]]*3)</f>
        <v>0</v>
      </c>
      <c r="O2" s="27"/>
      <c r="P2" s="27">
        <f>IF(K2-L2&lt;=0, 0, K2-L2)</f>
        <v>492.5</v>
      </c>
      <c r="Q2" s="27">
        <f t="shared" ref="Q2:Q36" si="1">IFERROR(N2+O2+P2, 0)</f>
        <v>492.5</v>
      </c>
      <c r="R2" s="30" cm="1">
        <f t="array" ref="R2">_xlfn.IFS(
    K2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1155</v>
      </c>
      <c r="S2" s="62">
        <f>IF(Week2[[#This Row],[Gross Wages ]]=0, 0, 8.25)</f>
        <v>8.25</v>
      </c>
      <c r="T2" s="32"/>
      <c r="U2" s="30">
        <f t="shared" ref="U2:U36" si="2">R2-SUM(S2:T2)</f>
        <v>1146.75</v>
      </c>
      <c r="V2" s="56"/>
      <c r="W2" s="22"/>
      <c r="Z2" s="22"/>
    </row>
    <row r="3" spans="1:29" ht="20.25" customHeight="1" x14ac:dyDescent="0.35">
      <c r="A3" s="2" t="str">
        <f>'Week 1'!A3</f>
        <v>Tyrese</v>
      </c>
      <c r="B3" s="2" t="str">
        <f>'Week 1'!B3</f>
        <v>Marshall</v>
      </c>
      <c r="C3" s="2" t="str">
        <f>Week1[[#This Row],[Department]]</f>
        <v>Bagging</v>
      </c>
      <c r="D3" s="3"/>
      <c r="E3" s="36">
        <f>'Week 1'!E3</f>
        <v>200</v>
      </c>
      <c r="F3" s="22">
        <v>22.5</v>
      </c>
      <c r="G3" s="101"/>
      <c r="H3" s="101"/>
      <c r="I3" s="101"/>
      <c r="J3" s="5">
        <f t="shared" si="0"/>
        <v>2.8125</v>
      </c>
      <c r="K3" s="27">
        <v>686</v>
      </c>
      <c r="L3" s="27">
        <f>E3*J3</f>
        <v>562.5</v>
      </c>
      <c r="M3" s="27">
        <f>IF(AND(Week2[[#This Row],[Job Income]]&lt;&gt;"", Week2[[#This Row],[Job Income]]&lt;Week2[[#This Row],[Basic    Hours]]*20.5), Week2[[#This Row],[Basic    Hours]]*20.5, 0)</f>
        <v>0</v>
      </c>
      <c r="N3" s="105">
        <f>(Week2[[#This Row],[Day Rates]]/8*Week2[[#This Row],[OT Hours]]*1.5)+(Week2[[#This Row],[Day Rates]]/8*Week2[[#This Row],[DT Hours]]*2)+(Week2[[#This Row],[Day Rates]]/8*Week2[[#This Row],[TT Hours]]*3)</f>
        <v>0</v>
      </c>
      <c r="O3" s="27"/>
      <c r="P3" s="27">
        <f>IF(K3-L3&lt;=0, 0, K3-L3)</f>
        <v>123.5</v>
      </c>
      <c r="Q3" s="27">
        <f t="shared" si="1"/>
        <v>123.5</v>
      </c>
      <c r="R3" s="30" cm="1">
        <f t="array" ref="R3">_xlfn.IFS(
    K3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686</v>
      </c>
      <c r="S3" s="62">
        <f>IF(Week2[[#This Row],[Gross Wages ]]=0, 0, 8.25)</f>
        <v>8.25</v>
      </c>
      <c r="T3" s="32"/>
      <c r="U3" s="30">
        <f t="shared" si="2"/>
        <v>677.75</v>
      </c>
      <c r="V3" s="56"/>
      <c r="W3" s="22"/>
      <c r="Z3" s="22"/>
    </row>
    <row r="4" spans="1:29" ht="20.25" customHeight="1" x14ac:dyDescent="0.35">
      <c r="A4" s="2" t="str">
        <f>'Week 1'!A4</f>
        <v>Jonathan Keron</v>
      </c>
      <c r="B4" s="2" t="str">
        <f>'Week 1'!B4</f>
        <v>Simmons</v>
      </c>
      <c r="C4" s="2" t="str">
        <f>Week1[[#This Row],[Department]]</f>
        <v>Bagging</v>
      </c>
      <c r="D4" s="3"/>
      <c r="E4" s="36">
        <f>'Week 1'!E4</f>
        <v>200</v>
      </c>
      <c r="F4" s="22">
        <v>24</v>
      </c>
      <c r="G4" s="101"/>
      <c r="H4" s="101"/>
      <c r="I4" s="101"/>
      <c r="J4" s="5">
        <f t="shared" si="0"/>
        <v>3</v>
      </c>
      <c r="K4" s="27">
        <v>749</v>
      </c>
      <c r="L4" s="27">
        <f>E4*J4</f>
        <v>600</v>
      </c>
      <c r="M4" s="27">
        <f>IF(AND(Week2[[#This Row],[Job Income]]&lt;&gt;"", Week2[[#This Row],[Job Income]]&lt;Week2[[#This Row],[Basic    Hours]]*20.5), Week2[[#This Row],[Basic    Hours]]*20.5, 0)</f>
        <v>0</v>
      </c>
      <c r="N4" s="105">
        <f>(Week2[[#This Row],[Day Rates]]/8*Week2[[#This Row],[OT Hours]]*1.5)+(Week2[[#This Row],[Day Rates]]/8*Week2[[#This Row],[DT Hours]]*2)+(Week2[[#This Row],[Day Rates]]/8*Week2[[#This Row],[TT Hours]]*3)</f>
        <v>0</v>
      </c>
      <c r="O4" s="27"/>
      <c r="P4" s="27">
        <f>IF(K4-L4&lt;=0, 0, K4-L4)</f>
        <v>149</v>
      </c>
      <c r="Q4" s="27">
        <f t="shared" si="1"/>
        <v>149</v>
      </c>
      <c r="R4" s="30" cm="1">
        <f t="array" ref="R4">_xlfn.IFS(
    K4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749</v>
      </c>
      <c r="S4" s="62">
        <f>IF(Week2[[#This Row],[Gross Wages ]]=0, 0, 8.25)</f>
        <v>8.25</v>
      </c>
      <c r="T4" s="32"/>
      <c r="U4" s="30">
        <f t="shared" si="2"/>
        <v>740.75</v>
      </c>
      <c r="V4" s="56"/>
      <c r="W4" s="22"/>
      <c r="Z4" s="22"/>
    </row>
    <row r="5" spans="1:29" ht="20.25" customHeight="1" x14ac:dyDescent="0.35">
      <c r="A5" s="2" t="str">
        <f>'Week 1'!A5</f>
        <v>Sharon</v>
      </c>
      <c r="B5" s="2" t="str">
        <f>'Week 1'!B5</f>
        <v>Hall Foncette</v>
      </c>
      <c r="C5" s="2" t="str">
        <f>Week1[[#This Row],[Department]]</f>
        <v>QC Bundling</v>
      </c>
      <c r="D5" s="3"/>
      <c r="E5" s="36">
        <f>'Week 1'!E5</f>
        <v>250</v>
      </c>
      <c r="F5" s="22">
        <v>40</v>
      </c>
      <c r="G5" s="102"/>
      <c r="H5" s="102"/>
      <c r="I5" s="102"/>
      <c r="J5" s="5">
        <f t="shared" si="0"/>
        <v>5</v>
      </c>
      <c r="K5" s="45"/>
      <c r="L5" s="33">
        <f t="shared" ref="L5:L14" si="3">IF(F5&lt;=40, (E5/8*F5), E5/8*40)</f>
        <v>1250</v>
      </c>
      <c r="M5" s="27">
        <f>IF(AND(Week2[[#This Row],[Job Income]]&lt;&gt;"", Week2[[#This Row],[Job Income]]&lt;Week2[[#This Row],[Basic    Hours]]*20.5), Week2[[#This Row],[Basic    Hours]]*20.5, 0)</f>
        <v>0</v>
      </c>
      <c r="N5" s="105">
        <f>(Week2[[#This Row],[Day Rates]]/8*Week2[[#This Row],[OT Hours]]*1.5)+(Week2[[#This Row],[Day Rates]]/8*Week2[[#This Row],[DT Hours]]*2)+(Week2[[#This Row],[Day Rates]]/8*Week2[[#This Row],[TT Hours]]*3)</f>
        <v>0</v>
      </c>
      <c r="O5" s="27"/>
      <c r="P5" s="28"/>
      <c r="Q5" s="27">
        <f t="shared" si="1"/>
        <v>0</v>
      </c>
      <c r="R5" s="30" cm="1">
        <f t="array" ref="R5">_xlfn.IFS(
    K5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1250</v>
      </c>
      <c r="S5" s="34"/>
      <c r="T5" s="32"/>
      <c r="U5" s="30">
        <f t="shared" si="2"/>
        <v>1250</v>
      </c>
      <c r="V5" s="56"/>
      <c r="W5" s="22"/>
      <c r="Z5" s="22"/>
    </row>
    <row r="6" spans="1:29" ht="20.25" customHeight="1" x14ac:dyDescent="0.35">
      <c r="A6" s="2" t="str">
        <f>'Week 1'!A6</f>
        <v>Meena</v>
      </c>
      <c r="B6" s="2" t="str">
        <f>'Week 1'!B6</f>
        <v>Moolar</v>
      </c>
      <c r="C6" s="2" t="str">
        <f>Week1[[#This Row],[Department]]</f>
        <v>QC Bundling</v>
      </c>
      <c r="D6" s="3"/>
      <c r="E6" s="36">
        <f>'Week 1'!E6</f>
        <v>200</v>
      </c>
      <c r="F6" s="22"/>
      <c r="G6" s="102"/>
      <c r="H6" s="102"/>
      <c r="I6" s="102"/>
      <c r="J6" s="5">
        <f t="shared" si="0"/>
        <v>0</v>
      </c>
      <c r="K6" s="45"/>
      <c r="L6" s="33">
        <f t="shared" si="3"/>
        <v>0</v>
      </c>
      <c r="M6" s="27">
        <f>IF(AND(Week2[[#This Row],[Job Income]]&lt;&gt;"", Week2[[#This Row],[Job Income]]&lt;Week2[[#This Row],[Basic    Hours]]*20.5), Week2[[#This Row],[Basic    Hours]]*20.5, 0)</f>
        <v>0</v>
      </c>
      <c r="N6" s="105">
        <f>(Week2[[#This Row],[Day Rates]]/8*Week2[[#This Row],[OT Hours]]*1.5)+(Week2[[#This Row],[Day Rates]]/8*Week2[[#This Row],[DT Hours]]*2)+(Week2[[#This Row],[Day Rates]]/8*Week2[[#This Row],[TT Hours]]*3)</f>
        <v>0</v>
      </c>
      <c r="O6" s="27"/>
      <c r="P6" s="28"/>
      <c r="Q6" s="27">
        <f t="shared" si="1"/>
        <v>0</v>
      </c>
      <c r="R6" s="30" cm="1">
        <f t="array" ref="R6">_xlfn.IFS(
    K6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0</v>
      </c>
      <c r="S6" s="62">
        <f>IF(Week2[[#This Row],[Gross Wages ]]=0, 0, 8.25)</f>
        <v>0</v>
      </c>
      <c r="T6" s="32"/>
      <c r="U6" s="30">
        <f t="shared" si="2"/>
        <v>0</v>
      </c>
      <c r="V6" s="56"/>
      <c r="W6" s="22"/>
      <c r="Z6" s="22"/>
    </row>
    <row r="7" spans="1:29" ht="20.25" customHeight="1" x14ac:dyDescent="0.35">
      <c r="A7" s="2" t="str">
        <f>'Week 1'!A7</f>
        <v>Tricia</v>
      </c>
      <c r="B7" s="2" t="str">
        <f>'Week 1'!B7</f>
        <v>Ragbir</v>
      </c>
      <c r="C7" s="2" t="str">
        <f>Week1[[#This Row],[Department]]</f>
        <v>QC Bundling</v>
      </c>
      <c r="D7" s="3"/>
      <c r="E7" s="36">
        <f>'Week 1'!E7</f>
        <v>200</v>
      </c>
      <c r="F7" s="22">
        <v>32</v>
      </c>
      <c r="G7" s="102"/>
      <c r="H7" s="102"/>
      <c r="I7" s="102"/>
      <c r="J7" s="5">
        <f t="shared" si="0"/>
        <v>4</v>
      </c>
      <c r="K7" s="45"/>
      <c r="L7" s="33">
        <f t="shared" si="3"/>
        <v>800</v>
      </c>
      <c r="M7" s="27">
        <f>IF(AND(Week2[[#This Row],[Job Income]]&lt;&gt;"", Week2[[#This Row],[Job Income]]&lt;Week2[[#This Row],[Basic    Hours]]*20.5), Week2[[#This Row],[Basic    Hours]]*20.5, 0)</f>
        <v>0</v>
      </c>
      <c r="N7" s="105">
        <f>(Week2[[#This Row],[Day Rates]]/8*Week2[[#This Row],[OT Hours]]*1.5)+(Week2[[#This Row],[Day Rates]]/8*Week2[[#This Row],[DT Hours]]*2)+(Week2[[#This Row],[Day Rates]]/8*Week2[[#This Row],[TT Hours]]*3)</f>
        <v>0</v>
      </c>
      <c r="O7" s="27"/>
      <c r="P7" s="28"/>
      <c r="Q7" s="27">
        <f t="shared" si="1"/>
        <v>0</v>
      </c>
      <c r="R7" s="30" cm="1">
        <f t="array" ref="R7">_xlfn.IFS(
    K7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800</v>
      </c>
      <c r="S7" s="62">
        <f>IF(Week2[[#This Row],[Gross Wages ]]=0, 0, 8.25)</f>
        <v>8.25</v>
      </c>
      <c r="T7" s="32"/>
      <c r="U7" s="30">
        <f t="shared" si="2"/>
        <v>791.75</v>
      </c>
      <c r="V7" s="56"/>
      <c r="W7" s="22"/>
      <c r="Z7" s="56"/>
      <c r="AB7" s="98"/>
      <c r="AC7" s="98"/>
    </row>
    <row r="8" spans="1:29" ht="20.25" customHeight="1" x14ac:dyDescent="0.35">
      <c r="A8" s="2" t="str">
        <f>'Week 1'!A8</f>
        <v>Annette Singh</v>
      </c>
      <c r="B8" s="2" t="str">
        <f>'Week 1'!B8</f>
        <v>Boodhan</v>
      </c>
      <c r="C8" s="2" t="str">
        <f>Week1[[#This Row],[Department]]</f>
        <v>QC Bundling</v>
      </c>
      <c r="D8" s="3"/>
      <c r="E8" s="36">
        <f>'Week 1'!E8</f>
        <v>200</v>
      </c>
      <c r="F8" s="22">
        <v>40</v>
      </c>
      <c r="G8" s="102"/>
      <c r="H8" s="102"/>
      <c r="I8" s="102"/>
      <c r="J8" s="5">
        <f t="shared" si="0"/>
        <v>5</v>
      </c>
      <c r="K8" s="45"/>
      <c r="L8" s="33">
        <f t="shared" si="3"/>
        <v>1000</v>
      </c>
      <c r="M8" s="27">
        <f>IF(AND(Week2[[#This Row],[Job Income]]&lt;&gt;"", Week2[[#This Row],[Job Income]]&lt;Week2[[#This Row],[Basic    Hours]]*20.5), Week2[[#This Row],[Basic    Hours]]*20.5, 0)</f>
        <v>0</v>
      </c>
      <c r="N8" s="105">
        <f>(Week2[[#This Row],[Day Rates]]/8*Week2[[#This Row],[OT Hours]]*1.5)+(Week2[[#This Row],[Day Rates]]/8*Week2[[#This Row],[DT Hours]]*2)+(Week2[[#This Row],[Day Rates]]/8*Week2[[#This Row],[TT Hours]]*3)</f>
        <v>0</v>
      </c>
      <c r="O8" s="27"/>
      <c r="P8" s="28"/>
      <c r="Q8" s="27">
        <f t="shared" si="1"/>
        <v>0</v>
      </c>
      <c r="R8" s="30" cm="1">
        <f t="array" ref="R8">_xlfn.IFS(
    K8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8" s="34"/>
      <c r="T8" s="32"/>
      <c r="U8" s="30">
        <f t="shared" si="2"/>
        <v>1000</v>
      </c>
      <c r="V8" s="56"/>
      <c r="W8" s="22"/>
      <c r="Z8" s="56"/>
      <c r="AB8" s="98"/>
      <c r="AC8" s="98"/>
    </row>
    <row r="9" spans="1:29" ht="20.25" customHeight="1" x14ac:dyDescent="0.35">
      <c r="A9" s="2" t="str">
        <f>'Week 1'!A9</f>
        <v>Denise</v>
      </c>
      <c r="B9" s="2" t="str">
        <f>'Week 1'!B9</f>
        <v>Chablal</v>
      </c>
      <c r="C9" s="2" t="str">
        <f>Week1[[#This Row],[Department]]</f>
        <v>General Worker</v>
      </c>
      <c r="D9" s="3"/>
      <c r="E9" s="36">
        <f>'Week 1'!E9</f>
        <v>200</v>
      </c>
      <c r="F9" s="22">
        <v>40</v>
      </c>
      <c r="G9" s="102"/>
      <c r="H9" s="102"/>
      <c r="I9" s="102"/>
      <c r="J9" s="5">
        <f t="shared" ref="J9" si="4">IFERROR(F9/8, 0)</f>
        <v>5</v>
      </c>
      <c r="K9" s="45"/>
      <c r="L9" s="33">
        <f t="shared" ref="L9" si="5">IF(F9&lt;=40, (E9/8*F9), E9/8*40)</f>
        <v>1000</v>
      </c>
      <c r="M9" s="27">
        <f>IF(AND(Week2[[#This Row],[Job Income]]&lt;&gt;"", Week2[[#This Row],[Job Income]]&lt;Week2[[#This Row],[Basic    Hours]]*20.5), Week2[[#This Row],[Basic    Hours]]*20.5, 0)</f>
        <v>0</v>
      </c>
      <c r="N9" s="105">
        <f>(Week2[[#This Row],[Day Rates]]/8*Week2[[#This Row],[OT Hours]]*1.5)+(Week2[[#This Row],[Day Rates]]/8*Week2[[#This Row],[DT Hours]]*2)+(Week2[[#This Row],[Day Rates]]/8*Week2[[#This Row],[TT Hours]]*3)</f>
        <v>0</v>
      </c>
      <c r="O9" s="27"/>
      <c r="P9" s="28"/>
      <c r="Q9" s="27">
        <f t="shared" ref="Q9" si="6">IFERROR(N9+O9+P9, 0)</f>
        <v>0</v>
      </c>
      <c r="R9" s="30" cm="1">
        <f t="array" ref="R9">_xlfn.IFS(
    K9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9" s="62">
        <f>IF(Week2[[#This Row],[Gross Wages ]]=0, 0, 8.25)</f>
        <v>8.25</v>
      </c>
      <c r="T9" s="32"/>
      <c r="U9" s="30">
        <f t="shared" ref="U9" si="7">R9-SUM(S9:T9)</f>
        <v>991.75</v>
      </c>
      <c r="V9" s="56"/>
      <c r="W9" s="22"/>
      <c r="Z9" s="56"/>
    </row>
    <row r="10" spans="1:29" ht="20.25" customHeight="1" x14ac:dyDescent="0.35">
      <c r="A10" s="2" t="str">
        <f>'Week 1'!A10</f>
        <v>Cadine</v>
      </c>
      <c r="B10" s="2" t="str">
        <f>'Week 1'!B10</f>
        <v>Thomas</v>
      </c>
      <c r="C10" s="2" t="str">
        <f>Week1[[#This Row],[Department]]</f>
        <v>General Worker</v>
      </c>
      <c r="D10" s="3"/>
      <c r="E10" s="36">
        <f>'Week 1'!E10</f>
        <v>200</v>
      </c>
      <c r="F10" s="22">
        <v>40</v>
      </c>
      <c r="G10" s="102"/>
      <c r="H10" s="102"/>
      <c r="I10" s="102"/>
      <c r="J10" s="5">
        <f t="shared" ref="J10" si="8">IFERROR(F10/8, 0)</f>
        <v>5</v>
      </c>
      <c r="K10" s="45"/>
      <c r="L10" s="33">
        <f t="shared" ref="L10" si="9">IF(F10&lt;=40, (E10/8*F10), E10/8*40)</f>
        <v>1000</v>
      </c>
      <c r="M10" s="27">
        <f>IF(AND(Week2[[#This Row],[Job Income]]&lt;&gt;"", Week2[[#This Row],[Job Income]]&lt;Week2[[#This Row],[Basic    Hours]]*20.5), Week2[[#This Row],[Basic    Hours]]*20.5, 0)</f>
        <v>0</v>
      </c>
      <c r="N10" s="105">
        <f>(Week2[[#This Row],[Day Rates]]/8*Week2[[#This Row],[OT Hours]]*1.5)+(Week2[[#This Row],[Day Rates]]/8*Week2[[#This Row],[DT Hours]]*2)+(Week2[[#This Row],[Day Rates]]/8*Week2[[#This Row],[TT Hours]]*3)</f>
        <v>0</v>
      </c>
      <c r="O10" s="27"/>
      <c r="P10" s="28"/>
      <c r="Q10" s="27">
        <f t="shared" ref="Q10" si="10">IFERROR(N10+O10+P10, 0)</f>
        <v>0</v>
      </c>
      <c r="R10" s="30" cm="1">
        <f t="array" ref="R10">_xlfn.IFS(
    K10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10" s="62">
        <f>IF(Week2[[#This Row],[Gross Wages ]]=0, 0, 8.25)</f>
        <v>8.25</v>
      </c>
      <c r="T10" s="32"/>
      <c r="U10" s="30">
        <f t="shared" ref="U10" si="11">R10-SUM(S10:T10)</f>
        <v>991.75</v>
      </c>
      <c r="V10" s="22"/>
      <c r="W10" s="22"/>
      <c r="Y10" s="57"/>
      <c r="Z10" s="56"/>
    </row>
    <row r="11" spans="1:29" ht="20.25" customHeight="1" x14ac:dyDescent="0.35">
      <c r="A11" s="2" t="str">
        <f>'Week 1'!A11</f>
        <v>Isha</v>
      </c>
      <c r="B11" s="2" t="str">
        <f>'Week 1'!B11</f>
        <v>Sheppard</v>
      </c>
      <c r="C11" s="2" t="str">
        <f>Week1[[#This Row],[Department]]</f>
        <v>General Worker</v>
      </c>
      <c r="D11" s="3"/>
      <c r="E11" s="36">
        <f>'Week 1'!E11</f>
        <v>200</v>
      </c>
      <c r="F11" s="22">
        <v>40</v>
      </c>
      <c r="G11" s="102"/>
      <c r="H11" s="102"/>
      <c r="I11" s="102"/>
      <c r="J11" s="5">
        <f t="shared" ref="J11" si="12">IFERROR(F11/8, 0)</f>
        <v>5</v>
      </c>
      <c r="K11" s="45"/>
      <c r="L11" s="33">
        <f t="shared" ref="L11" si="13">IF(F11&lt;=40, (E11/8*F11), E11/8*40)</f>
        <v>1000</v>
      </c>
      <c r="M11" s="27">
        <f>IF(AND(Week2[[#This Row],[Job Income]]&lt;&gt;"", Week2[[#This Row],[Job Income]]&lt;Week2[[#This Row],[Basic    Hours]]*20.5), Week2[[#This Row],[Basic    Hours]]*20.5, 0)</f>
        <v>0</v>
      </c>
      <c r="N11" s="105">
        <f>(Week2[[#This Row],[Day Rates]]/8*Week2[[#This Row],[OT Hours]]*1.5)+(Week2[[#This Row],[Day Rates]]/8*Week2[[#This Row],[DT Hours]]*2)+(Week2[[#This Row],[Day Rates]]/8*Week2[[#This Row],[TT Hours]]*3)</f>
        <v>0</v>
      </c>
      <c r="O11" s="27"/>
      <c r="P11" s="28"/>
      <c r="Q11" s="27">
        <f t="shared" ref="Q11" si="14">IFERROR(N11+O11+P11, 0)</f>
        <v>0</v>
      </c>
      <c r="R11" s="30" cm="1">
        <f t="array" ref="R11">_xlfn.IFS(
    K11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11" s="62">
        <f>IF(Week2[[#This Row],[Gross Wages ]]=0, 0, 8.25)</f>
        <v>8.25</v>
      </c>
      <c r="T11" s="32"/>
      <c r="U11" s="30">
        <f t="shared" ref="U11" si="15">R11-SUM(S11:T11)</f>
        <v>991.75</v>
      </c>
      <c r="V11" s="56"/>
      <c r="W11" s="22"/>
      <c r="Z11" s="56"/>
    </row>
    <row r="12" spans="1:29" ht="20.25" customHeight="1" x14ac:dyDescent="0.35">
      <c r="A12" s="2" t="str">
        <f>'Week 1'!A12</f>
        <v>Miriam</v>
      </c>
      <c r="B12" s="2" t="str">
        <f>'Week 1'!B12</f>
        <v>Dos Santos</v>
      </c>
      <c r="C12" s="2" t="str">
        <f>Week1[[#This Row],[Department]]</f>
        <v>General Worker</v>
      </c>
      <c r="D12" s="3"/>
      <c r="E12" s="36">
        <f>'Week 1'!E12</f>
        <v>200</v>
      </c>
      <c r="F12" s="22">
        <v>40</v>
      </c>
      <c r="G12" s="102"/>
      <c r="H12" s="102"/>
      <c r="I12" s="102"/>
      <c r="J12" s="5">
        <f t="shared" ref="J12" si="16">IFERROR(F12/8, 0)</f>
        <v>5</v>
      </c>
      <c r="K12" s="45"/>
      <c r="L12" s="33">
        <f t="shared" ref="L12" si="17">IF(F12&lt;=40, (E12/8*F12), E12/8*40)</f>
        <v>1000</v>
      </c>
      <c r="M12" s="27">
        <f>IF(AND(Week2[[#This Row],[Job Income]]&lt;&gt;"", Week2[[#This Row],[Job Income]]&lt;Week2[[#This Row],[Basic    Hours]]*20.5), Week2[[#This Row],[Basic    Hours]]*20.5, 0)</f>
        <v>0</v>
      </c>
      <c r="N12" s="105">
        <f>(Week2[[#This Row],[Day Rates]]/8*Week2[[#This Row],[OT Hours]]*1.5)+(Week2[[#This Row],[Day Rates]]/8*Week2[[#This Row],[DT Hours]]*2)+(Week2[[#This Row],[Day Rates]]/8*Week2[[#This Row],[TT Hours]]*3)</f>
        <v>0</v>
      </c>
      <c r="O12" s="27"/>
      <c r="P12" s="28"/>
      <c r="Q12" s="27">
        <f t="shared" ref="Q12" si="18">IFERROR(N12+O12+P12, 0)</f>
        <v>0</v>
      </c>
      <c r="R12" s="30" cm="1">
        <f t="array" ref="R12">_xlfn.IFS(
    K12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12" s="62">
        <f>IF(Week2[[#This Row],[Gross Wages ]]=0, 0, 8.25)</f>
        <v>8.25</v>
      </c>
      <c r="T12" s="32"/>
      <c r="U12" s="30">
        <f t="shared" ref="U12" si="19">R12-SUM(S12:T12)</f>
        <v>991.75</v>
      </c>
      <c r="V12" s="56"/>
      <c r="W12" s="22"/>
      <c r="Z12" s="56"/>
      <c r="AB12" s="98"/>
      <c r="AC12" s="98"/>
    </row>
    <row r="13" spans="1:29" ht="20.25" customHeight="1" x14ac:dyDescent="0.35">
      <c r="A13" s="2" t="str">
        <f>'Week 1'!A13</f>
        <v>Darion Luke</v>
      </c>
      <c r="B13" s="2" t="str">
        <f>'Week 1'!B13</f>
        <v>Bobb</v>
      </c>
      <c r="C13" s="2" t="str">
        <f>Week1[[#This Row],[Department]]</f>
        <v>Dacron Wrapping</v>
      </c>
      <c r="D13" s="3" t="s">
        <v>207</v>
      </c>
      <c r="E13" s="36">
        <f>'Week 1'!E13</f>
        <v>200</v>
      </c>
      <c r="F13" s="22">
        <f>32+8</f>
        <v>40</v>
      </c>
      <c r="G13" s="102"/>
      <c r="H13" s="102"/>
      <c r="I13" s="102"/>
      <c r="J13" s="5">
        <f t="shared" si="0"/>
        <v>5</v>
      </c>
      <c r="K13" s="45"/>
      <c r="L13" s="33">
        <f t="shared" si="3"/>
        <v>1000</v>
      </c>
      <c r="M13" s="27">
        <f>IF(AND(Week2[[#This Row],[Job Income]]&lt;&gt;"", Week2[[#This Row],[Job Income]]&lt;Week2[[#This Row],[Basic    Hours]]*20.5), Week2[[#This Row],[Basic    Hours]]*20.5, 0)</f>
        <v>0</v>
      </c>
      <c r="N13" s="105">
        <f>(Week2[[#This Row],[Day Rates]]/8*Week2[[#This Row],[OT Hours]]*1.5)+(Week2[[#This Row],[Day Rates]]/8*Week2[[#This Row],[DT Hours]]*2)+(Week2[[#This Row],[Day Rates]]/8*Week2[[#This Row],[TT Hours]]*3)</f>
        <v>0</v>
      </c>
      <c r="O13" s="27"/>
      <c r="P13" s="28"/>
      <c r="Q13" s="27">
        <f t="shared" si="1"/>
        <v>0</v>
      </c>
      <c r="R13" s="30" cm="1">
        <f t="array" ref="R13">_xlfn.IFS(
    K13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13" s="62">
        <f>IF(Week2[[#This Row],[Gross Wages ]]=0, 0, 8.25)</f>
        <v>8.25</v>
      </c>
      <c r="T13" s="32"/>
      <c r="U13" s="30">
        <f t="shared" si="2"/>
        <v>991.75</v>
      </c>
      <c r="V13" s="56"/>
      <c r="W13" s="22"/>
      <c r="Z13" s="22"/>
      <c r="AB13" s="98"/>
      <c r="AC13" s="98"/>
    </row>
    <row r="14" spans="1:29" ht="20.25" customHeight="1" x14ac:dyDescent="0.35">
      <c r="A14" s="2" t="s">
        <v>49</v>
      </c>
      <c r="B14" s="2" t="s">
        <v>50</v>
      </c>
      <c r="C14" s="2" t="str">
        <f>Week1[[#This Row],[Department]]</f>
        <v>Dacron Wrapping</v>
      </c>
      <c r="D14" s="3" t="s">
        <v>208</v>
      </c>
      <c r="E14" s="36">
        <f>'Week 1'!E14</f>
        <v>200</v>
      </c>
      <c r="F14" s="22">
        <f>24+16</f>
        <v>40</v>
      </c>
      <c r="G14" s="102"/>
      <c r="H14" s="102"/>
      <c r="I14" s="102"/>
      <c r="J14" s="5">
        <f t="shared" si="0"/>
        <v>5</v>
      </c>
      <c r="K14" s="45"/>
      <c r="L14" s="33">
        <f t="shared" si="3"/>
        <v>1000</v>
      </c>
      <c r="M14" s="27">
        <f>IF(AND(Week2[[#This Row],[Job Income]]&lt;&gt;"", Week2[[#This Row],[Job Income]]&lt;Week2[[#This Row],[Basic    Hours]]*20.5), Week2[[#This Row],[Basic    Hours]]*20.5, 0)</f>
        <v>0</v>
      </c>
      <c r="N14" s="105">
        <f>(Week2[[#This Row],[Day Rates]]/8*Week2[[#This Row],[OT Hours]]*1.5)+(Week2[[#This Row],[Day Rates]]/8*Week2[[#This Row],[DT Hours]]*2)+(Week2[[#This Row],[Day Rates]]/8*Week2[[#This Row],[TT Hours]]*3)</f>
        <v>0</v>
      </c>
      <c r="O14" s="27"/>
      <c r="P14" s="28"/>
      <c r="Q14" s="27">
        <f t="shared" si="1"/>
        <v>0</v>
      </c>
      <c r="R14" s="30" cm="1">
        <f t="array" ref="R14">_xlfn.IFS(
    K14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14" s="62">
        <f>IF(Week2[[#This Row],[Gross Wages ]]=0, 0, 8.25)</f>
        <v>8.25</v>
      </c>
      <c r="T14" s="32"/>
      <c r="U14" s="30">
        <f t="shared" si="2"/>
        <v>991.75</v>
      </c>
      <c r="V14" s="56"/>
      <c r="W14" s="22"/>
      <c r="Z14" s="56"/>
    </row>
    <row r="15" spans="1:29" ht="20.25" customHeight="1" x14ac:dyDescent="0.35">
      <c r="A15" s="2" t="str">
        <f>'Week 1'!A15</f>
        <v>Savio</v>
      </c>
      <c r="B15" s="2" t="str">
        <f>'Week 1'!B15</f>
        <v>Pierre</v>
      </c>
      <c r="C15" s="2" t="str">
        <f>Week1[[#This Row],[Department]]</f>
        <v>General Worker</v>
      </c>
      <c r="D15" s="3"/>
      <c r="E15" s="36">
        <f>'Week 1'!E15</f>
        <v>200</v>
      </c>
      <c r="F15" s="22">
        <v>32</v>
      </c>
      <c r="G15" s="102"/>
      <c r="H15" s="102"/>
      <c r="I15" s="102"/>
      <c r="J15" s="5">
        <f t="shared" ref="J15" si="20">IFERROR(F15/8, 0)</f>
        <v>4</v>
      </c>
      <c r="K15" s="45"/>
      <c r="L15" s="33">
        <f t="shared" ref="L15" si="21">IF(F15&lt;=40, (E15/8*F15), E15/8*40)</f>
        <v>800</v>
      </c>
      <c r="M15" s="27">
        <f>IF(AND(Week2[[#This Row],[Job Income]]&lt;&gt;"", Week2[[#This Row],[Job Income]]&lt;Week2[[#This Row],[Basic    Hours]]*20.5), Week2[[#This Row],[Basic    Hours]]*20.5, 0)</f>
        <v>0</v>
      </c>
      <c r="N15" s="105">
        <f>(Week2[[#This Row],[Day Rates]]/8*Week2[[#This Row],[OT Hours]]*1.5)+(Week2[[#This Row],[Day Rates]]/8*Week2[[#This Row],[DT Hours]]*2)+(Week2[[#This Row],[Day Rates]]/8*Week2[[#This Row],[TT Hours]]*3)</f>
        <v>0</v>
      </c>
      <c r="O15" s="27"/>
      <c r="P15" s="28"/>
      <c r="Q15" s="27"/>
      <c r="R15" s="30" cm="1">
        <f t="array" ref="R15">_xlfn.IFS(
    K15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800</v>
      </c>
      <c r="S15" s="62">
        <f>IF(Week2[[#This Row],[Gross Wages ]]=0, 0, 8.25)</f>
        <v>8.25</v>
      </c>
      <c r="T15" s="32"/>
      <c r="U15" s="30">
        <f t="shared" ref="U15" si="22">R15-SUM(S15:T15)</f>
        <v>791.75</v>
      </c>
      <c r="V15" s="56"/>
      <c r="W15" s="22"/>
      <c r="Z15" s="56"/>
      <c r="AB15" s="98"/>
      <c r="AC15" s="98"/>
    </row>
    <row r="16" spans="1:29" ht="20.25" customHeight="1" x14ac:dyDescent="0.35">
      <c r="A16" s="2" t="str">
        <f>'Week 1'!A16</f>
        <v>Saline</v>
      </c>
      <c r="B16" s="2" t="str">
        <f>'Week 1'!B16</f>
        <v>Quammie</v>
      </c>
      <c r="C16" s="2" t="str">
        <f>Week1[[#This Row],[Department]]</f>
        <v>General Worker</v>
      </c>
      <c r="D16" s="3"/>
      <c r="E16" s="36">
        <f>'Week 1'!E16</f>
        <v>200</v>
      </c>
      <c r="F16" s="22">
        <v>40</v>
      </c>
      <c r="G16" s="102"/>
      <c r="H16" s="102"/>
      <c r="I16" s="102"/>
      <c r="J16" s="5">
        <f>IFERROR(F16/8, 0)</f>
        <v>5</v>
      </c>
      <c r="K16" s="45"/>
      <c r="L16" s="33">
        <f t="shared" ref="L16" si="23">IF(F16&lt;=40, (E16/8*F16), E16/8*40)</f>
        <v>1000</v>
      </c>
      <c r="M16" s="27">
        <f>IF(AND(Week2[[#This Row],[Job Income]]&lt;&gt;"", Week2[[#This Row],[Job Income]]&lt;Week2[[#This Row],[Basic    Hours]]*20.5), Week2[[#This Row],[Basic    Hours]]*20.5, 0)</f>
        <v>0</v>
      </c>
      <c r="N16" s="105">
        <f>(Week2[[#This Row],[Day Rates]]/8*Week2[[#This Row],[OT Hours]]*1.5)+(Week2[[#This Row],[Day Rates]]/8*Week2[[#This Row],[DT Hours]]*2)+(Week2[[#This Row],[Day Rates]]/8*Week2[[#This Row],[TT Hours]]*3)</f>
        <v>0</v>
      </c>
      <c r="O16" s="27"/>
      <c r="P16" s="28"/>
      <c r="Q16" s="27">
        <f t="shared" ref="Q16" si="24">IFERROR(N16+O16+P16, 0)</f>
        <v>0</v>
      </c>
      <c r="R16" s="30" cm="1">
        <f t="array" ref="R16">_xlfn.IFS(
    K16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16" s="62">
        <f>IF(Week2[[#This Row],[Gross Wages ]]=0, 0, 8.25)</f>
        <v>8.25</v>
      </c>
      <c r="T16" s="32"/>
      <c r="U16" s="30">
        <f t="shared" ref="U16" si="25">R16-SUM(S16:T16)</f>
        <v>991.75</v>
      </c>
      <c r="V16" s="56"/>
      <c r="W16" s="22"/>
      <c r="Z16" s="56"/>
      <c r="AB16" s="98"/>
      <c r="AC16" s="98"/>
    </row>
    <row r="17" spans="1:29" ht="20.25" customHeight="1" x14ac:dyDescent="0.35">
      <c r="A17" s="2" t="str">
        <f>'Week 1'!A17</f>
        <v>Kirnesha</v>
      </c>
      <c r="B17" s="2" t="str">
        <f>'Week 1'!B17</f>
        <v>Gardiner</v>
      </c>
      <c r="C17" s="2" t="str">
        <f>Week1[[#This Row],[Department]]</f>
        <v>Fabric Cutting</v>
      </c>
      <c r="D17" s="8"/>
      <c r="E17" s="36">
        <f>'Week 1'!E17</f>
        <v>240</v>
      </c>
      <c r="F17" s="22">
        <v>39</v>
      </c>
      <c r="G17" s="101"/>
      <c r="H17" s="101"/>
      <c r="I17" s="101"/>
      <c r="J17" s="5">
        <f t="shared" si="0"/>
        <v>4.875</v>
      </c>
      <c r="K17" s="27"/>
      <c r="L17" s="27">
        <f>E17*J17</f>
        <v>1170</v>
      </c>
      <c r="M17" s="27">
        <f>IF(AND(Week2[[#This Row],[Job Income]]&lt;&gt;"", Week2[[#This Row],[Job Income]]&lt;Week2[[#This Row],[Basic    Hours]]*20.5), Week2[[#This Row],[Basic    Hours]]*20.5, 0)</f>
        <v>0</v>
      </c>
      <c r="N17" s="105">
        <f>(Week2[[#This Row],[Day Rates]]/8*Week2[[#This Row],[OT Hours]]*1.5)+(Week2[[#This Row],[Day Rates]]/8*Week2[[#This Row],[DT Hours]]*2)+(Week2[[#This Row],[Day Rates]]/8*Week2[[#This Row],[TT Hours]]*3)</f>
        <v>0</v>
      </c>
      <c r="O17" s="27"/>
      <c r="P17" s="27">
        <f t="shared" ref="P17:P24" si="26">IF(K17-L17&lt;=0, 0, K17-L17)</f>
        <v>0</v>
      </c>
      <c r="Q17" s="27">
        <f>IFERROR(N17+O17+P17, 0)</f>
        <v>0</v>
      </c>
      <c r="R17" s="30" cm="1">
        <f t="array" ref="R17">_xlfn.IFS(
    K17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1170</v>
      </c>
      <c r="S17" s="62">
        <f>IF(Week2[[#This Row],[Gross Wages ]]=0, 0, 8.25)</f>
        <v>8.25</v>
      </c>
      <c r="T17" s="32"/>
      <c r="U17" s="30">
        <f t="shared" si="2"/>
        <v>1161.75</v>
      </c>
      <c r="V17" s="56"/>
      <c r="W17" s="22"/>
      <c r="Z17" s="56"/>
      <c r="AB17" s="98"/>
      <c r="AC17" s="98"/>
    </row>
    <row r="18" spans="1:29" ht="20.25" customHeight="1" x14ac:dyDescent="0.35">
      <c r="A18" s="2" t="str">
        <f>'Week 1'!A18</f>
        <v>Anthony</v>
      </c>
      <c r="B18" s="2" t="str">
        <f>'Week 1'!B18</f>
        <v>Isaac</v>
      </c>
      <c r="C18" s="2" t="str">
        <f>Week1[[#This Row],[Department]]</f>
        <v>Fabric Cutting</v>
      </c>
      <c r="D18" s="8"/>
      <c r="E18" s="37">
        <f>'Week 1'!E18</f>
        <v>225</v>
      </c>
      <c r="F18" s="22">
        <v>35</v>
      </c>
      <c r="G18" s="101"/>
      <c r="H18" s="101"/>
      <c r="I18" s="101"/>
      <c r="J18" s="5">
        <f t="shared" si="0"/>
        <v>4.375</v>
      </c>
      <c r="K18" s="27"/>
      <c r="L18" s="42">
        <f>ROUNDUP(E18/8, 2)*F18</f>
        <v>984.55000000000007</v>
      </c>
      <c r="M18" s="27">
        <f>IF(AND(Week2[[#This Row],[Job Income]]&lt;&gt;"", Week2[[#This Row],[Job Income]]&lt;Week2[[#This Row],[Basic    Hours]]*20.5), Week2[[#This Row],[Basic    Hours]]*20.5, 0)</f>
        <v>0</v>
      </c>
      <c r="N18" s="105">
        <f>(Week2[[#This Row],[Day Rates]]/8*Week2[[#This Row],[OT Hours]]*1.5)+(Week2[[#This Row],[Day Rates]]/8*Week2[[#This Row],[DT Hours]]*2)+(Week2[[#This Row],[Day Rates]]/8*Week2[[#This Row],[TT Hours]]*3)</f>
        <v>0</v>
      </c>
      <c r="O18" s="27"/>
      <c r="P18" s="27">
        <f t="shared" si="26"/>
        <v>0</v>
      </c>
      <c r="Q18" s="27">
        <f>IFERROR(N18+O18+P18, 0)</f>
        <v>0</v>
      </c>
      <c r="R18" s="30" cm="1">
        <f t="array" ref="R18">_xlfn.IFS(
    K18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984.55000000000007</v>
      </c>
      <c r="S18" s="62">
        <f>IF(Week2[[#This Row],[Gross Wages ]]=0, 0, 8.25)</f>
        <v>8.25</v>
      </c>
      <c r="T18" s="32"/>
      <c r="U18" s="30">
        <f t="shared" si="2"/>
        <v>976.30000000000007</v>
      </c>
      <c r="V18" s="56"/>
      <c r="W18" s="22"/>
      <c r="Z18" s="56"/>
      <c r="AB18" s="98"/>
      <c r="AC18" s="98"/>
    </row>
    <row r="19" spans="1:29" ht="20.25" customHeight="1" x14ac:dyDescent="0.35">
      <c r="A19" s="2" t="str">
        <f>'Week 1'!A19</f>
        <v>Joanne</v>
      </c>
      <c r="B19" s="2" t="str">
        <f>'Week 1'!B19</f>
        <v>Mayers</v>
      </c>
      <c r="C19" s="2" t="str">
        <f>Week1[[#This Row],[Department]]</f>
        <v>Fabric Cutting</v>
      </c>
      <c r="D19" s="6"/>
      <c r="E19" s="37">
        <f>'Week 1'!E19</f>
        <v>225</v>
      </c>
      <c r="F19" s="22">
        <v>39</v>
      </c>
      <c r="G19" s="101"/>
      <c r="H19" s="101"/>
      <c r="I19" s="101"/>
      <c r="J19" s="5">
        <f t="shared" si="0"/>
        <v>4.875</v>
      </c>
      <c r="K19" s="27"/>
      <c r="L19" s="42">
        <f>ROUNDUP(E19/8, 2)*F19</f>
        <v>1097.0700000000002</v>
      </c>
      <c r="M19" s="27">
        <f>IF(AND(Week2[[#This Row],[Job Income]]&lt;&gt;"", Week2[[#This Row],[Job Income]]&lt;Week2[[#This Row],[Basic    Hours]]*20.5), Week2[[#This Row],[Basic    Hours]]*20.5, 0)</f>
        <v>0</v>
      </c>
      <c r="N19" s="105">
        <f>(Week2[[#This Row],[Day Rates]]/8*Week2[[#This Row],[OT Hours]]*1.5)+(Week2[[#This Row],[Day Rates]]/8*Week2[[#This Row],[DT Hours]]*2)+(Week2[[#This Row],[Day Rates]]/8*Week2[[#This Row],[TT Hours]]*3)</f>
        <v>0</v>
      </c>
      <c r="O19" s="27"/>
      <c r="P19" s="27">
        <f t="shared" si="26"/>
        <v>0</v>
      </c>
      <c r="Q19" s="27">
        <f>IFERROR(N19+O19+P19, 0)</f>
        <v>0</v>
      </c>
      <c r="R19" s="30" cm="1">
        <f t="array" ref="R19">_xlfn.IFS(
    K19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1097.0700000000002</v>
      </c>
      <c r="S19" s="34"/>
      <c r="T19" s="32"/>
      <c r="U19" s="30">
        <f t="shared" si="2"/>
        <v>1097.0700000000002</v>
      </c>
      <c r="V19" s="56"/>
      <c r="W19" s="22"/>
      <c r="Z19" s="56"/>
      <c r="AB19" s="98"/>
      <c r="AC19" s="98"/>
    </row>
    <row r="20" spans="1:29" ht="20.25" customHeight="1" x14ac:dyDescent="0.35">
      <c r="A20" s="2" t="str">
        <f>'Week 1'!A20</f>
        <v>Ann Marie</v>
      </c>
      <c r="B20" s="2" t="str">
        <f>'Week 1'!B20</f>
        <v>Quammie</v>
      </c>
      <c r="C20" s="2" t="str">
        <f>Week1[[#This Row],[Department]]</f>
        <v>Back Filling</v>
      </c>
      <c r="D20" s="6"/>
      <c r="E20" s="36">
        <f>'Week 1'!E20</f>
        <v>164</v>
      </c>
      <c r="F20" s="22">
        <v>13</v>
      </c>
      <c r="G20" s="101"/>
      <c r="H20" s="101"/>
      <c r="I20" s="101"/>
      <c r="J20" s="5">
        <f t="shared" si="0"/>
        <v>1.625</v>
      </c>
      <c r="K20" s="27">
        <v>874</v>
      </c>
      <c r="L20" s="27">
        <f>E20*J20</f>
        <v>266.5</v>
      </c>
      <c r="M20" s="27">
        <f>IF(AND(Week2[[#This Row],[Job Income]]&lt;&gt;"", Week2[[#This Row],[Job Income]]&lt;Week2[[#This Row],[Basic    Hours]]*20.5), Week2[[#This Row],[Basic    Hours]]*20.5, 0)</f>
        <v>0</v>
      </c>
      <c r="N20" s="105">
        <f>(Week2[[#This Row],[Day Rates]]/8*Week2[[#This Row],[OT Hours]]*1.5)+(Week2[[#This Row],[Day Rates]]/8*Week2[[#This Row],[DT Hours]]*2)+(Week2[[#This Row],[Day Rates]]/8*Week2[[#This Row],[TT Hours]]*3)</f>
        <v>0</v>
      </c>
      <c r="O20" s="27"/>
      <c r="P20" s="27">
        <f t="shared" si="26"/>
        <v>607.5</v>
      </c>
      <c r="Q20" s="27">
        <f t="shared" si="1"/>
        <v>607.5</v>
      </c>
      <c r="R20" s="30" cm="1">
        <f t="array" ref="R20">_xlfn.IFS(
    K20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874</v>
      </c>
      <c r="S20" s="62">
        <f>IF(Week2[[#This Row],[Gross Wages ]]=0, 0, 8.25)</f>
        <v>8.25</v>
      </c>
      <c r="T20" s="32"/>
      <c r="U20" s="30">
        <f t="shared" si="2"/>
        <v>865.75</v>
      </c>
      <c r="V20" s="56"/>
      <c r="W20" s="22"/>
      <c r="Z20" s="56"/>
      <c r="AB20" s="98"/>
      <c r="AC20" s="98"/>
    </row>
    <row r="21" spans="1:29" ht="20.25" customHeight="1" x14ac:dyDescent="0.35">
      <c r="A21" s="2" t="str">
        <f>'Week 1'!A21</f>
        <v>Shawmaese</v>
      </c>
      <c r="B21" s="2" t="str">
        <f>'Week 1'!B21</f>
        <v>Dick</v>
      </c>
      <c r="C21" s="2" t="str">
        <f>Week1[[#This Row],[Department]]</f>
        <v>Back Filling</v>
      </c>
      <c r="D21" s="6"/>
      <c r="E21" s="36">
        <f>'Week 1'!E21</f>
        <v>164</v>
      </c>
      <c r="F21" s="22">
        <v>13</v>
      </c>
      <c r="G21" s="101"/>
      <c r="H21" s="101"/>
      <c r="I21" s="101"/>
      <c r="J21" s="5">
        <f t="shared" si="0"/>
        <v>1.625</v>
      </c>
      <c r="K21" s="27">
        <v>892</v>
      </c>
      <c r="L21" s="27">
        <f>E21*J21</f>
        <v>266.5</v>
      </c>
      <c r="M21" s="27">
        <f>IF(AND(Week2[[#This Row],[Job Income]]&lt;&gt;"", Week2[[#This Row],[Job Income]]&lt;Week2[[#This Row],[Basic    Hours]]*20.5), Week2[[#This Row],[Basic    Hours]]*20.5, 0)</f>
        <v>0</v>
      </c>
      <c r="N21" s="105">
        <f>(Week2[[#This Row],[Day Rates]]/8*Week2[[#This Row],[OT Hours]]*1.5)+(Week2[[#This Row],[Day Rates]]/8*Week2[[#This Row],[DT Hours]]*2)+(Week2[[#This Row],[Day Rates]]/8*Week2[[#This Row],[TT Hours]]*3)</f>
        <v>0</v>
      </c>
      <c r="O21" s="27"/>
      <c r="P21" s="27">
        <f>IF(K21-L21&lt;=0, 0, K20-L21)</f>
        <v>607.5</v>
      </c>
      <c r="Q21" s="27">
        <f t="shared" si="1"/>
        <v>607.5</v>
      </c>
      <c r="R21" s="30" cm="1">
        <f t="array" ref="R21">_xlfn.IFS(
    K21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892</v>
      </c>
      <c r="S21" s="62">
        <f>IF(Week2[[#This Row],[Gross Wages ]]=0, 0, 8.25)</f>
        <v>8.25</v>
      </c>
      <c r="T21" s="32"/>
      <c r="U21" s="30">
        <f t="shared" si="2"/>
        <v>883.75</v>
      </c>
      <c r="V21" s="56"/>
      <c r="W21" s="22"/>
      <c r="Z21" s="56"/>
      <c r="AB21" s="98"/>
      <c r="AC21" s="98"/>
    </row>
    <row r="22" spans="1:29" ht="20.25" customHeight="1" x14ac:dyDescent="0.35">
      <c r="A22" s="2" t="str">
        <f>'Week 1'!A22</f>
        <v>Simona</v>
      </c>
      <c r="B22" s="2" t="str">
        <f>'Week 1'!B22</f>
        <v>Pascall</v>
      </c>
      <c r="C22" s="2" t="str">
        <f>Week1[[#This Row],[Department]]</f>
        <v>Seat Filling</v>
      </c>
      <c r="D22" s="6"/>
      <c r="E22" s="36">
        <f>'Week 1'!E22</f>
        <v>164</v>
      </c>
      <c r="F22" s="22">
        <v>15.5</v>
      </c>
      <c r="G22" s="101"/>
      <c r="H22" s="101"/>
      <c r="I22" s="101"/>
      <c r="J22" s="5">
        <f t="shared" si="0"/>
        <v>1.9375</v>
      </c>
      <c r="K22" s="27">
        <v>1253.29</v>
      </c>
      <c r="L22" s="27">
        <f>E22*J22</f>
        <v>317.75</v>
      </c>
      <c r="M22" s="27">
        <f>IF(AND(Week2[[#This Row],[Job Income]]&lt;&gt;"", Week2[[#This Row],[Job Income]]&lt;Week2[[#This Row],[Basic    Hours]]*20.5), Week2[[#This Row],[Basic    Hours]]*20.5, 0)</f>
        <v>0</v>
      </c>
      <c r="N22" s="105">
        <f>(Week2[[#This Row],[Day Rates]]/8*Week2[[#This Row],[OT Hours]]*1.5)+(Week2[[#This Row],[Day Rates]]/8*Week2[[#This Row],[DT Hours]]*2)+(Week2[[#This Row],[Day Rates]]/8*Week2[[#This Row],[TT Hours]]*3)</f>
        <v>0</v>
      </c>
      <c r="O22" s="27"/>
      <c r="P22" s="27">
        <f t="shared" si="26"/>
        <v>935.54</v>
      </c>
      <c r="Q22" s="27">
        <f t="shared" si="1"/>
        <v>935.54</v>
      </c>
      <c r="R22" s="30" cm="1">
        <f t="array" ref="R22">_xlfn.IFS(
    K22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1253.29</v>
      </c>
      <c r="S22" s="62">
        <f>IF(Week2[[#This Row],[Gross Wages ]]=0, 0, 8.25)</f>
        <v>8.25</v>
      </c>
      <c r="T22" s="32"/>
      <c r="U22" s="30">
        <f t="shared" si="2"/>
        <v>1245.04</v>
      </c>
      <c r="V22" s="56"/>
      <c r="W22" s="22"/>
      <c r="Z22" s="56"/>
      <c r="AB22" s="98"/>
      <c r="AC22" s="98"/>
    </row>
    <row r="23" spans="1:29" ht="20.25" customHeight="1" x14ac:dyDescent="0.35">
      <c r="A23" s="2" t="str">
        <f>'Week 1'!A23</f>
        <v>Winneffer</v>
      </c>
      <c r="B23" s="2" t="str">
        <f>'Week 1'!B23</f>
        <v>Castro</v>
      </c>
      <c r="C23" s="2" t="str">
        <f>Week1[[#This Row],[Department]]</f>
        <v>Seat Filling</v>
      </c>
      <c r="D23" s="12"/>
      <c r="E23" s="36">
        <f>'Week 1'!E23</f>
        <v>164</v>
      </c>
      <c r="F23" s="22">
        <v>15</v>
      </c>
      <c r="G23" s="101"/>
      <c r="H23" s="101"/>
      <c r="I23" s="101"/>
      <c r="J23" s="5">
        <f t="shared" si="0"/>
        <v>1.875</v>
      </c>
      <c r="K23" s="27">
        <v>1252.96</v>
      </c>
      <c r="L23" s="27">
        <f>E23*J23</f>
        <v>307.5</v>
      </c>
      <c r="M23" s="27">
        <f>IF(AND(Week2[[#This Row],[Job Income]]&lt;&gt;"", Week2[[#This Row],[Job Income]]&lt;Week2[[#This Row],[Basic    Hours]]*20.5), Week2[[#This Row],[Basic    Hours]]*20.5, 0)</f>
        <v>0</v>
      </c>
      <c r="N23" s="105">
        <f>(Week2[[#This Row],[Day Rates]]/8*Week2[[#This Row],[OT Hours]]*1.5)+(Week2[[#This Row],[Day Rates]]/8*Week2[[#This Row],[DT Hours]]*2)+(Week2[[#This Row],[Day Rates]]/8*Week2[[#This Row],[TT Hours]]*3)</f>
        <v>0</v>
      </c>
      <c r="O23" s="27"/>
      <c r="P23" s="27">
        <f t="shared" si="26"/>
        <v>945.46</v>
      </c>
      <c r="Q23" s="27">
        <f t="shared" si="1"/>
        <v>945.46</v>
      </c>
      <c r="R23" s="30" cm="1">
        <f t="array" ref="R23">_xlfn.IFS(
    K23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1252.96</v>
      </c>
      <c r="S23" s="34"/>
      <c r="T23" s="32"/>
      <c r="U23" s="30">
        <f t="shared" si="2"/>
        <v>1252.96</v>
      </c>
      <c r="V23" s="56"/>
      <c r="W23" s="22"/>
      <c r="Z23" s="56"/>
      <c r="AB23" s="98"/>
      <c r="AC23" s="98"/>
    </row>
    <row r="24" spans="1:29" ht="20.25" customHeight="1" x14ac:dyDescent="0.35">
      <c r="A24" s="2" t="str">
        <f>'Week 1'!A24</f>
        <v>Keaton</v>
      </c>
      <c r="B24" s="2" t="str">
        <f>'Week 1'!B24</f>
        <v>Salvary</v>
      </c>
      <c r="C24" s="2" t="str">
        <f>Week1[[#This Row],[Department]]</f>
        <v>Foam Cutting</v>
      </c>
      <c r="D24" s="6"/>
      <c r="E24" s="36">
        <f>'Week 1'!E24</f>
        <v>164</v>
      </c>
      <c r="F24" s="22">
        <v>16</v>
      </c>
      <c r="G24" s="101"/>
      <c r="H24" s="101"/>
      <c r="I24" s="101"/>
      <c r="J24" s="5">
        <f t="shared" si="0"/>
        <v>2</v>
      </c>
      <c r="K24" s="27">
        <v>680</v>
      </c>
      <c r="L24" s="27">
        <f>E24*J24</f>
        <v>328</v>
      </c>
      <c r="M24" s="27">
        <f>IF(AND(Week2[[#This Row],[Job Income]]&lt;&gt;"", Week2[[#This Row],[Job Income]]&lt;Week2[[#This Row],[Basic    Hours]]*20.5), Week2[[#This Row],[Basic    Hours]]*20.5, 0)</f>
        <v>0</v>
      </c>
      <c r="N24" s="105">
        <f>(Week2[[#This Row],[Day Rates]]/8*Week2[[#This Row],[OT Hours]]*1.5)+(Week2[[#This Row],[Day Rates]]/8*Week2[[#This Row],[DT Hours]]*2)+(Week2[[#This Row],[Day Rates]]/8*Week2[[#This Row],[TT Hours]]*3)</f>
        <v>0</v>
      </c>
      <c r="O24" s="27"/>
      <c r="P24" s="27">
        <f t="shared" si="26"/>
        <v>352</v>
      </c>
      <c r="Q24" s="27">
        <f t="shared" si="1"/>
        <v>352</v>
      </c>
      <c r="R24" s="30" cm="1">
        <f t="array" ref="R24">_xlfn.IFS(
    K24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680</v>
      </c>
      <c r="S24" s="62">
        <f>IF(Week2[[#This Row],[Gross Wages ]]=0, 0, 8.25)</f>
        <v>8.25</v>
      </c>
      <c r="T24" s="32"/>
      <c r="U24" s="30">
        <f t="shared" si="2"/>
        <v>671.75</v>
      </c>
      <c r="V24" s="56"/>
      <c r="W24" s="22"/>
      <c r="Z24" s="56"/>
      <c r="AB24" s="98"/>
      <c r="AC24" s="98"/>
    </row>
    <row r="25" spans="1:29" ht="20.25" customHeight="1" x14ac:dyDescent="0.35">
      <c r="A25" s="2" t="str">
        <f>'Week 1'!A25</f>
        <v>Steve</v>
      </c>
      <c r="B25" s="2" t="str">
        <f>'Week 1'!B25</f>
        <v>George</v>
      </c>
      <c r="C25" s="2" t="str">
        <f>Week1[[#This Row],[Department]]</f>
        <v>Stores</v>
      </c>
      <c r="D25" s="6"/>
      <c r="E25" s="36">
        <f>'Week 1'!E25</f>
        <v>250</v>
      </c>
      <c r="F25" s="22">
        <v>40</v>
      </c>
      <c r="G25" s="102"/>
      <c r="H25" s="102"/>
      <c r="I25" s="102"/>
      <c r="J25" s="5">
        <f t="shared" si="0"/>
        <v>5</v>
      </c>
      <c r="K25" s="27"/>
      <c r="L25" s="33">
        <f>IF(F25&lt;=40, (E25/8*F25), E25/8*40)</f>
        <v>1250</v>
      </c>
      <c r="M25" s="27">
        <f>IF(AND(Week2[[#This Row],[Job Income]]&lt;&gt;"", Week2[[#This Row],[Job Income]]&lt;Week2[[#This Row],[Basic    Hours]]*20.5), Week2[[#This Row],[Basic    Hours]]*20.5, 0)</f>
        <v>0</v>
      </c>
      <c r="N25" s="105">
        <f>(Week2[[#This Row],[Day Rates]]/8*Week2[[#This Row],[OT Hours]]*1.5)+(Week2[[#This Row],[Day Rates]]/8*Week2[[#This Row],[DT Hours]]*2)+(Week2[[#This Row],[Day Rates]]/8*Week2[[#This Row],[TT Hours]]*3)</f>
        <v>0</v>
      </c>
      <c r="O25" s="27"/>
      <c r="P25" s="28"/>
      <c r="Q25" s="27">
        <f t="shared" si="1"/>
        <v>0</v>
      </c>
      <c r="R25" s="30" cm="1">
        <f t="array" ref="R25">_xlfn.IFS(
    K25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1250</v>
      </c>
      <c r="S25" s="62">
        <f>IF(Week2[[#This Row],[Gross Wages ]]=0, 0, 8.25)</f>
        <v>8.25</v>
      </c>
      <c r="T25" s="32"/>
      <c r="U25" s="30">
        <f t="shared" si="2"/>
        <v>1241.75</v>
      </c>
      <c r="V25" s="22"/>
      <c r="W25" s="22"/>
      <c r="Z25" s="22"/>
      <c r="AA25" s="98"/>
      <c r="AB25" s="98"/>
    </row>
    <row r="26" spans="1:29" ht="20.25" customHeight="1" x14ac:dyDescent="0.35">
      <c r="A26" s="2" t="str">
        <f>'Week 1'!A26</f>
        <v>Christopher</v>
      </c>
      <c r="B26" s="2" t="str">
        <f>'Week 1'!B26</f>
        <v>Vialva</v>
      </c>
      <c r="C26" s="2" t="str">
        <f>Week1[[#This Row],[Department]]</f>
        <v>Stores</v>
      </c>
      <c r="D26" s="6"/>
      <c r="E26" s="36">
        <v>250</v>
      </c>
      <c r="F26" s="22">
        <v>24</v>
      </c>
      <c r="G26" s="102"/>
      <c r="H26" s="102"/>
      <c r="I26" s="102"/>
      <c r="J26" s="5">
        <f t="shared" si="0"/>
        <v>3</v>
      </c>
      <c r="K26" s="27"/>
      <c r="L26" s="33">
        <f>IF(F26&lt;=40, (E26/8*F26), E26/8*40)</f>
        <v>750</v>
      </c>
      <c r="M26" s="27">
        <f>IF(AND(Week2[[#This Row],[Job Income]]&lt;&gt;"", Week2[[#This Row],[Job Income]]&lt;Week2[[#This Row],[Basic    Hours]]*20.5), Week2[[#This Row],[Basic    Hours]]*20.5, 0)</f>
        <v>0</v>
      </c>
      <c r="N26" s="105">
        <f>(Week2[[#This Row],[Day Rates]]/8*Week2[[#This Row],[OT Hours]]*1.5)+(Week2[[#This Row],[Day Rates]]/8*Week2[[#This Row],[DT Hours]]*2)+(Week2[[#This Row],[Day Rates]]/8*Week2[[#This Row],[TT Hours]]*3)</f>
        <v>0</v>
      </c>
      <c r="O26" s="27"/>
      <c r="P26" s="28"/>
      <c r="Q26" s="27">
        <f t="shared" si="1"/>
        <v>0</v>
      </c>
      <c r="R26" s="30" cm="1">
        <f t="array" ref="R26">_xlfn.IFS(
    K26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750</v>
      </c>
      <c r="S26" s="62">
        <f>IF(Week2[[#This Row],[Gross Wages ]]=0, 0, 8.25)</f>
        <v>8.25</v>
      </c>
      <c r="T26" s="32"/>
      <c r="U26" s="30">
        <f t="shared" si="2"/>
        <v>741.75</v>
      </c>
      <c r="V26" s="22"/>
      <c r="W26" s="22"/>
      <c r="Y26" s="57"/>
      <c r="Z26" s="22"/>
      <c r="AB26" s="98"/>
      <c r="AC26" s="98"/>
    </row>
    <row r="27" spans="1:29" ht="20.25" customHeight="1" x14ac:dyDescent="0.35">
      <c r="A27" s="2" t="str">
        <f>'Week 1'!A27</f>
        <v>Anson</v>
      </c>
      <c r="B27" s="2" t="str">
        <f>'Week 1'!B27</f>
        <v>Hospedales</v>
      </c>
      <c r="C27" s="2" t="str">
        <f>Week1[[#This Row],[Department]]</f>
        <v>Frame Assembly</v>
      </c>
      <c r="D27" s="7"/>
      <c r="E27" s="36">
        <f>'Week 1'!E27</f>
        <v>200</v>
      </c>
      <c r="F27" s="22">
        <v>16.25</v>
      </c>
      <c r="G27" s="101"/>
      <c r="H27" s="101"/>
      <c r="I27" s="101"/>
      <c r="J27" s="5">
        <f t="shared" si="0"/>
        <v>2.03125</v>
      </c>
      <c r="K27" s="27"/>
      <c r="L27" s="27">
        <f>E27*J27</f>
        <v>406.25</v>
      </c>
      <c r="M27" s="27">
        <f>IF(AND(Week2[[#This Row],[Job Income]]&lt;&gt;"", Week2[[#This Row],[Job Income]]&lt;Week2[[#This Row],[Basic    Hours]]*20.5), Week2[[#This Row],[Basic    Hours]]*20.5, 0)</f>
        <v>0</v>
      </c>
      <c r="N27" s="105">
        <f>(Week2[[#This Row],[Day Rates]]/8*Week2[[#This Row],[OT Hours]]*1.5)+(Week2[[#This Row],[Day Rates]]/8*Week2[[#This Row],[DT Hours]]*2)+(Week2[[#This Row],[Day Rates]]/8*Week2[[#This Row],[TT Hours]]*3)</f>
        <v>0</v>
      </c>
      <c r="O27" s="27"/>
      <c r="P27" s="27">
        <f>IF(K27-L27&lt;=0, 0, K27-L27)</f>
        <v>0</v>
      </c>
      <c r="Q27" s="27">
        <f t="shared" si="1"/>
        <v>0</v>
      </c>
      <c r="R27" s="30" cm="1">
        <f t="array" ref="R27">_xlfn.IFS(
    K27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406.25</v>
      </c>
      <c r="S27" s="62">
        <f>IF(Week2[[#This Row],[Gross Wages ]]=0, 0, 8.25)</f>
        <v>8.25</v>
      </c>
      <c r="T27" s="32"/>
      <c r="U27" s="30">
        <f t="shared" si="2"/>
        <v>398</v>
      </c>
      <c r="V27" s="22"/>
      <c r="W27" s="22"/>
      <c r="Z27" s="56"/>
      <c r="AB27" s="98"/>
      <c r="AC27" s="98"/>
    </row>
    <row r="28" spans="1:29" ht="20.25" customHeight="1" x14ac:dyDescent="0.35">
      <c r="A28" s="2" t="str">
        <f>'Week 1'!A28</f>
        <v>Christopher</v>
      </c>
      <c r="B28" s="2" t="str">
        <f>'Week 1'!B28</f>
        <v>Ellis</v>
      </c>
      <c r="C28" s="2" t="str">
        <f>Week1[[#This Row],[Department]]</f>
        <v>Frame Assembly</v>
      </c>
      <c r="D28" s="3"/>
      <c r="E28" s="36">
        <f>'Week 1'!E28</f>
        <v>200</v>
      </c>
      <c r="F28" s="22">
        <v>21.5</v>
      </c>
      <c r="G28" s="101"/>
      <c r="H28" s="101"/>
      <c r="I28" s="101"/>
      <c r="J28" s="5">
        <f t="shared" si="0"/>
        <v>2.6875</v>
      </c>
      <c r="K28" s="27"/>
      <c r="L28" s="27">
        <f>E28*J28</f>
        <v>537.5</v>
      </c>
      <c r="M28" s="27">
        <f>IF(AND(Week2[[#This Row],[Job Income]]&lt;&gt;"", Week2[[#This Row],[Job Income]]&lt;Week2[[#This Row],[Basic    Hours]]*20.5), Week2[[#This Row],[Basic    Hours]]*20.5, 0)</f>
        <v>0</v>
      </c>
      <c r="N28" s="105">
        <f>(Week2[[#This Row],[Day Rates]]/8*Week2[[#This Row],[OT Hours]]*1.5)+(Week2[[#This Row],[Day Rates]]/8*Week2[[#This Row],[DT Hours]]*2)+(Week2[[#This Row],[Day Rates]]/8*Week2[[#This Row],[TT Hours]]*3)</f>
        <v>0</v>
      </c>
      <c r="O28" s="27"/>
      <c r="P28" s="27">
        <f>IF(K28-L28&lt;=0, 0, K28-L28)</f>
        <v>0</v>
      </c>
      <c r="Q28" s="27">
        <f t="shared" si="1"/>
        <v>0</v>
      </c>
      <c r="R28" s="30" cm="1">
        <f t="array" ref="R28">_xlfn.IFS(
    K28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537.5</v>
      </c>
      <c r="S28" s="62">
        <f>IF(Week2[[#This Row],[Gross Wages ]]=0, 0, 8.25)</f>
        <v>8.25</v>
      </c>
      <c r="T28" s="32"/>
      <c r="U28" s="30">
        <f t="shared" si="2"/>
        <v>529.25</v>
      </c>
      <c r="V28" s="56"/>
      <c r="W28" s="22"/>
      <c r="Z28" s="56"/>
    </row>
    <row r="29" spans="1:29" ht="20.25" customHeight="1" x14ac:dyDescent="0.35">
      <c r="A29" s="2" t="s">
        <v>83</v>
      </c>
      <c r="B29" s="2" t="str">
        <f>'Week 1'!B29</f>
        <v>John</v>
      </c>
      <c r="C29" s="2" t="str">
        <f>Week1[[#This Row],[Department]]</f>
        <v>Frame Assembly</v>
      </c>
      <c r="D29" s="6"/>
      <c r="E29" s="36">
        <f>'Week 1'!E29</f>
        <v>200</v>
      </c>
      <c r="F29" s="22">
        <v>4</v>
      </c>
      <c r="G29" s="101"/>
      <c r="H29" s="101"/>
      <c r="I29" s="101"/>
      <c r="J29" s="5">
        <f t="shared" si="0"/>
        <v>0.5</v>
      </c>
      <c r="K29" s="27"/>
      <c r="L29" s="27">
        <f>E29*J29</f>
        <v>100</v>
      </c>
      <c r="M29" s="27">
        <f>IF(AND(Week2[[#This Row],[Job Income]]&lt;&gt;"", Week2[[#This Row],[Job Income]]&lt;Week2[[#This Row],[Basic    Hours]]*20.5), Week2[[#This Row],[Basic    Hours]]*20.5, 0)</f>
        <v>0</v>
      </c>
      <c r="N29" s="105">
        <f>(Week2[[#This Row],[Day Rates]]/8*Week2[[#This Row],[OT Hours]]*1.5)+(Week2[[#This Row],[Day Rates]]/8*Week2[[#This Row],[DT Hours]]*2)+(Week2[[#This Row],[Day Rates]]/8*Week2[[#This Row],[TT Hours]]*3)</f>
        <v>0</v>
      </c>
      <c r="O29" s="27"/>
      <c r="P29" s="27">
        <f>IF(K29-L29&lt;=0, 0, K29-L29)</f>
        <v>0</v>
      </c>
      <c r="Q29" s="27">
        <f t="shared" si="1"/>
        <v>0</v>
      </c>
      <c r="R29" s="30" cm="1">
        <f t="array" ref="R29">_xlfn.IFS(
    K29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</v>
      </c>
      <c r="S29" s="62">
        <f>IF(Week2[[#This Row],[Gross Wages ]]=0, 0, 8.25)</f>
        <v>8.25</v>
      </c>
      <c r="T29" s="32"/>
      <c r="U29" s="30">
        <f t="shared" si="2"/>
        <v>91.75</v>
      </c>
      <c r="V29" s="56"/>
      <c r="W29" s="22"/>
      <c r="Z29" s="56"/>
    </row>
    <row r="30" spans="1:29" ht="20.25" customHeight="1" x14ac:dyDescent="0.35">
      <c r="A30" s="2" t="str">
        <f>'Week 1'!A30</f>
        <v>Brian</v>
      </c>
      <c r="B30" s="2" t="str">
        <f>'Week 1'!B30</f>
        <v>Hernandez</v>
      </c>
      <c r="C30" s="2" t="str">
        <f>Week1[[#This Row],[Department]]</f>
        <v>Frame Assembly</v>
      </c>
      <c r="D30" s="6"/>
      <c r="E30" s="36">
        <f>'Week 1'!E30</f>
        <v>200</v>
      </c>
      <c r="F30" s="22">
        <v>12</v>
      </c>
      <c r="G30" s="101"/>
      <c r="H30" s="101"/>
      <c r="I30" s="101"/>
      <c r="J30" s="5">
        <f t="shared" si="0"/>
        <v>1.5</v>
      </c>
      <c r="K30" s="27"/>
      <c r="L30" s="27">
        <f>E30*J30</f>
        <v>300</v>
      </c>
      <c r="M30" s="27">
        <f>IF(AND(Week2[[#This Row],[Job Income]]&lt;&gt;"", Week2[[#This Row],[Job Income]]&lt;Week2[[#This Row],[Basic    Hours]]*20.5), Week2[[#This Row],[Basic    Hours]]*20.5, 0)</f>
        <v>0</v>
      </c>
      <c r="N30" s="105">
        <f>(Week2[[#This Row],[Day Rates]]/8*Week2[[#This Row],[OT Hours]]*1.5)+(Week2[[#This Row],[Day Rates]]/8*Week2[[#This Row],[DT Hours]]*2)+(Week2[[#This Row],[Day Rates]]/8*Week2[[#This Row],[TT Hours]]*3)</f>
        <v>0</v>
      </c>
      <c r="O30" s="27"/>
      <c r="P30" s="27">
        <f>IF(K30-L30&lt;=0, 0, K30-L30)</f>
        <v>0</v>
      </c>
      <c r="Q30" s="27">
        <f t="shared" si="1"/>
        <v>0</v>
      </c>
      <c r="R30" s="30" cm="1">
        <f t="array" ref="R30">_xlfn.IFS(
    K30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300</v>
      </c>
      <c r="S30" s="62">
        <f>IF(Week2[[#This Row],[Gross Wages ]]=0, 0, 8.25)</f>
        <v>8.25</v>
      </c>
      <c r="T30" s="32"/>
      <c r="U30" s="30">
        <f t="shared" si="2"/>
        <v>291.75</v>
      </c>
      <c r="V30" s="56"/>
      <c r="W30" s="22"/>
      <c r="Z30" s="56"/>
    </row>
    <row r="31" spans="1:29" ht="20.25" customHeight="1" x14ac:dyDescent="0.35">
      <c r="A31" s="2" t="str">
        <f>'Week 1'!A31</f>
        <v>Jahmeel</v>
      </c>
      <c r="B31" s="2" t="str">
        <f>'Week 1'!B31</f>
        <v>Raybourne</v>
      </c>
      <c r="C31" s="2" t="str">
        <f>Week1[[#This Row],[Department]]</f>
        <v>Frame Assembly</v>
      </c>
      <c r="D31" s="6"/>
      <c r="E31" s="36">
        <f>'Week 1'!E31</f>
        <v>200</v>
      </c>
      <c r="F31" s="22">
        <v>20.25</v>
      </c>
      <c r="G31" s="101"/>
      <c r="H31" s="101"/>
      <c r="I31" s="101"/>
      <c r="J31" s="5">
        <f t="shared" si="0"/>
        <v>2.53125</v>
      </c>
      <c r="K31" s="27"/>
      <c r="L31" s="27">
        <f>E31*J31</f>
        <v>506.25</v>
      </c>
      <c r="M31" s="27">
        <f>IF(AND(Week2[[#This Row],[Job Income]]&lt;&gt;"", Week2[[#This Row],[Job Income]]&lt;Week2[[#This Row],[Basic    Hours]]*20.5), Week2[[#This Row],[Basic    Hours]]*20.5, 0)</f>
        <v>0</v>
      </c>
      <c r="N31" s="105">
        <f>(Week2[[#This Row],[Day Rates]]/8*Week2[[#This Row],[OT Hours]]*1.5)+(Week2[[#This Row],[Day Rates]]/8*Week2[[#This Row],[DT Hours]]*2)+(Week2[[#This Row],[Day Rates]]/8*Week2[[#This Row],[TT Hours]]*3)</f>
        <v>0</v>
      </c>
      <c r="O31" s="27"/>
      <c r="P31" s="27">
        <f>IF(K31-L31&lt;=0, 0, K31-L31)</f>
        <v>0</v>
      </c>
      <c r="Q31" s="27">
        <f t="shared" si="1"/>
        <v>0</v>
      </c>
      <c r="R31" s="30" cm="1">
        <f t="array" ref="R31">_xlfn.IFS(
    K31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506.25</v>
      </c>
      <c r="S31" s="62">
        <f>IF(Week2[[#This Row],[Gross Wages ]]=0, 0, 8.25)</f>
        <v>8.25</v>
      </c>
      <c r="T31" s="32"/>
      <c r="U31" s="30">
        <f t="shared" si="2"/>
        <v>498</v>
      </c>
      <c r="V31" s="56"/>
      <c r="W31" s="22"/>
      <c r="Z31" s="22"/>
      <c r="AB31" s="98"/>
      <c r="AC31" s="98"/>
    </row>
    <row r="32" spans="1:29" ht="20.25" customHeight="1" x14ac:dyDescent="0.35">
      <c r="A32" s="2" t="str">
        <f>'Week 1'!A32</f>
        <v>Wendy Ann</v>
      </c>
      <c r="B32" s="2" t="str">
        <f>'Week 1'!B32</f>
        <v>Celestine</v>
      </c>
      <c r="C32" s="2" t="str">
        <f>Week1[[#This Row],[Department]]</f>
        <v>Maintenance</v>
      </c>
      <c r="D32" s="3"/>
      <c r="E32" s="36">
        <f>'Week 1'!E32</f>
        <v>200</v>
      </c>
      <c r="F32" s="22">
        <v>39</v>
      </c>
      <c r="G32" s="102"/>
      <c r="H32" s="102"/>
      <c r="I32" s="102"/>
      <c r="J32" s="5">
        <f t="shared" si="0"/>
        <v>4.875</v>
      </c>
      <c r="K32" s="45"/>
      <c r="L32" s="33">
        <f>IF(F32&lt;=40, (E32/8*F32), E32/8*40)</f>
        <v>975</v>
      </c>
      <c r="M32" s="27">
        <f>IF(AND(Week2[[#This Row],[Job Income]]&lt;&gt;"", Week2[[#This Row],[Job Income]]&lt;Week2[[#This Row],[Basic    Hours]]*20.5), Week2[[#This Row],[Basic    Hours]]*20.5, 0)</f>
        <v>0</v>
      </c>
      <c r="N32" s="105">
        <f>(Week2[[#This Row],[Day Rates]]/8*Week2[[#This Row],[OT Hours]]*1.5)+(Week2[[#This Row],[Day Rates]]/8*Week2[[#This Row],[DT Hours]]*2)+(Week2[[#This Row],[Day Rates]]/8*Week2[[#This Row],[TT Hours]]*3)</f>
        <v>0</v>
      </c>
      <c r="O32" s="27"/>
      <c r="P32" s="28"/>
      <c r="Q32" s="27">
        <f t="shared" si="1"/>
        <v>0</v>
      </c>
      <c r="R32" s="30" cm="1">
        <f t="array" ref="R32">_xlfn.IFS(
    K32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975</v>
      </c>
      <c r="S32" s="62">
        <f>IF(Week2[[#This Row],[Gross Wages ]]=0, 0, 8.25)</f>
        <v>8.25</v>
      </c>
      <c r="T32" s="32"/>
      <c r="U32" s="30">
        <f t="shared" si="2"/>
        <v>966.75</v>
      </c>
      <c r="V32" s="56"/>
      <c r="W32" s="22"/>
      <c r="Z32" s="22"/>
      <c r="AB32" s="98"/>
      <c r="AC32" s="98"/>
    </row>
    <row r="33" spans="1:29" ht="20.25" customHeight="1" x14ac:dyDescent="0.35">
      <c r="A33" s="2" t="s">
        <v>92</v>
      </c>
      <c r="B33" s="2" t="s">
        <v>93</v>
      </c>
      <c r="C33" s="2" t="str">
        <f>Week1[[#This Row],[Department]]</f>
        <v>Maintenance</v>
      </c>
      <c r="D33" s="3"/>
      <c r="E33" s="36">
        <f>'Week 1'!E33</f>
        <v>200</v>
      </c>
      <c r="F33" s="22">
        <v>40</v>
      </c>
      <c r="G33" s="102"/>
      <c r="H33" s="102"/>
      <c r="I33" s="102"/>
      <c r="J33" s="5">
        <f t="shared" si="0"/>
        <v>5</v>
      </c>
      <c r="K33" s="45"/>
      <c r="L33" s="33">
        <f>IF(F33&lt;=40, (E33/8*F33), E33/8*40)</f>
        <v>1000</v>
      </c>
      <c r="M33" s="27">
        <f>IF(AND(Week2[[#This Row],[Job Income]]&lt;&gt;"", Week2[[#This Row],[Job Income]]&lt;Week2[[#This Row],[Basic    Hours]]*20.5), Week2[[#This Row],[Basic    Hours]]*20.5, 0)</f>
        <v>0</v>
      </c>
      <c r="N33" s="105">
        <f>(Week2[[#This Row],[Day Rates]]/8*Week2[[#This Row],[OT Hours]]*1.5)+(Week2[[#This Row],[Day Rates]]/8*Week2[[#This Row],[DT Hours]]*2)+(Week2[[#This Row],[Day Rates]]/8*Week2[[#This Row],[TT Hours]]*3)</f>
        <v>0</v>
      </c>
      <c r="O33" s="27"/>
      <c r="P33" s="28"/>
      <c r="Q33" s="27">
        <f t="shared" si="1"/>
        <v>0</v>
      </c>
      <c r="R33" s="30" cm="1">
        <f t="array" ref="R33">_xlfn.IFS(
    K33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33" s="62">
        <f>IF(Week2[[#This Row],[Gross Wages ]]=0, 0, 8.25)</f>
        <v>8.25</v>
      </c>
      <c r="T33" s="32"/>
      <c r="U33" s="30">
        <f t="shared" si="2"/>
        <v>991.75</v>
      </c>
      <c r="V33" s="56"/>
      <c r="W33" s="22"/>
      <c r="Z33" s="22"/>
      <c r="AB33" s="98"/>
      <c r="AC33" s="98"/>
    </row>
    <row r="34" spans="1:29" ht="20.25" customHeight="1" x14ac:dyDescent="0.35">
      <c r="A34" s="2" t="s">
        <v>94</v>
      </c>
      <c r="B34" s="2" t="s">
        <v>95</v>
      </c>
      <c r="C34" s="2" t="str">
        <f>Week1[[#This Row],[Department]]</f>
        <v>Maintenance</v>
      </c>
      <c r="D34" s="3"/>
      <c r="E34" s="36">
        <f>'Week 1'!E34</f>
        <v>200</v>
      </c>
      <c r="F34" s="22">
        <v>40</v>
      </c>
      <c r="G34" s="102"/>
      <c r="H34" s="102"/>
      <c r="I34" s="102"/>
      <c r="J34" s="5">
        <f t="shared" si="0"/>
        <v>5</v>
      </c>
      <c r="K34" s="45"/>
      <c r="L34" s="33">
        <f>IF(F34&lt;=40, (E34/8*F34), E34/8*40)</f>
        <v>1000</v>
      </c>
      <c r="M34" s="27">
        <f>IF(AND(Week2[[#This Row],[Job Income]]&lt;&gt;"", Week2[[#This Row],[Job Income]]&lt;Week2[[#This Row],[Basic    Hours]]*20.5), Week2[[#This Row],[Basic    Hours]]*20.5, 0)</f>
        <v>0</v>
      </c>
      <c r="N34" s="105">
        <f>(Week2[[#This Row],[Day Rates]]/8*Week2[[#This Row],[OT Hours]]*1.5)+(Week2[[#This Row],[Day Rates]]/8*Week2[[#This Row],[DT Hours]]*2)+(Week2[[#This Row],[Day Rates]]/8*Week2[[#This Row],[TT Hours]]*3)</f>
        <v>0</v>
      </c>
      <c r="O34" s="27"/>
      <c r="P34" s="28"/>
      <c r="Q34" s="27">
        <f t="shared" si="1"/>
        <v>0</v>
      </c>
      <c r="R34" s="30" cm="1">
        <f t="array" ref="R34">_xlfn.IFS(
    K34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34" s="62">
        <f>IF(Week2[[#This Row],[Gross Wages ]]=0, 0, 8.25)</f>
        <v>8.25</v>
      </c>
      <c r="T34" s="32"/>
      <c r="U34" s="30">
        <f t="shared" si="2"/>
        <v>991.75</v>
      </c>
      <c r="V34" s="56"/>
      <c r="W34" s="22"/>
      <c r="Z34" s="22"/>
      <c r="AB34" s="98"/>
      <c r="AC34" s="98"/>
    </row>
    <row r="35" spans="1:29" ht="20.25" customHeight="1" x14ac:dyDescent="0.35">
      <c r="A35" s="2" t="s">
        <v>182</v>
      </c>
      <c r="B35" s="2" t="s">
        <v>97</v>
      </c>
      <c r="C35" s="2" t="str">
        <f>Week1[[#This Row],[Department]]</f>
        <v>Maintenance</v>
      </c>
      <c r="D35" s="3"/>
      <c r="E35" s="36">
        <v>200</v>
      </c>
      <c r="F35" s="22"/>
      <c r="G35" s="102"/>
      <c r="H35" s="102"/>
      <c r="I35" s="102"/>
      <c r="J35" s="5">
        <f t="shared" si="0"/>
        <v>0</v>
      </c>
      <c r="K35" s="45"/>
      <c r="L35" s="33">
        <f>IF(F35&lt;=40, (E35/8*F35), E35/8*40)</f>
        <v>0</v>
      </c>
      <c r="M35" s="27">
        <f>IF(AND(Week2[[#This Row],[Job Income]]&lt;&gt;"", Week2[[#This Row],[Job Income]]&lt;Week2[[#This Row],[Basic    Hours]]*20.5), Week2[[#This Row],[Basic    Hours]]*20.5, 0)</f>
        <v>0</v>
      </c>
      <c r="N35" s="105">
        <f>(Week2[[#This Row],[Day Rates]]/8*Week2[[#This Row],[OT Hours]]*1.5)+(Week2[[#This Row],[Day Rates]]/8*Week2[[#This Row],[DT Hours]]*2)+(Week2[[#This Row],[Day Rates]]/8*Week2[[#This Row],[TT Hours]]*3)</f>
        <v>0</v>
      </c>
      <c r="O35" s="27"/>
      <c r="P35" s="28"/>
      <c r="Q35" s="27">
        <f t="shared" ref="Q35" si="27">IFERROR(N35+O35+P35, 0)</f>
        <v>0</v>
      </c>
      <c r="R35" s="30" cm="1">
        <f t="array" ref="R35">_xlfn.IFS(
    K35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0</v>
      </c>
      <c r="S35" s="62">
        <f>IF(Week2[[#This Row],[Gross Wages ]]=0, 0, 8.25)</f>
        <v>0</v>
      </c>
      <c r="T35" s="32"/>
      <c r="U35" s="30">
        <f t="shared" ref="U35" si="28">R35-SUM(S35:T35)</f>
        <v>0</v>
      </c>
      <c r="V35" s="56"/>
      <c r="W35" s="22"/>
      <c r="Z35" s="22"/>
      <c r="AB35" s="98"/>
      <c r="AC35" s="98"/>
    </row>
    <row r="36" spans="1:29" ht="20.25" customHeight="1" x14ac:dyDescent="0.35">
      <c r="A36" s="2" t="str">
        <f>'Week 1'!A36</f>
        <v>Stephanie</v>
      </c>
      <c r="B36" s="2" t="str">
        <f>'Week 1'!B36</f>
        <v>Ali</v>
      </c>
      <c r="C36" s="2" t="str">
        <f>Week1[[#This Row],[Department]]</f>
        <v>Quality Control</v>
      </c>
      <c r="D36" s="3"/>
      <c r="E36" s="36">
        <f>'Week 1'!E36</f>
        <v>250</v>
      </c>
      <c r="F36" s="22">
        <v>32</v>
      </c>
      <c r="G36" s="102"/>
      <c r="H36" s="102"/>
      <c r="I36" s="102"/>
      <c r="J36" s="5">
        <f t="shared" si="0"/>
        <v>4</v>
      </c>
      <c r="K36" s="45"/>
      <c r="L36" s="33">
        <f>IF(F36&lt;=40, (E36/8*F36), E36/8*40)</f>
        <v>1000</v>
      </c>
      <c r="M36" s="27">
        <f>IF(AND(Week2[[#This Row],[Job Income]]&lt;&gt;"", Week2[[#This Row],[Job Income]]&lt;Week2[[#This Row],[Basic    Hours]]*20.5), Week2[[#This Row],[Basic    Hours]]*20.5, 0)</f>
        <v>0</v>
      </c>
      <c r="N36" s="105">
        <f>(Week2[[#This Row],[Day Rates]]/8*Week2[[#This Row],[OT Hours]]*1.5)+(Week2[[#This Row],[Day Rates]]/8*Week2[[#This Row],[DT Hours]]*2)+(Week2[[#This Row],[Day Rates]]/8*Week2[[#This Row],[TT Hours]]*3)</f>
        <v>0</v>
      </c>
      <c r="O36" s="27"/>
      <c r="P36" s="28"/>
      <c r="Q36" s="27">
        <f t="shared" si="1"/>
        <v>0</v>
      </c>
      <c r="R36" s="30" cm="1">
        <f t="array" ref="R36">_xlfn.IFS(
    K36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36" s="62">
        <f>IF(Week2[[#This Row],[Gross Wages ]]=0, 0, 8.25)</f>
        <v>8.25</v>
      </c>
      <c r="T36" s="32"/>
      <c r="U36" s="30">
        <f t="shared" si="2"/>
        <v>991.75</v>
      </c>
      <c r="V36" s="56"/>
      <c r="W36" s="22"/>
      <c r="Z36" s="56"/>
    </row>
    <row r="37" spans="1:29" ht="20.25" customHeight="1" x14ac:dyDescent="0.35">
      <c r="A37" s="2" t="s">
        <v>101</v>
      </c>
      <c r="B37" s="2" t="s">
        <v>102</v>
      </c>
      <c r="C37" s="2" t="str">
        <f>Week1[[#This Row],[Department]]</f>
        <v>Quality Control</v>
      </c>
      <c r="D37" s="3"/>
      <c r="E37" s="37">
        <f>'Week 1'!E37</f>
        <v>225</v>
      </c>
      <c r="F37" s="22">
        <v>40</v>
      </c>
      <c r="G37" s="102"/>
      <c r="H37" s="102"/>
      <c r="I37" s="102"/>
      <c r="J37" s="5">
        <f t="shared" si="0"/>
        <v>5</v>
      </c>
      <c r="K37" s="45"/>
      <c r="L37" s="43">
        <f>IF(F37&lt;=40, (ROUNDUP(E37/8, 2)*F37), ROUNDUP(E37/8, 2)*40)</f>
        <v>1125.2</v>
      </c>
      <c r="M37" s="27">
        <f>IF(AND(Week2[[#This Row],[Job Income]]&lt;&gt;"", Week2[[#This Row],[Job Income]]&lt;Week2[[#This Row],[Basic    Hours]]*20.5), Week2[[#This Row],[Basic    Hours]]*20.5, 0)</f>
        <v>0</v>
      </c>
      <c r="N37" s="105">
        <f>(Week2[[#This Row],[Day Rates]]/8*Week2[[#This Row],[OT Hours]]*1.5)+(Week2[[#This Row],[Day Rates]]/8*Week2[[#This Row],[DT Hours]]*2)+(Week2[[#This Row],[Day Rates]]/8*Week2[[#This Row],[TT Hours]]*3)</f>
        <v>0</v>
      </c>
      <c r="O37" s="27"/>
      <c r="P37" s="28"/>
      <c r="Q37" s="27">
        <f t="shared" ref="Q37:Q72" si="29">IFERROR(N37+O37+P37, 0)</f>
        <v>0</v>
      </c>
      <c r="R37" s="30" cm="1">
        <f t="array" ref="R37">_xlfn.IFS(
    K37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1125.2</v>
      </c>
      <c r="S37" s="62">
        <f>IF(Week2[[#This Row],[Gross Wages ]]=0, 0, 8.25)</f>
        <v>8.25</v>
      </c>
      <c r="T37" s="32"/>
      <c r="U37" s="30">
        <f t="shared" ref="U37:U61" si="30">R37-SUM(S37:T37)</f>
        <v>1116.95</v>
      </c>
      <c r="V37" s="56"/>
      <c r="W37" s="22"/>
      <c r="Z37" s="56"/>
      <c r="AB37" s="98"/>
      <c r="AC37" s="98"/>
    </row>
    <row r="38" spans="1:29" ht="20.25" customHeight="1" x14ac:dyDescent="0.35">
      <c r="A38" s="2" t="str">
        <f>'Week 1'!A38</f>
        <v>Wendy</v>
      </c>
      <c r="B38" s="2" t="str">
        <f>'Week 1'!B38</f>
        <v>Ragoo</v>
      </c>
      <c r="C38" s="2" t="str">
        <f>Week1[[#This Row],[Department]]</f>
        <v>Quality Control</v>
      </c>
      <c r="D38" s="3"/>
      <c r="E38" s="37">
        <f>'Week 1'!E38</f>
        <v>225</v>
      </c>
      <c r="F38" s="22">
        <v>40</v>
      </c>
      <c r="G38" s="102"/>
      <c r="H38" s="102"/>
      <c r="I38" s="102"/>
      <c r="J38" s="5">
        <f t="shared" si="0"/>
        <v>5</v>
      </c>
      <c r="K38" s="45"/>
      <c r="L38" s="43">
        <f>IF(F38&lt;=40, (ROUNDUP(E38/8, 2)*F38), ROUNDUP(E38/8, 2)*40)</f>
        <v>1125.2</v>
      </c>
      <c r="M38" s="27">
        <f>IF(AND(Week2[[#This Row],[Job Income]]&lt;&gt;"", Week2[[#This Row],[Job Income]]&lt;Week2[[#This Row],[Basic    Hours]]*20.5), Week2[[#This Row],[Basic    Hours]]*20.5, 0)</f>
        <v>0</v>
      </c>
      <c r="N38" s="105">
        <f>(Week2[[#This Row],[Day Rates]]/8*Week2[[#This Row],[OT Hours]]*1.5)+(Week2[[#This Row],[Day Rates]]/8*Week2[[#This Row],[DT Hours]]*2)+(Week2[[#This Row],[Day Rates]]/8*Week2[[#This Row],[TT Hours]]*3)</f>
        <v>0</v>
      </c>
      <c r="O38" s="27"/>
      <c r="P38" s="28"/>
      <c r="Q38" s="27">
        <f t="shared" si="29"/>
        <v>0</v>
      </c>
      <c r="R38" s="30" cm="1">
        <f t="array" ref="R38">_xlfn.IFS(
    K38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1125.2</v>
      </c>
      <c r="S38" s="62">
        <f>IF(Week2[[#This Row],[Gross Wages ]]=0, 0, 8.25)</f>
        <v>8.25</v>
      </c>
      <c r="T38" s="32"/>
      <c r="U38" s="30">
        <f t="shared" si="30"/>
        <v>1116.95</v>
      </c>
      <c r="V38" s="56"/>
      <c r="W38" s="22"/>
      <c r="Z38" s="22"/>
      <c r="AB38" s="98"/>
      <c r="AC38" s="98"/>
    </row>
    <row r="39" spans="1:29" ht="20.25" customHeight="1" x14ac:dyDescent="0.35">
      <c r="A39" s="2" t="str">
        <f>'Week 1'!A39</f>
        <v>Rachel</v>
      </c>
      <c r="B39" s="2" t="str">
        <f>'Week 1'!B39</f>
        <v>Gormandy</v>
      </c>
      <c r="C39" s="2" t="str">
        <f>Week1[[#This Row],[Department]]</f>
        <v>Quality Control</v>
      </c>
      <c r="D39" s="3"/>
      <c r="E39" s="36">
        <f>'Week 1'!E39</f>
        <v>200</v>
      </c>
      <c r="F39" s="22">
        <v>40</v>
      </c>
      <c r="G39" s="102"/>
      <c r="H39" s="102"/>
      <c r="I39" s="102"/>
      <c r="J39" s="5">
        <f t="shared" si="0"/>
        <v>5</v>
      </c>
      <c r="K39" s="45"/>
      <c r="L39" s="33">
        <f t="shared" ref="L39:L49" si="31">IF(F39&lt;=40, (E39/8*F39), E39/8*40)</f>
        <v>1000</v>
      </c>
      <c r="M39" s="27">
        <f>IF(AND(Week2[[#This Row],[Job Income]]&lt;&gt;"", Week2[[#This Row],[Job Income]]&lt;Week2[[#This Row],[Basic    Hours]]*20.5), Week2[[#This Row],[Basic    Hours]]*20.5, 0)</f>
        <v>0</v>
      </c>
      <c r="N39" s="105">
        <f>(Week2[[#This Row],[Day Rates]]/8*Week2[[#This Row],[OT Hours]]*1.5)+(Week2[[#This Row],[Day Rates]]/8*Week2[[#This Row],[DT Hours]]*2)+(Week2[[#This Row],[Day Rates]]/8*Week2[[#This Row],[TT Hours]]*3)</f>
        <v>0</v>
      </c>
      <c r="O39" s="27"/>
      <c r="P39" s="28"/>
      <c r="Q39" s="27">
        <f t="shared" si="29"/>
        <v>0</v>
      </c>
      <c r="R39" s="30" cm="1">
        <f t="array" ref="R39">_xlfn.IFS(
    K39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39" s="62">
        <f>IF(Week2[[#This Row],[Gross Wages ]]=0, 0, 8.25)</f>
        <v>8.25</v>
      </c>
      <c r="T39" s="32"/>
      <c r="U39" s="30">
        <f t="shared" si="30"/>
        <v>991.75</v>
      </c>
      <c r="V39" s="56"/>
      <c r="W39" s="22"/>
      <c r="Z39" s="56"/>
      <c r="AB39" s="98"/>
      <c r="AC39" s="98"/>
    </row>
    <row r="40" spans="1:29" ht="20.25" customHeight="1" x14ac:dyDescent="0.35">
      <c r="A40" s="2" t="str">
        <f>'Week 1'!A40</f>
        <v>Brent</v>
      </c>
      <c r="B40" s="2" t="str">
        <f>'Week 1'!B40</f>
        <v>McCarthy</v>
      </c>
      <c r="C40" s="2" t="str">
        <f>Week1[[#This Row],[Department]]</f>
        <v>Quality Control</v>
      </c>
      <c r="D40" s="3"/>
      <c r="E40" s="36">
        <f>'Week 1'!E40</f>
        <v>200</v>
      </c>
      <c r="F40" s="22">
        <v>40</v>
      </c>
      <c r="G40" s="102"/>
      <c r="H40" s="102"/>
      <c r="I40" s="102"/>
      <c r="J40" s="5">
        <f t="shared" si="0"/>
        <v>5</v>
      </c>
      <c r="K40" s="45"/>
      <c r="L40" s="33">
        <f t="shared" si="31"/>
        <v>1000</v>
      </c>
      <c r="M40" s="27">
        <f>IF(AND(Week2[[#This Row],[Job Income]]&lt;&gt;"", Week2[[#This Row],[Job Income]]&lt;Week2[[#This Row],[Basic    Hours]]*20.5), Week2[[#This Row],[Basic    Hours]]*20.5, 0)</f>
        <v>0</v>
      </c>
      <c r="N40" s="105">
        <f>(Week2[[#This Row],[Day Rates]]/8*Week2[[#This Row],[OT Hours]]*1.5)+(Week2[[#This Row],[Day Rates]]/8*Week2[[#This Row],[DT Hours]]*2)+(Week2[[#This Row],[Day Rates]]/8*Week2[[#This Row],[TT Hours]]*3)</f>
        <v>0</v>
      </c>
      <c r="O40" s="27"/>
      <c r="P40" s="28"/>
      <c r="Q40" s="27">
        <f>IFERROR(N40+O40+P40, 0)</f>
        <v>0</v>
      </c>
      <c r="R40" s="30" cm="1">
        <f t="array" ref="R40">_xlfn.IFS(
    K40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40" s="62">
        <f>IF(Week2[[#This Row],[Gross Wages ]]=0, 0, 8.25)</f>
        <v>8.25</v>
      </c>
      <c r="T40" s="32"/>
      <c r="U40" s="30">
        <f>R40-SUM(S40:T40)</f>
        <v>991.75</v>
      </c>
      <c r="V40" s="56"/>
      <c r="W40" s="22"/>
      <c r="Z40" s="56"/>
      <c r="AB40" s="98"/>
      <c r="AC40" s="98"/>
    </row>
    <row r="41" spans="1:29" ht="20.25" customHeight="1" x14ac:dyDescent="0.35">
      <c r="A41" s="2" t="str">
        <f>'Week 1'!A41</f>
        <v>Viju</v>
      </c>
      <c r="B41" s="2" t="str">
        <f>'Week 1'!B41</f>
        <v>Harricoo</v>
      </c>
      <c r="C41" s="2" t="str">
        <f>Week1[[#This Row],[Department]]</f>
        <v>General Worker</v>
      </c>
      <c r="D41" s="3"/>
      <c r="E41" s="36">
        <f>'Week 1'!E41</f>
        <v>200</v>
      </c>
      <c r="F41" s="22"/>
      <c r="G41" s="102"/>
      <c r="H41" s="102"/>
      <c r="I41" s="102"/>
      <c r="J41" s="5">
        <f t="shared" si="0"/>
        <v>0</v>
      </c>
      <c r="K41" s="45"/>
      <c r="L41" s="33">
        <f t="shared" si="31"/>
        <v>0</v>
      </c>
      <c r="M41" s="27">
        <f>IF(AND(Week2[[#This Row],[Job Income]]&lt;&gt;"", Week2[[#This Row],[Job Income]]&lt;Week2[[#This Row],[Basic    Hours]]*20.5), Week2[[#This Row],[Basic    Hours]]*20.5, 0)</f>
        <v>0</v>
      </c>
      <c r="N41" s="105">
        <f>(Week2[[#This Row],[Day Rates]]/8*Week2[[#This Row],[OT Hours]]*1.5)+(Week2[[#This Row],[Day Rates]]/8*Week2[[#This Row],[DT Hours]]*2)+(Week2[[#This Row],[Day Rates]]/8*Week2[[#This Row],[TT Hours]]*3)</f>
        <v>0</v>
      </c>
      <c r="O41" s="27"/>
      <c r="P41" s="28"/>
      <c r="Q41" s="27">
        <f t="shared" si="29"/>
        <v>0</v>
      </c>
      <c r="R41" s="30" cm="1">
        <f t="array" ref="R41">_xlfn.IFS(
    K41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0</v>
      </c>
      <c r="S41" s="62">
        <f>IF(Week2[[#This Row],[Gross Wages ]]=0, 0, 8.25)</f>
        <v>0</v>
      </c>
      <c r="T41" s="32"/>
      <c r="U41" s="30">
        <f t="shared" si="30"/>
        <v>0</v>
      </c>
      <c r="V41" s="56"/>
      <c r="W41" s="22"/>
      <c r="Z41" s="56"/>
      <c r="AB41" s="98"/>
      <c r="AC41" s="98"/>
    </row>
    <row r="42" spans="1:29" ht="20.25" customHeight="1" x14ac:dyDescent="0.35">
      <c r="A42" s="2" t="str">
        <f>'Week 1'!A42</f>
        <v>Coleridge</v>
      </c>
      <c r="B42" s="2" t="str">
        <f>'Week 1'!B42</f>
        <v>Davis</v>
      </c>
      <c r="C42" s="2" t="str">
        <f>Week1[[#This Row],[Department]]</f>
        <v>General Worker</v>
      </c>
      <c r="D42" s="3"/>
      <c r="E42" s="36">
        <v>200</v>
      </c>
      <c r="F42" s="22">
        <v>32</v>
      </c>
      <c r="G42" s="102"/>
      <c r="H42" s="102"/>
      <c r="I42" s="102"/>
      <c r="J42" s="5">
        <f>IFERROR(F42/8, 0)</f>
        <v>4</v>
      </c>
      <c r="K42" s="45"/>
      <c r="L42" s="33">
        <f>IF(F42&lt;=40, (E42/8*F42), E42/8*40)</f>
        <v>800</v>
      </c>
      <c r="M42" s="27">
        <f>IF(AND(Week2[[#This Row],[Job Income]]&lt;&gt;"", Week2[[#This Row],[Job Income]]&lt;Week2[[#This Row],[Basic    Hours]]*20.5), Week2[[#This Row],[Basic    Hours]]*20.5, 0)</f>
        <v>0</v>
      </c>
      <c r="N42" s="105">
        <f>(Week2[[#This Row],[Day Rates]]/8*Week2[[#This Row],[OT Hours]]*1.5)+(Week2[[#This Row],[Day Rates]]/8*Week2[[#This Row],[DT Hours]]*2)+(Week2[[#This Row],[Day Rates]]/8*Week2[[#This Row],[TT Hours]]*3)</f>
        <v>0</v>
      </c>
      <c r="O42" s="27"/>
      <c r="P42" s="28"/>
      <c r="Q42" s="27">
        <f t="shared" ref="Q42" si="32">IFERROR(N42+O42+P42, 0)</f>
        <v>0</v>
      </c>
      <c r="R42" s="30" cm="1">
        <f t="array" ref="R42">_xlfn.IFS(
    K42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800</v>
      </c>
      <c r="S42" s="62">
        <f>IF(Week2[[#This Row],[Gross Wages ]]=0, 0, 8.25)</f>
        <v>8.25</v>
      </c>
      <c r="T42" s="32"/>
      <c r="U42" s="30">
        <f t="shared" ref="U42" si="33">R42-SUM(S42:T42)</f>
        <v>791.75</v>
      </c>
      <c r="V42" s="56"/>
      <c r="W42" s="22"/>
      <c r="Z42" s="56"/>
    </row>
    <row r="43" spans="1:29" ht="20.25" customHeight="1" x14ac:dyDescent="0.35">
      <c r="A43" s="2" t="str">
        <f>'Week 1'!A43</f>
        <v>Darreon</v>
      </c>
      <c r="B43" s="2" t="str">
        <f>'Week 1'!B43</f>
        <v>Sandy</v>
      </c>
      <c r="C43" s="2" t="str">
        <f>Week1[[#This Row],[Department]]</f>
        <v>General Worker</v>
      </c>
      <c r="D43" s="3"/>
      <c r="E43" s="36">
        <v>200</v>
      </c>
      <c r="F43" s="22">
        <v>37</v>
      </c>
      <c r="G43" s="102"/>
      <c r="H43" s="102"/>
      <c r="I43" s="102"/>
      <c r="J43" s="5">
        <f>IFERROR(F43/8, 0)</f>
        <v>4.625</v>
      </c>
      <c r="K43" s="45"/>
      <c r="L43" s="33">
        <f>IF(F43&lt;=40, (E43/8*F43), E43/8*40)</f>
        <v>925</v>
      </c>
      <c r="M43" s="27">
        <f>IF(AND(Week2[[#This Row],[Job Income]]&lt;&gt;"", Week2[[#This Row],[Job Income]]&lt;Week2[[#This Row],[Basic    Hours]]*20.5), Week2[[#This Row],[Basic    Hours]]*20.5, 0)</f>
        <v>0</v>
      </c>
      <c r="N43" s="105">
        <f>(Week2[[#This Row],[Day Rates]]/8*Week2[[#This Row],[OT Hours]]*1.5)+(Week2[[#This Row],[Day Rates]]/8*Week2[[#This Row],[DT Hours]]*2)+(Week2[[#This Row],[Day Rates]]/8*Week2[[#This Row],[TT Hours]]*3)</f>
        <v>0</v>
      </c>
      <c r="O43" s="27"/>
      <c r="P43" s="28"/>
      <c r="Q43" s="27">
        <f t="shared" ref="Q43" si="34">IFERROR(N43+O43+P43, 0)</f>
        <v>0</v>
      </c>
      <c r="R43" s="30" cm="1">
        <f t="array" ref="R43">_xlfn.IFS(
    K43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925</v>
      </c>
      <c r="S43" s="62">
        <f>IF(Week2[[#This Row],[Gross Wages ]]=0, 0, 8.25)</f>
        <v>8.25</v>
      </c>
      <c r="T43" s="32"/>
      <c r="U43" s="30">
        <f t="shared" ref="U43" si="35">R43-SUM(S43:T43)</f>
        <v>916.75</v>
      </c>
      <c r="V43" s="56"/>
      <c r="W43" s="22"/>
      <c r="Z43" s="56"/>
    </row>
    <row r="44" spans="1:29" ht="20.25" customHeight="1" x14ac:dyDescent="0.35">
      <c r="A44" s="2" t="str">
        <f>'Week 1'!A44</f>
        <v>Miguel</v>
      </c>
      <c r="B44" s="2" t="str">
        <f>'Week 1'!B44</f>
        <v>Walcott</v>
      </c>
      <c r="C44" s="2" t="str">
        <f>Week1[[#This Row],[Department]]</f>
        <v>General Worker</v>
      </c>
      <c r="D44" s="3"/>
      <c r="E44" s="37">
        <f>'Week 1'!E44</f>
        <v>225</v>
      </c>
      <c r="F44" s="22">
        <v>37.5</v>
      </c>
      <c r="G44" s="102"/>
      <c r="H44" s="102"/>
      <c r="I44" s="102"/>
      <c r="J44" s="5">
        <f t="shared" si="0"/>
        <v>4.6875</v>
      </c>
      <c r="K44" s="45"/>
      <c r="L44" s="43">
        <f>IF(F44&lt;=40, (ROUNDUP(E44/8, 2)*F44), ROUNDUP(E44/8, 2)*40)</f>
        <v>1054.875</v>
      </c>
      <c r="M44" s="27">
        <f>IF(AND(Week2[[#This Row],[Job Income]]&lt;&gt;"", Week2[[#This Row],[Job Income]]&lt;Week2[[#This Row],[Basic    Hours]]*20.5), Week2[[#This Row],[Basic    Hours]]*20.5, 0)</f>
        <v>0</v>
      </c>
      <c r="N44" s="105">
        <f>(Week2[[#This Row],[Day Rates]]/8*Week2[[#This Row],[OT Hours]]*1.5)+(Week2[[#This Row],[Day Rates]]/8*Week2[[#This Row],[DT Hours]]*2)+(Week2[[#This Row],[Day Rates]]/8*Week2[[#This Row],[TT Hours]]*3)</f>
        <v>0</v>
      </c>
      <c r="O44" s="27"/>
      <c r="P44" s="28"/>
      <c r="Q44" s="27">
        <f t="shared" si="29"/>
        <v>0</v>
      </c>
      <c r="R44" s="30" cm="1">
        <f t="array" ref="R44">_xlfn.IFS(
    K44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1054.875</v>
      </c>
      <c r="S44" s="62">
        <f>IF(Week2[[#This Row],[Gross Wages ]]=0, 0, 8.25)</f>
        <v>8.25</v>
      </c>
      <c r="T44" s="32"/>
      <c r="U44" s="30">
        <f t="shared" si="30"/>
        <v>1046.625</v>
      </c>
      <c r="V44" s="56"/>
      <c r="W44" s="22"/>
      <c r="Z44" s="56"/>
      <c r="AB44" s="98"/>
      <c r="AC44" s="98"/>
    </row>
    <row r="45" spans="1:29" ht="20.25" customHeight="1" x14ac:dyDescent="0.35">
      <c r="A45" s="2" t="str">
        <f>'Week 1'!A45</f>
        <v>Don</v>
      </c>
      <c r="B45" s="2" t="str">
        <f>'Week 1'!B45</f>
        <v>Toussaint</v>
      </c>
      <c r="C45" s="2" t="str">
        <f>Week1[[#This Row],[Department]]</f>
        <v>General Worker</v>
      </c>
      <c r="D45" s="3"/>
      <c r="E45" s="36">
        <v>200</v>
      </c>
      <c r="F45" s="22">
        <v>40</v>
      </c>
      <c r="G45" s="102"/>
      <c r="H45" s="102"/>
      <c r="I45" s="102"/>
      <c r="J45" s="5">
        <f t="shared" ref="J45" si="36">IFERROR(F45/8, 0)</f>
        <v>5</v>
      </c>
      <c r="K45" s="45"/>
      <c r="L45" s="33">
        <f t="shared" ref="L45" si="37">IF(F45&lt;=40, (E45/8*F45), E45/8*40)</f>
        <v>1000</v>
      </c>
      <c r="M45" s="27">
        <f>IF(AND(Week2[[#This Row],[Job Income]]&lt;&gt;"", Week2[[#This Row],[Job Income]]&lt;Week2[[#This Row],[Basic    Hours]]*20.5), Week2[[#This Row],[Basic    Hours]]*20.5, 0)</f>
        <v>0</v>
      </c>
      <c r="N45" s="105">
        <f>(Week2[[#This Row],[Day Rates]]/8*Week2[[#This Row],[OT Hours]]*1.5)+(Week2[[#This Row],[Day Rates]]/8*Week2[[#This Row],[DT Hours]]*2)+(Week2[[#This Row],[Day Rates]]/8*Week2[[#This Row],[TT Hours]]*3)</f>
        <v>0</v>
      </c>
      <c r="O45" s="27"/>
      <c r="P45" s="28"/>
      <c r="Q45" s="27">
        <f t="shared" ref="Q45" si="38">IFERROR(N45+O45+P45, 0)</f>
        <v>0</v>
      </c>
      <c r="R45" s="30" cm="1">
        <f t="array" ref="R45">_xlfn.IFS(
    K45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45" s="62">
        <f>IF(Week2[[#This Row],[Gross Wages ]]=0, 0, 8.25)</f>
        <v>8.25</v>
      </c>
      <c r="T45" s="32"/>
      <c r="U45" s="30">
        <f t="shared" ref="U45" si="39">R45-SUM(S45:T45)</f>
        <v>991.75</v>
      </c>
      <c r="V45" s="56"/>
      <c r="W45" s="22"/>
      <c r="Z45" s="56"/>
      <c r="AB45" s="98"/>
      <c r="AC45" s="98"/>
    </row>
    <row r="46" spans="1:29" ht="20.25" customHeight="1" x14ac:dyDescent="0.35">
      <c r="A46" s="2" t="str">
        <f>'Week 1'!A46</f>
        <v>Kareem</v>
      </c>
      <c r="B46" s="2" t="str">
        <f>'Week 1'!B46</f>
        <v>Simmons</v>
      </c>
      <c r="C46" s="2" t="str">
        <f>Week1[[#This Row],[Department]]</f>
        <v>General Worker</v>
      </c>
      <c r="D46" s="3"/>
      <c r="E46" s="36">
        <v>200</v>
      </c>
      <c r="F46" s="22">
        <v>32</v>
      </c>
      <c r="G46" s="102"/>
      <c r="H46" s="102"/>
      <c r="I46" s="102"/>
      <c r="J46" s="5">
        <f t="shared" si="0"/>
        <v>4</v>
      </c>
      <c r="K46" s="45"/>
      <c r="L46" s="33">
        <f t="shared" si="31"/>
        <v>800</v>
      </c>
      <c r="M46" s="27">
        <f>IF(AND(Week2[[#This Row],[Job Income]]&lt;&gt;"", Week2[[#This Row],[Job Income]]&lt;Week2[[#This Row],[Basic    Hours]]*20.5), Week2[[#This Row],[Basic    Hours]]*20.5, 0)</f>
        <v>0</v>
      </c>
      <c r="N46" s="105">
        <f>(Week2[[#This Row],[Day Rates]]/8*Week2[[#This Row],[OT Hours]]*1.5)+(Week2[[#This Row],[Day Rates]]/8*Week2[[#This Row],[DT Hours]]*2)+(Week2[[#This Row],[Day Rates]]/8*Week2[[#This Row],[TT Hours]]*3)</f>
        <v>0</v>
      </c>
      <c r="O46" s="27"/>
      <c r="P46" s="28"/>
      <c r="Q46" s="27"/>
      <c r="R46" s="30" cm="1">
        <f t="array" ref="R46">_xlfn.IFS(
    K46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800</v>
      </c>
      <c r="S46" s="62">
        <f>IF(Week2[[#This Row],[Gross Wages ]]=0, 0, 8.25)</f>
        <v>8.25</v>
      </c>
      <c r="T46" s="32"/>
      <c r="U46" s="30">
        <f t="shared" ref="U46" si="40">R46-SUM(S46:T46)</f>
        <v>791.75</v>
      </c>
      <c r="V46" s="56"/>
      <c r="W46" s="22"/>
      <c r="Z46" s="56"/>
    </row>
    <row r="47" spans="1:29" ht="20.25" customHeight="1" x14ac:dyDescent="0.35">
      <c r="A47" s="2" t="str">
        <f>'Week 1'!A47</f>
        <v>Joshua</v>
      </c>
      <c r="B47" s="2" t="str">
        <f>'Week 1'!B47</f>
        <v>Ash</v>
      </c>
      <c r="C47" s="2" t="str">
        <f>Week1[[#This Row],[Department]]</f>
        <v>General Worker</v>
      </c>
      <c r="D47" s="3"/>
      <c r="E47" s="36">
        <v>200</v>
      </c>
      <c r="F47" s="22">
        <v>40</v>
      </c>
      <c r="G47" s="102"/>
      <c r="H47" s="102"/>
      <c r="I47" s="102"/>
      <c r="J47" s="5">
        <f t="shared" ref="J47" si="41">IFERROR(F47/8, 0)</f>
        <v>5</v>
      </c>
      <c r="K47" s="45"/>
      <c r="L47" s="33">
        <f t="shared" ref="L47" si="42">IF(F47&lt;=40, (E47/8*F47), E47/8*40)</f>
        <v>1000</v>
      </c>
      <c r="M47" s="27">
        <f>IF(AND(Week2[[#This Row],[Job Income]]&lt;&gt;"", Week2[[#This Row],[Job Income]]&lt;Week2[[#This Row],[Basic    Hours]]*20.5), Week2[[#This Row],[Basic    Hours]]*20.5, 0)</f>
        <v>0</v>
      </c>
      <c r="N47" s="105">
        <f>(Week2[[#This Row],[Day Rates]]/8*Week2[[#This Row],[OT Hours]]*1.5)+(Week2[[#This Row],[Day Rates]]/8*Week2[[#This Row],[DT Hours]]*2)+(Week2[[#This Row],[Day Rates]]/8*Week2[[#This Row],[TT Hours]]*3)</f>
        <v>0</v>
      </c>
      <c r="O47" s="27"/>
      <c r="P47" s="28"/>
      <c r="Q47" s="27"/>
      <c r="R47" s="30" cm="1">
        <f t="array" ref="R47">_xlfn.IFS(
    K47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47" s="62">
        <f>IF(Week2[[#This Row],[Gross Wages ]]=0, 0, 8.25)</f>
        <v>8.25</v>
      </c>
      <c r="T47" s="32"/>
      <c r="U47" s="30">
        <f t="shared" ref="U47" si="43">R47-SUM(S47:T47)</f>
        <v>991.75</v>
      </c>
      <c r="V47" s="56"/>
      <c r="W47" s="22"/>
      <c r="Z47" s="56"/>
      <c r="AB47" s="98"/>
      <c r="AC47" s="98"/>
    </row>
    <row r="48" spans="1:29" ht="20.25" customHeight="1" x14ac:dyDescent="0.35">
      <c r="A48" s="2" t="str">
        <f>'Week 1'!A48</f>
        <v>Ricardo</v>
      </c>
      <c r="B48" s="2" t="str">
        <f>'Week 1'!B48</f>
        <v>Ramroop</v>
      </c>
      <c r="C48" s="2" t="str">
        <f>Week1[[#This Row],[Department]]</f>
        <v>General Worker</v>
      </c>
      <c r="D48" s="13"/>
      <c r="E48" s="36">
        <f>'Week 1'!E48</f>
        <v>250</v>
      </c>
      <c r="F48" s="22">
        <v>40</v>
      </c>
      <c r="G48" s="102"/>
      <c r="H48" s="102"/>
      <c r="I48" s="102"/>
      <c r="J48" s="5">
        <f t="shared" si="0"/>
        <v>5</v>
      </c>
      <c r="K48" s="45"/>
      <c r="L48" s="33">
        <f t="shared" si="31"/>
        <v>1250</v>
      </c>
      <c r="M48" s="27">
        <f>IF(AND(Week2[[#This Row],[Job Income]]&lt;&gt;"", Week2[[#This Row],[Job Income]]&lt;Week2[[#This Row],[Basic    Hours]]*20.5), Week2[[#This Row],[Basic    Hours]]*20.5, 0)</f>
        <v>0</v>
      </c>
      <c r="N48" s="105">
        <f>(Week2[[#This Row],[Day Rates]]/8*Week2[[#This Row],[OT Hours]]*1.5)+(Week2[[#This Row],[Day Rates]]/8*Week2[[#This Row],[DT Hours]]*2)+(Week2[[#This Row],[Day Rates]]/8*Week2[[#This Row],[TT Hours]]*3)</f>
        <v>0</v>
      </c>
      <c r="O48" s="27"/>
      <c r="P48" s="28"/>
      <c r="Q48" s="27">
        <f t="shared" si="29"/>
        <v>0</v>
      </c>
      <c r="R48" s="30" cm="1">
        <f t="array" ref="R48">_xlfn.IFS(
    K48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1250</v>
      </c>
      <c r="S48" s="62">
        <f>IF(Week2[[#This Row],[Gross Wages ]]=0, 0, 8.25)</f>
        <v>8.25</v>
      </c>
      <c r="T48" s="32"/>
      <c r="U48" s="30">
        <f t="shared" si="30"/>
        <v>1241.75</v>
      </c>
      <c r="V48" s="56"/>
      <c r="W48" s="22"/>
      <c r="Z48" s="56"/>
      <c r="AB48" s="98"/>
      <c r="AC48" s="98"/>
    </row>
    <row r="49" spans="1:29" ht="20.25" customHeight="1" x14ac:dyDescent="0.35">
      <c r="A49" s="2" t="str">
        <f>'Week 1'!A49</f>
        <v>Jamal</v>
      </c>
      <c r="B49" s="2" t="str">
        <f>'Week 1'!B49</f>
        <v>Lewis</v>
      </c>
      <c r="C49" s="2" t="str">
        <f>Week1[[#This Row],[Department]]</f>
        <v>General Worker</v>
      </c>
      <c r="D49" s="13"/>
      <c r="E49" s="36">
        <v>200</v>
      </c>
      <c r="F49" s="22">
        <v>40</v>
      </c>
      <c r="G49" s="102"/>
      <c r="H49" s="102"/>
      <c r="I49" s="102"/>
      <c r="J49" s="5">
        <f t="shared" si="0"/>
        <v>5</v>
      </c>
      <c r="K49" s="45"/>
      <c r="L49" s="33">
        <f t="shared" si="31"/>
        <v>1000</v>
      </c>
      <c r="M49" s="27">
        <f>IF(AND(Week2[[#This Row],[Job Income]]&lt;&gt;"", Week2[[#This Row],[Job Income]]&lt;Week2[[#This Row],[Basic    Hours]]*20.5), Week2[[#This Row],[Basic    Hours]]*20.5, 0)</f>
        <v>0</v>
      </c>
      <c r="N49" s="105">
        <f>(Week2[[#This Row],[Day Rates]]/8*Week2[[#This Row],[OT Hours]]*1.5)+(Week2[[#This Row],[Day Rates]]/8*Week2[[#This Row],[DT Hours]]*2)+(Week2[[#This Row],[Day Rates]]/8*Week2[[#This Row],[TT Hours]]*3)</f>
        <v>0</v>
      </c>
      <c r="O49" s="27"/>
      <c r="P49" s="28"/>
      <c r="Q49" s="27">
        <f t="shared" si="29"/>
        <v>0</v>
      </c>
      <c r="R49" s="30" cm="1">
        <f t="array" ref="R49">_xlfn.IFS(
    K49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49" s="62">
        <f>IF(Week2[[#This Row],[Gross Wages ]]=0, 0, 8.25)</f>
        <v>8.25</v>
      </c>
      <c r="T49" s="32"/>
      <c r="U49" s="30">
        <f t="shared" si="30"/>
        <v>991.75</v>
      </c>
      <c r="V49" s="56"/>
      <c r="W49" s="22"/>
      <c r="Z49" s="56"/>
      <c r="AB49" s="98"/>
      <c r="AC49" s="98"/>
    </row>
    <row r="50" spans="1:29" ht="20.25" customHeight="1" x14ac:dyDescent="0.35">
      <c r="A50" s="2" t="str">
        <f>'Week 1'!A50</f>
        <v>Kendell</v>
      </c>
      <c r="B50" s="2" t="str">
        <f>'Week 1'!B50</f>
        <v>Collins</v>
      </c>
      <c r="C50" s="2" t="str">
        <f>Week1[[#This Row],[Department]]</f>
        <v>Sewing</v>
      </c>
      <c r="D50" s="12"/>
      <c r="E50" s="36">
        <f>'Week 1'!E50</f>
        <v>200</v>
      </c>
      <c r="F50" s="22">
        <v>32</v>
      </c>
      <c r="G50" s="101"/>
      <c r="H50" s="101"/>
      <c r="I50" s="101"/>
      <c r="J50" s="5">
        <f t="shared" si="0"/>
        <v>4</v>
      </c>
      <c r="K50" s="27"/>
      <c r="L50" s="27">
        <f t="shared" ref="L50:L81" si="44">E50*J50</f>
        <v>800</v>
      </c>
      <c r="M50" s="27">
        <f>IF(AND(Week2[[#This Row],[Job Income]]&lt;&gt;"", Week2[[#This Row],[Job Income]]&lt;Week2[[#This Row],[Basic    Hours]]*20.5), Week2[[#This Row],[Basic    Hours]]*20.5, 0)</f>
        <v>0</v>
      </c>
      <c r="N50" s="105">
        <f>(Week2[[#This Row],[Day Rates]]/8*Week2[[#This Row],[OT Hours]]*1.5)+(Week2[[#This Row],[Day Rates]]/8*Week2[[#This Row],[DT Hours]]*2)+(Week2[[#This Row],[Day Rates]]/8*Week2[[#This Row],[TT Hours]]*3)</f>
        <v>0</v>
      </c>
      <c r="O50" s="27"/>
      <c r="P50" s="27">
        <f t="shared" ref="P50:P81" si="45">IF(K50-L50&lt;=0, 0, K50-L50)</f>
        <v>0</v>
      </c>
      <c r="Q50" s="27">
        <f t="shared" si="29"/>
        <v>0</v>
      </c>
      <c r="R50" s="30" cm="1">
        <f t="array" ref="R50">_xlfn.IFS(
    K50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800</v>
      </c>
      <c r="S50" s="62">
        <f>IF(Week2[[#This Row],[Gross Wages ]]=0, 0, 8.25)</f>
        <v>8.25</v>
      </c>
      <c r="T50" s="32"/>
      <c r="U50" s="30">
        <f t="shared" si="30"/>
        <v>791.75</v>
      </c>
      <c r="V50" s="56"/>
      <c r="W50" s="22"/>
      <c r="Z50" s="56"/>
      <c r="AB50" s="98"/>
      <c r="AC50" s="98"/>
    </row>
    <row r="51" spans="1:29" ht="20.25" customHeight="1" x14ac:dyDescent="0.35">
      <c r="A51" s="2" t="str">
        <f>'Week 1'!A51</f>
        <v>Carleen</v>
      </c>
      <c r="B51" s="2" t="str">
        <f>'Week 1'!B51</f>
        <v>Noel</v>
      </c>
      <c r="C51" s="2" t="str">
        <f>Week1[[#This Row],[Department]]</f>
        <v>Sewing</v>
      </c>
      <c r="D51" s="6"/>
      <c r="E51" s="36">
        <f>'Week 1'!E51</f>
        <v>164</v>
      </c>
      <c r="F51" s="22">
        <v>40</v>
      </c>
      <c r="G51" s="101"/>
      <c r="H51" s="101"/>
      <c r="I51" s="101"/>
      <c r="J51" s="5">
        <f t="shared" si="0"/>
        <v>5</v>
      </c>
      <c r="K51" s="27"/>
      <c r="L51" s="27">
        <f t="shared" si="44"/>
        <v>820</v>
      </c>
      <c r="M51" s="27">
        <f>IF(AND(Week2[[#This Row],[Job Income]]&lt;&gt;"", Week2[[#This Row],[Job Income]]&lt;Week2[[#This Row],[Basic    Hours]]*20.5), Week2[[#This Row],[Basic    Hours]]*20.5, 0)</f>
        <v>0</v>
      </c>
      <c r="N51" s="105">
        <f>(Week2[[#This Row],[Day Rates]]/8*Week2[[#This Row],[OT Hours]]*1.5)+(Week2[[#This Row],[Day Rates]]/8*Week2[[#This Row],[DT Hours]]*2)+(Week2[[#This Row],[Day Rates]]/8*Week2[[#This Row],[TT Hours]]*3)</f>
        <v>0</v>
      </c>
      <c r="O51" s="27"/>
      <c r="P51" s="27">
        <f t="shared" si="45"/>
        <v>0</v>
      </c>
      <c r="Q51" s="27">
        <f t="shared" si="29"/>
        <v>0</v>
      </c>
      <c r="R51" s="30" cm="1">
        <f t="array" ref="R51">_xlfn.IFS(
    K51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820</v>
      </c>
      <c r="S51" s="62">
        <f>IF(Week2[[#This Row],[Gross Wages ]]=0, 0, 8.25)</f>
        <v>8.25</v>
      </c>
      <c r="T51" s="32"/>
      <c r="U51" s="30">
        <f t="shared" si="30"/>
        <v>811.75</v>
      </c>
      <c r="V51" s="56"/>
      <c r="W51" s="22"/>
      <c r="Z51" s="56"/>
      <c r="AB51" s="98"/>
      <c r="AC51" s="98"/>
    </row>
    <row r="52" spans="1:29" ht="20.25" customHeight="1" x14ac:dyDescent="0.35">
      <c r="A52" s="2" t="str">
        <f>'Week 1'!A52</f>
        <v>Martha</v>
      </c>
      <c r="B52" s="2" t="str">
        <f>'Week 1'!B52</f>
        <v>Evans Abraham</v>
      </c>
      <c r="C52" s="2" t="str">
        <f>Week1[[#This Row],[Department]]</f>
        <v>Sewing</v>
      </c>
      <c r="D52" s="22"/>
      <c r="E52" s="36">
        <f>'Week 1'!E52</f>
        <v>164</v>
      </c>
      <c r="F52" s="22">
        <v>40</v>
      </c>
      <c r="G52" s="101"/>
      <c r="H52" s="101"/>
      <c r="I52" s="101"/>
      <c r="J52" s="5">
        <f>IFERROR(D52/8, 0)</f>
        <v>0</v>
      </c>
      <c r="K52" s="27"/>
      <c r="L52" s="27">
        <f t="shared" si="44"/>
        <v>0</v>
      </c>
      <c r="M52" s="27">
        <f>IF(AND(Week2[[#This Row],[Job Income]]&lt;&gt;"", Week2[[#This Row],[Job Income]]&lt;Week2[[#This Row],[Basic    Hours]]*20.5), Week2[[#This Row],[Basic    Hours]]*20.5, 0)</f>
        <v>0</v>
      </c>
      <c r="N52" s="105">
        <f>(Week2[[#This Row],[Day Rates]]/8*Week2[[#This Row],[OT Hours]]*1.5)+(Week2[[#This Row],[Day Rates]]/8*Week2[[#This Row],[DT Hours]]*2)+(Week2[[#This Row],[Day Rates]]/8*Week2[[#This Row],[TT Hours]]*3)</f>
        <v>0</v>
      </c>
      <c r="O52" s="27"/>
      <c r="P52" s="27">
        <f t="shared" si="45"/>
        <v>0</v>
      </c>
      <c r="Q52" s="27">
        <f t="shared" si="29"/>
        <v>0</v>
      </c>
      <c r="R52" s="30" cm="1">
        <f t="array" ref="R52">_xlfn.IFS(
    K52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0</v>
      </c>
      <c r="S52" s="62">
        <f>IF(Week2[[#This Row],[Gross Wages ]]=0, 0, 8.25)</f>
        <v>0</v>
      </c>
      <c r="T52" s="32"/>
      <c r="U52" s="30">
        <f t="shared" si="30"/>
        <v>0</v>
      </c>
      <c r="V52" s="56"/>
      <c r="W52" s="22"/>
      <c r="Z52" s="56"/>
      <c r="AB52" s="98"/>
      <c r="AC52" s="98"/>
    </row>
    <row r="53" spans="1:29" ht="20.25" customHeight="1" x14ac:dyDescent="0.35">
      <c r="A53" s="2" t="str">
        <f>'Week 1'!A53</f>
        <v>Samantha</v>
      </c>
      <c r="B53" s="2" t="str">
        <f>'Week 1'!B53</f>
        <v>Chadee</v>
      </c>
      <c r="C53" s="2" t="str">
        <f>Week1[[#This Row],[Department]]</f>
        <v>Sewing</v>
      </c>
      <c r="D53" s="6"/>
      <c r="E53" s="36">
        <f>'Week 1'!E53</f>
        <v>164</v>
      </c>
      <c r="F53" s="22">
        <v>37</v>
      </c>
      <c r="G53" s="101"/>
      <c r="H53" s="101"/>
      <c r="I53" s="101"/>
      <c r="J53" s="5">
        <f t="shared" ref="J53:J89" si="46">IFERROR(F53/8, 0)</f>
        <v>4.625</v>
      </c>
      <c r="K53" s="27"/>
      <c r="L53" s="27">
        <f t="shared" si="44"/>
        <v>758.5</v>
      </c>
      <c r="M53" s="27">
        <f>IF(AND(Week2[[#This Row],[Job Income]]&lt;&gt;"", Week2[[#This Row],[Job Income]]&lt;Week2[[#This Row],[Basic    Hours]]*20.5), Week2[[#This Row],[Basic    Hours]]*20.5, 0)</f>
        <v>0</v>
      </c>
      <c r="N53" s="105">
        <f>(Week2[[#This Row],[Day Rates]]/8*Week2[[#This Row],[OT Hours]]*1.5)+(Week2[[#This Row],[Day Rates]]/8*Week2[[#This Row],[DT Hours]]*2)+(Week2[[#This Row],[Day Rates]]/8*Week2[[#This Row],[TT Hours]]*3)</f>
        <v>0</v>
      </c>
      <c r="O53" s="27"/>
      <c r="P53" s="27">
        <f t="shared" si="45"/>
        <v>0</v>
      </c>
      <c r="Q53" s="27">
        <f t="shared" si="29"/>
        <v>0</v>
      </c>
      <c r="R53" s="30" cm="1">
        <f t="array" ref="R53">_xlfn.IFS(
    K53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758.5</v>
      </c>
      <c r="S53" s="62">
        <f>IF(Week2[[#This Row],[Gross Wages ]]=0, 0, 8.25)</f>
        <v>8.25</v>
      </c>
      <c r="T53" s="32"/>
      <c r="U53" s="30">
        <f t="shared" si="30"/>
        <v>750.25</v>
      </c>
      <c r="V53" s="56"/>
      <c r="W53" s="22"/>
      <c r="Z53" s="56"/>
      <c r="AB53" s="98"/>
      <c r="AC53" s="98"/>
    </row>
    <row r="54" spans="1:29" ht="20.25" customHeight="1" x14ac:dyDescent="0.35">
      <c r="A54" s="2" t="str">
        <f>'Week 1'!A54</f>
        <v>Stacy Ann</v>
      </c>
      <c r="B54" s="2" t="str">
        <f>'Week 1'!B54</f>
        <v>Chadee</v>
      </c>
      <c r="C54" s="2" t="str">
        <f>Week1[[#This Row],[Department]]</f>
        <v>Sewing</v>
      </c>
      <c r="D54" s="6"/>
      <c r="E54" s="36">
        <f>'Week 1'!E54</f>
        <v>164</v>
      </c>
      <c r="F54" s="22">
        <v>28.25</v>
      </c>
      <c r="G54" s="101"/>
      <c r="H54" s="101"/>
      <c r="I54" s="101"/>
      <c r="J54" s="5">
        <f t="shared" si="46"/>
        <v>3.53125</v>
      </c>
      <c r="K54" s="27"/>
      <c r="L54" s="27">
        <f t="shared" si="44"/>
        <v>579.125</v>
      </c>
      <c r="M54" s="27">
        <f>IF(AND(Week2[[#This Row],[Job Income]]&lt;&gt;"", Week2[[#This Row],[Job Income]]&lt;Week2[[#This Row],[Basic    Hours]]*20.5), Week2[[#This Row],[Basic    Hours]]*20.5, 0)</f>
        <v>0</v>
      </c>
      <c r="N54" s="105">
        <f>(Week2[[#This Row],[Day Rates]]/8*Week2[[#This Row],[OT Hours]]*1.5)+(Week2[[#This Row],[Day Rates]]/8*Week2[[#This Row],[DT Hours]]*2)+(Week2[[#This Row],[Day Rates]]/8*Week2[[#This Row],[TT Hours]]*3)</f>
        <v>0</v>
      </c>
      <c r="O54" s="27"/>
      <c r="P54" s="27">
        <f t="shared" si="45"/>
        <v>0</v>
      </c>
      <c r="Q54" s="27">
        <f t="shared" si="29"/>
        <v>0</v>
      </c>
      <c r="R54" s="30" cm="1">
        <f t="array" ref="R54">_xlfn.IFS(
    K54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579.125</v>
      </c>
      <c r="S54" s="62">
        <f>IF(Week2[[#This Row],[Gross Wages ]]=0, 0, 8.25)</f>
        <v>8.25</v>
      </c>
      <c r="T54" s="32"/>
      <c r="U54" s="30">
        <f t="shared" si="30"/>
        <v>570.875</v>
      </c>
      <c r="V54" s="56"/>
      <c r="W54" s="22"/>
      <c r="Z54" s="56"/>
      <c r="AB54" s="98"/>
      <c r="AC54" s="98"/>
    </row>
    <row r="55" spans="1:29" ht="20.25" customHeight="1" x14ac:dyDescent="0.35">
      <c r="A55" s="2" t="str">
        <f>'Week 1'!A55</f>
        <v>Arlene</v>
      </c>
      <c r="B55" s="2" t="str">
        <f>'Week 1'!B55</f>
        <v>Moses</v>
      </c>
      <c r="C55" s="2" t="str">
        <f>Week1[[#This Row],[Department]]</f>
        <v>Sewing</v>
      </c>
      <c r="D55" s="6"/>
      <c r="E55" s="36">
        <f>'Week 1'!E55</f>
        <v>164</v>
      </c>
      <c r="F55" s="22">
        <v>36</v>
      </c>
      <c r="G55" s="101"/>
      <c r="H55" s="101"/>
      <c r="I55" s="101"/>
      <c r="J55" s="5">
        <f t="shared" si="46"/>
        <v>4.5</v>
      </c>
      <c r="K55" s="27"/>
      <c r="L55" s="27">
        <f t="shared" si="44"/>
        <v>738</v>
      </c>
      <c r="M55" s="27">
        <f>IF(AND(Week2[[#This Row],[Job Income]]&lt;&gt;"", Week2[[#This Row],[Job Income]]&lt;Week2[[#This Row],[Basic    Hours]]*20.5), Week2[[#This Row],[Basic    Hours]]*20.5, 0)</f>
        <v>0</v>
      </c>
      <c r="N55" s="105">
        <f>(Week2[[#This Row],[Day Rates]]/8*Week2[[#This Row],[OT Hours]]*1.5)+(Week2[[#This Row],[Day Rates]]/8*Week2[[#This Row],[DT Hours]]*2)+(Week2[[#This Row],[Day Rates]]/8*Week2[[#This Row],[TT Hours]]*3)</f>
        <v>0</v>
      </c>
      <c r="O55" s="27"/>
      <c r="P55" s="27">
        <f t="shared" si="45"/>
        <v>0</v>
      </c>
      <c r="Q55" s="27">
        <f t="shared" si="29"/>
        <v>0</v>
      </c>
      <c r="R55" s="30" cm="1">
        <f t="array" ref="R55">_xlfn.IFS(
    K55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738</v>
      </c>
      <c r="S55" s="62">
        <f>IF(Week2[[#This Row],[Gross Wages ]]=0, 0, 8.25)</f>
        <v>8.25</v>
      </c>
      <c r="T55" s="32"/>
      <c r="U55" s="30">
        <f t="shared" si="30"/>
        <v>729.75</v>
      </c>
      <c r="V55" s="56"/>
      <c r="W55" s="22"/>
      <c r="Z55" s="56"/>
      <c r="AB55" s="98"/>
      <c r="AC55" s="98"/>
    </row>
    <row r="56" spans="1:29" ht="20.25" customHeight="1" x14ac:dyDescent="0.35">
      <c r="A56" s="2" t="str">
        <f>'Week 1'!A56</f>
        <v>Samantha</v>
      </c>
      <c r="B56" s="2" t="str">
        <f>'Week 1'!B56</f>
        <v>Phillip</v>
      </c>
      <c r="C56" s="2" t="str">
        <f>Week1[[#This Row],[Department]]</f>
        <v>Sewing</v>
      </c>
      <c r="D56" s="7" t="s">
        <v>209</v>
      </c>
      <c r="E56" s="36">
        <f>'Week 1'!E56</f>
        <v>164</v>
      </c>
      <c r="F56" s="22">
        <f>32+8</f>
        <v>40</v>
      </c>
      <c r="G56" s="101"/>
      <c r="H56" s="101"/>
      <c r="I56" s="101"/>
      <c r="J56" s="5">
        <f t="shared" si="46"/>
        <v>5</v>
      </c>
      <c r="K56" s="27"/>
      <c r="L56" s="27">
        <f t="shared" si="44"/>
        <v>820</v>
      </c>
      <c r="M56" s="27">
        <f>IF(AND(Week2[[#This Row],[Job Income]]&lt;&gt;"", Week2[[#This Row],[Job Income]]&lt;Week2[[#This Row],[Basic    Hours]]*20.5), Week2[[#This Row],[Basic    Hours]]*20.5, 0)</f>
        <v>0</v>
      </c>
      <c r="N56" s="105">
        <f>(Week2[[#This Row],[Day Rates]]/8*Week2[[#This Row],[OT Hours]]*1.5)+(Week2[[#This Row],[Day Rates]]/8*Week2[[#This Row],[DT Hours]]*2)+(Week2[[#This Row],[Day Rates]]/8*Week2[[#This Row],[TT Hours]]*3)</f>
        <v>0</v>
      </c>
      <c r="O56" s="27"/>
      <c r="P56" s="27">
        <f t="shared" si="45"/>
        <v>0</v>
      </c>
      <c r="Q56" s="27">
        <f t="shared" si="29"/>
        <v>0</v>
      </c>
      <c r="R56" s="30" cm="1">
        <f t="array" ref="R56">_xlfn.IFS(
    K56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820</v>
      </c>
      <c r="S56" s="62">
        <f>IF(Week2[[#This Row],[Gross Wages ]]=0, 0, 8.25)</f>
        <v>8.25</v>
      </c>
      <c r="T56" s="32"/>
      <c r="U56" s="30">
        <f t="shared" si="30"/>
        <v>811.75</v>
      </c>
      <c r="V56" s="56"/>
      <c r="W56" s="22"/>
      <c r="Z56" s="56"/>
      <c r="AB56" s="98"/>
      <c r="AC56" s="98"/>
    </row>
    <row r="57" spans="1:29" ht="20.25" customHeight="1" x14ac:dyDescent="0.35">
      <c r="A57" s="2" t="str">
        <f>'Week 1'!A57</f>
        <v>Kiselle</v>
      </c>
      <c r="B57" s="2" t="str">
        <f>'Week 1'!B57</f>
        <v>Ramdial</v>
      </c>
      <c r="C57" s="2" t="str">
        <f>Week1[[#This Row],[Department]]</f>
        <v>Sewing</v>
      </c>
      <c r="D57" s="7"/>
      <c r="E57" s="36">
        <f>'Week 1'!E57</f>
        <v>164</v>
      </c>
      <c r="F57" s="22">
        <v>37.5</v>
      </c>
      <c r="G57" s="101"/>
      <c r="H57" s="101"/>
      <c r="I57" s="101"/>
      <c r="J57" s="5">
        <f t="shared" si="46"/>
        <v>4.6875</v>
      </c>
      <c r="K57" s="27"/>
      <c r="L57" s="27">
        <f t="shared" si="44"/>
        <v>768.75</v>
      </c>
      <c r="M57" s="27">
        <f>IF(AND(Week2[[#This Row],[Job Income]]&lt;&gt;"", Week2[[#This Row],[Job Income]]&lt;Week2[[#This Row],[Basic    Hours]]*20.5), Week2[[#This Row],[Basic    Hours]]*20.5, 0)</f>
        <v>0</v>
      </c>
      <c r="N57" s="105">
        <f>(Week2[[#This Row],[Day Rates]]/8*Week2[[#This Row],[OT Hours]]*1.5)+(Week2[[#This Row],[Day Rates]]/8*Week2[[#This Row],[DT Hours]]*2)+(Week2[[#This Row],[Day Rates]]/8*Week2[[#This Row],[TT Hours]]*3)</f>
        <v>0</v>
      </c>
      <c r="O57" s="27"/>
      <c r="P57" s="27">
        <f t="shared" si="45"/>
        <v>0</v>
      </c>
      <c r="Q57" s="27">
        <f t="shared" si="29"/>
        <v>0</v>
      </c>
      <c r="R57" s="30" cm="1">
        <f t="array" ref="R57">_xlfn.IFS(
    K57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768.75</v>
      </c>
      <c r="S57" s="62">
        <f>IF(Week2[[#This Row],[Gross Wages ]]=0, 0, 8.25)</f>
        <v>8.25</v>
      </c>
      <c r="T57" s="32"/>
      <c r="U57" s="30">
        <f t="shared" si="30"/>
        <v>760.5</v>
      </c>
      <c r="V57" s="56"/>
      <c r="W57" s="22"/>
      <c r="Z57" s="56"/>
      <c r="AB57" s="98"/>
      <c r="AC57" s="98"/>
    </row>
    <row r="58" spans="1:29" ht="20.25" customHeight="1" x14ac:dyDescent="0.35">
      <c r="A58" s="2" t="str">
        <f>'Week 1'!A58</f>
        <v>Onica</v>
      </c>
      <c r="B58" s="2" t="str">
        <f>'Week 1'!B58</f>
        <v>Olton</v>
      </c>
      <c r="C58" s="2" t="str">
        <f>Week1[[#This Row],[Department]]</f>
        <v>Sewing</v>
      </c>
      <c r="D58" s="6"/>
      <c r="E58" s="36">
        <f>'Week 1'!E58</f>
        <v>164</v>
      </c>
      <c r="F58" s="22">
        <v>40</v>
      </c>
      <c r="G58" s="101"/>
      <c r="H58" s="101"/>
      <c r="I58" s="101"/>
      <c r="J58" s="5">
        <f t="shared" si="46"/>
        <v>5</v>
      </c>
      <c r="K58" s="27"/>
      <c r="L58" s="27">
        <f t="shared" si="44"/>
        <v>820</v>
      </c>
      <c r="M58" s="27">
        <f>IF(AND(Week2[[#This Row],[Job Income]]&lt;&gt;"", Week2[[#This Row],[Job Income]]&lt;Week2[[#This Row],[Basic    Hours]]*20.5), Week2[[#This Row],[Basic    Hours]]*20.5, 0)</f>
        <v>0</v>
      </c>
      <c r="N58" s="105">
        <f>(Week2[[#This Row],[Day Rates]]/8*Week2[[#This Row],[OT Hours]]*1.5)+(Week2[[#This Row],[Day Rates]]/8*Week2[[#This Row],[DT Hours]]*2)+(Week2[[#This Row],[Day Rates]]/8*Week2[[#This Row],[TT Hours]]*3)</f>
        <v>0</v>
      </c>
      <c r="O58" s="27"/>
      <c r="P58" s="27">
        <f t="shared" si="45"/>
        <v>0</v>
      </c>
      <c r="Q58" s="27">
        <f t="shared" si="29"/>
        <v>0</v>
      </c>
      <c r="R58" s="30" cm="1">
        <f t="array" ref="R58">_xlfn.IFS(
    K58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820</v>
      </c>
      <c r="S58" s="62">
        <f>IF(Week2[[#This Row],[Gross Wages ]]=0, 0, 8.25)</f>
        <v>8.25</v>
      </c>
      <c r="T58" s="32"/>
      <c r="U58" s="30">
        <f t="shared" si="30"/>
        <v>811.75</v>
      </c>
      <c r="V58" s="56"/>
      <c r="W58" s="22"/>
      <c r="Z58" s="22"/>
      <c r="AB58" s="98"/>
      <c r="AC58" s="98"/>
    </row>
    <row r="59" spans="1:29" ht="20.25" customHeight="1" x14ac:dyDescent="0.35">
      <c r="A59" s="2" t="s">
        <v>143</v>
      </c>
      <c r="B59" s="2" t="s">
        <v>144</v>
      </c>
      <c r="C59" s="2" t="str">
        <f>Week1[[#This Row],[Department]]</f>
        <v>Sewing</v>
      </c>
      <c r="D59" s="7"/>
      <c r="E59" s="36">
        <f>'Week 1'!E59</f>
        <v>164</v>
      </c>
      <c r="F59" s="22"/>
      <c r="G59" s="101"/>
      <c r="H59" s="101"/>
      <c r="I59" s="101"/>
      <c r="J59" s="5">
        <f t="shared" si="46"/>
        <v>0</v>
      </c>
      <c r="K59" s="27"/>
      <c r="L59" s="27">
        <f t="shared" si="44"/>
        <v>0</v>
      </c>
      <c r="M59" s="27">
        <f>IF(AND(Week2[[#This Row],[Job Income]]&lt;&gt;"", Week2[[#This Row],[Job Income]]&lt;Week2[[#This Row],[Basic    Hours]]*20.5), Week2[[#This Row],[Basic    Hours]]*20.5, 0)</f>
        <v>0</v>
      </c>
      <c r="N59" s="105">
        <f>(Week2[[#This Row],[Day Rates]]/8*Week2[[#This Row],[OT Hours]]*1.5)+(Week2[[#This Row],[Day Rates]]/8*Week2[[#This Row],[DT Hours]]*2)+(Week2[[#This Row],[Day Rates]]/8*Week2[[#This Row],[TT Hours]]*3)</f>
        <v>0</v>
      </c>
      <c r="O59" s="27"/>
      <c r="P59" s="27">
        <f t="shared" si="45"/>
        <v>0</v>
      </c>
      <c r="Q59" s="27">
        <f t="shared" si="29"/>
        <v>0</v>
      </c>
      <c r="R59" s="30" cm="1">
        <f t="array" ref="R59">_xlfn.IFS(
    K59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0</v>
      </c>
      <c r="S59" s="34"/>
      <c r="T59" s="32"/>
      <c r="U59" s="30">
        <f t="shared" si="30"/>
        <v>0</v>
      </c>
      <c r="V59" s="56"/>
      <c r="W59" s="22"/>
      <c r="Z59" s="56"/>
      <c r="AB59" s="98"/>
      <c r="AC59" s="98"/>
    </row>
    <row r="60" spans="1:29" ht="20.25" customHeight="1" x14ac:dyDescent="0.35">
      <c r="A60" s="2" t="str">
        <f>'Week 1'!A60</f>
        <v>Elena</v>
      </c>
      <c r="B60" s="2" t="str">
        <f>'Week 1'!B60</f>
        <v>Sulbaran</v>
      </c>
      <c r="C60" s="2" t="str">
        <f>Week1[[#This Row],[Department]]</f>
        <v>Sewing</v>
      </c>
      <c r="D60" s="3"/>
      <c r="E60" s="36">
        <f>'Week 1'!E60</f>
        <v>164</v>
      </c>
      <c r="F60" s="22">
        <v>40</v>
      </c>
      <c r="G60" s="101"/>
      <c r="H60" s="101"/>
      <c r="I60" s="101"/>
      <c r="J60" s="5">
        <f t="shared" si="46"/>
        <v>5</v>
      </c>
      <c r="K60" s="27"/>
      <c r="L60" s="27">
        <f t="shared" si="44"/>
        <v>820</v>
      </c>
      <c r="M60" s="27">
        <f>IF(AND(Week2[[#This Row],[Job Income]]&lt;&gt;"", Week2[[#This Row],[Job Income]]&lt;Week2[[#This Row],[Basic    Hours]]*20.5), Week2[[#This Row],[Basic    Hours]]*20.5, 0)</f>
        <v>0</v>
      </c>
      <c r="N60" s="105">
        <f>(Week2[[#This Row],[Day Rates]]/8*Week2[[#This Row],[OT Hours]]*1.5)+(Week2[[#This Row],[Day Rates]]/8*Week2[[#This Row],[DT Hours]]*2)+(Week2[[#This Row],[Day Rates]]/8*Week2[[#This Row],[TT Hours]]*3)</f>
        <v>0</v>
      </c>
      <c r="O60" s="27"/>
      <c r="P60" s="27">
        <f t="shared" si="45"/>
        <v>0</v>
      </c>
      <c r="Q60" s="27">
        <f t="shared" si="29"/>
        <v>0</v>
      </c>
      <c r="R60" s="30" cm="1">
        <f t="array" ref="R60">_xlfn.IFS(
    K60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820</v>
      </c>
      <c r="S60" s="60"/>
      <c r="T60" s="32"/>
      <c r="U60" s="30">
        <f t="shared" si="30"/>
        <v>820</v>
      </c>
      <c r="V60" s="56"/>
      <c r="W60" s="22"/>
      <c r="Z60" s="22"/>
      <c r="AB60" s="98"/>
      <c r="AC60" s="98"/>
    </row>
    <row r="61" spans="1:29" ht="20.25" customHeight="1" x14ac:dyDescent="0.35">
      <c r="A61" s="2" t="str">
        <f>'Week 1'!A61</f>
        <v>Leticia</v>
      </c>
      <c r="B61" s="2" t="str">
        <f>'Week 1'!B61</f>
        <v>Lanza</v>
      </c>
      <c r="C61" s="2" t="str">
        <f>Week1[[#This Row],[Department]]</f>
        <v>Sewing</v>
      </c>
      <c r="D61" s="3"/>
      <c r="E61" s="36">
        <f>'Week 1'!E61</f>
        <v>164</v>
      </c>
      <c r="F61" s="22">
        <v>40</v>
      </c>
      <c r="G61" s="101"/>
      <c r="H61" s="101"/>
      <c r="I61" s="101"/>
      <c r="J61" s="5">
        <f t="shared" si="46"/>
        <v>5</v>
      </c>
      <c r="K61" s="27"/>
      <c r="L61" s="27">
        <f t="shared" si="44"/>
        <v>820</v>
      </c>
      <c r="M61" s="27">
        <f>IF(AND(Week2[[#This Row],[Job Income]]&lt;&gt;"", Week2[[#This Row],[Job Income]]&lt;Week2[[#This Row],[Basic    Hours]]*20.5), Week2[[#This Row],[Basic    Hours]]*20.5, 0)</f>
        <v>0</v>
      </c>
      <c r="N61" s="105">
        <f>(Week2[[#This Row],[Day Rates]]/8*Week2[[#This Row],[OT Hours]]*1.5)+(Week2[[#This Row],[Day Rates]]/8*Week2[[#This Row],[DT Hours]]*2)+(Week2[[#This Row],[Day Rates]]/8*Week2[[#This Row],[TT Hours]]*3)</f>
        <v>0</v>
      </c>
      <c r="O61" s="27"/>
      <c r="P61" s="27">
        <f>IF(K61-L61&lt;=0, 0, K61-L61)</f>
        <v>0</v>
      </c>
      <c r="Q61" s="27">
        <f>IFERROR(N61+O61+P61, 0)</f>
        <v>0</v>
      </c>
      <c r="R61" s="30" cm="1">
        <f t="array" ref="R61">_xlfn.IFS(
    K61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820</v>
      </c>
      <c r="S61" s="61"/>
      <c r="T61" s="32"/>
      <c r="U61" s="30">
        <f t="shared" si="30"/>
        <v>820</v>
      </c>
      <c r="V61" s="56"/>
      <c r="W61" s="22"/>
      <c r="Z61" s="56"/>
      <c r="AB61" s="98"/>
      <c r="AC61" s="98"/>
    </row>
    <row r="62" spans="1:29" ht="20.25" customHeight="1" x14ac:dyDescent="0.35">
      <c r="A62" s="2" t="s">
        <v>149</v>
      </c>
      <c r="B62" s="2" t="s">
        <v>150</v>
      </c>
      <c r="C62" s="2" t="str">
        <f>Week1[[#This Row],[Department]]</f>
        <v>Sewing</v>
      </c>
      <c r="D62" s="3"/>
      <c r="E62" s="36">
        <f>'Week 1'!E62</f>
        <v>164</v>
      </c>
      <c r="F62" s="22">
        <v>40</v>
      </c>
      <c r="G62" s="101"/>
      <c r="H62" s="101"/>
      <c r="I62" s="101"/>
      <c r="J62" s="5">
        <f t="shared" si="46"/>
        <v>5</v>
      </c>
      <c r="K62" s="27"/>
      <c r="L62" s="29">
        <f t="shared" si="44"/>
        <v>820</v>
      </c>
      <c r="M62" s="27">
        <f>IF(AND(Week2[[#This Row],[Job Income]]&lt;&gt;"", Week2[[#This Row],[Job Income]]&lt;Week2[[#This Row],[Basic    Hours]]*20.5), Week2[[#This Row],[Basic    Hours]]*20.5, 0)</f>
        <v>0</v>
      </c>
      <c r="N62" s="105">
        <f>(Week2[[#This Row],[Day Rates]]/8*Week2[[#This Row],[OT Hours]]*1.5)+(Week2[[#This Row],[Day Rates]]/8*Week2[[#This Row],[DT Hours]]*2)+(Week2[[#This Row],[Day Rates]]/8*Week2[[#This Row],[TT Hours]]*3)</f>
        <v>0</v>
      </c>
      <c r="O62" s="27"/>
      <c r="P62" s="27">
        <f t="shared" si="45"/>
        <v>0</v>
      </c>
      <c r="Q62" s="27">
        <f t="shared" si="29"/>
        <v>0</v>
      </c>
      <c r="R62" s="30" cm="1">
        <f t="array" ref="R62">_xlfn.IFS(
    K62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820</v>
      </c>
      <c r="S62" s="62">
        <f>IF(Week2[[#This Row],[Gross Wages ]]=0, 0, 8.25)</f>
        <v>8.25</v>
      </c>
      <c r="T62" s="32"/>
      <c r="U62" s="30">
        <f t="shared" ref="U62:U86" si="47">R62-SUM(S62:T62)</f>
        <v>811.75</v>
      </c>
      <c r="V62" s="56"/>
      <c r="W62" s="22"/>
      <c r="Z62" s="56"/>
      <c r="AB62" s="98"/>
      <c r="AC62" s="98"/>
    </row>
    <row r="63" spans="1:29" ht="20.25" customHeight="1" x14ac:dyDescent="0.35">
      <c r="A63" s="2" t="s">
        <v>151</v>
      </c>
      <c r="B63" s="2" t="s">
        <v>152</v>
      </c>
      <c r="C63" s="2" t="str">
        <f>Week1[[#This Row],[Department]]</f>
        <v>Sewing</v>
      </c>
      <c r="D63" s="3"/>
      <c r="E63" s="36">
        <f>'Week 1'!E63</f>
        <v>164</v>
      </c>
      <c r="F63" s="22">
        <v>40</v>
      </c>
      <c r="G63" s="101"/>
      <c r="H63" s="101"/>
      <c r="I63" s="101"/>
      <c r="J63" s="5">
        <f t="shared" si="46"/>
        <v>5</v>
      </c>
      <c r="K63" s="27"/>
      <c r="L63" s="29">
        <f t="shared" si="44"/>
        <v>820</v>
      </c>
      <c r="M63" s="27">
        <f>IF(AND(Week2[[#This Row],[Job Income]]&lt;&gt;"", Week2[[#This Row],[Job Income]]&lt;Week2[[#This Row],[Basic    Hours]]*20.5), Week2[[#This Row],[Basic    Hours]]*20.5, 0)</f>
        <v>0</v>
      </c>
      <c r="N63" s="105">
        <f>(Week2[[#This Row],[Day Rates]]/8*Week2[[#This Row],[OT Hours]]*1.5)+(Week2[[#This Row],[Day Rates]]/8*Week2[[#This Row],[DT Hours]]*2)+(Week2[[#This Row],[Day Rates]]/8*Week2[[#This Row],[TT Hours]]*3)</f>
        <v>0</v>
      </c>
      <c r="O63" s="27"/>
      <c r="P63" s="27">
        <f t="shared" ref="P63:P64" si="48">IF(K63-L63&lt;=0, 0, K63-L63)</f>
        <v>0</v>
      </c>
      <c r="Q63" s="27">
        <f t="shared" ref="Q63:Q64" si="49">IFERROR(N63+O63+P63, 0)</f>
        <v>0</v>
      </c>
      <c r="R63" s="30" cm="1">
        <f t="array" ref="R63">_xlfn.IFS(
    K63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820</v>
      </c>
      <c r="S63" s="62">
        <f>IF(Week2[[#This Row],[Gross Wages ]]=0, 0, 8.25)</f>
        <v>8.25</v>
      </c>
      <c r="T63" s="32"/>
      <c r="U63" s="30">
        <f t="shared" ref="U63:U64" si="50">R63-SUM(S63:T63)</f>
        <v>811.75</v>
      </c>
      <c r="V63" s="56"/>
      <c r="W63" s="22"/>
      <c r="Z63" s="56"/>
      <c r="AB63" s="98"/>
      <c r="AC63" s="98"/>
    </row>
    <row r="64" spans="1:29" ht="20.25" customHeight="1" x14ac:dyDescent="0.35">
      <c r="A64" s="2" t="s">
        <v>153</v>
      </c>
      <c r="B64" s="2" t="s">
        <v>154</v>
      </c>
      <c r="C64" s="2" t="str">
        <f>Week1[[#This Row],[Department]]</f>
        <v>Sewing</v>
      </c>
      <c r="D64" s="3"/>
      <c r="E64" s="36">
        <f>'Week 1'!E64</f>
        <v>164</v>
      </c>
      <c r="F64" s="22">
        <v>40</v>
      </c>
      <c r="G64" s="101"/>
      <c r="H64" s="101"/>
      <c r="I64" s="101"/>
      <c r="J64" s="5">
        <f t="shared" si="46"/>
        <v>5</v>
      </c>
      <c r="K64" s="27"/>
      <c r="L64" s="29">
        <f t="shared" si="44"/>
        <v>820</v>
      </c>
      <c r="M64" s="27">
        <f>IF(AND(Week2[[#This Row],[Job Income]]&lt;&gt;"", Week2[[#This Row],[Job Income]]&lt;Week2[[#This Row],[Basic    Hours]]*20.5), Week2[[#This Row],[Basic    Hours]]*20.5, 0)</f>
        <v>0</v>
      </c>
      <c r="N64" s="105">
        <f>(Week2[[#This Row],[Day Rates]]/8*Week2[[#This Row],[OT Hours]]*1.5)+(Week2[[#This Row],[Day Rates]]/8*Week2[[#This Row],[DT Hours]]*2)+(Week2[[#This Row],[Day Rates]]/8*Week2[[#This Row],[TT Hours]]*3)</f>
        <v>0</v>
      </c>
      <c r="O64" s="27"/>
      <c r="P64" s="27">
        <f t="shared" si="48"/>
        <v>0</v>
      </c>
      <c r="Q64" s="27">
        <f t="shared" si="49"/>
        <v>0</v>
      </c>
      <c r="R64" s="30" cm="1">
        <f t="array" ref="R64">_xlfn.IFS(
    K64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820</v>
      </c>
      <c r="S64" s="62">
        <f>IF(Week2[[#This Row],[Gross Wages ]]=0, 0, 8.25)</f>
        <v>8.25</v>
      </c>
      <c r="T64" s="32"/>
      <c r="U64" s="30">
        <f t="shared" si="50"/>
        <v>811.75</v>
      </c>
      <c r="V64" s="56"/>
      <c r="W64" s="22"/>
      <c r="Z64" s="56"/>
      <c r="AB64" s="98"/>
      <c r="AC64" s="98"/>
    </row>
    <row r="65" spans="1:29" ht="20.25" customHeight="1" x14ac:dyDescent="0.35">
      <c r="A65" s="2" t="str">
        <f>'Week 1'!A65</f>
        <v>Akhenaton</v>
      </c>
      <c r="B65" s="2" t="str">
        <f>'Week 1'!B65</f>
        <v>Ellis</v>
      </c>
      <c r="C65" s="2" t="str">
        <f>Week1[[#This Row],[Department]]</f>
        <v>Upholstery</v>
      </c>
      <c r="D65" s="6"/>
      <c r="E65" s="36">
        <f>'Week 1'!E65</f>
        <v>200</v>
      </c>
      <c r="F65" s="22">
        <v>40</v>
      </c>
      <c r="G65" s="101"/>
      <c r="H65" s="101"/>
      <c r="I65" s="101"/>
      <c r="J65" s="5">
        <f t="shared" si="46"/>
        <v>5</v>
      </c>
      <c r="K65" s="27"/>
      <c r="L65" s="27">
        <f t="shared" si="44"/>
        <v>1000</v>
      </c>
      <c r="M65" s="27">
        <f>IF(AND(Week2[[#This Row],[Job Income]]&lt;&gt;"", Week2[[#This Row],[Job Income]]&lt;Week2[[#This Row],[Basic    Hours]]*20.5), Week2[[#This Row],[Basic    Hours]]*20.5, 0)</f>
        <v>0</v>
      </c>
      <c r="N65" s="105">
        <f>(Week2[[#This Row],[Day Rates]]/8*Week2[[#This Row],[OT Hours]]*1.5)+(Week2[[#This Row],[Day Rates]]/8*Week2[[#This Row],[DT Hours]]*2)+(Week2[[#This Row],[Day Rates]]/8*Week2[[#This Row],[TT Hours]]*3)</f>
        <v>0</v>
      </c>
      <c r="O65" s="27"/>
      <c r="P65" s="27">
        <f t="shared" si="45"/>
        <v>0</v>
      </c>
      <c r="Q65" s="27">
        <f t="shared" si="29"/>
        <v>0</v>
      </c>
      <c r="R65" s="30" cm="1">
        <f t="array" ref="R65">_xlfn.IFS(
    K65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65" s="62">
        <f>IF(Week2[[#This Row],[Gross Wages ]]=0, 0, 8.25)</f>
        <v>8.25</v>
      </c>
      <c r="T65" s="32"/>
      <c r="U65" s="30">
        <f>R65-SUM(S65:T65)</f>
        <v>991.75</v>
      </c>
      <c r="V65" s="56"/>
      <c r="W65" s="22"/>
      <c r="Z65" s="56"/>
      <c r="AB65" s="98"/>
      <c r="AC65" s="98"/>
    </row>
    <row r="66" spans="1:29" ht="20.25" customHeight="1" x14ac:dyDescent="0.35">
      <c r="A66" s="2" t="str">
        <f>'Week 1'!A66</f>
        <v>Kerry</v>
      </c>
      <c r="B66" s="2" t="str">
        <f>'Week 1'!B66</f>
        <v>Thomas</v>
      </c>
      <c r="C66" s="2" t="str">
        <f>Week1[[#This Row],[Department]]</f>
        <v>Upholstery</v>
      </c>
      <c r="D66" s="6"/>
      <c r="E66" s="36">
        <f>'Week 1'!E66</f>
        <v>200</v>
      </c>
      <c r="F66" s="22">
        <v>40</v>
      </c>
      <c r="G66" s="101"/>
      <c r="H66" s="101"/>
      <c r="I66" s="101"/>
      <c r="J66" s="5">
        <f t="shared" si="46"/>
        <v>5</v>
      </c>
      <c r="K66" s="27"/>
      <c r="L66" s="27">
        <f t="shared" si="44"/>
        <v>1000</v>
      </c>
      <c r="M66" s="27">
        <f>IF(AND(Week2[[#This Row],[Job Income]]&lt;&gt;"", Week2[[#This Row],[Job Income]]&lt;Week2[[#This Row],[Basic    Hours]]*20.5), Week2[[#This Row],[Basic    Hours]]*20.5, 0)</f>
        <v>0</v>
      </c>
      <c r="N66" s="105">
        <f>(Week2[[#This Row],[Day Rates]]/8*Week2[[#This Row],[OT Hours]]*1.5)+(Week2[[#This Row],[Day Rates]]/8*Week2[[#This Row],[DT Hours]]*2)+(Week2[[#This Row],[Day Rates]]/8*Week2[[#This Row],[TT Hours]]*3)</f>
        <v>0</v>
      </c>
      <c r="O66" s="27"/>
      <c r="P66" s="27">
        <f t="shared" si="45"/>
        <v>0</v>
      </c>
      <c r="Q66" s="27">
        <f t="shared" si="29"/>
        <v>0</v>
      </c>
      <c r="R66" s="30" cm="1">
        <f t="array" ref="R66">_xlfn.IFS(
    K66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66" s="62">
        <f>IF(Week2[[#This Row],[Gross Wages ]]=0, 0, 8.25)</f>
        <v>8.25</v>
      </c>
      <c r="T66" s="32"/>
      <c r="U66" s="30">
        <f t="shared" si="47"/>
        <v>991.75</v>
      </c>
      <c r="V66" s="56"/>
      <c r="W66" s="22"/>
      <c r="Z66" s="56"/>
    </row>
    <row r="67" spans="1:29" ht="20.25" customHeight="1" x14ac:dyDescent="0.35">
      <c r="A67" s="2" t="str">
        <f>'Week 1'!A67</f>
        <v xml:space="preserve">Miguelangel  </v>
      </c>
      <c r="B67" s="2" t="str">
        <f>'Week 1'!B67</f>
        <v>Bermudez</v>
      </c>
      <c r="C67" s="2" t="str">
        <f>Week1[[#This Row],[Department]]</f>
        <v>Upholstery</v>
      </c>
      <c r="D67" s="6"/>
      <c r="E67" s="36">
        <f>'Week 1'!E67</f>
        <v>200</v>
      </c>
      <c r="F67" s="22">
        <v>40</v>
      </c>
      <c r="G67" s="101"/>
      <c r="H67" s="101"/>
      <c r="I67" s="101"/>
      <c r="J67" s="5">
        <f t="shared" si="46"/>
        <v>5</v>
      </c>
      <c r="K67" s="27"/>
      <c r="L67" s="27">
        <f t="shared" si="44"/>
        <v>1000</v>
      </c>
      <c r="M67" s="27">
        <f>IF(AND(Week2[[#This Row],[Job Income]]&lt;&gt;"", Week2[[#This Row],[Job Income]]&lt;Week2[[#This Row],[Basic    Hours]]*20.5), Week2[[#This Row],[Basic    Hours]]*20.5, 0)</f>
        <v>0</v>
      </c>
      <c r="N67" s="105">
        <f>(Week2[[#This Row],[Day Rates]]/8*Week2[[#This Row],[OT Hours]]*1.5)+(Week2[[#This Row],[Day Rates]]/8*Week2[[#This Row],[DT Hours]]*2)+(Week2[[#This Row],[Day Rates]]/8*Week2[[#This Row],[TT Hours]]*3)</f>
        <v>0</v>
      </c>
      <c r="O67" s="27"/>
      <c r="P67" s="27">
        <f t="shared" si="45"/>
        <v>0</v>
      </c>
      <c r="Q67" s="27">
        <f t="shared" si="29"/>
        <v>0</v>
      </c>
      <c r="R67" s="30" cm="1">
        <f t="array" ref="R67">_xlfn.IFS(
    K67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67" s="34"/>
      <c r="T67" s="32"/>
      <c r="U67" s="30">
        <f t="shared" si="47"/>
        <v>1000</v>
      </c>
      <c r="V67" s="56"/>
      <c r="W67" s="22"/>
      <c r="Z67" s="56"/>
      <c r="AB67" s="98"/>
      <c r="AC67" s="98"/>
    </row>
    <row r="68" spans="1:29" ht="20.25" customHeight="1" x14ac:dyDescent="0.35">
      <c r="A68" s="2" t="str">
        <f>'Week 1'!A68</f>
        <v>Shalane</v>
      </c>
      <c r="B68" s="2" t="str">
        <f>'Week 1'!B68</f>
        <v>St Clair</v>
      </c>
      <c r="C68" s="2" t="str">
        <f>Week1[[#This Row],[Department]]</f>
        <v>Upholstery</v>
      </c>
      <c r="D68" s="7" t="s">
        <v>207</v>
      </c>
      <c r="E68" s="36">
        <f>'Week 1'!E68</f>
        <v>200</v>
      </c>
      <c r="F68" s="22">
        <f>32+8</f>
        <v>40</v>
      </c>
      <c r="G68" s="101"/>
      <c r="H68" s="101"/>
      <c r="I68" s="101"/>
      <c r="J68" s="5">
        <f t="shared" si="46"/>
        <v>5</v>
      </c>
      <c r="K68" s="27"/>
      <c r="L68" s="27">
        <f t="shared" si="44"/>
        <v>1000</v>
      </c>
      <c r="M68" s="27">
        <f>IF(AND(Week2[[#This Row],[Job Income]]&lt;&gt;"", Week2[[#This Row],[Job Income]]&lt;Week2[[#This Row],[Basic    Hours]]*20.5), Week2[[#This Row],[Basic    Hours]]*20.5, 0)</f>
        <v>0</v>
      </c>
      <c r="N68" s="105">
        <f>(Week2[[#This Row],[Day Rates]]/8*Week2[[#This Row],[OT Hours]]*1.5)+(Week2[[#This Row],[Day Rates]]/8*Week2[[#This Row],[DT Hours]]*2)+(Week2[[#This Row],[Day Rates]]/8*Week2[[#This Row],[TT Hours]]*3)</f>
        <v>0</v>
      </c>
      <c r="O68" s="27"/>
      <c r="P68" s="27">
        <f t="shared" si="45"/>
        <v>0</v>
      </c>
      <c r="Q68" s="27">
        <f t="shared" si="29"/>
        <v>0</v>
      </c>
      <c r="R68" s="30" cm="1">
        <f t="array" ref="R68">_xlfn.IFS(
    K68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68" s="62">
        <f>IF(Week2[[#This Row],[Gross Wages ]]=0, 0, 8.25)</f>
        <v>8.25</v>
      </c>
      <c r="T68" s="32"/>
      <c r="U68" s="30">
        <f t="shared" si="47"/>
        <v>991.75</v>
      </c>
      <c r="V68" s="56"/>
      <c r="W68" s="22"/>
      <c r="Z68" s="56"/>
      <c r="AB68" s="98"/>
      <c r="AC68" s="98"/>
    </row>
    <row r="69" spans="1:29" ht="20.25" customHeight="1" x14ac:dyDescent="0.35">
      <c r="A69" s="2" t="s">
        <v>162</v>
      </c>
      <c r="B69" s="2" t="s">
        <v>163</v>
      </c>
      <c r="C69" s="2" t="str">
        <f>Week1[[#This Row],[Department]]</f>
        <v>Upholstery</v>
      </c>
      <c r="D69" s="7"/>
      <c r="E69" s="36">
        <f>'Week 1'!E69</f>
        <v>200</v>
      </c>
      <c r="F69" s="22">
        <v>32</v>
      </c>
      <c r="G69" s="101"/>
      <c r="H69" s="101"/>
      <c r="I69" s="101"/>
      <c r="J69" s="5">
        <f t="shared" si="46"/>
        <v>4</v>
      </c>
      <c r="K69" s="27"/>
      <c r="L69" s="27">
        <f t="shared" si="44"/>
        <v>800</v>
      </c>
      <c r="M69" s="27">
        <f>IF(AND(Week2[[#This Row],[Job Income]]&lt;&gt;"", Week2[[#This Row],[Job Income]]&lt;Week2[[#This Row],[Basic    Hours]]*20.5), Week2[[#This Row],[Basic    Hours]]*20.5, 0)</f>
        <v>0</v>
      </c>
      <c r="N69" s="105">
        <f>(Week2[[#This Row],[Day Rates]]/8*Week2[[#This Row],[OT Hours]]*1.5)+(Week2[[#This Row],[Day Rates]]/8*Week2[[#This Row],[DT Hours]]*2)+(Week2[[#This Row],[Day Rates]]/8*Week2[[#This Row],[TT Hours]]*3)</f>
        <v>0</v>
      </c>
      <c r="O69" s="27"/>
      <c r="P69" s="27">
        <f t="shared" si="45"/>
        <v>0</v>
      </c>
      <c r="Q69" s="27">
        <f t="shared" si="29"/>
        <v>0</v>
      </c>
      <c r="R69" s="30" cm="1">
        <f t="array" ref="R69">_xlfn.IFS(
    K69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800</v>
      </c>
      <c r="S69" s="62">
        <f>IF(Week2[[#This Row],[Gross Wages ]]=0, 0, 8.25)</f>
        <v>8.25</v>
      </c>
      <c r="T69" s="32"/>
      <c r="U69" s="30">
        <f t="shared" si="47"/>
        <v>791.75</v>
      </c>
      <c r="V69" s="56"/>
      <c r="W69" s="22"/>
      <c r="Z69" s="56"/>
      <c r="AB69" s="98"/>
      <c r="AC69" s="98"/>
    </row>
    <row r="70" spans="1:29" ht="20.25" customHeight="1" x14ac:dyDescent="0.35">
      <c r="A70" s="2" t="str">
        <f>'Week 1'!A70</f>
        <v>Kevon</v>
      </c>
      <c r="B70" s="2" t="str">
        <f>'Week 1'!B70</f>
        <v>Braithwaite</v>
      </c>
      <c r="C70" s="2" t="str">
        <f>Week1[[#This Row],[Department]]</f>
        <v>Upholstery</v>
      </c>
      <c r="D70" s="6"/>
      <c r="E70" s="36">
        <f>'Week 1'!E70</f>
        <v>200</v>
      </c>
      <c r="F70" s="22"/>
      <c r="G70" s="101"/>
      <c r="H70" s="101"/>
      <c r="I70" s="101"/>
      <c r="J70" s="5">
        <f t="shared" si="46"/>
        <v>0</v>
      </c>
      <c r="K70" s="27"/>
      <c r="L70" s="27">
        <f t="shared" si="44"/>
        <v>0</v>
      </c>
      <c r="M70" s="27">
        <f>IF(AND(Week2[[#This Row],[Job Income]]&lt;&gt;"", Week2[[#This Row],[Job Income]]&lt;Week2[[#This Row],[Basic    Hours]]*20.5), Week2[[#This Row],[Basic    Hours]]*20.5, 0)</f>
        <v>0</v>
      </c>
      <c r="N70" s="105">
        <f>(Week2[[#This Row],[Day Rates]]/8*Week2[[#This Row],[OT Hours]]*1.5)+(Week2[[#This Row],[Day Rates]]/8*Week2[[#This Row],[DT Hours]]*2)+(Week2[[#This Row],[Day Rates]]/8*Week2[[#This Row],[TT Hours]]*3)</f>
        <v>0</v>
      </c>
      <c r="O70" s="27"/>
      <c r="P70" s="27">
        <f t="shared" si="45"/>
        <v>0</v>
      </c>
      <c r="Q70" s="27">
        <f t="shared" si="29"/>
        <v>0</v>
      </c>
      <c r="R70" s="30" cm="1">
        <f t="array" ref="R70">_xlfn.IFS(
    K70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0</v>
      </c>
      <c r="S70" s="62">
        <f>IF(Week2[[#This Row],[Gross Wages ]]=0, 0, 8.25)</f>
        <v>0</v>
      </c>
      <c r="T70" s="32"/>
      <c r="U70" s="30">
        <f t="shared" si="47"/>
        <v>0</v>
      </c>
      <c r="V70" s="56"/>
      <c r="W70" s="22"/>
      <c r="Z70" s="56"/>
      <c r="AB70" s="98"/>
      <c r="AC70" s="98"/>
    </row>
    <row r="71" spans="1:29" ht="20.25" customHeight="1" x14ac:dyDescent="0.35">
      <c r="A71" s="2" t="str">
        <f>'Week 1'!A71</f>
        <v>Israel</v>
      </c>
      <c r="B71" s="2" t="str">
        <f>'Week 1'!B71</f>
        <v>Alleyne</v>
      </c>
      <c r="C71" s="2" t="str">
        <f>Week1[[#This Row],[Department]]</f>
        <v>Upholstery</v>
      </c>
      <c r="D71" s="6" t="s">
        <v>207</v>
      </c>
      <c r="E71" s="36">
        <f>'Week 1'!E71</f>
        <v>200</v>
      </c>
      <c r="F71" s="22">
        <f>30.5+8</f>
        <v>38.5</v>
      </c>
      <c r="G71" s="101"/>
      <c r="H71" s="101"/>
      <c r="I71" s="101"/>
      <c r="J71" s="5">
        <f t="shared" si="46"/>
        <v>4.8125</v>
      </c>
      <c r="K71" s="27"/>
      <c r="L71" s="27">
        <f t="shared" si="44"/>
        <v>962.5</v>
      </c>
      <c r="M71" s="27">
        <f>IF(AND(Week2[[#This Row],[Job Income]]&lt;&gt;"", Week2[[#This Row],[Job Income]]&lt;Week2[[#This Row],[Basic    Hours]]*20.5), Week2[[#This Row],[Basic    Hours]]*20.5, 0)</f>
        <v>0</v>
      </c>
      <c r="N71" s="105">
        <f>(Week2[[#This Row],[Day Rates]]/8*Week2[[#This Row],[OT Hours]]*1.5)+(Week2[[#This Row],[Day Rates]]/8*Week2[[#This Row],[DT Hours]]*2)+(Week2[[#This Row],[Day Rates]]/8*Week2[[#This Row],[TT Hours]]*3)</f>
        <v>0</v>
      </c>
      <c r="O71" s="27"/>
      <c r="P71" s="27">
        <f t="shared" si="45"/>
        <v>0</v>
      </c>
      <c r="Q71" s="27">
        <f t="shared" si="29"/>
        <v>0</v>
      </c>
      <c r="R71" s="30" cm="1">
        <f t="array" ref="R71">_xlfn.IFS(
    K71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962.5</v>
      </c>
      <c r="S71" s="62">
        <f>IF(Week2[[#This Row],[Gross Wages ]]=0, 0, 8.25)</f>
        <v>8.25</v>
      </c>
      <c r="T71" s="32"/>
      <c r="U71" s="30">
        <f t="shared" si="47"/>
        <v>954.25</v>
      </c>
      <c r="V71" s="56"/>
      <c r="W71" s="22"/>
      <c r="Z71" s="56"/>
      <c r="AB71" s="98"/>
      <c r="AC71" s="98"/>
    </row>
    <row r="72" spans="1:29" ht="20.25" customHeight="1" x14ac:dyDescent="0.35">
      <c r="A72" s="2" t="str">
        <f>'Week 1'!A72</f>
        <v>Linton</v>
      </c>
      <c r="B72" s="2" t="str">
        <f>'Week 1'!B72</f>
        <v>Chadband</v>
      </c>
      <c r="C72" s="2" t="str">
        <f>Week1[[#This Row],[Department]]</f>
        <v>Upholstery</v>
      </c>
      <c r="D72" s="6"/>
      <c r="E72" s="36">
        <f>'Week 1'!E72</f>
        <v>200</v>
      </c>
      <c r="F72" s="22">
        <v>40</v>
      </c>
      <c r="G72" s="101"/>
      <c r="H72" s="101"/>
      <c r="I72" s="101"/>
      <c r="J72" s="5">
        <f t="shared" si="46"/>
        <v>5</v>
      </c>
      <c r="K72" s="27"/>
      <c r="L72" s="27">
        <f t="shared" si="44"/>
        <v>1000</v>
      </c>
      <c r="M72" s="27">
        <f>IF(AND(Week2[[#This Row],[Job Income]]&lt;&gt;"", Week2[[#This Row],[Job Income]]&lt;Week2[[#This Row],[Basic    Hours]]*20.5), Week2[[#This Row],[Basic    Hours]]*20.5, 0)</f>
        <v>0</v>
      </c>
      <c r="N72" s="105">
        <f>(Week2[[#This Row],[Day Rates]]/8*Week2[[#This Row],[OT Hours]]*1.5)+(Week2[[#This Row],[Day Rates]]/8*Week2[[#This Row],[DT Hours]]*2)+(Week2[[#This Row],[Day Rates]]/8*Week2[[#This Row],[TT Hours]]*3)</f>
        <v>0</v>
      </c>
      <c r="O72" s="27"/>
      <c r="P72" s="27">
        <f t="shared" si="45"/>
        <v>0</v>
      </c>
      <c r="Q72" s="27">
        <f t="shared" si="29"/>
        <v>0</v>
      </c>
      <c r="R72" s="30" cm="1">
        <f t="array" ref="R72">_xlfn.IFS(
    K72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72" s="62">
        <f>IF(Week2[[#This Row],[Gross Wages ]]=0, 0, 8.25)</f>
        <v>8.25</v>
      </c>
      <c r="T72" s="32"/>
      <c r="U72" s="30">
        <f t="shared" si="47"/>
        <v>991.75</v>
      </c>
      <c r="V72" s="22"/>
      <c r="W72" s="22"/>
      <c r="Z72" s="56"/>
    </row>
    <row r="73" spans="1:29" ht="20.25" customHeight="1" x14ac:dyDescent="0.35">
      <c r="A73" s="2" t="str">
        <f>'Week 1'!A73</f>
        <v>Byron</v>
      </c>
      <c r="B73" s="2" t="str">
        <f>'Week 1'!B73</f>
        <v>Torres</v>
      </c>
      <c r="C73" s="2" t="str">
        <f>Week1[[#This Row],[Department]]</f>
        <v>Upholstery</v>
      </c>
      <c r="D73" s="6"/>
      <c r="E73" s="36">
        <f>'Week 1'!E73</f>
        <v>200</v>
      </c>
      <c r="F73" s="22">
        <v>40</v>
      </c>
      <c r="G73" s="101"/>
      <c r="H73" s="101"/>
      <c r="I73" s="101"/>
      <c r="J73" s="5">
        <f t="shared" si="46"/>
        <v>5</v>
      </c>
      <c r="K73" s="27"/>
      <c r="L73" s="27">
        <f t="shared" si="44"/>
        <v>1000</v>
      </c>
      <c r="M73" s="27">
        <f>IF(AND(Week2[[#This Row],[Job Income]]&lt;&gt;"", Week2[[#This Row],[Job Income]]&lt;Week2[[#This Row],[Basic    Hours]]*20.5), Week2[[#This Row],[Basic    Hours]]*20.5, 0)</f>
        <v>0</v>
      </c>
      <c r="N73" s="105">
        <f>(Week2[[#This Row],[Day Rates]]/8*Week2[[#This Row],[OT Hours]]*1.5)+(Week2[[#This Row],[Day Rates]]/8*Week2[[#This Row],[DT Hours]]*2)+(Week2[[#This Row],[Day Rates]]/8*Week2[[#This Row],[TT Hours]]*3)</f>
        <v>0</v>
      </c>
      <c r="O73" s="27"/>
      <c r="P73" s="27">
        <f t="shared" si="45"/>
        <v>0</v>
      </c>
      <c r="Q73" s="27">
        <f t="shared" ref="Q73:Q89" si="51">IFERROR(N73+O73+P73, 0)</f>
        <v>0</v>
      </c>
      <c r="R73" s="30" cm="1">
        <f t="array" ref="R73">_xlfn.IFS(
    K73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73" s="62">
        <f>IF(Week2[[#This Row],[Gross Wages ]]=0, 0, 8.25)</f>
        <v>8.25</v>
      </c>
      <c r="T73" s="32"/>
      <c r="U73" s="30">
        <f t="shared" si="47"/>
        <v>991.75</v>
      </c>
      <c r="V73" s="56"/>
      <c r="W73" s="22"/>
      <c r="Z73" s="56"/>
      <c r="AB73" s="98"/>
      <c r="AC73" s="1"/>
    </row>
    <row r="74" spans="1:29" ht="20.25" customHeight="1" x14ac:dyDescent="0.35">
      <c r="A74" s="2" t="str">
        <f>'Week 1'!A74</f>
        <v>Nicholas</v>
      </c>
      <c r="B74" s="2" t="str">
        <f>'Week 1'!B74</f>
        <v>Gordon</v>
      </c>
      <c r="C74" s="2" t="str">
        <f>Week1[[#This Row],[Department]]</f>
        <v>Upholstery</v>
      </c>
      <c r="D74" s="6"/>
      <c r="E74" s="36">
        <f>'Week 1'!E74</f>
        <v>200</v>
      </c>
      <c r="F74" s="22">
        <v>40</v>
      </c>
      <c r="G74" s="101"/>
      <c r="H74" s="101"/>
      <c r="I74" s="101"/>
      <c r="J74" s="5">
        <f t="shared" si="46"/>
        <v>5</v>
      </c>
      <c r="K74" s="27"/>
      <c r="L74" s="27">
        <f t="shared" si="44"/>
        <v>1000</v>
      </c>
      <c r="M74" s="27">
        <f>IF(AND(Week2[[#This Row],[Job Income]]&lt;&gt;"", Week2[[#This Row],[Job Income]]&lt;Week2[[#This Row],[Basic    Hours]]*20.5), Week2[[#This Row],[Basic    Hours]]*20.5, 0)</f>
        <v>0</v>
      </c>
      <c r="N74" s="105">
        <f>(Week2[[#This Row],[Day Rates]]/8*Week2[[#This Row],[OT Hours]]*1.5)+(Week2[[#This Row],[Day Rates]]/8*Week2[[#This Row],[DT Hours]]*2)+(Week2[[#This Row],[Day Rates]]/8*Week2[[#This Row],[TT Hours]]*3)</f>
        <v>0</v>
      </c>
      <c r="O74" s="27"/>
      <c r="P74" s="27">
        <f t="shared" si="45"/>
        <v>0</v>
      </c>
      <c r="Q74" s="27">
        <f t="shared" si="51"/>
        <v>0</v>
      </c>
      <c r="R74" s="30" cm="1">
        <f t="array" ref="R74">_xlfn.IFS(
    K74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74" s="62">
        <f>IF(Week2[[#This Row],[Gross Wages ]]=0, 0, 8.25)</f>
        <v>8.25</v>
      </c>
      <c r="T74" s="32"/>
      <c r="U74" s="30">
        <f t="shared" si="47"/>
        <v>991.75</v>
      </c>
      <c r="V74" s="56"/>
      <c r="W74" s="22"/>
      <c r="Z74" s="56"/>
      <c r="AB74" s="98"/>
      <c r="AC74" s="98"/>
    </row>
    <row r="75" spans="1:29" ht="20.25" customHeight="1" x14ac:dyDescent="0.35">
      <c r="A75" s="2" t="str">
        <f>'Week 1'!A75</f>
        <v>Safraz</v>
      </c>
      <c r="B75" s="2" t="str">
        <f>'Week 1'!B75</f>
        <v>Burgess</v>
      </c>
      <c r="C75" s="2" t="str">
        <f>Week1[[#This Row],[Department]]</f>
        <v>Upholstery</v>
      </c>
      <c r="D75" s="7"/>
      <c r="E75" s="36">
        <f>'Week 1'!E75</f>
        <v>200</v>
      </c>
      <c r="F75" s="22">
        <v>38</v>
      </c>
      <c r="G75" s="101"/>
      <c r="H75" s="101"/>
      <c r="I75" s="101"/>
      <c r="J75" s="5">
        <f t="shared" si="46"/>
        <v>4.75</v>
      </c>
      <c r="K75" s="27"/>
      <c r="L75" s="27">
        <f t="shared" si="44"/>
        <v>950</v>
      </c>
      <c r="M75" s="27">
        <f>IF(AND(Week2[[#This Row],[Job Income]]&lt;&gt;"", Week2[[#This Row],[Job Income]]&lt;Week2[[#This Row],[Basic    Hours]]*20.5), Week2[[#This Row],[Basic    Hours]]*20.5, 0)</f>
        <v>0</v>
      </c>
      <c r="N75" s="105">
        <f>(Week2[[#This Row],[Day Rates]]/8*Week2[[#This Row],[OT Hours]]*1.5)+(Week2[[#This Row],[Day Rates]]/8*Week2[[#This Row],[DT Hours]]*2)+(Week2[[#This Row],[Day Rates]]/8*Week2[[#This Row],[TT Hours]]*3)</f>
        <v>0</v>
      </c>
      <c r="O75" s="27"/>
      <c r="P75" s="27">
        <f t="shared" si="45"/>
        <v>0</v>
      </c>
      <c r="Q75" s="27">
        <f t="shared" si="51"/>
        <v>0</v>
      </c>
      <c r="R75" s="30" cm="1">
        <f t="array" ref="R75">_xlfn.IFS(
    K75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950</v>
      </c>
      <c r="S75" s="62">
        <f>IF(Week2[[#This Row],[Gross Wages ]]=0, 0, 8.25)</f>
        <v>8.25</v>
      </c>
      <c r="T75" s="32"/>
      <c r="U75" s="30">
        <f t="shared" si="47"/>
        <v>941.75</v>
      </c>
      <c r="V75" s="56"/>
      <c r="W75" s="22"/>
      <c r="Z75" s="22"/>
      <c r="AB75" s="98"/>
      <c r="AC75" s="98"/>
    </row>
    <row r="76" spans="1:29" ht="20.25" customHeight="1" x14ac:dyDescent="0.35">
      <c r="A76" s="2" t="str">
        <f>'Week 1'!A76</f>
        <v>Machel</v>
      </c>
      <c r="B76" s="2" t="str">
        <f>'Week 1'!B76</f>
        <v>Scotland</v>
      </c>
      <c r="C76" s="2" t="str">
        <f>Week1[[#This Row],[Department]]</f>
        <v>Upholstery</v>
      </c>
      <c r="D76" s="6"/>
      <c r="E76" s="36">
        <f>'Week 1'!E76</f>
        <v>200</v>
      </c>
      <c r="F76" s="22">
        <v>40</v>
      </c>
      <c r="G76" s="101"/>
      <c r="H76" s="101"/>
      <c r="I76" s="101"/>
      <c r="J76" s="5">
        <f t="shared" si="46"/>
        <v>5</v>
      </c>
      <c r="K76" s="27"/>
      <c r="L76" s="27">
        <f t="shared" si="44"/>
        <v>1000</v>
      </c>
      <c r="M76" s="27">
        <f>IF(AND(Week2[[#This Row],[Job Income]]&lt;&gt;"", Week2[[#This Row],[Job Income]]&lt;Week2[[#This Row],[Basic    Hours]]*20.5), Week2[[#This Row],[Basic    Hours]]*20.5, 0)</f>
        <v>0</v>
      </c>
      <c r="N76" s="105">
        <f>(Week2[[#This Row],[Day Rates]]/8*Week2[[#This Row],[OT Hours]]*1.5)+(Week2[[#This Row],[Day Rates]]/8*Week2[[#This Row],[DT Hours]]*2)+(Week2[[#This Row],[Day Rates]]/8*Week2[[#This Row],[TT Hours]]*3)</f>
        <v>0</v>
      </c>
      <c r="O76" s="27"/>
      <c r="P76" s="27">
        <f t="shared" si="45"/>
        <v>0</v>
      </c>
      <c r="Q76" s="27">
        <f t="shared" si="51"/>
        <v>0</v>
      </c>
      <c r="R76" s="30" cm="1">
        <f t="array" ref="R76">_xlfn.IFS(
    K76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76" s="62">
        <f>IF(Week2[[#This Row],[Gross Wages ]]=0, 0, 8.25)</f>
        <v>8.25</v>
      </c>
      <c r="T76" s="32"/>
      <c r="U76" s="30">
        <f t="shared" si="47"/>
        <v>991.75</v>
      </c>
      <c r="V76" s="56"/>
      <c r="W76" s="22"/>
      <c r="Z76" s="56"/>
    </row>
    <row r="77" spans="1:29" ht="20.25" customHeight="1" x14ac:dyDescent="0.35">
      <c r="A77" s="2" t="str">
        <f>'Week 1'!A77</f>
        <v>Leon Sherwin</v>
      </c>
      <c r="B77" s="2" t="str">
        <f>'Week 1'!B77</f>
        <v>Baptiste</v>
      </c>
      <c r="C77" s="2" t="str">
        <f>Week1[[#This Row],[Department]]</f>
        <v>Upholstery</v>
      </c>
      <c r="D77" s="6"/>
      <c r="E77" s="36">
        <f>'Week 1'!E77</f>
        <v>200</v>
      </c>
      <c r="F77" s="22">
        <v>40</v>
      </c>
      <c r="G77" s="101"/>
      <c r="H77" s="101"/>
      <c r="I77" s="101"/>
      <c r="J77" s="5">
        <f t="shared" si="46"/>
        <v>5</v>
      </c>
      <c r="K77" s="27"/>
      <c r="L77" s="27">
        <f t="shared" si="44"/>
        <v>1000</v>
      </c>
      <c r="M77" s="27">
        <f>IF(AND(Week2[[#This Row],[Job Income]]&lt;&gt;"", Week2[[#This Row],[Job Income]]&lt;Week2[[#This Row],[Basic    Hours]]*20.5), Week2[[#This Row],[Basic    Hours]]*20.5, 0)</f>
        <v>0</v>
      </c>
      <c r="N77" s="105">
        <f>(Week2[[#This Row],[Day Rates]]/8*Week2[[#This Row],[OT Hours]]*1.5)+(Week2[[#This Row],[Day Rates]]/8*Week2[[#This Row],[DT Hours]]*2)+(Week2[[#This Row],[Day Rates]]/8*Week2[[#This Row],[TT Hours]]*3)</f>
        <v>0</v>
      </c>
      <c r="O77" s="27"/>
      <c r="P77" s="27">
        <f t="shared" si="45"/>
        <v>0</v>
      </c>
      <c r="Q77" s="27">
        <f t="shared" si="51"/>
        <v>0</v>
      </c>
      <c r="R77" s="30" cm="1">
        <f t="array" ref="R77">_xlfn.IFS(
    K77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77" s="62">
        <f>IF(Week2[[#This Row],[Gross Wages ]]=0, 0, 8.25)</f>
        <v>8.25</v>
      </c>
      <c r="T77" s="32"/>
      <c r="U77" s="30">
        <f t="shared" si="47"/>
        <v>991.75</v>
      </c>
      <c r="V77" s="56"/>
      <c r="W77" s="22"/>
      <c r="Z77" s="56"/>
    </row>
    <row r="78" spans="1:29" ht="20.25" customHeight="1" x14ac:dyDescent="0.35">
      <c r="A78" s="2" t="str">
        <f>'Week 1'!A78</f>
        <v>Glendon</v>
      </c>
      <c r="B78" s="2" t="str">
        <f>'Week 1'!B78</f>
        <v>Grant</v>
      </c>
      <c r="C78" s="2" t="str">
        <f>Week1[[#This Row],[Department]]</f>
        <v>Upholstery</v>
      </c>
      <c r="D78" s="6"/>
      <c r="E78" s="36">
        <f>'Week 1'!E78</f>
        <v>200</v>
      </c>
      <c r="F78" s="22">
        <v>40</v>
      </c>
      <c r="G78" s="101"/>
      <c r="H78" s="101"/>
      <c r="I78" s="101"/>
      <c r="J78" s="5">
        <f t="shared" si="46"/>
        <v>5</v>
      </c>
      <c r="K78" s="27"/>
      <c r="L78" s="27">
        <f t="shared" si="44"/>
        <v>1000</v>
      </c>
      <c r="M78" s="27">
        <f>IF(AND(Week2[[#This Row],[Job Income]]&lt;&gt;"", Week2[[#This Row],[Job Income]]&lt;Week2[[#This Row],[Basic    Hours]]*20.5), Week2[[#This Row],[Basic    Hours]]*20.5, 0)</f>
        <v>0</v>
      </c>
      <c r="N78" s="105">
        <f>(Week2[[#This Row],[Day Rates]]/8*Week2[[#This Row],[OT Hours]]*1.5)+(Week2[[#This Row],[Day Rates]]/8*Week2[[#This Row],[DT Hours]]*2)+(Week2[[#This Row],[Day Rates]]/8*Week2[[#This Row],[TT Hours]]*3)</f>
        <v>0</v>
      </c>
      <c r="O78" s="27"/>
      <c r="P78" s="27">
        <f t="shared" si="45"/>
        <v>0</v>
      </c>
      <c r="Q78" s="27">
        <f t="shared" si="51"/>
        <v>0</v>
      </c>
      <c r="R78" s="30" cm="1">
        <f t="array" ref="R78">_xlfn.IFS(
    K78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78" s="62">
        <f>IF(Week2[[#This Row],[Gross Wages ]]=0, 0, 8.25)</f>
        <v>8.25</v>
      </c>
      <c r="T78" s="32"/>
      <c r="U78" s="30">
        <f t="shared" si="47"/>
        <v>991.75</v>
      </c>
      <c r="V78" s="56"/>
      <c r="W78" s="22"/>
      <c r="Z78" s="56"/>
    </row>
    <row r="79" spans="1:29" ht="20.25" customHeight="1" x14ac:dyDescent="0.35">
      <c r="A79" s="2" t="str">
        <f>'Week 1'!A79</f>
        <v>Jordan</v>
      </c>
      <c r="B79" s="2" t="str">
        <f>'Week 1'!B79</f>
        <v>Ramcharita</v>
      </c>
      <c r="C79" s="2" t="str">
        <f>Week1[[#This Row],[Department]]</f>
        <v>Upholstery</v>
      </c>
      <c r="D79" s="6"/>
      <c r="E79" s="36">
        <f>'Week 1'!E79</f>
        <v>200</v>
      </c>
      <c r="F79" s="22">
        <v>40</v>
      </c>
      <c r="G79" s="101"/>
      <c r="H79" s="101"/>
      <c r="I79" s="101"/>
      <c r="J79" s="5">
        <f t="shared" si="46"/>
        <v>5</v>
      </c>
      <c r="K79" s="27"/>
      <c r="L79" s="27">
        <f t="shared" si="44"/>
        <v>1000</v>
      </c>
      <c r="M79" s="27">
        <f>IF(AND(Week2[[#This Row],[Job Income]]&lt;&gt;"", Week2[[#This Row],[Job Income]]&lt;Week2[[#This Row],[Basic    Hours]]*20.5), Week2[[#This Row],[Basic    Hours]]*20.5, 0)</f>
        <v>0</v>
      </c>
      <c r="N79" s="105">
        <f>(Week2[[#This Row],[Day Rates]]/8*Week2[[#This Row],[OT Hours]]*1.5)+(Week2[[#This Row],[Day Rates]]/8*Week2[[#This Row],[DT Hours]]*2)+(Week2[[#This Row],[Day Rates]]/8*Week2[[#This Row],[TT Hours]]*3)</f>
        <v>0</v>
      </c>
      <c r="O79" s="27"/>
      <c r="P79" s="27">
        <f t="shared" si="45"/>
        <v>0</v>
      </c>
      <c r="Q79" s="27">
        <f t="shared" si="51"/>
        <v>0</v>
      </c>
      <c r="R79" s="30" cm="1">
        <f t="array" ref="R79">_xlfn.IFS(
    K79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79" s="62">
        <f>IF(Week2[[#This Row],[Gross Wages ]]=0, 0, 8.25)</f>
        <v>8.25</v>
      </c>
      <c r="T79" s="32"/>
      <c r="U79" s="30">
        <f t="shared" si="47"/>
        <v>991.75</v>
      </c>
      <c r="V79" s="56"/>
      <c r="W79" s="22"/>
      <c r="Z79" s="56"/>
    </row>
    <row r="80" spans="1:29" ht="20.25" customHeight="1" x14ac:dyDescent="0.35">
      <c r="A80" s="2" t="str">
        <f>'Week 1'!A80</f>
        <v>Joseph Macehlo</v>
      </c>
      <c r="B80" s="2" t="str">
        <f>'Week 1'!B80</f>
        <v>Ward</v>
      </c>
      <c r="C80" s="2" t="str">
        <f>Week1[[#This Row],[Department]]</f>
        <v>Upholstery</v>
      </c>
      <c r="D80" s="7"/>
      <c r="E80" s="36">
        <f>'Week 1'!E80</f>
        <v>200</v>
      </c>
      <c r="F80" s="22">
        <v>40</v>
      </c>
      <c r="G80" s="101"/>
      <c r="H80" s="101"/>
      <c r="I80" s="101"/>
      <c r="J80" s="5">
        <f t="shared" si="46"/>
        <v>5</v>
      </c>
      <c r="K80" s="27"/>
      <c r="L80" s="27">
        <f t="shared" si="44"/>
        <v>1000</v>
      </c>
      <c r="M80" s="27">
        <f>IF(AND(Week2[[#This Row],[Job Income]]&lt;&gt;"", Week2[[#This Row],[Job Income]]&lt;Week2[[#This Row],[Basic    Hours]]*20.5), Week2[[#This Row],[Basic    Hours]]*20.5, 0)</f>
        <v>0</v>
      </c>
      <c r="N80" s="105">
        <f>(Week2[[#This Row],[Day Rates]]/8*Week2[[#This Row],[OT Hours]]*1.5)+(Week2[[#This Row],[Day Rates]]/8*Week2[[#This Row],[DT Hours]]*2)+(Week2[[#This Row],[Day Rates]]/8*Week2[[#This Row],[TT Hours]]*3)</f>
        <v>0</v>
      </c>
      <c r="O80" s="27"/>
      <c r="P80" s="27">
        <f t="shared" si="45"/>
        <v>0</v>
      </c>
      <c r="Q80" s="27">
        <f t="shared" si="51"/>
        <v>0</v>
      </c>
      <c r="R80" s="30" cm="1">
        <f t="array" ref="R80">_xlfn.IFS(
    K80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80" s="62">
        <f>IF(Week2[[#This Row],[Gross Wages ]]=0, 0, 8.25)</f>
        <v>8.25</v>
      </c>
      <c r="T80" s="32"/>
      <c r="U80" s="30">
        <f t="shared" si="47"/>
        <v>991.75</v>
      </c>
      <c r="V80" s="56"/>
      <c r="W80" s="22"/>
      <c r="Z80" s="56"/>
    </row>
    <row r="81" spans="1:31" ht="20.25" customHeight="1" x14ac:dyDescent="0.35">
      <c r="A81" s="2" t="str">
        <f>'Week 1'!A81</f>
        <v>Stephen</v>
      </c>
      <c r="B81" s="2" t="str">
        <f>'Week 1'!B81</f>
        <v>Ramroop</v>
      </c>
      <c r="C81" s="2" t="str">
        <f>Week1[[#This Row],[Department]]</f>
        <v>Upholstery</v>
      </c>
      <c r="D81" s="6"/>
      <c r="E81" s="36">
        <f>'Week 1'!E81</f>
        <v>200</v>
      </c>
      <c r="F81" s="22">
        <v>35</v>
      </c>
      <c r="G81" s="101"/>
      <c r="H81" s="101"/>
      <c r="I81" s="101"/>
      <c r="J81" s="5">
        <f t="shared" si="46"/>
        <v>4.375</v>
      </c>
      <c r="K81" s="27"/>
      <c r="L81" s="27">
        <f t="shared" si="44"/>
        <v>875</v>
      </c>
      <c r="M81" s="27">
        <f>IF(AND(Week2[[#This Row],[Job Income]]&lt;&gt;"", Week2[[#This Row],[Job Income]]&lt;Week2[[#This Row],[Basic    Hours]]*20.5), Week2[[#This Row],[Basic    Hours]]*20.5, 0)</f>
        <v>0</v>
      </c>
      <c r="N81" s="105">
        <f>(Week2[[#This Row],[Day Rates]]/8*Week2[[#This Row],[OT Hours]]*1.5)+(Week2[[#This Row],[Day Rates]]/8*Week2[[#This Row],[DT Hours]]*2)+(Week2[[#This Row],[Day Rates]]/8*Week2[[#This Row],[TT Hours]]*3)</f>
        <v>0</v>
      </c>
      <c r="O81" s="27"/>
      <c r="P81" s="27">
        <f t="shared" si="45"/>
        <v>0</v>
      </c>
      <c r="Q81" s="27">
        <f t="shared" si="51"/>
        <v>0</v>
      </c>
      <c r="R81" s="30" cm="1">
        <f t="array" ref="R81">_xlfn.IFS(
    K81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875</v>
      </c>
      <c r="S81" s="62">
        <f>IF(Week2[[#This Row],[Gross Wages ]]=0, 0, 8.25)</f>
        <v>8.25</v>
      </c>
      <c r="T81" s="32"/>
      <c r="U81" s="30">
        <f t="shared" si="47"/>
        <v>866.75</v>
      </c>
      <c r="V81" s="56"/>
      <c r="W81" s="22"/>
      <c r="Z81" s="56"/>
    </row>
    <row r="82" spans="1:31" ht="20.25" customHeight="1" x14ac:dyDescent="0.35">
      <c r="A82" s="2" t="str">
        <f>'Week 1'!A82</f>
        <v>Joshua</v>
      </c>
      <c r="B82" s="2" t="str">
        <f>'Week 1'!B82</f>
        <v>Cumberbatch</v>
      </c>
      <c r="C82" s="2" t="str">
        <f>Week1[[#This Row],[Department]]</f>
        <v>Upholstery Custom</v>
      </c>
      <c r="D82" s="6"/>
      <c r="E82" s="36">
        <f>'Week 1'!E82</f>
        <v>200</v>
      </c>
      <c r="F82" s="22">
        <v>40</v>
      </c>
      <c r="G82" s="102"/>
      <c r="H82" s="102"/>
      <c r="I82" s="102"/>
      <c r="J82" s="5">
        <f t="shared" si="46"/>
        <v>5</v>
      </c>
      <c r="K82" s="95"/>
      <c r="L82" s="96">
        <f>IF(F82&lt;=40, (E82/8*F82), E82/8*40)</f>
        <v>1000</v>
      </c>
      <c r="M82" s="27">
        <f>IF(AND(Week2[[#This Row],[Job Income]]&lt;&gt;"", Week2[[#This Row],[Job Income]]&lt;Week2[[#This Row],[Basic    Hours]]*20.5), Week2[[#This Row],[Basic    Hours]]*20.5, 0)</f>
        <v>0</v>
      </c>
      <c r="N82" s="105">
        <f>(Week2[[#This Row],[Day Rates]]/8*Week2[[#This Row],[OT Hours]]*1.5)+(Week2[[#This Row],[Day Rates]]/8*Week2[[#This Row],[DT Hours]]*2)+(Week2[[#This Row],[Day Rates]]/8*Week2[[#This Row],[TT Hours]]*3)</f>
        <v>0</v>
      </c>
      <c r="O82" s="27"/>
      <c r="P82" s="27">
        <v>0</v>
      </c>
      <c r="Q82" s="27">
        <f t="shared" si="51"/>
        <v>0</v>
      </c>
      <c r="R82" s="30" cm="1">
        <f t="array" ref="R82">_xlfn.IFS(
    K82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1000</v>
      </c>
      <c r="S82" s="62">
        <f>IF(Week2[[#This Row],[Gross Wages ]]=0, 0, 8.25)</f>
        <v>8.25</v>
      </c>
      <c r="T82" s="32"/>
      <c r="U82" s="30">
        <f t="shared" si="47"/>
        <v>991.75</v>
      </c>
      <c r="V82" s="56"/>
      <c r="W82" s="22"/>
      <c r="Z82" s="56"/>
      <c r="AA82" s="87"/>
      <c r="AB82" s="87"/>
      <c r="AC82" s="87"/>
      <c r="AD82" s="87"/>
      <c r="AE82" s="87"/>
    </row>
    <row r="83" spans="1:31" ht="20.25" customHeight="1" x14ac:dyDescent="0.35">
      <c r="A83" s="2" t="str">
        <f>'Week 1'!A83</f>
        <v>Marlon Tony</v>
      </c>
      <c r="B83" s="2" t="str">
        <f>'Week 1'!B83</f>
        <v>Rahim</v>
      </c>
      <c r="C83" s="2" t="str">
        <f>Week1[[#This Row],[Department]]</f>
        <v>Upholstery Custom</v>
      </c>
      <c r="D83" s="6"/>
      <c r="E83" s="36">
        <f>'Week 1'!E83</f>
        <v>400</v>
      </c>
      <c r="F83" s="22">
        <v>32</v>
      </c>
      <c r="G83" s="102"/>
      <c r="H83" s="102"/>
      <c r="I83" s="102"/>
      <c r="J83" s="5">
        <f t="shared" si="46"/>
        <v>4</v>
      </c>
      <c r="K83" s="97"/>
      <c r="L83" s="33">
        <f>IF(F83&lt;=40, (E83/8*F83), E83/8*40)</f>
        <v>1600</v>
      </c>
      <c r="M83" s="27">
        <f>IF(AND(Week2[[#This Row],[Job Income]]&lt;&gt;"", Week2[[#This Row],[Job Income]]&lt;Week2[[#This Row],[Basic    Hours]]*20.5), Week2[[#This Row],[Basic    Hours]]*20.5, 0)</f>
        <v>0</v>
      </c>
      <c r="N83" s="105">
        <f>(Week2[[#This Row],[Day Rates]]/8*Week2[[#This Row],[OT Hours]]*1.5)+(Week2[[#This Row],[Day Rates]]/8*Week2[[#This Row],[DT Hours]]*2)+(Week2[[#This Row],[Day Rates]]/8*Week2[[#This Row],[TT Hours]]*3)</f>
        <v>0</v>
      </c>
      <c r="O83" s="27">
        <f>250+250+150</f>
        <v>650</v>
      </c>
      <c r="P83" s="28">
        <v>0</v>
      </c>
      <c r="Q83" s="27">
        <f t="shared" si="51"/>
        <v>650</v>
      </c>
      <c r="R83" s="30" cm="1">
        <f t="array" ref="R83">_xlfn.IFS(
    K83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2250</v>
      </c>
      <c r="S83" s="62">
        <f>IF(Week2[[#This Row],[Gross Wages ]]=0, 0, 8.25)</f>
        <v>8.25</v>
      </c>
      <c r="T83" s="32"/>
      <c r="U83" s="30">
        <f t="shared" si="47"/>
        <v>2241.75</v>
      </c>
      <c r="V83" s="56"/>
      <c r="W83" s="22"/>
      <c r="Z83" s="56"/>
      <c r="AA83" s="87"/>
      <c r="AB83" s="88"/>
      <c r="AC83" s="89"/>
      <c r="AD83" s="87"/>
      <c r="AE83" s="87"/>
    </row>
    <row r="84" spans="1:31" ht="20.25" customHeight="1" x14ac:dyDescent="0.35">
      <c r="A84" s="2" t="str">
        <f>'Week 1'!A84</f>
        <v>Nathan</v>
      </c>
      <c r="B84" s="2" t="str">
        <f>'Week 1'!B84</f>
        <v>Belmar</v>
      </c>
      <c r="C84" s="2" t="str">
        <f>Week1[[#This Row],[Department]]</f>
        <v>Wood Room</v>
      </c>
      <c r="D84" s="9"/>
      <c r="E84" s="36">
        <f>'Week 1'!E84</f>
        <v>200</v>
      </c>
      <c r="F84" s="22">
        <v>20</v>
      </c>
      <c r="G84" s="101"/>
      <c r="H84" s="101"/>
      <c r="I84" s="101"/>
      <c r="J84" s="5">
        <f t="shared" si="46"/>
        <v>2.5</v>
      </c>
      <c r="K84" s="27"/>
      <c r="L84" s="27">
        <f>E84*J84</f>
        <v>500</v>
      </c>
      <c r="M84" s="27">
        <f>IF(AND(Week2[[#This Row],[Job Income]]&lt;&gt;"", Week2[[#This Row],[Job Income]]&lt;Week2[[#This Row],[Basic    Hours]]*20.5), Week2[[#This Row],[Basic    Hours]]*20.5, 0)</f>
        <v>0</v>
      </c>
      <c r="N84" s="105">
        <f>(Week2[[#This Row],[Day Rates]]/8*Week2[[#This Row],[OT Hours]]*1.5)+(Week2[[#This Row],[Day Rates]]/8*Week2[[#This Row],[DT Hours]]*2)+(Week2[[#This Row],[Day Rates]]/8*Week2[[#This Row],[TT Hours]]*3)</f>
        <v>0</v>
      </c>
      <c r="O84" s="27"/>
      <c r="P84" s="27">
        <f t="shared" ref="P84:P89" si="52">IF(K84-L84&lt;=0, 0, K84-L84)</f>
        <v>0</v>
      </c>
      <c r="Q84" s="27">
        <f t="shared" si="51"/>
        <v>0</v>
      </c>
      <c r="R84" s="30" cm="1">
        <f t="array" ref="R84">_xlfn.IFS(
    K84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500</v>
      </c>
      <c r="S84" s="62">
        <f>IF(Week2[[#This Row],[Gross Wages ]]=0, 0, 8.25)</f>
        <v>8.25</v>
      </c>
      <c r="T84" s="32"/>
      <c r="U84" s="30">
        <f t="shared" si="47"/>
        <v>491.75</v>
      </c>
      <c r="V84" s="56"/>
      <c r="W84" s="22"/>
      <c r="Z84" s="56"/>
      <c r="AA84" s="87"/>
      <c r="AB84" s="88"/>
      <c r="AC84" s="88"/>
      <c r="AD84" s="87"/>
      <c r="AE84" s="87"/>
    </row>
    <row r="85" spans="1:31" ht="20.25" customHeight="1" x14ac:dyDescent="0.35">
      <c r="A85" s="2" t="str">
        <f>'Week 1'!A85</f>
        <v>Dave</v>
      </c>
      <c r="B85" s="2" t="str">
        <f>'Week 1'!B85</f>
        <v>Berkley</v>
      </c>
      <c r="C85" s="2" t="str">
        <f>Week1[[#This Row],[Department]]</f>
        <v>Wood Room</v>
      </c>
      <c r="D85" s="9"/>
      <c r="E85" s="36">
        <f>'Week 1'!E85</f>
        <v>200</v>
      </c>
      <c r="F85" s="22">
        <v>31</v>
      </c>
      <c r="G85" s="101"/>
      <c r="H85" s="101"/>
      <c r="I85" s="101"/>
      <c r="J85" s="5">
        <f t="shared" si="46"/>
        <v>3.875</v>
      </c>
      <c r="K85" s="27"/>
      <c r="L85" s="27">
        <f>E85*J85</f>
        <v>775</v>
      </c>
      <c r="M85" s="27">
        <f>IF(AND(Week2[[#This Row],[Job Income]]&lt;&gt;"", Week2[[#This Row],[Job Income]]&lt;Week2[[#This Row],[Basic    Hours]]*20.5), Week2[[#This Row],[Basic    Hours]]*20.5, 0)</f>
        <v>0</v>
      </c>
      <c r="N85" s="105">
        <f>(Week2[[#This Row],[Day Rates]]/8*Week2[[#This Row],[OT Hours]]*1.5)+(Week2[[#This Row],[Day Rates]]/8*Week2[[#This Row],[DT Hours]]*2)+(Week2[[#This Row],[Day Rates]]/8*Week2[[#This Row],[TT Hours]]*3)</f>
        <v>0</v>
      </c>
      <c r="O85" s="27"/>
      <c r="P85" s="27">
        <f t="shared" si="52"/>
        <v>0</v>
      </c>
      <c r="Q85" s="27">
        <f t="shared" si="51"/>
        <v>0</v>
      </c>
      <c r="R85" s="30" cm="1">
        <f t="array" ref="R85">_xlfn.IFS(
    K85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775</v>
      </c>
      <c r="S85" s="62">
        <f>IF(Week2[[#This Row],[Gross Wages ]]=0, 0, 8.25)</f>
        <v>8.25</v>
      </c>
      <c r="T85" s="32"/>
      <c r="U85" s="30">
        <f t="shared" si="47"/>
        <v>766.75</v>
      </c>
      <c r="V85" s="56"/>
      <c r="W85" s="22"/>
      <c r="Z85" s="22"/>
      <c r="AA85" s="87"/>
      <c r="AB85" s="88"/>
      <c r="AC85" s="88"/>
      <c r="AD85" s="87"/>
      <c r="AE85" s="87"/>
    </row>
    <row r="86" spans="1:31" s="65" customFormat="1" ht="20.25" customHeight="1" x14ac:dyDescent="0.35">
      <c r="A86" s="2" t="str">
        <f>'Week 1'!A86</f>
        <v>Leon Lawrence</v>
      </c>
      <c r="B86" s="2" t="str">
        <f>'Week 1'!B86</f>
        <v>George</v>
      </c>
      <c r="C86" s="2" t="str">
        <f>Week1[[#This Row],[Department]]</f>
        <v>Wood Room</v>
      </c>
      <c r="D86" s="103"/>
      <c r="E86" s="36">
        <f>'Week 1'!E86</f>
        <v>200</v>
      </c>
      <c r="F86" s="22"/>
      <c r="G86" s="101"/>
      <c r="H86" s="101"/>
      <c r="I86" s="101"/>
      <c r="J86" s="5">
        <f t="shared" si="46"/>
        <v>0</v>
      </c>
      <c r="K86" s="27"/>
      <c r="L86" s="27">
        <f>E86*J86</f>
        <v>0</v>
      </c>
      <c r="M86" s="27">
        <f>IF(AND(Week2[[#This Row],[Job Income]]&lt;&gt;"", Week2[[#This Row],[Job Income]]&lt;Week2[[#This Row],[Basic    Hours]]*20.5), Week2[[#This Row],[Basic    Hours]]*20.5, 0)</f>
        <v>0</v>
      </c>
      <c r="N86" s="105">
        <f>(Week2[[#This Row],[Day Rates]]/8*Week2[[#This Row],[OT Hours]]*1.5)+(Week2[[#This Row],[Day Rates]]/8*Week2[[#This Row],[DT Hours]]*2)+(Week2[[#This Row],[Day Rates]]/8*Week2[[#This Row],[TT Hours]]*3)</f>
        <v>0</v>
      </c>
      <c r="O86" s="27"/>
      <c r="P86" s="27">
        <f t="shared" si="52"/>
        <v>0</v>
      </c>
      <c r="Q86" s="27">
        <f t="shared" si="51"/>
        <v>0</v>
      </c>
      <c r="R86" s="30" cm="1">
        <f t="array" ref="R86">_xlfn.IFS(
    K86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0</v>
      </c>
      <c r="S86" s="62">
        <f>IF(Week2[[#This Row],[Gross Wages ]]=0, 0, 8.25)</f>
        <v>0</v>
      </c>
      <c r="T86" s="32"/>
      <c r="U86" s="30">
        <f t="shared" si="47"/>
        <v>0</v>
      </c>
      <c r="V86" s="66"/>
      <c r="W86" s="67"/>
      <c r="X86" s="68"/>
      <c r="Y86" s="68"/>
      <c r="Z86" s="67"/>
      <c r="AA86" s="90"/>
      <c r="AB86" s="91"/>
      <c r="AC86" s="92"/>
      <c r="AD86" s="90"/>
      <c r="AE86" s="90"/>
    </row>
    <row r="87" spans="1:31" ht="20.25" customHeight="1" x14ac:dyDescent="0.35">
      <c r="A87" s="2" t="str">
        <f>'Week 1'!A87</f>
        <v>Sabina</v>
      </c>
      <c r="B87" s="2" t="str">
        <f>'Week 1'!B87</f>
        <v>Ali</v>
      </c>
      <c r="C87" s="2" t="str">
        <f>Week1[[#This Row],[Department]]</f>
        <v>Sewing Sub Contract</v>
      </c>
      <c r="D87" s="3"/>
      <c r="E87" s="36">
        <f>'Week 1'!E87</f>
        <v>164</v>
      </c>
      <c r="F87" s="22">
        <v>34.5</v>
      </c>
      <c r="G87" s="101"/>
      <c r="H87" s="101"/>
      <c r="I87" s="101"/>
      <c r="J87" s="5">
        <f t="shared" si="46"/>
        <v>4.3125</v>
      </c>
      <c r="K87" s="27"/>
      <c r="L87" s="27">
        <f>E87*J87</f>
        <v>707.25</v>
      </c>
      <c r="M87" s="27">
        <f>IF(AND(Week2[[#This Row],[Job Income]]&lt;&gt;"", Week2[[#This Row],[Job Income]]&lt;Week2[[#This Row],[Basic    Hours]]*20.5), Week2[[#This Row],[Basic    Hours]]*20.5, 0)</f>
        <v>0</v>
      </c>
      <c r="N87" s="105">
        <f>(Week2[[#This Row],[Day Rates]]/8*Week2[[#This Row],[OT Hours]]*1.5)+(Week2[[#This Row],[Day Rates]]/8*Week2[[#This Row],[DT Hours]]*2)+(Week2[[#This Row],[Day Rates]]/8*Week2[[#This Row],[TT Hours]]*3)</f>
        <v>0</v>
      </c>
      <c r="O87" s="27"/>
      <c r="P87" s="27">
        <f t="shared" si="52"/>
        <v>0</v>
      </c>
      <c r="Q87" s="27">
        <f t="shared" si="51"/>
        <v>0</v>
      </c>
      <c r="R87" s="30" cm="1">
        <f t="array" ref="R87">_xlfn.IFS(
    K87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707.25</v>
      </c>
      <c r="S87" s="28"/>
      <c r="T87" s="32"/>
      <c r="U87" s="30">
        <f t="shared" ref="U87:U89" si="53">R87-T87</f>
        <v>707.25</v>
      </c>
    </row>
    <row r="88" spans="1:31" ht="20.25" customHeight="1" x14ac:dyDescent="0.35">
      <c r="A88" s="2" t="s">
        <v>199</v>
      </c>
      <c r="B88" s="2" t="s">
        <v>200</v>
      </c>
      <c r="C88" s="2" t="str">
        <f>Week1[[#This Row],[Department]]</f>
        <v>Sewing Sub Contract</v>
      </c>
      <c r="D88" s="14"/>
      <c r="E88" s="36">
        <f>'Week 1'!E88</f>
        <v>0</v>
      </c>
      <c r="F88" s="22"/>
      <c r="G88" s="101"/>
      <c r="H88" s="101"/>
      <c r="I88" s="101"/>
      <c r="J88" s="5">
        <f t="shared" si="46"/>
        <v>0</v>
      </c>
      <c r="K88" s="27"/>
      <c r="L88" s="27">
        <f>E88*J88</f>
        <v>0</v>
      </c>
      <c r="M88" s="27">
        <f>IF(AND(Week2[[#This Row],[Job Income]]&lt;&gt;"", Week2[[#This Row],[Job Income]]&lt;Week2[[#This Row],[Basic    Hours]]*20.5), Week2[[#This Row],[Basic    Hours]]*20.5, 0)</f>
        <v>0</v>
      </c>
      <c r="N88" s="105">
        <f>(Week2[[#This Row],[Day Rates]]/8*Week2[[#This Row],[OT Hours]]*1.5)+(Week2[[#This Row],[Day Rates]]/8*Week2[[#This Row],[DT Hours]]*2)+(Week2[[#This Row],[Day Rates]]/8*Week2[[#This Row],[TT Hours]]*3)</f>
        <v>0</v>
      </c>
      <c r="O88" s="27"/>
      <c r="P88" s="27">
        <f t="shared" si="52"/>
        <v>0</v>
      </c>
      <c r="Q88" s="27">
        <f t="shared" si="51"/>
        <v>0</v>
      </c>
      <c r="R88" s="30" cm="1">
        <f t="array" ref="R88">_xlfn.IFS(
    K88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0</v>
      </c>
      <c r="S88" s="28"/>
      <c r="T88" s="32"/>
      <c r="U88" s="30">
        <f t="shared" si="53"/>
        <v>0</v>
      </c>
    </row>
    <row r="89" spans="1:31" ht="20.25" customHeight="1" x14ac:dyDescent="0.35">
      <c r="A89" s="2" t="str">
        <f>'Week 1'!A89</f>
        <v>Amos</v>
      </c>
      <c r="B89" s="2" t="str">
        <f>'Week 1'!B89</f>
        <v>Williams</v>
      </c>
      <c r="C89" s="2" t="str">
        <f>Week1[[#This Row],[Department]]</f>
        <v>N/a</v>
      </c>
      <c r="D89" s="3"/>
      <c r="E89" s="36">
        <f>'Week 1'!E89</f>
        <v>200</v>
      </c>
      <c r="F89" s="22"/>
      <c r="G89" s="101"/>
      <c r="H89" s="101"/>
      <c r="I89" s="101"/>
      <c r="J89" s="5">
        <f t="shared" si="46"/>
        <v>0</v>
      </c>
      <c r="K89" s="45"/>
      <c r="L89" s="45"/>
      <c r="M89" s="45"/>
      <c r="N89" s="106"/>
      <c r="O89" s="27"/>
      <c r="P89" s="27">
        <f t="shared" si="52"/>
        <v>0</v>
      </c>
      <c r="Q89" s="27">
        <f t="shared" si="51"/>
        <v>0</v>
      </c>
      <c r="R89" s="30" cm="1">
        <f t="array" ref="R89">_xlfn.IFS(
    K89 = "", Week2[[#This Row],[ST Income]] + Week2[[#This Row],[Total Allowance]],
    Week2[[#This Row],[Job Income]] &lt; Week2[[#This Row],[Basic    Hours]] * 20.5, Week2[[#This Row],[Basic    Hours]] * 20.5 + Week2[[#This Row],[OT Income]] + Week2[[#This Row],[Additions]],
    Week2[[#This Row],[Job Income]] &gt;= Week2[[#This Row],[ST Income]], Week2[[#This Row],[Job Income]] + Week2[[#This Row],[OT Income]] + Week2[[#This Row],[Additions]],
    TRUE, Week2[[#This Row],[Job Income]] + Week2[[#This Row],[OT Income]] + Week2[[#This Row],[Additions]]
)</f>
        <v>0</v>
      </c>
      <c r="S89" s="28"/>
      <c r="T89" s="32"/>
      <c r="U89" s="30">
        <f t="shared" si="53"/>
        <v>0</v>
      </c>
    </row>
    <row r="90" spans="1:31" ht="20.25" customHeight="1" x14ac:dyDescent="0.35">
      <c r="A90" s="69" t="s">
        <v>203</v>
      </c>
      <c r="B90" s="69"/>
      <c r="C90" s="69"/>
      <c r="D90" s="70"/>
      <c r="E90" s="71"/>
      <c r="F90" s="72"/>
      <c r="G90" s="72">
        <f>SUBTOTAL(109,Week2[OT Hours])</f>
        <v>0</v>
      </c>
      <c r="H90" s="72">
        <f>SUBTOTAL(109,Week2[DT Hours])</f>
        <v>0</v>
      </c>
      <c r="I90" s="72">
        <f>SUBTOTAL(109,Week2[TT Hours])</f>
        <v>0</v>
      </c>
      <c r="J90" s="72"/>
      <c r="K90" s="73">
        <f>SUBTOTAL(109,Week2[Job Income])</f>
        <v>7542.25</v>
      </c>
      <c r="L90" s="73">
        <f>SUBTOTAL(109,Week2[ST Income])</f>
        <v>67692.27</v>
      </c>
      <c r="M90" s="73">
        <f>SUBTOTAL(109,Week2[Minimum Wage])</f>
        <v>0</v>
      </c>
      <c r="N90" s="73">
        <f>SUBTOTAL(109,Week2[OT Income])</f>
        <v>0</v>
      </c>
      <c r="O90" s="73">
        <f>SUBTOTAL(109,Week2[Additions])</f>
        <v>650</v>
      </c>
      <c r="P90" s="73">
        <f>SUBTOTAL(109,Week2[Performance])</f>
        <v>4213</v>
      </c>
      <c r="Q90" s="73">
        <f>SUBTOTAL(109,Week2[Total Allowance])</f>
        <v>4863</v>
      </c>
      <c r="R90" s="74">
        <f>SUBTOTAL(109,Week2[[Gross Wages ]])</f>
        <v>72573.27</v>
      </c>
      <c r="S90" s="73">
        <f>SUBTOTAL(109,Week2[HSUR])</f>
        <v>585.75</v>
      </c>
      <c r="T90" s="75">
        <f>SUBTOTAL(109,Week2[Deductions])</f>
        <v>0</v>
      </c>
      <c r="U90" s="74">
        <f>SUBTOTAL(109,Week2[Net Wages])</f>
        <v>71987.520000000004</v>
      </c>
    </row>
    <row r="91" spans="1:31" ht="20.25" customHeight="1" x14ac:dyDescent="0.35">
      <c r="F91" s="26"/>
    </row>
    <row r="92" spans="1:31" ht="20.25" customHeight="1" x14ac:dyDescent="0.35">
      <c r="F92" s="26"/>
    </row>
    <row r="93" spans="1:31" ht="20.25" customHeight="1" x14ac:dyDescent="0.35">
      <c r="F93" s="26"/>
    </row>
    <row r="94" spans="1:31" ht="20.25" customHeight="1" x14ac:dyDescent="0.35">
      <c r="F94" s="26"/>
    </row>
    <row r="95" spans="1:31" ht="14.25" customHeight="1" x14ac:dyDescent="0.35">
      <c r="F95" s="26"/>
    </row>
    <row r="96" spans="1:31" ht="14.25" customHeight="1" x14ac:dyDescent="0.35">
      <c r="F96" s="26"/>
    </row>
    <row r="97" spans="6:6" ht="14.25" customHeight="1" x14ac:dyDescent="0.35">
      <c r="F97" s="26"/>
    </row>
    <row r="98" spans="6:6" ht="14.25" customHeight="1" x14ac:dyDescent="0.35">
      <c r="F98" s="26"/>
    </row>
    <row r="99" spans="6:6" ht="14.25" customHeight="1" x14ac:dyDescent="0.35">
      <c r="F99" s="26"/>
    </row>
    <row r="100" spans="6:6" ht="14.25" customHeight="1" x14ac:dyDescent="0.35">
      <c r="F100" s="26"/>
    </row>
    <row r="101" spans="6:6" ht="14.25" customHeight="1" x14ac:dyDescent="0.35">
      <c r="F101" s="26"/>
    </row>
    <row r="102" spans="6:6" ht="14.25" customHeight="1" x14ac:dyDescent="0.35">
      <c r="F102" s="26"/>
    </row>
    <row r="103" spans="6:6" ht="14.25" customHeight="1" x14ac:dyDescent="0.35">
      <c r="F103" s="26"/>
    </row>
    <row r="104" spans="6:6" ht="14.25" customHeight="1" x14ac:dyDescent="0.35">
      <c r="F104" s="26"/>
    </row>
    <row r="105" spans="6:6" ht="14.25" customHeight="1" x14ac:dyDescent="0.35">
      <c r="F105" s="26"/>
    </row>
    <row r="106" spans="6:6" ht="14.25" customHeight="1" x14ac:dyDescent="0.35">
      <c r="F106" s="26"/>
    </row>
    <row r="107" spans="6:6" ht="14.25" customHeight="1" x14ac:dyDescent="0.35">
      <c r="F107" s="26"/>
    </row>
    <row r="108" spans="6:6" ht="14.25" customHeight="1" x14ac:dyDescent="0.35"/>
    <row r="109" spans="6:6" ht="14.25" customHeight="1" x14ac:dyDescent="0.35"/>
    <row r="110" spans="6:6" ht="14.25" customHeight="1" x14ac:dyDescent="0.35"/>
    <row r="111" spans="6:6" ht="14.25" customHeight="1" x14ac:dyDescent="0.35"/>
    <row r="112" spans="6:6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honeticPr fontId="44" type="noConversion"/>
  <conditionalFormatting sqref="J91:J93 F94 J2:J89">
    <cfRule type="cellIs" dxfId="5" priority="14" stopIfTrue="1" operator="equal">
      <formula>0</formula>
    </cfRule>
  </conditionalFormatting>
  <conditionalFormatting sqref="K22:K89 K2:K19">
    <cfRule type="expression" dxfId="4" priority="2">
      <formula>K2&lt;L2</formula>
    </cfRule>
  </conditionalFormatting>
  <conditionalFormatting sqref="K20">
    <cfRule type="expression" dxfId="3" priority="20">
      <formula>K20&lt;L21</formula>
    </cfRule>
  </conditionalFormatting>
  <conditionalFormatting sqref="M2:M89">
    <cfRule type="expression" dxfId="2" priority="1">
      <formula>M2&gt;0</formula>
    </cfRule>
  </conditionalFormatting>
  <conditionalFormatting sqref="R2:R89">
    <cfRule type="expression" dxfId="1" priority="3">
      <formula>AND(K2&lt;&gt;"", K2&lt;F2*20.5)</formula>
    </cfRule>
  </conditionalFormatting>
  <conditionalFormatting sqref="U2:U89">
    <cfRule type="cellIs" dxfId="0" priority="15" stopIfTrue="1" operator="lessThan">
      <formula>0</formula>
    </cfRule>
  </conditionalFormatting>
  <printOptions gridLines="1"/>
  <pageMargins left="0.70833333333333337" right="0.70833333333333337" top="1.1418055555555555" bottom="1.1418055555555555" header="0.74805555555555558" footer="0.74805555555555558"/>
  <pageSetup paperSize="0" fitToWidth="0" fitToHeight="0" orientation="landscape" horizontalDpi="0" verticalDpi="0" copies="0"/>
  <headerFooter alignWithMargins="0"/>
  <ignoredErrors>
    <ignoredError sqref="M2" calculatedColumn="1"/>
  </ignoredErrors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4D72-B149-47D3-A7BA-21BC8833BFE6}">
  <dimension ref="A1:AA1002"/>
  <sheetViews>
    <sheetView showGridLines="0" tabSelected="1" topLeftCell="O8" workbookViewId="0">
      <selection activeCell="AE6" sqref="AE6"/>
    </sheetView>
  </sheetViews>
  <sheetFormatPr defaultRowHeight="15" customHeight="1" x14ac:dyDescent="0.35"/>
  <cols>
    <col min="1" max="5" width="8.81640625" customWidth="1"/>
    <col min="6" max="6" width="7.54296875" customWidth="1"/>
    <col min="7" max="7" width="8.81640625" customWidth="1"/>
    <col min="8" max="9" width="7.54296875" customWidth="1"/>
    <col min="10" max="10" width="14.1796875" customWidth="1"/>
    <col min="11" max="12" width="7.453125" customWidth="1"/>
    <col min="13" max="27" width="8.81640625" customWidth="1"/>
    <col min="28" max="1025" width="14.54296875" customWidth="1"/>
  </cols>
  <sheetData>
    <row r="1" spans="1:27" ht="21.75" customHeight="1" x14ac:dyDescent="0.35">
      <c r="A1" s="114" t="s">
        <v>213</v>
      </c>
      <c r="B1" s="114"/>
      <c r="C1" s="114"/>
      <c r="D1" s="114"/>
      <c r="E1" s="114"/>
      <c r="F1" s="114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1.75" customHeight="1" x14ac:dyDescent="0.35">
      <c r="A2" s="114"/>
      <c r="B2" s="114"/>
      <c r="C2" s="114"/>
      <c r="D2" s="114"/>
      <c r="E2" s="114"/>
      <c r="F2" s="114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ht="21.75" customHeight="1" x14ac:dyDescent="0.35">
      <c r="A3" s="114"/>
      <c r="B3" s="114"/>
      <c r="C3" s="114"/>
      <c r="D3" s="114"/>
      <c r="E3" s="114"/>
      <c r="F3" s="114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 ht="21.75" customHeight="1" x14ac:dyDescent="0.3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86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 ht="21.75" customHeight="1" x14ac:dyDescent="0.45">
      <c r="A5" s="85" t="s">
        <v>214</v>
      </c>
      <c r="B5" s="25"/>
      <c r="C5" s="25"/>
      <c r="D5" s="25"/>
      <c r="E5" s="85" t="s">
        <v>215</v>
      </c>
      <c r="F5" s="25"/>
      <c r="G5" s="25"/>
      <c r="H5" s="25"/>
      <c r="I5" s="113" t="s">
        <v>216</v>
      </c>
      <c r="J5" s="113"/>
      <c r="K5" s="113"/>
      <c r="L5" s="113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ht="18" customHeight="1" x14ac:dyDescent="0.35">
      <c r="A6" s="25" t="s">
        <v>217</v>
      </c>
      <c r="B6" s="25"/>
      <c r="C6" s="25"/>
      <c r="D6" s="25"/>
      <c r="E6" s="25" t="s">
        <v>217</v>
      </c>
      <c r="F6" s="25"/>
      <c r="G6" s="25"/>
      <c r="H6" s="25"/>
      <c r="I6" s="115" t="s">
        <v>218</v>
      </c>
      <c r="J6" s="115"/>
      <c r="K6" s="115"/>
      <c r="L6" s="11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8" customHeight="1" x14ac:dyDescent="0.45">
      <c r="A7" s="25" t="s">
        <v>219</v>
      </c>
      <c r="B7" s="25"/>
      <c r="C7" s="25"/>
      <c r="D7" s="25"/>
      <c r="E7" s="25" t="s">
        <v>219</v>
      </c>
      <c r="F7" s="25"/>
      <c r="G7" s="25"/>
      <c r="H7" s="25"/>
      <c r="I7" s="113" t="s">
        <v>220</v>
      </c>
      <c r="J7" s="113"/>
      <c r="K7" s="113"/>
      <c r="L7" s="113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8" customHeight="1" x14ac:dyDescent="0.35">
      <c r="A8" s="25" t="s">
        <v>221</v>
      </c>
      <c r="B8" s="25"/>
      <c r="C8" s="25"/>
      <c r="D8" s="25"/>
      <c r="E8" s="25" t="s">
        <v>221</v>
      </c>
      <c r="F8" s="25"/>
      <c r="G8" s="25"/>
      <c r="H8" s="25"/>
      <c r="I8" s="116">
        <f ca="1">TODAY()</f>
        <v>45792</v>
      </c>
      <c r="J8" s="116"/>
      <c r="K8" s="116"/>
      <c r="L8" s="116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 ht="18" customHeight="1" x14ac:dyDescent="0.45">
      <c r="A9" s="25" t="s">
        <v>222</v>
      </c>
      <c r="B9" s="25"/>
      <c r="C9" s="25"/>
      <c r="D9" s="25"/>
      <c r="E9" s="25" t="s">
        <v>222</v>
      </c>
      <c r="F9" s="25"/>
      <c r="G9" s="25"/>
      <c r="H9" s="25"/>
      <c r="I9" s="113" t="s">
        <v>223</v>
      </c>
      <c r="J9" s="113"/>
      <c r="K9" s="113"/>
      <c r="L9" s="113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ht="18" customHeight="1" x14ac:dyDescent="0.35">
      <c r="A10" s="25" t="s">
        <v>224</v>
      </c>
      <c r="B10" s="25"/>
      <c r="C10" s="25"/>
      <c r="D10" s="25"/>
      <c r="E10" s="25" t="s">
        <v>224</v>
      </c>
      <c r="F10" s="25"/>
      <c r="G10" s="25"/>
      <c r="H10" s="25"/>
      <c r="I10" s="117" t="s">
        <v>225</v>
      </c>
      <c r="J10" s="117"/>
      <c r="K10" s="117"/>
      <c r="L10" s="117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ht="21.75" customHeight="1" thickBot="1" x14ac:dyDescent="0.4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 ht="21.75" customHeight="1" thickBot="1" x14ac:dyDescent="0.4">
      <c r="A12" s="118" t="s">
        <v>226</v>
      </c>
      <c r="B12" s="119"/>
      <c r="C12" s="119"/>
      <c r="D12" s="119"/>
      <c r="E12" s="119"/>
      <c r="F12" s="120"/>
      <c r="G12" s="112" t="s">
        <v>227</v>
      </c>
      <c r="H12" s="118" t="s">
        <v>228</v>
      </c>
      <c r="I12" s="120"/>
      <c r="J12" s="111" t="s">
        <v>229</v>
      </c>
      <c r="K12" s="118" t="s">
        <v>230</v>
      </c>
      <c r="L12" s="120"/>
      <c r="M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 ht="22" customHeight="1" thickBot="1" x14ac:dyDescent="0.4">
      <c r="A13" s="121" t="s">
        <v>231</v>
      </c>
      <c r="B13" s="122"/>
      <c r="C13" s="122"/>
      <c r="D13" s="122"/>
      <c r="E13" s="122"/>
      <c r="F13" s="123"/>
      <c r="G13" s="15">
        <v>1</v>
      </c>
      <c r="H13" s="124" t="e">
        <f>#REF!</f>
        <v>#REF!</v>
      </c>
      <c r="I13" s="125"/>
      <c r="J13" s="108" t="e">
        <f>K13*0.125</f>
        <v>#REF!</v>
      </c>
      <c r="K13" s="124" t="e">
        <f>G13*H13</f>
        <v>#REF!</v>
      </c>
      <c r="L13" s="125"/>
      <c r="M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 ht="22" customHeight="1" thickBot="1" x14ac:dyDescent="0.4">
      <c r="A14" s="121" t="s">
        <v>232</v>
      </c>
      <c r="B14" s="122"/>
      <c r="C14" s="122"/>
      <c r="D14" s="122"/>
      <c r="E14" s="122"/>
      <c r="F14" s="123"/>
      <c r="G14" s="15">
        <v>1</v>
      </c>
      <c r="H14" s="124">
        <v>5000</v>
      </c>
      <c r="I14" s="125"/>
      <c r="J14" s="108"/>
      <c r="K14" s="124">
        <f>G14*H14</f>
        <v>5000</v>
      </c>
      <c r="L14" s="125"/>
      <c r="M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 ht="22" customHeight="1" thickBot="1" x14ac:dyDescent="0.4">
      <c r="A15" s="121" t="s">
        <v>233</v>
      </c>
      <c r="B15" s="122"/>
      <c r="C15" s="122"/>
      <c r="D15" s="122"/>
      <c r="E15" s="122"/>
      <c r="F15" s="123"/>
      <c r="G15" s="15">
        <v>1</v>
      </c>
      <c r="H15" s="124">
        <v>586.15</v>
      </c>
      <c r="I15" s="125"/>
      <c r="J15" s="108">
        <f>K15*0.125</f>
        <v>73.268749999999997</v>
      </c>
      <c r="K15" s="124">
        <f>G15*H15</f>
        <v>586.15</v>
      </c>
      <c r="L15" s="125"/>
      <c r="M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 ht="22" customHeight="1" thickBot="1" x14ac:dyDescent="0.4">
      <c r="A16" s="131" t="s">
        <v>234</v>
      </c>
      <c r="B16" s="132"/>
      <c r="C16" s="132"/>
      <c r="D16" s="132"/>
      <c r="E16" s="132"/>
      <c r="F16" s="133"/>
      <c r="G16" s="15">
        <v>4</v>
      </c>
      <c r="H16" s="129">
        <v>1</v>
      </c>
      <c r="I16" s="130"/>
      <c r="J16" s="108">
        <v>0</v>
      </c>
      <c r="K16" s="129">
        <f>G16*H16</f>
        <v>4</v>
      </c>
      <c r="L16" s="130"/>
      <c r="M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 ht="22" customHeight="1" thickBot="1" x14ac:dyDescent="0.4">
      <c r="A17" s="126" t="s">
        <v>235</v>
      </c>
      <c r="B17" s="127"/>
      <c r="C17" s="127"/>
      <c r="D17" s="127"/>
      <c r="E17" s="127"/>
      <c r="F17" s="128"/>
      <c r="G17" s="15">
        <v>40</v>
      </c>
      <c r="H17" s="129">
        <v>1</v>
      </c>
      <c r="I17" s="130"/>
      <c r="J17" s="108">
        <v>0</v>
      </c>
      <c r="K17" s="129">
        <v>40</v>
      </c>
      <c r="L17" s="130"/>
      <c r="M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 ht="22" customHeight="1" thickBot="1" x14ac:dyDescent="0.4">
      <c r="A18" s="126"/>
      <c r="B18" s="127"/>
      <c r="C18" s="127"/>
      <c r="D18" s="127"/>
      <c r="E18" s="127"/>
      <c r="F18" s="128"/>
      <c r="G18" s="15"/>
      <c r="H18" s="129"/>
      <c r="I18" s="130"/>
      <c r="J18" s="108">
        <f>(G18*H18)+K18</f>
        <v>0</v>
      </c>
      <c r="K18" s="129"/>
      <c r="L18" s="130"/>
      <c r="M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 ht="22" customHeight="1" thickBot="1" x14ac:dyDescent="0.4">
      <c r="A19" s="25"/>
      <c r="B19" s="25"/>
      <c r="C19" s="25"/>
      <c r="D19" s="25"/>
      <c r="E19" s="25"/>
      <c r="F19" s="25"/>
      <c r="G19" s="25"/>
      <c r="J19" s="109" t="e">
        <f>SUM(J13:J18)</f>
        <v>#REF!</v>
      </c>
      <c r="K19" s="142" t="e">
        <f>SUM(K13:K18)</f>
        <v>#REF!</v>
      </c>
      <c r="L19" s="143"/>
      <c r="M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 ht="21.75" customHeight="1" thickBot="1" x14ac:dyDescent="0.4">
      <c r="D20" s="25"/>
      <c r="E20" s="25"/>
      <c r="F20" s="25"/>
      <c r="G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 ht="21.75" customHeight="1" x14ac:dyDescent="0.35">
      <c r="D21" s="25"/>
      <c r="E21" s="25"/>
      <c r="F21" s="25"/>
      <c r="G21" s="25"/>
      <c r="J21" s="112" t="s">
        <v>236</v>
      </c>
      <c r="K21" s="140" t="e">
        <f>K19+J19</f>
        <v>#REF!</v>
      </c>
      <c r="L21" s="141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 ht="21.75" customHeight="1" x14ac:dyDescent="0.35">
      <c r="A22" s="138" t="s">
        <v>237</v>
      </c>
      <c r="B22" s="138"/>
      <c r="C22" s="138"/>
      <c r="D22" s="25"/>
      <c r="E22" s="25"/>
      <c r="F22" s="25"/>
      <c r="G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 ht="21.75" customHeight="1" x14ac:dyDescent="0.35">
      <c r="A23" s="144">
        <v>291050</v>
      </c>
      <c r="B23" s="145"/>
      <c r="C23" s="146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ht="21.75" customHeight="1" x14ac:dyDescent="0.3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ht="21.75" customHeight="1" x14ac:dyDescent="0.3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 ht="21.75" customHeight="1" x14ac:dyDescent="0.35">
      <c r="A26" s="137" t="s">
        <v>238</v>
      </c>
      <c r="B26" s="13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 ht="21.75" customHeight="1" x14ac:dyDescent="0.35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 ht="21.75" customHeight="1" x14ac:dyDescent="0.35">
      <c r="A28" s="84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 ht="21.75" customHeight="1" x14ac:dyDescent="0.35">
      <c r="A29" s="84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 ht="21.75" customHeight="1" x14ac:dyDescent="0.35">
      <c r="A30" s="84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 ht="21.75" customHeight="1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 ht="21.75" customHeight="1" x14ac:dyDescent="0.35">
      <c r="A32" s="134" t="s">
        <v>239</v>
      </c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 ht="21.75" customHeight="1" x14ac:dyDescent="0.35">
      <c r="A33" s="134" t="s">
        <v>240</v>
      </c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 ht="21.75" customHeight="1" x14ac:dyDescent="0.35">
      <c r="A34" s="135" t="s">
        <v>241</v>
      </c>
      <c r="B34" s="135"/>
      <c r="C34" s="135"/>
      <c r="D34" s="135"/>
      <c r="E34" s="135"/>
      <c r="F34" s="16"/>
      <c r="G34" s="136" t="s">
        <v>242</v>
      </c>
      <c r="H34" s="136"/>
      <c r="I34" s="136"/>
      <c r="J34" s="136"/>
      <c r="K34" s="136"/>
      <c r="L34" s="136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 ht="21.75" customHeight="1" x14ac:dyDescent="0.35"/>
    <row r="36" spans="1:27" ht="21.75" customHeight="1" x14ac:dyDescent="0.35"/>
    <row r="37" spans="1:27" ht="21.75" customHeight="1" x14ac:dyDescent="0.35"/>
    <row r="38" spans="1:27" ht="21.75" customHeight="1" x14ac:dyDescent="0.35"/>
    <row r="39" spans="1:27" ht="21.75" customHeight="1" x14ac:dyDescent="0.35"/>
    <row r="40" spans="1:27" ht="21.75" customHeight="1" x14ac:dyDescent="0.35"/>
    <row r="41" spans="1:27" ht="21.75" customHeight="1" x14ac:dyDescent="0.35"/>
    <row r="42" spans="1:27" ht="21.75" customHeight="1" x14ac:dyDescent="0.35"/>
    <row r="43" spans="1:27" ht="21.75" customHeight="1" x14ac:dyDescent="0.35"/>
    <row r="44" spans="1:27" ht="21.75" customHeight="1" x14ac:dyDescent="0.35"/>
    <row r="45" spans="1:27" ht="21.75" customHeight="1" x14ac:dyDescent="0.35"/>
    <row r="46" spans="1:27" ht="21.75" customHeight="1" x14ac:dyDescent="0.35"/>
    <row r="47" spans="1:27" ht="21.75" customHeight="1" x14ac:dyDescent="0.35"/>
    <row r="48" spans="1:27" ht="21.75" customHeight="1" x14ac:dyDescent="0.35"/>
    <row r="49" ht="21.75" customHeight="1" x14ac:dyDescent="0.35"/>
    <row r="50" ht="21.75" customHeight="1" x14ac:dyDescent="0.35"/>
    <row r="51" ht="21.75" customHeight="1" x14ac:dyDescent="0.35"/>
    <row r="52" ht="21.75" customHeight="1" x14ac:dyDescent="0.35"/>
    <row r="53" ht="21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mergeCells count="38">
    <mergeCell ref="A33:L33"/>
    <mergeCell ref="A34:E34"/>
    <mergeCell ref="G34:L34"/>
    <mergeCell ref="A26:B26"/>
    <mergeCell ref="K16:L16"/>
    <mergeCell ref="A22:C22"/>
    <mergeCell ref="A27:L27"/>
    <mergeCell ref="A32:L32"/>
    <mergeCell ref="K21:L21"/>
    <mergeCell ref="K19:L19"/>
    <mergeCell ref="A23:C23"/>
    <mergeCell ref="K15:L15"/>
    <mergeCell ref="K14:L14"/>
    <mergeCell ref="A18:F18"/>
    <mergeCell ref="H18:I18"/>
    <mergeCell ref="A17:F17"/>
    <mergeCell ref="H17:I17"/>
    <mergeCell ref="K18:L18"/>
    <mergeCell ref="K17:L17"/>
    <mergeCell ref="A16:F16"/>
    <mergeCell ref="H16:I16"/>
    <mergeCell ref="A14:F14"/>
    <mergeCell ref="H14:I14"/>
    <mergeCell ref="A15:F15"/>
    <mergeCell ref="H15:I15"/>
    <mergeCell ref="I10:L10"/>
    <mergeCell ref="A12:F12"/>
    <mergeCell ref="H12:I12"/>
    <mergeCell ref="A13:F13"/>
    <mergeCell ref="H13:I13"/>
    <mergeCell ref="K13:L13"/>
    <mergeCell ref="K12:L12"/>
    <mergeCell ref="I9:L9"/>
    <mergeCell ref="A1:F3"/>
    <mergeCell ref="I5:L5"/>
    <mergeCell ref="I6:L6"/>
    <mergeCell ref="I7:L7"/>
    <mergeCell ref="I8:L8"/>
  </mergeCells>
  <printOptions horizontalCentered="1"/>
  <pageMargins left="0.25" right="0.25" top="1.1437499999999998" bottom="1.1437499999999998" header="0.75" footer="0.75"/>
  <pageSetup paperSize="0" fitToWidth="0" fitToHeight="0" orientation="portrait" horizontalDpi="0" verticalDpi="0" copies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>
      <selection activeCell="AE6" sqref="AE6"/>
    </sheetView>
  </sheetViews>
  <sheetFormatPr defaultRowHeight="15" customHeight="1" x14ac:dyDescent="0.35"/>
  <cols>
    <col min="1" max="2" width="15.7265625" customWidth="1"/>
    <col min="3" max="26" width="8.81640625" customWidth="1"/>
    <col min="27" max="1024" width="14.54296875" customWidth="1"/>
  </cols>
  <sheetData>
    <row r="1" spans="1:2" ht="15" customHeight="1" x14ac:dyDescent="0.35">
      <c r="A1" s="147" t="s">
        <v>243</v>
      </c>
      <c r="B1" s="147"/>
    </row>
    <row r="2" spans="1:2" ht="15" customHeight="1" x14ac:dyDescent="0.35">
      <c r="A2" s="17" t="s">
        <v>244</v>
      </c>
      <c r="B2" s="17" t="s">
        <v>245</v>
      </c>
    </row>
    <row r="3" spans="1:2" ht="15" customHeight="1" x14ac:dyDescent="0.35">
      <c r="A3" s="18">
        <v>199.99</v>
      </c>
      <c r="B3" s="19">
        <v>0</v>
      </c>
    </row>
    <row r="4" spans="1:2" ht="15" customHeight="1" x14ac:dyDescent="0.35">
      <c r="A4" s="10">
        <v>200</v>
      </c>
      <c r="B4" s="20">
        <v>11.9</v>
      </c>
    </row>
    <row r="5" spans="1:2" ht="15" customHeight="1" x14ac:dyDescent="0.35">
      <c r="A5" s="10">
        <v>340</v>
      </c>
      <c r="B5" s="20">
        <v>17.399999999999999</v>
      </c>
    </row>
    <row r="6" spans="1:2" ht="15" customHeight="1" x14ac:dyDescent="0.35">
      <c r="A6" s="10">
        <v>450</v>
      </c>
      <c r="B6" s="20">
        <v>23.3</v>
      </c>
    </row>
    <row r="7" spans="1:2" ht="15" customHeight="1" x14ac:dyDescent="0.35">
      <c r="A7" s="10">
        <v>610</v>
      </c>
      <c r="B7" s="20">
        <v>30.1</v>
      </c>
    </row>
    <row r="8" spans="1:2" ht="15" customHeight="1" x14ac:dyDescent="0.35">
      <c r="A8" s="10">
        <v>760</v>
      </c>
      <c r="B8" s="20">
        <v>37.200000000000003</v>
      </c>
    </row>
    <row r="9" spans="1:2" ht="15" customHeight="1" x14ac:dyDescent="0.35">
      <c r="A9" s="10">
        <v>930</v>
      </c>
      <c r="B9" s="20">
        <v>45.1</v>
      </c>
    </row>
    <row r="10" spans="1:2" ht="15" customHeight="1" x14ac:dyDescent="0.35">
      <c r="A10" s="10">
        <v>1120</v>
      </c>
      <c r="B10" s="20">
        <v>53.2</v>
      </c>
    </row>
    <row r="11" spans="1:2" ht="15" customHeight="1" x14ac:dyDescent="0.35">
      <c r="A11" s="10">
        <v>1300</v>
      </c>
      <c r="B11" s="20">
        <v>61.4</v>
      </c>
    </row>
    <row r="12" spans="1:2" ht="15" customHeight="1" x14ac:dyDescent="0.35">
      <c r="A12" s="10">
        <v>1490</v>
      </c>
      <c r="B12" s="20">
        <v>70.400000000000006</v>
      </c>
    </row>
    <row r="13" spans="1:2" ht="15" customHeight="1" x14ac:dyDescent="0.35">
      <c r="A13" s="10">
        <v>1710</v>
      </c>
      <c r="B13" s="20">
        <v>79.599999999999994</v>
      </c>
    </row>
    <row r="14" spans="1:2" ht="15" customHeight="1" x14ac:dyDescent="0.35">
      <c r="A14" s="10">
        <v>1910</v>
      </c>
      <c r="B14" s="20">
        <v>89.1</v>
      </c>
    </row>
    <row r="15" spans="1:2" ht="15" customHeight="1" x14ac:dyDescent="0.35">
      <c r="A15" s="10">
        <v>2140</v>
      </c>
      <c r="B15" s="20">
        <v>99.4</v>
      </c>
    </row>
    <row r="16" spans="1:2" ht="15" customHeight="1" x14ac:dyDescent="0.35">
      <c r="A16" s="10">
        <v>2380</v>
      </c>
      <c r="B16" s="20">
        <v>110.2</v>
      </c>
    </row>
    <row r="17" spans="1:2" ht="15" customHeight="1" x14ac:dyDescent="0.35">
      <c r="A17" s="10">
        <v>2630</v>
      </c>
      <c r="B17" s="20">
        <v>122.1</v>
      </c>
    </row>
    <row r="18" spans="1:2" ht="15" customHeight="1" x14ac:dyDescent="0.35">
      <c r="A18" s="10">
        <v>2920</v>
      </c>
      <c r="B18" s="20">
        <v>133.30000000000001</v>
      </c>
    </row>
    <row r="19" spans="1:2" ht="15" customHeight="1" x14ac:dyDescent="0.35">
      <c r="A19" s="10">
        <v>3138</v>
      </c>
      <c r="B19" s="20">
        <v>138.1</v>
      </c>
    </row>
    <row r="22" spans="1:2" ht="14.25" customHeight="1" x14ac:dyDescent="0.35"/>
    <row r="23" spans="1:2" ht="14.25" customHeight="1" x14ac:dyDescent="0.35"/>
    <row r="24" spans="1:2" ht="14.25" customHeight="1" x14ac:dyDescent="0.35"/>
    <row r="25" spans="1:2" ht="14.25" customHeight="1" x14ac:dyDescent="0.35"/>
    <row r="26" spans="1:2" ht="14.25" customHeight="1" x14ac:dyDescent="0.35"/>
    <row r="27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B1"/>
  </mergeCells>
  <pageMargins left="0.7" right="0.7" top="1.1437499999999998" bottom="1.1437499999999998" header="0.75" footer="0.75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Master</vt:lpstr>
      <vt:lpstr>Week 1</vt:lpstr>
      <vt:lpstr>Week 2</vt:lpstr>
      <vt:lpstr>Invoice</vt:lpstr>
      <vt:lpstr>NIS Contributions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keril jackson</dc:creator>
  <cp:keywords/>
  <dc:description/>
  <cp:lastModifiedBy>keril jackson</cp:lastModifiedBy>
  <cp:revision/>
  <dcterms:created xsi:type="dcterms:W3CDTF">2025-01-23T13:46:50Z</dcterms:created>
  <dcterms:modified xsi:type="dcterms:W3CDTF">2025-05-15T15:49:53Z</dcterms:modified>
  <cp:category/>
  <cp:contentStatus/>
</cp:coreProperties>
</file>