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Haining\Desktop\"/>
    </mc:Choice>
  </mc:AlternateContent>
  <xr:revisionPtr revIDLastSave="0" documentId="13_ncr:1_{23493E58-9493-43EB-8CCD-E49FECEE0477}" xr6:coauthVersionLast="47" xr6:coauthVersionMax="47" xr10:uidLastSave="{00000000-0000-0000-0000-000000000000}"/>
  <bookViews>
    <workbookView xWindow="-110" yWindow="-110" windowWidth="19420" windowHeight="10300" tabRatio="901" xr2:uid="{00000000-000D-0000-FFFF-FFFF00000000}"/>
  </bookViews>
  <sheets>
    <sheet name="Sheet1" sheetId="82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9" i="821" l="1"/>
  <c r="I38" i="821"/>
  <c r="I37" i="821"/>
  <c r="I36" i="821"/>
  <c r="I35" i="821"/>
  <c r="I34" i="821"/>
  <c r="I33" i="821"/>
  <c r="I32" i="821"/>
  <c r="I31" i="821"/>
  <c r="I30" i="821"/>
  <c r="I29" i="821"/>
  <c r="I28" i="821"/>
  <c r="I27" i="821"/>
  <c r="I26" i="821"/>
  <c r="I25" i="821"/>
  <c r="I24" i="821"/>
  <c r="I23" i="821"/>
  <c r="I22" i="821"/>
  <c r="I21" i="821"/>
  <c r="I20" i="821"/>
  <c r="I19" i="821"/>
  <c r="I18" i="821"/>
  <c r="I17" i="821"/>
  <c r="I15" i="821"/>
  <c r="I14" i="821"/>
  <c r="I13" i="821"/>
  <c r="I12" i="821"/>
  <c r="I11" i="821"/>
  <c r="I10" i="821"/>
  <c r="I9" i="821"/>
  <c r="I8" i="821"/>
  <c r="I7" i="821"/>
  <c r="I6" i="821"/>
  <c r="K39" i="821"/>
  <c r="K38" i="821"/>
  <c r="K37" i="821"/>
  <c r="K36" i="821"/>
  <c r="K35" i="821"/>
  <c r="K34" i="821"/>
  <c r="K33" i="821"/>
  <c r="K32" i="821"/>
  <c r="K31" i="821"/>
  <c r="K30" i="821"/>
  <c r="K29" i="821"/>
  <c r="K28" i="821"/>
  <c r="K27" i="821"/>
  <c r="K26" i="821"/>
  <c r="K25" i="821"/>
  <c r="K24" i="821"/>
  <c r="K23" i="821"/>
  <c r="K22" i="821"/>
  <c r="K21" i="821"/>
  <c r="K20" i="821"/>
  <c r="K19" i="821"/>
  <c r="K18" i="821"/>
  <c r="K17" i="821"/>
  <c r="K15" i="821"/>
  <c r="K14" i="821"/>
  <c r="K13" i="821"/>
  <c r="K12" i="821"/>
  <c r="K11" i="821"/>
  <c r="K10" i="821"/>
  <c r="K9" i="821"/>
  <c r="K8" i="821"/>
  <c r="K7" i="821"/>
  <c r="K6" i="821"/>
  <c r="K5" i="821"/>
  <c r="I5" i="821"/>
  <c r="K4" i="821"/>
  <c r="I4" i="821"/>
  <c r="I3" i="821"/>
  <c r="K3" i="821"/>
  <c r="K2" i="821"/>
  <c r="I2" i="821"/>
  <c r="L2" i="821"/>
  <c r="M20" i="821"/>
  <c r="N15" i="821" l="1"/>
  <c r="M15" i="821"/>
  <c r="L15" i="821"/>
  <c r="G15" i="821"/>
  <c r="F15" i="821"/>
  <c r="E15" i="821"/>
  <c r="D15" i="821"/>
  <c r="C15" i="821"/>
  <c r="B15" i="821"/>
  <c r="N39" i="821"/>
  <c r="M39" i="821"/>
  <c r="L39" i="821"/>
  <c r="G39" i="821"/>
  <c r="F39" i="821"/>
  <c r="E39" i="821"/>
  <c r="D39" i="821"/>
  <c r="C39" i="821"/>
  <c r="B39" i="821"/>
  <c r="N14" i="821"/>
  <c r="M14" i="821"/>
  <c r="L14" i="821"/>
  <c r="G14" i="821"/>
  <c r="F14" i="821"/>
  <c r="E14" i="821"/>
  <c r="D14" i="821"/>
  <c r="C14" i="821"/>
  <c r="B14" i="821"/>
  <c r="N13" i="821"/>
  <c r="M13" i="821"/>
  <c r="L13" i="821"/>
  <c r="G13" i="821"/>
  <c r="F13" i="821"/>
  <c r="E13" i="821"/>
  <c r="D13" i="821"/>
  <c r="C13" i="821"/>
  <c r="B13" i="821"/>
  <c r="N38" i="821"/>
  <c r="M38" i="821"/>
  <c r="L38" i="821"/>
  <c r="G38" i="821"/>
  <c r="F38" i="821"/>
  <c r="E38" i="821"/>
  <c r="D38" i="821"/>
  <c r="C38" i="821"/>
  <c r="B38" i="821"/>
  <c r="N37" i="821"/>
  <c r="M37" i="821"/>
  <c r="L37" i="821"/>
  <c r="G37" i="821"/>
  <c r="F37" i="821"/>
  <c r="E37" i="821"/>
  <c r="D37" i="821"/>
  <c r="C37" i="821"/>
  <c r="B37" i="821"/>
  <c r="N36" i="821"/>
  <c r="M36" i="821"/>
  <c r="L36" i="821"/>
  <c r="G36" i="821"/>
  <c r="F36" i="821"/>
  <c r="E36" i="821"/>
  <c r="D36" i="821"/>
  <c r="C36" i="821"/>
  <c r="B36" i="821"/>
  <c r="N35" i="821"/>
  <c r="M35" i="821"/>
  <c r="L35" i="821"/>
  <c r="G35" i="821"/>
  <c r="F35" i="821"/>
  <c r="E35" i="821"/>
  <c r="D35" i="821"/>
  <c r="C35" i="821"/>
  <c r="B35" i="821"/>
  <c r="N12" i="821"/>
  <c r="M12" i="821"/>
  <c r="L12" i="821"/>
  <c r="G12" i="821"/>
  <c r="F12" i="821"/>
  <c r="E12" i="821"/>
  <c r="D12" i="821"/>
  <c r="C12" i="821"/>
  <c r="B12" i="821"/>
  <c r="N34" i="821"/>
  <c r="M34" i="821"/>
  <c r="L34" i="821"/>
  <c r="G34" i="821"/>
  <c r="F34" i="821"/>
  <c r="E34" i="821"/>
  <c r="D34" i="821"/>
  <c r="C34" i="821"/>
  <c r="B34" i="821"/>
  <c r="N11" i="821"/>
  <c r="M11" i="821"/>
  <c r="L11" i="821"/>
  <c r="G11" i="821"/>
  <c r="F11" i="821"/>
  <c r="E11" i="821"/>
  <c r="D11" i="821"/>
  <c r="C11" i="821"/>
  <c r="B11" i="821"/>
  <c r="N33" i="821"/>
  <c r="M33" i="821"/>
  <c r="L33" i="821"/>
  <c r="G33" i="821"/>
  <c r="F33" i="821"/>
  <c r="E33" i="821"/>
  <c r="D33" i="821"/>
  <c r="C33" i="821"/>
  <c r="B33" i="821"/>
  <c r="N10" i="821"/>
  <c r="M10" i="821"/>
  <c r="L10" i="821"/>
  <c r="G10" i="821"/>
  <c r="F10" i="821"/>
  <c r="E10" i="821"/>
  <c r="D10" i="821"/>
  <c r="C10" i="821"/>
  <c r="B10" i="821"/>
  <c r="N32" i="821"/>
  <c r="M32" i="821"/>
  <c r="L32" i="821"/>
  <c r="G32" i="821"/>
  <c r="F32" i="821"/>
  <c r="E32" i="821"/>
  <c r="D32" i="821"/>
  <c r="C32" i="821"/>
  <c r="B32" i="821"/>
  <c r="N31" i="821"/>
  <c r="M31" i="821"/>
  <c r="L31" i="821"/>
  <c r="G31" i="821"/>
  <c r="F31" i="821"/>
  <c r="E31" i="821"/>
  <c r="D31" i="821"/>
  <c r="C31" i="821"/>
  <c r="B31" i="821"/>
  <c r="N30" i="821"/>
  <c r="M30" i="821"/>
  <c r="L30" i="821"/>
  <c r="G30" i="821"/>
  <c r="F30" i="821"/>
  <c r="E30" i="821"/>
  <c r="D30" i="821"/>
  <c r="C30" i="821"/>
  <c r="B30" i="821"/>
  <c r="N29" i="821"/>
  <c r="M29" i="821"/>
  <c r="L29" i="821"/>
  <c r="G29" i="821"/>
  <c r="F29" i="821"/>
  <c r="E29" i="821"/>
  <c r="D29" i="821"/>
  <c r="C29" i="821"/>
  <c r="B29" i="821"/>
  <c r="N28" i="821"/>
  <c r="M28" i="821"/>
  <c r="L28" i="821"/>
  <c r="G28" i="821"/>
  <c r="F28" i="821"/>
  <c r="E28" i="821"/>
  <c r="D28" i="821"/>
  <c r="C28" i="821"/>
  <c r="B28" i="821"/>
  <c r="N27" i="821"/>
  <c r="M27" i="821"/>
  <c r="L27" i="821"/>
  <c r="G27" i="821"/>
  <c r="F27" i="821"/>
  <c r="E27" i="821"/>
  <c r="D27" i="821"/>
  <c r="C27" i="821"/>
  <c r="B27" i="821"/>
  <c r="N26" i="821"/>
  <c r="M26" i="821"/>
  <c r="L26" i="821"/>
  <c r="G26" i="821"/>
  <c r="F26" i="821"/>
  <c r="E26" i="821"/>
  <c r="D26" i="821"/>
  <c r="C26" i="821"/>
  <c r="B26" i="821"/>
  <c r="N25" i="821"/>
  <c r="M25" i="821"/>
  <c r="L25" i="821"/>
  <c r="G25" i="821"/>
  <c r="F25" i="821"/>
  <c r="E25" i="821"/>
  <c r="D25" i="821"/>
  <c r="C25" i="821"/>
  <c r="B25" i="821"/>
  <c r="N24" i="821"/>
  <c r="M24" i="821"/>
  <c r="L24" i="821"/>
  <c r="G24" i="821"/>
  <c r="F24" i="821"/>
  <c r="E24" i="821"/>
  <c r="D24" i="821"/>
  <c r="C24" i="821"/>
  <c r="B24" i="821"/>
  <c r="N23" i="821"/>
  <c r="M23" i="821"/>
  <c r="L23" i="821"/>
  <c r="G23" i="821"/>
  <c r="F23" i="821"/>
  <c r="E23" i="821"/>
  <c r="D23" i="821"/>
  <c r="C23" i="821"/>
  <c r="B23" i="821"/>
  <c r="N22" i="821"/>
  <c r="M22" i="821"/>
  <c r="L22" i="821"/>
  <c r="G22" i="821"/>
  <c r="F22" i="821"/>
  <c r="E22" i="821"/>
  <c r="D22" i="821"/>
  <c r="C22" i="821"/>
  <c r="B22" i="821"/>
  <c r="N21" i="821"/>
  <c r="M21" i="821"/>
  <c r="L21" i="821"/>
  <c r="G21" i="821"/>
  <c r="F21" i="821"/>
  <c r="E21" i="821"/>
  <c r="D21" i="821"/>
  <c r="C21" i="821"/>
  <c r="B21" i="821"/>
  <c r="N20" i="821"/>
  <c r="L20" i="821"/>
  <c r="G20" i="821"/>
  <c r="F20" i="821"/>
  <c r="E20" i="821"/>
  <c r="D20" i="821"/>
  <c r="C20" i="821"/>
  <c r="B20" i="821"/>
  <c r="N19" i="821"/>
  <c r="M19" i="821"/>
  <c r="L19" i="821"/>
  <c r="G19" i="821"/>
  <c r="F19" i="821"/>
  <c r="E19" i="821"/>
  <c r="D19" i="821"/>
  <c r="C19" i="821"/>
  <c r="B19" i="821"/>
  <c r="N18" i="821"/>
  <c r="M18" i="821"/>
  <c r="L18" i="821"/>
  <c r="G18" i="821"/>
  <c r="F18" i="821"/>
  <c r="E18" i="821"/>
  <c r="D18" i="821"/>
  <c r="C18" i="821"/>
  <c r="B18" i="821"/>
  <c r="N17" i="821"/>
  <c r="M17" i="821"/>
  <c r="L17" i="821"/>
  <c r="G17" i="821"/>
  <c r="F17" i="821"/>
  <c r="E17" i="821"/>
  <c r="D17" i="821"/>
  <c r="C17" i="821"/>
  <c r="B17" i="821"/>
  <c r="N9" i="821"/>
  <c r="M9" i="821"/>
  <c r="L9" i="821"/>
  <c r="G9" i="821"/>
  <c r="F9" i="821"/>
  <c r="E9" i="821"/>
  <c r="D9" i="821"/>
  <c r="C9" i="821"/>
  <c r="B9" i="821"/>
  <c r="N8" i="821"/>
  <c r="M8" i="821"/>
  <c r="L8" i="821"/>
  <c r="G8" i="821"/>
  <c r="F8" i="821"/>
  <c r="E8" i="821"/>
  <c r="D8" i="821"/>
  <c r="C8" i="821"/>
  <c r="B8" i="821"/>
  <c r="N7" i="821"/>
  <c r="M7" i="821"/>
  <c r="L7" i="821"/>
  <c r="G7" i="821"/>
  <c r="F7" i="821"/>
  <c r="E7" i="821"/>
  <c r="D7" i="821"/>
  <c r="C7" i="821"/>
  <c r="B7" i="821"/>
  <c r="N6" i="821"/>
  <c r="M6" i="821"/>
  <c r="L6" i="821"/>
  <c r="G6" i="821"/>
  <c r="F6" i="821"/>
  <c r="E6" i="821"/>
  <c r="D6" i="821"/>
  <c r="C6" i="821"/>
  <c r="B6" i="821"/>
  <c r="N5" i="821"/>
  <c r="M5" i="821"/>
  <c r="L5" i="821"/>
  <c r="G5" i="821"/>
  <c r="F5" i="821"/>
  <c r="E5" i="821"/>
  <c r="D5" i="821"/>
  <c r="C5" i="821"/>
  <c r="B5" i="821"/>
  <c r="N4" i="821"/>
  <c r="M4" i="821"/>
  <c r="L4" i="821"/>
  <c r="G4" i="821"/>
  <c r="F4" i="821"/>
  <c r="E4" i="821"/>
  <c r="D4" i="821"/>
  <c r="C4" i="821"/>
  <c r="B4" i="821"/>
  <c r="N3" i="821"/>
  <c r="M3" i="821"/>
  <c r="L3" i="821"/>
  <c r="G3" i="821"/>
  <c r="F3" i="821"/>
  <c r="E3" i="821"/>
  <c r="D3" i="821"/>
  <c r="C3" i="821"/>
  <c r="B3" i="821"/>
  <c r="N2" i="821"/>
  <c r="M2" i="821"/>
  <c r="G2" i="821"/>
  <c r="F2" i="821"/>
  <c r="E2" i="821"/>
  <c r="D2" i="821"/>
  <c r="C2" i="821"/>
  <c r="B2" i="821"/>
</calcChain>
</file>

<file path=xl/sharedStrings.xml><?xml version="1.0" encoding="utf-8"?>
<sst xmlns="http://schemas.openxmlformats.org/spreadsheetml/2006/main" count="127" uniqueCount="59">
  <si>
    <t>机种</t>
    <phoneticPr fontId="3" type="noConversion"/>
  </si>
  <si>
    <t>端子</t>
    <phoneticPr fontId="6" type="noConversion"/>
  </si>
  <si>
    <t>插座</t>
    <phoneticPr fontId="6" type="noConversion"/>
  </si>
  <si>
    <t>支架</t>
    <phoneticPr fontId="6" type="noConversion"/>
  </si>
  <si>
    <t>套管</t>
    <phoneticPr fontId="6" type="noConversion"/>
  </si>
  <si>
    <t>薄膜</t>
    <phoneticPr fontId="6" type="noConversion"/>
  </si>
  <si>
    <t>其它</t>
    <phoneticPr fontId="6" type="noConversion"/>
  </si>
  <si>
    <t>合计</t>
    <phoneticPr fontId="6" type="noConversion"/>
  </si>
  <si>
    <t>GSX066SKNA6MK</t>
    <phoneticPr fontId="3" type="noConversion"/>
  </si>
  <si>
    <t>GSX095SKTF6JV8</t>
    <phoneticPr fontId="3" type="noConversion"/>
  </si>
  <si>
    <t>GSX102SKQA6JL</t>
    <phoneticPr fontId="3" type="noConversion"/>
  </si>
  <si>
    <t>GTD226XKQA8LL6G</t>
    <phoneticPr fontId="3" type="noConversion"/>
  </si>
  <si>
    <t>GSX098SKQF6JVA</t>
    <phoneticPr fontId="6" type="noConversion"/>
  </si>
  <si>
    <t>WHP05600AEKQA7JG6</t>
    <phoneticPr fontId="6" type="noConversion"/>
  </si>
  <si>
    <t>GTD141UKRF8JL6G</t>
    <phoneticPr fontId="6" type="noConversion"/>
  </si>
  <si>
    <t>GSX102SKQA6JL</t>
    <phoneticPr fontId="6" type="noConversion"/>
  </si>
  <si>
    <t>GSD098CKQA6JV6B A</t>
    <phoneticPr fontId="6" type="noConversion"/>
  </si>
  <si>
    <t>GSD088RKQA6JT6B A</t>
    <phoneticPr fontId="6" type="noConversion"/>
  </si>
  <si>
    <t>GTD150RKRF8LV6B</t>
    <phoneticPr fontId="6" type="noConversion"/>
  </si>
  <si>
    <t>GSX088CKQA6JL</t>
    <phoneticPr fontId="6" type="noConversion"/>
  </si>
  <si>
    <t>TX073SG4</t>
    <phoneticPr fontId="3" type="noConversion"/>
  </si>
  <si>
    <t>GSX095SKTF6JV8</t>
    <phoneticPr fontId="6" type="noConversion"/>
  </si>
  <si>
    <t>GSX098CKRF6JV8</t>
    <phoneticPr fontId="6" type="noConversion"/>
  </si>
  <si>
    <t>GSX098SKQF6JVA</t>
    <phoneticPr fontId="3" type="noConversion"/>
  </si>
  <si>
    <t>GTD186UKQA8JT6</t>
    <phoneticPr fontId="3" type="noConversion"/>
  </si>
  <si>
    <t>GTD226UKPA8LT6C</t>
    <phoneticPr fontId="6" type="noConversion"/>
  </si>
  <si>
    <t>GTD130UKQA8JT6</t>
    <phoneticPr fontId="6" type="noConversion"/>
  </si>
  <si>
    <t>GTD186UKQA8JT6</t>
    <phoneticPr fontId="6" type="noConversion"/>
  </si>
  <si>
    <t>GSD098CKQA6JV6B A薄膜</t>
    <phoneticPr fontId="6" type="noConversion"/>
  </si>
  <si>
    <t>GSD102RKQA6JT6B A</t>
    <phoneticPr fontId="6" type="noConversion"/>
  </si>
  <si>
    <t>ASD102RKQA6JT6B A</t>
    <phoneticPr fontId="6" type="noConversion"/>
  </si>
  <si>
    <t>ASD102RKQA6JT6B</t>
    <phoneticPr fontId="6" type="noConversion"/>
  </si>
  <si>
    <t>GSD102RKQA6JT6B T</t>
    <phoneticPr fontId="6" type="noConversion"/>
  </si>
  <si>
    <t>ASD088CKPA7JK6B</t>
    <phoneticPr fontId="6" type="noConversion"/>
  </si>
  <si>
    <t>GSD098RKTF6JV6B A</t>
    <phoneticPr fontId="6" type="noConversion"/>
  </si>
  <si>
    <t>ATD150RKRA8JH6 B</t>
    <phoneticPr fontId="6" type="noConversion"/>
  </si>
  <si>
    <t>GTD130RKRF8LV6B</t>
    <phoneticPr fontId="6" type="noConversion"/>
  </si>
  <si>
    <t>GSD098CKQA6JV6B A</t>
    <phoneticPr fontId="3" type="noConversion"/>
  </si>
  <si>
    <t>40A4/9发</t>
    <phoneticPr fontId="5" type="noConversion"/>
  </si>
  <si>
    <t xml:space="preserve"> </t>
    <phoneticPr fontId="5" type="noConversion"/>
  </si>
  <si>
    <t>薄膜1型号</t>
    <phoneticPr fontId="5" type="noConversion"/>
  </si>
  <si>
    <t>薄膜1数量</t>
    <phoneticPr fontId="5" type="noConversion"/>
  </si>
  <si>
    <t>薄膜2型号</t>
    <phoneticPr fontId="5" type="noConversion"/>
  </si>
  <si>
    <t>薄膜2数量</t>
    <phoneticPr fontId="5" type="noConversion"/>
  </si>
  <si>
    <t>3CNC00061A</t>
    <phoneticPr fontId="5" type="noConversion"/>
  </si>
  <si>
    <t>3CNC00057E</t>
    <phoneticPr fontId="5" type="noConversion"/>
  </si>
  <si>
    <t>3CNC00057A</t>
    <phoneticPr fontId="5" type="noConversion"/>
  </si>
  <si>
    <t>3XM000039A</t>
    <phoneticPr fontId="5" type="noConversion"/>
  </si>
  <si>
    <t>3XM000040A</t>
    <phoneticPr fontId="5" type="noConversion"/>
  </si>
  <si>
    <t>3CNC00061D</t>
    <phoneticPr fontId="5" type="noConversion"/>
  </si>
  <si>
    <t>3CNC00057H</t>
    <phoneticPr fontId="5" type="noConversion"/>
  </si>
  <si>
    <t>3CNC00057D</t>
    <phoneticPr fontId="5" type="noConversion"/>
  </si>
  <si>
    <t>3CNC00057K</t>
    <phoneticPr fontId="5" type="noConversion"/>
  </si>
  <si>
    <t>3CNC00057J</t>
    <phoneticPr fontId="5" type="noConversion"/>
  </si>
  <si>
    <t>3CNC00057B</t>
    <phoneticPr fontId="5" type="noConversion"/>
  </si>
  <si>
    <t>3XM000050A</t>
    <phoneticPr fontId="5" type="noConversion"/>
  </si>
  <si>
    <t>3XM000051A</t>
    <phoneticPr fontId="5" type="noConversion"/>
  </si>
  <si>
    <t>3CNC00057P</t>
    <phoneticPr fontId="5" type="noConversion"/>
  </si>
  <si>
    <t>3CNC00061H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</si>
</sst>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name val="宋体"/>
      <charset val="134"/>
    </font>
    <font>
      <sz val="12"/>
      <name val="宋体"/>
      <family val="3"/>
      <charset val="134"/>
    </font>
    <font>
      <sz val="12"/>
      <name val="Times New Roman"/>
      <family val="1"/>
    </font>
    <font>
      <sz val="9"/>
      <name val="宋体"/>
      <family val="3"/>
      <charset val="134"/>
    </font>
    <font>
      <sz val="11"/>
      <color rgb="FFFF0000"/>
      <name val="宋体"/>
      <family val="2"/>
      <charset val="134"/>
      <scheme val="minor"/>
    </font>
    <font>
      <sz val="9"/>
      <name val="宋体"/>
      <charset val="134"/>
    </font>
    <font>
      <sz val="9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sz val="11"/>
      <color theme="3" tint="0.39997558519241921"/>
      <name val="宋体"/>
      <family val="2"/>
      <charset val="134"/>
      <scheme val="minor"/>
    </font>
    <font>
      <sz val="11"/>
      <color theme="6"/>
      <name val="宋体"/>
      <family val="2"/>
      <charset val="134"/>
      <scheme val="minor"/>
    </font>
    <font>
      <sz val="11"/>
      <color theme="4"/>
      <name val="宋体"/>
      <family val="2"/>
      <charset val="134"/>
      <scheme val="minor"/>
    </font>
    <font>
      <sz val="11"/>
      <color theme="1" tint="0.34998626667073579"/>
      <name val="宋体"/>
      <family val="2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top"/>
    </xf>
    <xf numFmtId="0" fontId="1" fillId="0" borderId="0">
      <alignment vertical="top"/>
    </xf>
    <xf numFmtId="0" fontId="2" fillId="0" borderId="0"/>
  </cellStyleXfs>
  <cellXfs count="22">
    <xf numFmtId="0" fontId="0" fillId="0" borderId="0" xfId="0" applyAlignment="1"/>
    <xf numFmtId="0" fontId="0" fillId="3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58" fontId="0" fillId="0" borderId="1" xfId="0" applyNumberFormat="1" applyBorder="1" applyAlignment="1">
      <alignment horizontal="center" vertical="center" wrapText="1"/>
    </xf>
    <xf numFmtId="58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0" xfId="0" applyFill="1" applyAlignment="1"/>
    <xf numFmtId="0" fontId="10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</cellXfs>
  <cellStyles count="3">
    <cellStyle name="常规" xfId="0" builtinId="0"/>
    <cellStyle name="常规 2" xfId="1" xr:uid="{00000000-0005-0000-0000-000001000000}"/>
    <cellStyle name="样式 1" xfId="2" xr:uid="{00000000-0005-0000-0000-000002000000}"/>
  </cellStyles>
  <dxfs count="0"/>
  <tableStyles count="0" defaultTableStyle="TableStyleMedium9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ining/Documents/WeChat%20Files/wxid_hbofwxqc505n22/FileStorage/File/2022-04/&#24341;&#20986;&#32447;&#21335;&#26124;&#38656;&#27714;&#3492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需求表"/>
      <sheetName val="H5（毛）"/>
      <sheetName val="H3（毛）"/>
      <sheetName val="H1(毛)"/>
      <sheetName val="G"/>
      <sheetName val="L(王)"/>
      <sheetName val="ATL（王）"/>
      <sheetName val="汇总"/>
      <sheetName val="库存"/>
      <sheetName val="上海"/>
      <sheetName val="端子需求"/>
      <sheetName val="套管"/>
      <sheetName val="南昌支架电机BOM"/>
      <sheetName val="南昌支架电机需求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>
        <row r="2">
          <cell r="A2" t="str">
            <v>TX073SG3</v>
          </cell>
          <cell r="B2" t="str">
            <v>3XNC00079A</v>
          </cell>
          <cell r="C2" t="str">
            <v>3XNC00080A*3</v>
          </cell>
          <cell r="D2" t="str">
            <v>3XNC00081A</v>
          </cell>
          <cell r="E2" t="str">
            <v>1XNC00012A</v>
          </cell>
          <cell r="F2" t="str">
            <v>1XNC00013A</v>
          </cell>
          <cell r="G2" t="str">
            <v>3XNC00047G+H+J+3XNC00082A</v>
          </cell>
          <cell r="H2" t="str">
            <v>3XM000050A*4.041+3XM000051A*5.247</v>
          </cell>
        </row>
        <row r="3">
          <cell r="A3" t="str">
            <v>TX073SG4</v>
          </cell>
          <cell r="B3" t="str">
            <v>3XNC00079A</v>
          </cell>
          <cell r="C3" t="str">
            <v>3XNC00080A*3</v>
          </cell>
          <cell r="D3" t="str">
            <v>3XNC00081A</v>
          </cell>
          <cell r="E3" t="str">
            <v>1XNC00012A</v>
          </cell>
          <cell r="F3" t="str">
            <v>1XNC00013A</v>
          </cell>
          <cell r="G3" t="str">
            <v>3XNC00047D+E+F+3XNC00037A(改回来了)</v>
          </cell>
          <cell r="H3" t="str">
            <v>3XM000050A*5.013+3XM000051A*6.219</v>
          </cell>
          <cell r="I3" t="str">
            <v>1XNC00014A</v>
          </cell>
        </row>
        <row r="4">
          <cell r="A4" t="str">
            <v>GSX066SKNA6MK</v>
          </cell>
          <cell r="B4" t="str">
            <v>3XNC00079A</v>
          </cell>
          <cell r="C4" t="str">
            <v>3XNC00080A*3</v>
          </cell>
          <cell r="D4" t="str">
            <v>3XNC00081A</v>
          </cell>
          <cell r="E4" t="str">
            <v>3XM000041A</v>
          </cell>
          <cell r="F4" t="str">
            <v>3XM000042A</v>
          </cell>
          <cell r="G4" t="str">
            <v>3XNC00047M+N+P+3XNC00082B*4</v>
          </cell>
          <cell r="H4" t="str">
            <v>3XM000039A*.3+3XM000040A*.37</v>
          </cell>
        </row>
        <row r="5">
          <cell r="A5" t="str">
            <v>GSD102RKQA6JV6B A</v>
          </cell>
          <cell r="B5" t="str">
            <v>3XNC00079A</v>
          </cell>
          <cell r="C5" t="str">
            <v>3XNC00080A*3</v>
          </cell>
          <cell r="D5" t="str">
            <v>3XNC00081A</v>
          </cell>
          <cell r="E5" t="str">
            <v>2DM000064A</v>
          </cell>
          <cell r="F5" t="str">
            <v>2DM000065A</v>
          </cell>
          <cell r="G5" t="str">
            <v>3DM000293A+3DM000294A+3DM000157H+3XNC00082B</v>
          </cell>
          <cell r="H5" t="str">
            <v>3CNC00057K*.414+3CNC00061D*.486</v>
          </cell>
          <cell r="I5" t="str">
            <v>3AM000034B/4ANC00028B</v>
          </cell>
        </row>
        <row r="6">
          <cell r="A6" t="str">
            <v>GSD098CKQA6JV6B A薄膜</v>
          </cell>
          <cell r="B6" t="str">
            <v>3DNC00625C引出线</v>
          </cell>
          <cell r="G6" t="str">
            <v>3HNC00629A*3+3HNC00629D*2+3HNC00629H*3+3HNC00030B*4+3HNC00629J</v>
          </cell>
          <cell r="H6" t="str">
            <v>3CNC00061A*0.396+3CNC00057D*0.477</v>
          </cell>
        </row>
        <row r="7">
          <cell r="A7" t="str">
            <v>GSD098CKQA6JV6B A</v>
          </cell>
          <cell r="B7" t="str">
            <v>3XNC00079A</v>
          </cell>
          <cell r="C7" t="str">
            <v>3XNC00080A*3</v>
          </cell>
          <cell r="D7" t="str">
            <v>3XNC00081A</v>
          </cell>
          <cell r="E7" t="str">
            <v>2DM000064A</v>
          </cell>
          <cell r="F7" t="str">
            <v>2DM000065A</v>
          </cell>
          <cell r="G7" t="str">
            <v>3DM000293B+3DM000294B+3DM000321A+3XNC00082B</v>
          </cell>
          <cell r="H7" t="str">
            <v>3CNC00057K*.324+3CNC00061D*.396</v>
          </cell>
          <cell r="I7" t="str">
            <v>3AM000034B</v>
          </cell>
        </row>
        <row r="8">
          <cell r="A8" t="str">
            <v>GSX102SKQA6JL</v>
          </cell>
          <cell r="B8" t="str">
            <v>3XNC00079A</v>
          </cell>
          <cell r="C8" t="str">
            <v>3XNC00080A*3</v>
          </cell>
          <cell r="D8" t="str">
            <v>3XNC00081A</v>
          </cell>
          <cell r="E8" t="str">
            <v>3XM000041A</v>
          </cell>
          <cell r="F8" t="str">
            <v>3XM000042A</v>
          </cell>
          <cell r="G8" t="str">
            <v>3XM000061A+B+C+3XNC00082B</v>
          </cell>
          <cell r="H8" t="str">
            <v>3XM000039A*.3+3XM000040A*.37</v>
          </cell>
          <cell r="I8" t="str">
            <v>3AM000034B</v>
          </cell>
        </row>
        <row r="9">
          <cell r="A9" t="str">
            <v>GSD102RKQA6JT6B A</v>
          </cell>
          <cell r="B9" t="str">
            <v>3XNC00079A</v>
          </cell>
          <cell r="C9" t="str">
            <v>3XNC00080A*3</v>
          </cell>
          <cell r="D9" t="str">
            <v>3XNC00081A</v>
          </cell>
          <cell r="E9" t="str">
            <v>2DM000064A</v>
          </cell>
          <cell r="F9" t="str">
            <v>2DM000065A</v>
          </cell>
          <cell r="G9" t="str">
            <v>3DM000293A+3DM000294A+3DM000157H+3XNC00082B</v>
          </cell>
          <cell r="H9" t="str">
            <v>3CNC00057K*.414+3CNC00061D*.486</v>
          </cell>
          <cell r="I9" t="str">
            <v>3AM000034B</v>
          </cell>
        </row>
        <row r="10">
          <cell r="A10" t="str">
            <v>GTD130RKRF8LV6B</v>
          </cell>
          <cell r="B10" t="str">
            <v>3XNC00079A</v>
          </cell>
          <cell r="C10" t="str">
            <v>3XNC00080A*3</v>
          </cell>
          <cell r="D10" t="str">
            <v>3XNC00081A</v>
          </cell>
          <cell r="E10" t="str">
            <v>2DM000064A</v>
          </cell>
          <cell r="F10" t="str">
            <v>2DM000065A</v>
          </cell>
          <cell r="G10" t="str">
            <v>3DM000157A+B+C+3XNC00082B</v>
          </cell>
          <cell r="H10" t="str">
            <v>3CNC00057K*.414+3CNC00061D*.486</v>
          </cell>
          <cell r="I10" t="str">
            <v>3AM000034B/4ANC00028B</v>
          </cell>
        </row>
        <row r="11">
          <cell r="A11" t="str">
            <v>GSD098RKTF6JV6B</v>
          </cell>
          <cell r="B11" t="str">
            <v>3XNC00079A</v>
          </cell>
          <cell r="C11" t="str">
            <v>3XNC00080A*3</v>
          </cell>
          <cell r="D11" t="str">
            <v>3XNC00081A</v>
          </cell>
          <cell r="E11" t="str">
            <v>2DM000064A</v>
          </cell>
          <cell r="F11" t="str">
            <v>2DM000065A</v>
          </cell>
          <cell r="G11" t="str">
            <v>3DM000157G+H+J+3XNC00082B</v>
          </cell>
          <cell r="H11" t="str">
            <v>3CNC00061D*.486+3CNC00057K*.414</v>
          </cell>
          <cell r="I11" t="str">
            <v>4ANC00028B</v>
          </cell>
        </row>
        <row r="12">
          <cell r="A12" t="str">
            <v>TE16匹</v>
          </cell>
          <cell r="B12" t="str">
            <v>3EM000045A槽绝缘*9</v>
          </cell>
          <cell r="C12" t="str">
            <v>3EM000046A槽契*9</v>
          </cell>
          <cell r="D12" t="str">
            <v>3EM000044A引出线</v>
          </cell>
          <cell r="E12" t="str">
            <v>2EM000026A</v>
          </cell>
          <cell r="F12" t="str">
            <v>2EM000028A</v>
          </cell>
          <cell r="G12" t="str">
            <v>3EM000030ABCDEFGHJ+030KL*3+3HM000122A*3+3EM000023A*3</v>
          </cell>
        </row>
        <row r="13">
          <cell r="A13" t="str">
            <v>GSD098SKTA6JG6B</v>
          </cell>
          <cell r="B13" t="str">
            <v>3XNC00079A</v>
          </cell>
          <cell r="C13" t="str">
            <v>3XNC00080A*3</v>
          </cell>
          <cell r="D13" t="str">
            <v>3XNC00081A</v>
          </cell>
          <cell r="E13" t="str">
            <v>2DM000064A</v>
          </cell>
          <cell r="F13" t="str">
            <v>2DM000065A</v>
          </cell>
          <cell r="G13" t="str">
            <v>3DM000157G+H+J+3XNC00082B</v>
          </cell>
          <cell r="H13" t="str">
            <v>3CNC00061D*.396+3CNC00057K*.324</v>
          </cell>
          <cell r="I13" t="str">
            <v>3AM000034B</v>
          </cell>
        </row>
        <row r="14">
          <cell r="A14" t="str">
            <v>WHP05600AEKQA7JG6</v>
          </cell>
          <cell r="B14" t="str">
            <v>3DNC00948A引出线</v>
          </cell>
          <cell r="G14" t="str">
            <v>3HNC00629A*3+3HNC00629D*3+3HNC00629H*2+3HNC00030A*4+3HNC00629J</v>
          </cell>
          <cell r="H14" t="str">
            <v>3CNC00061A*0.576+3CNC00057A*0.477</v>
          </cell>
        </row>
        <row r="15">
          <cell r="A15" t="str">
            <v>GTD186UKQA9LT6</v>
          </cell>
          <cell r="B15" t="str">
            <v>3DNC00939A引出线</v>
          </cell>
          <cell r="G15" t="str">
            <v>3HNC00629A*3+3HNC00629D*3+3HNC00629H*3+3HNC00030A*4</v>
          </cell>
          <cell r="H15" t="str">
            <v>3CNC00061A*0.621+3CNC00057E*0.477</v>
          </cell>
        </row>
        <row r="16">
          <cell r="A16" t="str">
            <v>GTD186UKQA8JT6</v>
          </cell>
          <cell r="B16" t="str">
            <v>3DNC00939A引出线</v>
          </cell>
          <cell r="G16" t="str">
            <v>3HNC00629A*3+3HNC00629D*3+3HNC00629H*3+3HNC00030A*4</v>
          </cell>
          <cell r="H16" t="str">
            <v>3CNC00061A*0.621+3CNC00057E*0.477</v>
          </cell>
        </row>
        <row r="17">
          <cell r="A17" t="str">
            <v>ATD141UKQA8JT6</v>
          </cell>
          <cell r="B17" t="str">
            <v>3DNC00920A引出线</v>
          </cell>
          <cell r="G17" t="str">
            <v>3HNC00629A*3+3HNC00629D*3+3HNC00629H*3+3HNC00030A*4</v>
          </cell>
          <cell r="H17" t="str">
            <v>3CNC00061A*0.621+3CNC00057E*0.477</v>
          </cell>
        </row>
        <row r="18">
          <cell r="A18" t="str">
            <v>GTD163RKRF8JT6</v>
          </cell>
          <cell r="B18" t="str">
            <v>3DM000290A引出线</v>
          </cell>
          <cell r="G18" t="str">
            <v>3HNC00629A*3+3HNC00629D*3+3HNC00629G*3+3HNC00030B*4</v>
          </cell>
          <cell r="H18" t="str">
            <v>3CNC00061A*0.531+3CNC00057B*0.477</v>
          </cell>
        </row>
        <row r="19">
          <cell r="A19" t="str">
            <v>GSX095SKTF6JV8</v>
          </cell>
          <cell r="B19" t="str">
            <v>3XM000086A</v>
          </cell>
          <cell r="C19" t="str">
            <v>3XNC00080A*3</v>
          </cell>
          <cell r="D19" t="str">
            <v>3XNC00081A</v>
          </cell>
          <cell r="E19" t="str">
            <v>3XM000076A</v>
          </cell>
          <cell r="F19" t="str">
            <v>3XM000077A</v>
          </cell>
          <cell r="G19" t="str">
            <v>3DM000341A+3DM000342A+3DM000343A+3XNC00082B*2</v>
          </cell>
          <cell r="H19" t="str">
            <v>3CNC00057P*.492+3CNC00061H*.588</v>
          </cell>
          <cell r="I19" t="str">
            <v>3AM000034B</v>
          </cell>
        </row>
        <row r="20">
          <cell r="A20" t="str">
            <v>GSD088RKQA6JT6B T</v>
          </cell>
          <cell r="B20" t="str">
            <v>3XNC00079A</v>
          </cell>
          <cell r="C20" t="str">
            <v>3XNC00080A*3</v>
          </cell>
          <cell r="D20" t="str">
            <v>3XNC00081A</v>
          </cell>
          <cell r="E20" t="str">
            <v>2DM000064A</v>
          </cell>
          <cell r="F20" t="str">
            <v>2DM000065A</v>
          </cell>
          <cell r="G20" t="str">
            <v>3DM000293A+3DM000294A+3DM000157H+3XNC00082B</v>
          </cell>
          <cell r="H20" t="str">
            <v>3CNC00061D*.486+3CNC00057K*.414</v>
          </cell>
          <cell r="I20" t="str">
            <v>3AM000034B</v>
          </cell>
        </row>
        <row r="21">
          <cell r="A21" t="str">
            <v>GSX098SKQF6JVA</v>
          </cell>
          <cell r="B21" t="str">
            <v>3XNC00079A</v>
          </cell>
          <cell r="C21" t="str">
            <v>3XNC00080A*3</v>
          </cell>
          <cell r="D21" t="str">
            <v>3XNC00081A</v>
          </cell>
          <cell r="E21" t="str">
            <v>3XM000041A</v>
          </cell>
          <cell r="F21" t="str">
            <v>3XM000042A</v>
          </cell>
          <cell r="G21" t="str">
            <v>3DM000157D+3DM000157E+3DM000157F+3XNC00082B</v>
          </cell>
          <cell r="H21" t="str">
            <v>3XM000039A*.369+3XM000040A*.495</v>
          </cell>
          <cell r="I21" t="str">
            <v>3AM000034B</v>
          </cell>
        </row>
        <row r="22">
          <cell r="A22" t="str">
            <v>GSX088CKQA6JL</v>
          </cell>
          <cell r="B22" t="str">
            <v>3XNC00079A</v>
          </cell>
          <cell r="C22" t="str">
            <v>3XNC00080A*3</v>
          </cell>
          <cell r="D22" t="str">
            <v>3XNC00081A</v>
          </cell>
          <cell r="E22" t="str">
            <v>3XM000041A</v>
          </cell>
          <cell r="F22" t="str">
            <v>3XM000042A</v>
          </cell>
          <cell r="G22" t="str">
            <v>3XM000061E+3XM000061F+3DM000293B+3XNC00082B</v>
          </cell>
          <cell r="H22" t="str">
            <v>3XM000039A*2.7+3XM000040A*3.33</v>
          </cell>
          <cell r="I22" t="str">
            <v>3AM000034B</v>
          </cell>
        </row>
        <row r="23">
          <cell r="A23" t="str">
            <v>GTD130UKQA8JT6</v>
          </cell>
          <cell r="B23" t="str">
            <v>3DNC00920A引出线</v>
          </cell>
          <cell r="G23" t="str">
            <v>3HNC00629A*3+3HNC00629D*3+3HNC00629H*3+3HNC00030A*4</v>
          </cell>
          <cell r="H23" t="str">
            <v>3CNC00061A*0.621+3CNC00057E*0.477</v>
          </cell>
        </row>
        <row r="24">
          <cell r="A24" t="str">
            <v>GSD088RKQA6JT6B A</v>
          </cell>
          <cell r="B24" t="str">
            <v>3XNC00079A</v>
          </cell>
          <cell r="C24" t="str">
            <v>3XNC00080A*3</v>
          </cell>
          <cell r="D24" t="str">
            <v>3XNC00081A</v>
          </cell>
          <cell r="E24" t="str">
            <v>2DM000064A</v>
          </cell>
          <cell r="F24" t="str">
            <v>2DM000065A</v>
          </cell>
          <cell r="G24" t="str">
            <v>3DM000293A+3DM000294A+3DM000157H+3XNC00082B</v>
          </cell>
          <cell r="H24" t="str">
            <v>3CNC00057K*.414+3CNC00061D*.486</v>
          </cell>
          <cell r="I24" t="str">
            <v>3AM000034B/4ANC00028B</v>
          </cell>
        </row>
        <row r="25">
          <cell r="A25" t="str">
            <v>GSD098RKTF6JV6B A</v>
          </cell>
          <cell r="B25" t="str">
            <v>3XNC00079A</v>
          </cell>
          <cell r="C25" t="str">
            <v>3XNC00080A*3</v>
          </cell>
          <cell r="D25" t="str">
            <v>3XNC00081A</v>
          </cell>
          <cell r="E25" t="str">
            <v>2DM000064A</v>
          </cell>
          <cell r="F25" t="str">
            <v>2DM000065A</v>
          </cell>
          <cell r="G25" t="str">
            <v>3DM000293A+3DM000294A+3DM000157H+3XNC00082B</v>
          </cell>
          <cell r="H25" t="str">
            <v>3CNC00057K*.414+3CNC00061D*.486</v>
          </cell>
          <cell r="I25" t="str">
            <v>3AM000034B/4ANC00028B</v>
          </cell>
        </row>
        <row r="26">
          <cell r="A26" t="str">
            <v>GSD098SKQF6JV6B</v>
          </cell>
          <cell r="B26" t="str">
            <v>3DNC00262F引出线</v>
          </cell>
          <cell r="G26" t="str">
            <v>3HNC00629A*3+3HNC00629D*2+3HNC00629H*3+3HNC00030A*4+3HNC00629J</v>
          </cell>
          <cell r="H26" t="str">
            <v>3CNC00061A*.441+3CNC00057C*.477</v>
          </cell>
        </row>
        <row r="27">
          <cell r="A27" t="str">
            <v>GTD226RKQA8LV8</v>
          </cell>
          <cell r="B27" t="str">
            <v>3DM000250A*3</v>
          </cell>
          <cell r="C27" t="str">
            <v>3DM000285A*3</v>
          </cell>
          <cell r="D27" t="str">
            <v>3DM000253A</v>
          </cell>
          <cell r="E27" t="str">
            <v>3DM000174A</v>
          </cell>
          <cell r="F27" t="str">
            <v>3DM000175A</v>
          </cell>
          <cell r="G27" t="str">
            <v>3DM000341B+3DM000342B+3DM000343B+3DM000173D*12+3DM000332D*12</v>
          </cell>
          <cell r="H27" t="str">
            <v>3CNC00061G*.708+3CNC00057N*.612</v>
          </cell>
          <cell r="I27" t="str">
            <v>3AM000034B</v>
          </cell>
        </row>
        <row r="28">
          <cell r="A28" t="str">
            <v>GSD102CKQF6JV6B</v>
          </cell>
          <cell r="B28" t="str">
            <v>3XNC00079A</v>
          </cell>
          <cell r="C28" t="str">
            <v>3XNC00080A*3</v>
          </cell>
          <cell r="D28" t="str">
            <v>3XNC00081A</v>
          </cell>
          <cell r="E28" t="str">
            <v>2DM000064A</v>
          </cell>
          <cell r="F28" t="str">
            <v>2DM000065A</v>
          </cell>
          <cell r="G28" t="str">
            <v>3DM000157K+3DM000157L+3DM000157M+3XNC00082B</v>
          </cell>
          <cell r="H28" t="str">
            <v>3CNC00057K*.324+3CNC00061D*.396</v>
          </cell>
          <cell r="I28" t="str">
            <v>3AM000034B</v>
          </cell>
        </row>
        <row r="29">
          <cell r="A29" t="str">
            <v>GTD150RKRF8LV6B</v>
          </cell>
          <cell r="B29" t="str">
            <v>3DNC00787B引出线</v>
          </cell>
          <cell r="G29" t="str">
            <v>3HNC00629A*3+3HNC00629D*2+3HNC00629H*3+3HNC00030B*4+3HNC00629J</v>
          </cell>
          <cell r="H29" t="str">
            <v>3CNC00061A*0.531+3CNC00057B*0.477</v>
          </cell>
        </row>
        <row r="30">
          <cell r="A30" t="str">
            <v>ATD150RKRA8JH6 B</v>
          </cell>
          <cell r="B30" t="str">
            <v>3DNC00787B引出线</v>
          </cell>
          <cell r="G30" t="str">
            <v>3HNC00629A*3+3HNC00629D*2+3HNC00629H*3+3HNC00030B*4+3HNC00629J</v>
          </cell>
          <cell r="H30" t="str">
            <v>3CNC00061A*0.531+3CNC00057B*0.477</v>
          </cell>
        </row>
        <row r="31">
          <cell r="A31" t="str">
            <v>GSD088RKQA6JV6B</v>
          </cell>
          <cell r="B31" t="str">
            <v>3DNC00172C引出线</v>
          </cell>
          <cell r="G31" t="str">
            <v>3HNC00629A*3+3HNC00629D*3+3HNC00629H*2+3HNC00030A*4+3HNC00629J</v>
          </cell>
          <cell r="H31" t="str">
            <v>3CNC00061A*.621+3CNC00057J*.486</v>
          </cell>
        </row>
        <row r="32">
          <cell r="A32" t="str">
            <v>GTD141UKQA8JT6</v>
          </cell>
          <cell r="B32" t="str">
            <v>3DNC00920A引出线</v>
          </cell>
          <cell r="G32" t="str">
            <v>3HNC00629A*3+3HNC00629D*3+3HNC00629H*3+3HNC00030A*4</v>
          </cell>
          <cell r="H32" t="str">
            <v>3CNC00061A*0.621+3CNC00057E*0.477</v>
          </cell>
        </row>
        <row r="33">
          <cell r="A33" t="str">
            <v>ATD186UKPA9LT6</v>
          </cell>
          <cell r="B33" t="str">
            <v>3DNC00939A引出线</v>
          </cell>
          <cell r="G33" t="str">
            <v>3HNC00629A*3+3HNC00629D*3+3HNC00629H*3+3HNC00030A*4</v>
          </cell>
          <cell r="H33" t="str">
            <v>3CNC00061A*0.621+3CNC00057E*0.477</v>
          </cell>
        </row>
        <row r="34">
          <cell r="A34" t="str">
            <v>GTD226XKQA8LL6G</v>
          </cell>
          <cell r="B34" t="str">
            <v>3DM000032C引出线</v>
          </cell>
          <cell r="G34" t="str">
            <v>3HNC00629A*3+3HNC00629D*3+3HNC00629H*3+3HNC00030B*4</v>
          </cell>
          <cell r="H34" t="str">
            <v>3CNC00061A*0.666+3CNC00057H*0.477</v>
          </cell>
        </row>
        <row r="35">
          <cell r="A35" t="str">
            <v>GSD088RKQA6JV6C A</v>
          </cell>
          <cell r="B35" t="str">
            <v>3XNC00079A</v>
          </cell>
          <cell r="C35" t="str">
            <v>3XNC00080A*3</v>
          </cell>
          <cell r="D35" t="str">
            <v>3XNC00081A</v>
          </cell>
          <cell r="E35" t="str">
            <v>2DM000064A</v>
          </cell>
          <cell r="F35" t="str">
            <v>2DM000065A</v>
          </cell>
          <cell r="G35" t="str">
            <v>3DM000293A+3DM000294A+3DM000157H+3XNC00082B</v>
          </cell>
          <cell r="H35" t="str">
            <v>3CNC00057K*.414+3CNC00061D*.486</v>
          </cell>
          <cell r="I35" t="str">
            <v>3AM000034B/4ANC00028B</v>
          </cell>
        </row>
        <row r="36">
          <cell r="A36" t="str">
            <v>GSD102RKQA6JT6C A</v>
          </cell>
          <cell r="B36" t="str">
            <v>3XNC00079A</v>
          </cell>
          <cell r="C36" t="str">
            <v>3XNC00080A*3</v>
          </cell>
          <cell r="D36" t="str">
            <v>3XNC00081A</v>
          </cell>
          <cell r="E36" t="str">
            <v>2DM000064A</v>
          </cell>
          <cell r="F36" t="str">
            <v>2DM000065A</v>
          </cell>
          <cell r="G36" t="str">
            <v>3DM000293A+3DM000294A+3DM000157H+3XNC00082B</v>
          </cell>
          <cell r="H36" t="str">
            <v>3CNC00057K*.414+3CNC00061D*.486</v>
          </cell>
          <cell r="I36" t="str">
            <v>3AM000034B/4ANC00028B</v>
          </cell>
        </row>
        <row r="37">
          <cell r="A37" t="str">
            <v>GTD150RKQF7JV6B</v>
          </cell>
          <cell r="B37" t="str">
            <v>3XNC00079A</v>
          </cell>
          <cell r="C37" t="str">
            <v>3XNC00080A*3</v>
          </cell>
          <cell r="D37" t="str">
            <v>3XNC00081A</v>
          </cell>
          <cell r="E37" t="str">
            <v>2DM000064A</v>
          </cell>
          <cell r="F37" t="str">
            <v>2DM000065A</v>
          </cell>
          <cell r="G37" t="str">
            <v>3DM000157X+3DM000157Y+3DM000157W++3XNC00082B</v>
          </cell>
          <cell r="H37" t="str">
            <v>3CNC00057K*.414+3CNC00061D*.486</v>
          </cell>
          <cell r="I37" t="str">
            <v>3AM000034B</v>
          </cell>
        </row>
        <row r="38">
          <cell r="A38" t="str">
            <v>ATD186UKQA8JT6T</v>
          </cell>
          <cell r="B38" t="str">
            <v>3DNC00939A引出线</v>
          </cell>
          <cell r="G38" t="str">
            <v>3HNC00629A*3+3HNC00629D*3+3HNC00629H*3+3HNC00030A*4</v>
          </cell>
          <cell r="H38" t="str">
            <v>3CNC00057E*.477+3CNC00061A*.621</v>
          </cell>
        </row>
        <row r="39">
          <cell r="A39" t="str">
            <v>ATD186UKQA9LT6A</v>
          </cell>
          <cell r="B39" t="str">
            <v>3DNC00939A引出线</v>
          </cell>
          <cell r="G39" t="str">
            <v>3HNC00629A*3+3HNC00629D*3+3HNC00629H*3+3HNC00030A*4</v>
          </cell>
          <cell r="H39" t="str">
            <v>3CNC00057E*.477+3CNC00061A*.621</v>
          </cell>
        </row>
        <row r="40">
          <cell r="A40" t="str">
            <v>ASD102RKQA6JT6B A</v>
          </cell>
          <cell r="B40" t="str">
            <v>3XNC00079A</v>
          </cell>
          <cell r="C40" t="str">
            <v>3XNC00080A*3</v>
          </cell>
          <cell r="D40" t="str">
            <v>3XNC00081A</v>
          </cell>
          <cell r="E40" t="str">
            <v>2DM000064A</v>
          </cell>
          <cell r="F40" t="str">
            <v>2DM000065A</v>
          </cell>
          <cell r="G40" t="str">
            <v>3DM000293A+3DM000294A+3DM000157H+3XNC00082B</v>
          </cell>
          <cell r="H40" t="str">
            <v>3CNC00057K*.414+3CNC00061D*.486</v>
          </cell>
          <cell r="I40" t="str">
            <v>3AM000034B/4ANC00028B</v>
          </cell>
        </row>
        <row r="41">
          <cell r="A41" t="str">
            <v>GSX098SKQA6JVA</v>
          </cell>
          <cell r="B41" t="str">
            <v>3XNC00079A*</v>
          </cell>
          <cell r="C41" t="str">
            <v>3XNC00080A*3*</v>
          </cell>
          <cell r="D41" t="str">
            <v>3XNC00081A*</v>
          </cell>
        </row>
        <row r="42">
          <cell r="A42" t="str">
            <v>GSX098CKQA6JV8</v>
          </cell>
          <cell r="B42" t="str">
            <v>3XNC00079A*</v>
          </cell>
          <cell r="C42" t="str">
            <v>3XNC00080A*3*</v>
          </cell>
          <cell r="D42" t="str">
            <v>3XNC00081A*</v>
          </cell>
        </row>
        <row r="43">
          <cell r="A43" t="str">
            <v>GSD145RKRA7JV8</v>
          </cell>
          <cell r="B43" t="str">
            <v>3XNC00079A</v>
          </cell>
          <cell r="C43" t="str">
            <v>3XNC00080A*3</v>
          </cell>
          <cell r="D43" t="str">
            <v>3XNC00081A</v>
          </cell>
          <cell r="E43" t="str">
            <v>3DM000174A</v>
          </cell>
          <cell r="F43" t="str">
            <v>3DM000175A</v>
          </cell>
        </row>
        <row r="44">
          <cell r="A44" t="str">
            <v>GSD113RKQF6JV6B</v>
          </cell>
          <cell r="B44" t="str">
            <v>3XNC00079A</v>
          </cell>
          <cell r="C44" t="str">
            <v>3XNC00080A*3</v>
          </cell>
          <cell r="D44" t="str">
            <v>3XNC00081A</v>
          </cell>
          <cell r="E44" t="str">
            <v>2DM000064A</v>
          </cell>
          <cell r="F44" t="str">
            <v>2DM000065A</v>
          </cell>
        </row>
        <row r="45">
          <cell r="A45" t="str">
            <v>GSD113TKTB7JT6B</v>
          </cell>
          <cell r="B45" t="str">
            <v>3XNC00079A</v>
          </cell>
          <cell r="C45" t="str">
            <v>3XNC00080A*3</v>
          </cell>
          <cell r="D45" t="str">
            <v>3XNC00081A</v>
          </cell>
          <cell r="E45" t="str">
            <v>2DM000064A</v>
          </cell>
          <cell r="F45" t="str">
            <v>2DM000065A</v>
          </cell>
        </row>
        <row r="46">
          <cell r="A46" t="str">
            <v>BBD150SKEA3D6 A</v>
          </cell>
          <cell r="B46" t="str">
            <v>3DM000236A*18</v>
          </cell>
          <cell r="C46" t="str">
            <v>3DM000228A</v>
          </cell>
          <cell r="D46" t="str">
            <v>3DM000230A*3</v>
          </cell>
          <cell r="E46" t="str">
            <v>2DM000118A</v>
          </cell>
          <cell r="F46" t="str">
            <v>2DM000065A</v>
          </cell>
        </row>
        <row r="47">
          <cell r="A47" t="str">
            <v>GSD102RKQF7JT6B</v>
          </cell>
          <cell r="B47" t="str">
            <v>3DNC00172C引出线</v>
          </cell>
          <cell r="G47" t="str">
            <v>3HNC00629A*3+3HNC00629D*3+3HNC00629H*2+3HNC00030A*4+3HNC00629J</v>
          </cell>
          <cell r="H47" t="str">
            <v>3CNC00057J*.477+3CNC00061A*.486</v>
          </cell>
        </row>
        <row r="48">
          <cell r="A48" t="str">
            <v>GTD226UKPA8LT6C</v>
          </cell>
          <cell r="B48" t="str">
            <v>3DM000032B引出线</v>
          </cell>
          <cell r="G48" t="str">
            <v>3HNC00629A*3+3HNC00629D*3+3HNC00629H*3+3HNC00030A*4</v>
          </cell>
          <cell r="H48" t="str">
            <v>3CNC00057E*.477+3CNC00061A*.621</v>
          </cell>
        </row>
        <row r="49">
          <cell r="A49" t="str">
            <v>GSD098SKSA7JL6B</v>
          </cell>
          <cell r="B49" t="str">
            <v>3XNC00079A</v>
          </cell>
          <cell r="C49" t="str">
            <v>3XNC00080A*3</v>
          </cell>
          <cell r="D49" t="str">
            <v>3XNC00081A</v>
          </cell>
          <cell r="E49" t="str">
            <v>2DM000064A</v>
          </cell>
          <cell r="F49" t="str">
            <v>2DM000065A</v>
          </cell>
          <cell r="G49" t="str">
            <v>3DM000157H+3DM000157J+3DM000157G+3XNC00082B</v>
          </cell>
          <cell r="H49" t="str">
            <v>3CNC00057K*.369+3CNC00061D*.441</v>
          </cell>
          <cell r="I49" t="str">
            <v>3AM000034B</v>
          </cell>
        </row>
        <row r="50">
          <cell r="A50" t="str">
            <v>GTD226UKPA8LT6A</v>
          </cell>
          <cell r="B50" t="str">
            <v>3DM000032A引出线</v>
          </cell>
          <cell r="G50" t="str">
            <v>3HNC00629A*3+3HNC00629D*3+3HNC00629H*3+3HNC00030A*4</v>
          </cell>
          <cell r="H50" t="str">
            <v>3CNC00057E*.477+3CNC00061A*.621</v>
          </cell>
        </row>
        <row r="51">
          <cell r="A51" t="str">
            <v>GSX098CKRF6JV8</v>
          </cell>
          <cell r="B51" t="str">
            <v>3XM000067A</v>
          </cell>
          <cell r="C51" t="str">
            <v>3XNC00080A*3</v>
          </cell>
          <cell r="D51" t="str">
            <v>3XNC00081A</v>
          </cell>
          <cell r="E51" t="str">
            <v>3XM000096A</v>
          </cell>
          <cell r="F51" t="str">
            <v>3XM000095A</v>
          </cell>
          <cell r="G51" t="str">
            <v>3DM000341B+3DM000342H+3DM000343B</v>
          </cell>
          <cell r="H51" t="str">
            <v>3CNC00057P*.432+3CNC00061H*.528</v>
          </cell>
          <cell r="I51" t="str">
            <v>3AM000034B</v>
          </cell>
        </row>
        <row r="52">
          <cell r="A52" t="str">
            <v>GTD141UKRF8JL6G</v>
          </cell>
          <cell r="B52" t="str">
            <v>3DNC00172C引出线</v>
          </cell>
          <cell r="G52" t="str">
            <v>3HNC00629A*3+3HNC00629D*3+3HNC00629H*3+3HNC00030A*4</v>
          </cell>
          <cell r="H52" t="str">
            <v>3CNC00057A*.477+3CNC00061A*.576</v>
          </cell>
        </row>
        <row r="53">
          <cell r="A53" t="str">
            <v>ASD102RKQA6JT6B</v>
          </cell>
          <cell r="B53" t="str">
            <v>3DNC00172C引出线</v>
          </cell>
          <cell r="G53" t="str">
            <v>3HNC00629A*3+3HNC00629D*3+3HNC00629H*3+3HNC00030A*4</v>
          </cell>
          <cell r="H53" t="str">
            <v>3CNC00057J*.486+3CNC00061A*.621</v>
          </cell>
        </row>
        <row r="54">
          <cell r="A54" t="str">
            <v>GSD102RKQA6JT6B T</v>
          </cell>
          <cell r="B54" t="str">
            <v>3XNC00079A</v>
          </cell>
          <cell r="C54" t="str">
            <v>3XNC00080A*3</v>
          </cell>
          <cell r="D54" t="str">
            <v>3XNC00081A</v>
          </cell>
          <cell r="E54" t="str">
            <v>2DM000064A</v>
          </cell>
          <cell r="F54" t="str">
            <v>2DM000065A</v>
          </cell>
          <cell r="G54" t="str">
            <v>3DM000293A+3DM000294A+3DM000157H+3XNC00082B</v>
          </cell>
          <cell r="H54" t="str">
            <v>3CNC00061D*.486+3CNC00057K*.414</v>
          </cell>
          <cell r="I54" t="str">
            <v>3AM000034B</v>
          </cell>
        </row>
        <row r="55">
          <cell r="A55" t="str">
            <v>ASD088CKPA7JK6B</v>
          </cell>
          <cell r="B55" t="str">
            <v>3XNC00079A</v>
          </cell>
          <cell r="C55" t="str">
            <v>3XNC00080A*3</v>
          </cell>
          <cell r="D55" t="str">
            <v>3XNC00081A</v>
          </cell>
          <cell r="E55" t="str">
            <v>2DM000064A</v>
          </cell>
          <cell r="F55" t="str">
            <v>2DM000065A</v>
          </cell>
          <cell r="G55" t="str">
            <v>3DM000293E+3DM000321C+3DM000157C+3XNC00082B</v>
          </cell>
          <cell r="H55" t="str">
            <v>3CNC00061D*.396+3CNC00057K*.324</v>
          </cell>
          <cell r="I55" t="str">
            <v>4ANC00028B</v>
          </cell>
        </row>
      </sheetData>
      <sheetData sheetId="13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39"/>
  <sheetViews>
    <sheetView tabSelected="1" topLeftCell="K1" zoomScale="85" zoomScaleNormal="85" workbookViewId="0">
      <selection activeCell="M4" sqref="M4"/>
    </sheetView>
  </sheetViews>
  <sheetFormatPr defaultRowHeight="15" x14ac:dyDescent="0.25"/>
  <cols>
    <col min="2" max="2" width="21.75" customWidth="1"/>
    <col min="3" max="3" width="14.25" customWidth="1"/>
    <col min="4" max="4" width="18.33203125" customWidth="1"/>
    <col min="5" max="5" width="17.25" customWidth="1"/>
    <col min="6" max="6" width="16.75" customWidth="1"/>
    <col min="7" max="7" width="67.08203125" bestFit="1" customWidth="1"/>
    <col min="8" max="11" width="13.9140625" customWidth="1"/>
    <col min="12" max="12" width="44.33203125" customWidth="1"/>
    <col min="13" max="13" width="21.5" customWidth="1"/>
    <col min="15" max="45" width="0" hidden="1" customWidth="1"/>
  </cols>
  <sheetData>
    <row r="1" spans="1:45" x14ac:dyDescent="0.25">
      <c r="A1" s="1" t="s">
        <v>0</v>
      </c>
      <c r="B1" s="2" t="s">
        <v>1</v>
      </c>
      <c r="C1" s="2" t="s">
        <v>1</v>
      </c>
      <c r="D1" s="2" t="s">
        <v>2</v>
      </c>
      <c r="E1" s="2" t="s">
        <v>3</v>
      </c>
      <c r="F1" s="2" t="s">
        <v>3</v>
      </c>
      <c r="G1" s="2" t="s">
        <v>4</v>
      </c>
      <c r="H1" s="20" t="s">
        <v>40</v>
      </c>
      <c r="I1" s="20" t="s">
        <v>41</v>
      </c>
      <c r="J1" s="20" t="s">
        <v>42</v>
      </c>
      <c r="K1" s="20" t="s">
        <v>43</v>
      </c>
      <c r="L1" s="2" t="s">
        <v>5</v>
      </c>
      <c r="M1" s="2" t="s">
        <v>6</v>
      </c>
      <c r="N1" s="3" t="s">
        <v>7</v>
      </c>
      <c r="O1" s="4">
        <v>44657</v>
      </c>
      <c r="P1" s="4">
        <v>44658</v>
      </c>
      <c r="Q1" s="4">
        <v>44659</v>
      </c>
      <c r="R1" s="4">
        <v>44660</v>
      </c>
      <c r="S1" s="4">
        <v>44661</v>
      </c>
      <c r="T1" s="4">
        <v>44662</v>
      </c>
      <c r="U1" s="4">
        <v>44663</v>
      </c>
      <c r="V1" s="4">
        <v>44664</v>
      </c>
      <c r="W1" s="4">
        <v>44665</v>
      </c>
      <c r="X1" s="4">
        <v>44666</v>
      </c>
      <c r="Y1" s="4">
        <v>44667</v>
      </c>
      <c r="Z1" s="4">
        <v>44668</v>
      </c>
      <c r="AA1" s="4">
        <v>44669</v>
      </c>
      <c r="AB1" s="4">
        <v>44670</v>
      </c>
      <c r="AC1" s="4">
        <v>44671</v>
      </c>
      <c r="AD1" s="4">
        <v>44672</v>
      </c>
      <c r="AE1" s="4">
        <v>44673</v>
      </c>
      <c r="AF1" s="4">
        <v>44674</v>
      </c>
      <c r="AG1" s="4">
        <v>44675</v>
      </c>
      <c r="AH1" s="4">
        <v>44676</v>
      </c>
      <c r="AI1" s="4">
        <v>44677</v>
      </c>
      <c r="AJ1" s="4">
        <v>44678</v>
      </c>
      <c r="AK1" s="4">
        <v>44679</v>
      </c>
      <c r="AL1" s="4">
        <v>44680</v>
      </c>
      <c r="AM1" s="4"/>
      <c r="AN1" s="4"/>
      <c r="AO1" s="4"/>
      <c r="AP1" s="4"/>
      <c r="AQ1" s="4"/>
      <c r="AR1" s="4"/>
      <c r="AS1" s="4"/>
    </row>
    <row r="2" spans="1:45" ht="30" x14ac:dyDescent="0.25">
      <c r="A2" s="8" t="s">
        <v>24</v>
      </c>
      <c r="B2" s="2" t="str">
        <f>IF(ISNA(VLOOKUP($A2,[1]南昌支架电机BOM!$A$2:$I$100,2,FALSE)),"0",(VLOOKUP($A2,[1]南昌支架电机BOM!$A$2:$I$100,2,FALSE)))</f>
        <v>3DNC00939A引出线</v>
      </c>
      <c r="C2" s="2" t="e">
        <f>IF(ISNA(VLOOKUP($A2,[1]南昌支架电机BOM!$A$2:$I$100,3,FALSE)),"0",(VLOOKUP($A2,[1]南昌支架电机BOM!$A$2:$I$100,3,FALSE)))</f>
        <v>#REF!</v>
      </c>
      <c r="D2" s="2" t="e">
        <f>IF(ISNA(VLOOKUP($A2,[1]南昌支架电机BOM!$A$2:$I$100,4,FALSE)),"0",(VLOOKUP($A2,[1]南昌支架电机BOM!$A$2:$I$100,4,FALSE)))</f>
        <v>#REF!</v>
      </c>
      <c r="E2" s="2" t="e">
        <f>IF(ISNA(VLOOKUP($A2,[1]南昌支架电机BOM!$A$2:$I$100,5,FALSE)),"0",(VLOOKUP($A2,[1]南昌支架电机BOM!$A$2:$I$100,5,FALSE)))</f>
        <v>#REF!</v>
      </c>
      <c r="F2" s="2" t="e">
        <f>IF(ISNA(VLOOKUP($A2,[1]南昌支架电机BOM!$A$2:$I$100,6,FALSE)),"0",(VLOOKUP($A2,[1]南昌支架电机BOM!$A$2:$I$100,6,FALSE)))</f>
        <v>#REF!</v>
      </c>
      <c r="G2" s="2" t="str">
        <f>IF(ISNA(VLOOKUP($A2,[1]南昌支架电机BOM!$A$2:$I$100,7,FALSE)),"0",(VLOOKUP($A2,[1]南昌支架电机BOM!$A$2:$I$100,7,FALSE)))</f>
        <v>3HNC00629A*3+3HNC00629D*3+3HNC00629H*3+3HNC00030A*4</v>
      </c>
      <c r="H2" s="20" t="s">
        <v>44</v>
      </c>
      <c r="I2" s="2">
        <f>N2*0.621</f>
        <v>496.8</v>
      </c>
      <c r="J2" s="20" t="s">
        <v>45</v>
      </c>
      <c r="K2" s="2">
        <f t="shared" ref="K2:K8" si="0">N2*0.477</f>
        <v>381.59999999999997</v>
      </c>
      <c r="L2" s="2" t="str">
        <f>IF(ISNA(VLOOKUP($A2,[1]南昌支架电机BOM!$A$2:$I$100,8,FALSE)),"0",(VLOOKUP($A2,[1]南昌支架电机BOM!$A$2:$I$100,8,FALSE)))</f>
        <v>3CNC00061A*0.621+3CNC00057E*0.477</v>
      </c>
      <c r="M2" s="2" t="e">
        <f>IF(ISNA(VLOOKUP($A2,[1]南昌支架电机BOM!$A$2:$I$100,9,FALSE)),"0",(VLOOKUP($A2,[1]南昌支架电机BOM!$A$2:$I$100,9,FALSE)))</f>
        <v>#REF!</v>
      </c>
      <c r="N2" s="5">
        <f>SUM(O2:AU2)</f>
        <v>800</v>
      </c>
      <c r="O2" s="7"/>
      <c r="P2" s="7">
        <v>800</v>
      </c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6"/>
      <c r="AL2" s="6"/>
      <c r="AM2" s="6"/>
      <c r="AN2" s="6"/>
      <c r="AO2" s="6"/>
      <c r="AP2" s="6"/>
      <c r="AQ2" s="6"/>
      <c r="AR2" s="6"/>
      <c r="AS2" s="6"/>
    </row>
    <row r="3" spans="1:45" ht="30" x14ac:dyDescent="0.25">
      <c r="A3" s="8" t="s">
        <v>14</v>
      </c>
      <c r="B3" s="2" t="str">
        <f>IF(ISNA(VLOOKUP($A3,[1]南昌支架电机BOM!$A$2:$I$100,2,FALSE)),"0",(VLOOKUP($A3,[1]南昌支架电机BOM!$A$2:$I$100,2,FALSE)))</f>
        <v>3DNC00172C引出线</v>
      </c>
      <c r="C3" s="2" t="e">
        <f>IF(ISNA(VLOOKUP($A3,[1]南昌支架电机BOM!$A$2:$I$100,3,FALSE)),"0",(VLOOKUP($A3,[1]南昌支架电机BOM!$A$2:$I$100,3,FALSE)))</f>
        <v>#REF!</v>
      </c>
      <c r="D3" s="2" t="e">
        <f>IF(ISNA(VLOOKUP($A3,[1]南昌支架电机BOM!$A$2:$I$100,4,FALSE)),"0",(VLOOKUP($A3,[1]南昌支架电机BOM!$A$2:$I$100,4,FALSE)))</f>
        <v>#REF!</v>
      </c>
      <c r="E3" s="2" t="e">
        <f>IF(ISNA(VLOOKUP($A3,[1]南昌支架电机BOM!$A$2:$I$100,5,FALSE)),"0",(VLOOKUP($A3,[1]南昌支架电机BOM!$A$2:$I$100,5,FALSE)))</f>
        <v>#REF!</v>
      </c>
      <c r="F3" s="2" t="e">
        <f>IF(ISNA(VLOOKUP($A3,[1]南昌支架电机BOM!$A$2:$I$100,6,FALSE)),"0",(VLOOKUP($A3,[1]南昌支架电机BOM!$A$2:$I$100,6,FALSE)))</f>
        <v>#REF!</v>
      </c>
      <c r="G3" s="2" t="str">
        <f>IF(ISNA(VLOOKUP($A3,[1]南昌支架电机BOM!$A$2:$I$100,7,FALSE)),"0",(VLOOKUP($A3,[1]南昌支架电机BOM!$A$2:$I$100,7,FALSE)))</f>
        <v>3HNC00629A*3+3HNC00629D*3+3HNC00629H*3+3HNC00030A*4</v>
      </c>
      <c r="H3" s="20" t="s">
        <v>44</v>
      </c>
      <c r="I3" s="2">
        <f>N3*0.576</f>
        <v>115.19999999999999</v>
      </c>
      <c r="J3" s="20" t="s">
        <v>46</v>
      </c>
      <c r="K3" s="2">
        <f t="shared" si="0"/>
        <v>95.399999999999991</v>
      </c>
      <c r="L3" s="2" t="str">
        <f>IF(ISNA(VLOOKUP($A3,[1]南昌支架电机BOM!$A$2:$I$100,8,FALSE)),"0",(VLOOKUP($A3,[1]南昌支架电机BOM!$A$2:$I$100,8,FALSE)))</f>
        <v>3CNC00057A*.477+3CNC00061A*.576</v>
      </c>
      <c r="M3" s="2" t="e">
        <f>IF(ISNA(VLOOKUP($A3,[1]南昌支架电机BOM!$A$2:$I$100,9,FALSE)),"0",(VLOOKUP($A3,[1]南昌支架电机BOM!$A$2:$I$100,9,FALSE)))</f>
        <v>#REF!</v>
      </c>
      <c r="N3" s="5">
        <f t="shared" ref="N3:N39" si="1">SUM(O3:AU3)</f>
        <v>200</v>
      </c>
      <c r="O3" s="7"/>
      <c r="P3" s="7">
        <v>200</v>
      </c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6"/>
      <c r="AL3" s="6"/>
      <c r="AM3" s="7"/>
      <c r="AN3" s="7"/>
      <c r="AO3" s="7"/>
      <c r="AP3" s="7"/>
      <c r="AQ3" s="6"/>
      <c r="AR3" s="6"/>
      <c r="AS3" s="6"/>
    </row>
    <row r="4" spans="1:45" ht="45" x14ac:dyDescent="0.25">
      <c r="A4" s="8" t="s">
        <v>13</v>
      </c>
      <c r="B4" s="2" t="str">
        <f>IF(ISNA(VLOOKUP($A4,[1]南昌支架电机BOM!$A$2:$I$100,2,FALSE)),"0",(VLOOKUP($A4,[1]南昌支架电机BOM!$A$2:$I$100,2,FALSE)))</f>
        <v>3DNC00948A引出线</v>
      </c>
      <c r="C4" s="2" t="e">
        <f>IF(ISNA(VLOOKUP($A4,[1]南昌支架电机BOM!$A$2:$I$100,3,FALSE)),"0",(VLOOKUP($A4,[1]南昌支架电机BOM!$A$2:$I$100,3,FALSE)))</f>
        <v>#REF!</v>
      </c>
      <c r="D4" s="2" t="e">
        <f>IF(ISNA(VLOOKUP($A4,[1]南昌支架电机BOM!$A$2:$I$100,4,FALSE)),"0",(VLOOKUP($A4,[1]南昌支架电机BOM!$A$2:$I$100,4,FALSE)))</f>
        <v>#REF!</v>
      </c>
      <c r="E4" s="2" t="e">
        <f>IF(ISNA(VLOOKUP($A4,[1]南昌支架电机BOM!$A$2:$I$100,5,FALSE)),"0",(VLOOKUP($A4,[1]南昌支架电机BOM!$A$2:$I$100,5,FALSE)))</f>
        <v>#REF!</v>
      </c>
      <c r="F4" s="2" t="e">
        <f>IF(ISNA(VLOOKUP($A4,[1]南昌支架电机BOM!$A$2:$I$100,6,FALSE)),"0",(VLOOKUP($A4,[1]南昌支架电机BOM!$A$2:$I$100,6,FALSE)))</f>
        <v>#REF!</v>
      </c>
      <c r="G4" s="2" t="str">
        <f>IF(ISNA(VLOOKUP($A4,[1]南昌支架电机BOM!$A$2:$I$100,7,FALSE)),"0",(VLOOKUP($A4,[1]南昌支架电机BOM!$A$2:$I$100,7,FALSE)))</f>
        <v>3HNC00629A*3+3HNC00629D*3+3HNC00629H*2+3HNC00030A*4+3HNC00629J</v>
      </c>
      <c r="H4" s="20" t="s">
        <v>44</v>
      </c>
      <c r="I4" s="2">
        <f>N4*0.576</f>
        <v>2995.2</v>
      </c>
      <c r="J4" s="20" t="s">
        <v>46</v>
      </c>
      <c r="K4" s="2">
        <f t="shared" si="0"/>
        <v>2480.4</v>
      </c>
      <c r="L4" s="2" t="str">
        <f>IF(ISNA(VLOOKUP($A4,[1]南昌支架电机BOM!$A$2:$I$100,8,FALSE)),"0",(VLOOKUP($A4,[1]南昌支架电机BOM!$A$2:$I$100,8,FALSE)))</f>
        <v>3CNC00061A*0.576+3CNC00057A*0.477</v>
      </c>
      <c r="M4" s="2" t="e">
        <f>IF(ISNA(VLOOKUP($A4,[1]南昌支架电机BOM!$A$2:$I$100,9,FALSE)),"0",(VLOOKUP($A4,[1]南昌支架电机BOM!$A$2:$I$100,9,FALSE)))</f>
        <v>#REF!</v>
      </c>
      <c r="N4" s="5">
        <f t="shared" si="1"/>
        <v>5200</v>
      </c>
      <c r="O4" s="7">
        <v>4200</v>
      </c>
      <c r="P4" s="7">
        <v>1000</v>
      </c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6"/>
      <c r="AL4" s="6"/>
      <c r="AM4" s="7"/>
      <c r="AN4" s="7"/>
      <c r="AO4" s="7"/>
      <c r="AP4" s="7"/>
      <c r="AQ4" s="6"/>
      <c r="AR4" s="6"/>
      <c r="AS4" s="6"/>
    </row>
    <row r="5" spans="1:45" ht="30" x14ac:dyDescent="0.25">
      <c r="A5" s="8" t="s">
        <v>14</v>
      </c>
      <c r="B5" s="2" t="str">
        <f>IF(ISNA(VLOOKUP($A5,[1]南昌支架电机BOM!$A$2:$I$100,2,FALSE)),"0",(VLOOKUP($A5,[1]南昌支架电机BOM!$A$2:$I$100,2,FALSE)))</f>
        <v>3DNC00172C引出线</v>
      </c>
      <c r="C5" s="2" t="e">
        <f>IF(ISNA(VLOOKUP($A5,[1]南昌支架电机BOM!$A$2:$I$100,3,FALSE)),"0",(VLOOKUP($A5,[1]南昌支架电机BOM!$A$2:$I$100,3,FALSE)))</f>
        <v>#REF!</v>
      </c>
      <c r="D5" s="2" t="e">
        <f>IF(ISNA(VLOOKUP($A5,[1]南昌支架电机BOM!$A$2:$I$100,4,FALSE)),"0",(VLOOKUP($A5,[1]南昌支架电机BOM!$A$2:$I$100,4,FALSE)))</f>
        <v>#REF!</v>
      </c>
      <c r="E5" s="2" t="e">
        <f>IF(ISNA(VLOOKUP($A5,[1]南昌支架电机BOM!$A$2:$I$100,5,FALSE)),"0",(VLOOKUP($A5,[1]南昌支架电机BOM!$A$2:$I$100,5,FALSE)))</f>
        <v>#REF!</v>
      </c>
      <c r="F5" s="2" t="e">
        <f>IF(ISNA(VLOOKUP($A5,[1]南昌支架电机BOM!$A$2:$I$100,6,FALSE)),"0",(VLOOKUP($A5,[1]南昌支架电机BOM!$A$2:$I$100,6,FALSE)))</f>
        <v>#REF!</v>
      </c>
      <c r="G5" s="2" t="str">
        <f>IF(ISNA(VLOOKUP($A5,[1]南昌支架电机BOM!$A$2:$I$100,7,FALSE)),"0",(VLOOKUP($A5,[1]南昌支架电机BOM!$A$2:$I$100,7,FALSE)))</f>
        <v>3HNC00629A*3+3HNC00629D*3+3HNC00629H*3+3HNC00030A*4</v>
      </c>
      <c r="H5" s="20" t="s">
        <v>44</v>
      </c>
      <c r="I5" s="2">
        <f>N5*0.576</f>
        <v>11635.199999999999</v>
      </c>
      <c r="J5" s="20" t="s">
        <v>46</v>
      </c>
      <c r="K5" s="2">
        <f t="shared" si="0"/>
        <v>9635.4</v>
      </c>
      <c r="L5" s="2" t="str">
        <f>IF(ISNA(VLOOKUP($A5,[1]南昌支架电机BOM!$A$2:$I$100,8,FALSE)),"0",(VLOOKUP($A5,[1]南昌支架电机BOM!$A$2:$I$100,8,FALSE)))</f>
        <v>3CNC00057A*.477+3CNC00061A*.576</v>
      </c>
      <c r="M5" s="2" t="e">
        <f>IF(ISNA(VLOOKUP($A5,[1]南昌支架电机BOM!$A$2:$I$100,9,FALSE)),"0",(VLOOKUP($A5,[1]南昌支架电机BOM!$A$2:$I$100,9,FALSE)))</f>
        <v>#REF!</v>
      </c>
      <c r="N5" s="5">
        <f t="shared" si="1"/>
        <v>20200</v>
      </c>
      <c r="O5" s="7"/>
      <c r="P5" s="7">
        <v>2000</v>
      </c>
      <c r="Q5" s="7">
        <v>4200</v>
      </c>
      <c r="R5" s="7">
        <v>4200</v>
      </c>
      <c r="S5" s="7"/>
      <c r="T5" s="7"/>
      <c r="U5" s="7">
        <v>3000</v>
      </c>
      <c r="V5" s="7">
        <v>4000</v>
      </c>
      <c r="W5" s="7">
        <v>2800</v>
      </c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6"/>
      <c r="AL5" s="6"/>
      <c r="AM5" s="7"/>
      <c r="AN5" s="7"/>
      <c r="AO5" s="7"/>
      <c r="AP5" s="7"/>
      <c r="AQ5" s="6"/>
      <c r="AR5" s="6"/>
      <c r="AS5" s="6"/>
    </row>
    <row r="6" spans="1:45" ht="30" x14ac:dyDescent="0.25">
      <c r="A6" s="8" t="s">
        <v>25</v>
      </c>
      <c r="B6" s="2" t="str">
        <f>IF(ISNA(VLOOKUP($A6,[1]南昌支架电机BOM!$A$2:$I$100,2,FALSE)),"0",(VLOOKUP($A6,[1]南昌支架电机BOM!$A$2:$I$100,2,FALSE)))</f>
        <v>3DM000032B引出线</v>
      </c>
      <c r="C6" s="2" t="e">
        <f>IF(ISNA(VLOOKUP($A6,[1]南昌支架电机BOM!$A$2:$I$100,3,FALSE)),"0",(VLOOKUP($A6,[1]南昌支架电机BOM!$A$2:$I$100,3,FALSE)))</f>
        <v>#REF!</v>
      </c>
      <c r="D6" s="2" t="e">
        <f>IF(ISNA(VLOOKUP($A6,[1]南昌支架电机BOM!$A$2:$I$100,4,FALSE)),"0",(VLOOKUP($A6,[1]南昌支架电机BOM!$A$2:$I$100,4,FALSE)))</f>
        <v>#REF!</v>
      </c>
      <c r="E6" s="2" t="e">
        <f>IF(ISNA(VLOOKUP($A6,[1]南昌支架电机BOM!$A$2:$I$100,5,FALSE)),"0",(VLOOKUP($A6,[1]南昌支架电机BOM!$A$2:$I$100,5,FALSE)))</f>
        <v>#REF!</v>
      </c>
      <c r="F6" s="2" t="e">
        <f>IF(ISNA(VLOOKUP($A6,[1]南昌支架电机BOM!$A$2:$I$100,6,FALSE)),"0",(VLOOKUP($A6,[1]南昌支架电机BOM!$A$2:$I$100,6,FALSE)))</f>
        <v>#REF!</v>
      </c>
      <c r="G6" s="2" t="str">
        <f>IF(ISNA(VLOOKUP($A6,[1]南昌支架电机BOM!$A$2:$I$100,7,FALSE)),"0",(VLOOKUP($A6,[1]南昌支架电机BOM!$A$2:$I$100,7,FALSE)))</f>
        <v>3HNC00629A*3+3HNC00629D*3+3HNC00629H*3+3HNC00030A*4</v>
      </c>
      <c r="H6" s="20" t="s">
        <v>44</v>
      </c>
      <c r="I6" s="2">
        <f>N6*0.621</f>
        <v>4347</v>
      </c>
      <c r="J6" s="20" t="s">
        <v>45</v>
      </c>
      <c r="K6" s="2">
        <f t="shared" si="0"/>
        <v>3339</v>
      </c>
      <c r="L6" s="2" t="str">
        <f>IF(ISNA(VLOOKUP($A6,[1]南昌支架电机BOM!$A$2:$I$100,8,FALSE)),"0",(VLOOKUP($A6,[1]南昌支架电机BOM!$A$2:$I$100,8,FALSE)))</f>
        <v>3CNC00057E*.477+3CNC00061A*.621</v>
      </c>
      <c r="M6" s="2" t="e">
        <f>IF(ISNA(VLOOKUP($A6,[1]南昌支架电机BOM!$A$2:$I$100,9,FALSE)),"0",(VLOOKUP($A6,[1]南昌支架电机BOM!$A$2:$I$100,9,FALSE)))</f>
        <v>#REF!</v>
      </c>
      <c r="N6" s="5">
        <f t="shared" si="1"/>
        <v>7000</v>
      </c>
      <c r="O6" s="7"/>
      <c r="P6" s="7"/>
      <c r="Q6" s="7"/>
      <c r="R6" s="7"/>
      <c r="S6" s="7"/>
      <c r="T6" s="7"/>
      <c r="U6" s="7"/>
      <c r="V6" s="7"/>
      <c r="W6" s="7"/>
      <c r="X6" s="7">
        <v>3000</v>
      </c>
      <c r="Y6" s="7">
        <v>4000</v>
      </c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6"/>
      <c r="AL6" s="6"/>
      <c r="AM6" s="10"/>
      <c r="AN6" s="10"/>
      <c r="AO6" s="10"/>
      <c r="AP6" s="10"/>
      <c r="AQ6" s="10"/>
      <c r="AR6" s="10"/>
      <c r="AS6" s="6"/>
    </row>
    <row r="7" spans="1:45" ht="30" x14ac:dyDescent="0.25">
      <c r="A7" s="8" t="s">
        <v>26</v>
      </c>
      <c r="B7" s="2" t="str">
        <f>IF(ISNA(VLOOKUP($A7,[1]南昌支架电机BOM!$A$2:$I$100,2,FALSE)),"0",(VLOOKUP($A7,[1]南昌支架电机BOM!$A$2:$I$100,2,FALSE)))</f>
        <v>3DNC00920A引出线</v>
      </c>
      <c r="C7" s="2" t="e">
        <f>IF(ISNA(VLOOKUP($A7,[1]南昌支架电机BOM!$A$2:$I$100,3,FALSE)),"0",(VLOOKUP($A7,[1]南昌支架电机BOM!$A$2:$I$100,3,FALSE)))</f>
        <v>#REF!</v>
      </c>
      <c r="D7" s="2" t="e">
        <f>IF(ISNA(VLOOKUP($A7,[1]南昌支架电机BOM!$A$2:$I$100,4,FALSE)),"0",(VLOOKUP($A7,[1]南昌支架电机BOM!$A$2:$I$100,4,FALSE)))</f>
        <v>#REF!</v>
      </c>
      <c r="E7" s="2" t="e">
        <f>IF(ISNA(VLOOKUP($A7,[1]南昌支架电机BOM!$A$2:$I$100,5,FALSE)),"0",(VLOOKUP($A7,[1]南昌支架电机BOM!$A$2:$I$100,5,FALSE)))</f>
        <v>#REF!</v>
      </c>
      <c r="F7" s="2" t="e">
        <f>IF(ISNA(VLOOKUP($A7,[1]南昌支架电机BOM!$A$2:$I$100,6,FALSE)),"0",(VLOOKUP($A7,[1]南昌支架电机BOM!$A$2:$I$100,6,FALSE)))</f>
        <v>#REF!</v>
      </c>
      <c r="G7" s="2" t="str">
        <f>IF(ISNA(VLOOKUP($A7,[1]南昌支架电机BOM!$A$2:$I$100,7,FALSE)),"0",(VLOOKUP($A7,[1]南昌支架电机BOM!$A$2:$I$100,7,FALSE)))</f>
        <v>3HNC00629A*3+3HNC00629D*3+3HNC00629H*3+3HNC00030A*4</v>
      </c>
      <c r="H7" s="20" t="s">
        <v>44</v>
      </c>
      <c r="I7" s="2">
        <f>N7*0.621</f>
        <v>2484</v>
      </c>
      <c r="J7" s="20" t="s">
        <v>45</v>
      </c>
      <c r="K7" s="2">
        <f t="shared" si="0"/>
        <v>1908</v>
      </c>
      <c r="L7" s="2" t="str">
        <f>IF(ISNA(VLOOKUP($A7,[1]南昌支架电机BOM!$A$2:$I$100,8,FALSE)),"0",(VLOOKUP($A7,[1]南昌支架电机BOM!$A$2:$I$100,8,FALSE)))</f>
        <v>3CNC00061A*0.621+3CNC00057E*0.477</v>
      </c>
      <c r="M7" s="2" t="e">
        <f>IF(ISNA(VLOOKUP($A7,[1]南昌支架电机BOM!$A$2:$I$100,9,FALSE)),"0",(VLOOKUP($A7,[1]南昌支架电机BOM!$A$2:$I$100,9,FALSE)))</f>
        <v>#REF!</v>
      </c>
      <c r="N7" s="5">
        <f t="shared" si="1"/>
        <v>4000</v>
      </c>
      <c r="O7" s="7"/>
      <c r="P7" s="7"/>
      <c r="Q7" s="7"/>
      <c r="R7" s="7"/>
      <c r="S7" s="7"/>
      <c r="T7" s="7"/>
      <c r="U7" s="7"/>
      <c r="V7" s="7"/>
      <c r="W7" s="7"/>
      <c r="X7" s="7"/>
      <c r="Y7" s="7">
        <v>200</v>
      </c>
      <c r="Z7" s="7">
        <v>3800</v>
      </c>
      <c r="AA7" s="7"/>
      <c r="AB7" s="7"/>
      <c r="AC7" s="7"/>
      <c r="AD7" s="7"/>
      <c r="AE7" s="7"/>
      <c r="AF7" s="7"/>
      <c r="AG7" s="7"/>
      <c r="AH7" s="7"/>
      <c r="AI7" s="7"/>
      <c r="AJ7" s="7"/>
      <c r="AK7" s="6"/>
      <c r="AL7" s="6"/>
      <c r="AM7" s="7"/>
      <c r="AN7" s="7"/>
      <c r="AO7" s="7"/>
      <c r="AP7" s="7"/>
      <c r="AQ7" s="6"/>
      <c r="AR7" s="6"/>
      <c r="AS7" s="6"/>
    </row>
    <row r="8" spans="1:45" ht="30" x14ac:dyDescent="0.25">
      <c r="A8" s="8" t="s">
        <v>27</v>
      </c>
      <c r="B8" s="2" t="str">
        <f>IF(ISNA(VLOOKUP($A8,[1]南昌支架电机BOM!$A$2:$I$100,2,FALSE)),"0",(VLOOKUP($A8,[1]南昌支架电机BOM!$A$2:$I$100,2,FALSE)))</f>
        <v>3DNC00939A引出线</v>
      </c>
      <c r="C8" s="2" t="e">
        <f>IF(ISNA(VLOOKUP($A8,[1]南昌支架电机BOM!$A$2:$I$100,3,FALSE)),"0",(VLOOKUP($A8,[1]南昌支架电机BOM!$A$2:$I$100,3,FALSE)))</f>
        <v>#REF!</v>
      </c>
      <c r="D8" s="2" t="e">
        <f>IF(ISNA(VLOOKUP($A8,[1]南昌支架电机BOM!$A$2:$I$100,4,FALSE)),"0",(VLOOKUP($A8,[1]南昌支架电机BOM!$A$2:$I$100,4,FALSE)))</f>
        <v>#REF!</v>
      </c>
      <c r="E8" s="2" t="e">
        <f>IF(ISNA(VLOOKUP($A8,[1]南昌支架电机BOM!$A$2:$I$100,5,FALSE)),"0",(VLOOKUP($A8,[1]南昌支架电机BOM!$A$2:$I$100,5,FALSE)))</f>
        <v>#REF!</v>
      </c>
      <c r="F8" s="2" t="e">
        <f>IF(ISNA(VLOOKUP($A8,[1]南昌支架电机BOM!$A$2:$I$100,6,FALSE)),"0",(VLOOKUP($A8,[1]南昌支架电机BOM!$A$2:$I$100,6,FALSE)))</f>
        <v>#REF!</v>
      </c>
      <c r="G8" s="2" t="str">
        <f>IF(ISNA(VLOOKUP($A8,[1]南昌支架电机BOM!$A$2:$I$100,7,FALSE)),"0",(VLOOKUP($A8,[1]南昌支架电机BOM!$A$2:$I$100,7,FALSE)))</f>
        <v>3HNC00629A*3+3HNC00629D*3+3HNC00629H*3+3HNC00030A*4</v>
      </c>
      <c r="H8" s="20" t="s">
        <v>44</v>
      </c>
      <c r="I8" s="2">
        <f>N8*0.621</f>
        <v>1242</v>
      </c>
      <c r="J8" s="20" t="s">
        <v>45</v>
      </c>
      <c r="K8" s="2">
        <f t="shared" si="0"/>
        <v>954</v>
      </c>
      <c r="L8" s="2" t="str">
        <f>IF(ISNA(VLOOKUP($A8,[1]南昌支架电机BOM!$A$2:$I$100,8,FALSE)),"0",(VLOOKUP($A8,[1]南昌支架电机BOM!$A$2:$I$100,8,FALSE)))</f>
        <v>3CNC00061A*0.621+3CNC00057E*0.477</v>
      </c>
      <c r="M8" s="2" t="e">
        <f>IF(ISNA(VLOOKUP($A8,[1]南昌支架电机BOM!$A$2:$I$100,9,FALSE)),"0",(VLOOKUP($A8,[1]南昌支架电机BOM!$A$2:$I$100,9,FALSE)))</f>
        <v>#REF!</v>
      </c>
      <c r="N8" s="5">
        <f t="shared" si="1"/>
        <v>2000</v>
      </c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>
        <v>500</v>
      </c>
      <c r="AA8" s="7">
        <v>1500</v>
      </c>
      <c r="AB8" s="7"/>
      <c r="AC8" s="7"/>
      <c r="AD8" s="7"/>
      <c r="AE8" s="7"/>
      <c r="AF8" s="7"/>
      <c r="AG8" s="7"/>
      <c r="AH8" s="7"/>
      <c r="AI8" s="7"/>
      <c r="AJ8" s="7"/>
      <c r="AK8" s="6"/>
      <c r="AL8" s="6"/>
      <c r="AM8" s="11"/>
      <c r="AN8" s="11"/>
      <c r="AO8" s="6"/>
      <c r="AP8" s="6"/>
      <c r="AQ8" s="6"/>
      <c r="AR8" s="6"/>
      <c r="AS8" s="6"/>
    </row>
    <row r="9" spans="1:45" s="18" customFormat="1" ht="42.75" customHeight="1" x14ac:dyDescent="0.25">
      <c r="A9" s="8" t="s">
        <v>15</v>
      </c>
      <c r="B9" s="14" t="str">
        <f>IF(ISNA(VLOOKUP($A9,[1]南昌支架电机BOM!$A$2:$I$100,2,FALSE)),"0",(VLOOKUP($A9,[1]南昌支架电机BOM!$A$2:$I$100,2,FALSE)))</f>
        <v>3XNC00079A</v>
      </c>
      <c r="C9" s="14" t="str">
        <f>IF(ISNA(VLOOKUP($A9,[1]南昌支架电机BOM!$A$2:$I$100,3,FALSE)),"0",(VLOOKUP($A9,[1]南昌支架电机BOM!$A$2:$I$100,3,FALSE)))</f>
        <v>3XNC00080A*3</v>
      </c>
      <c r="D9" s="14" t="str">
        <f>IF(ISNA(VLOOKUP($A9,[1]南昌支架电机BOM!$A$2:$I$100,4,FALSE)),"0",(VLOOKUP($A9,[1]南昌支架电机BOM!$A$2:$I$100,4,FALSE)))</f>
        <v>3XNC00081A</v>
      </c>
      <c r="E9" s="14" t="str">
        <f>IF(ISNA(VLOOKUP($A9,[1]南昌支架电机BOM!$A$2:$I$100,5,FALSE)),"0",(VLOOKUP($A9,[1]南昌支架电机BOM!$A$2:$I$100,5,FALSE)))</f>
        <v>3XM000041A</v>
      </c>
      <c r="F9" s="14" t="str">
        <f>IF(ISNA(VLOOKUP($A9,[1]南昌支架电机BOM!$A$2:$I$100,6,FALSE)),"0",(VLOOKUP($A9,[1]南昌支架电机BOM!$A$2:$I$100,6,FALSE)))</f>
        <v>3XM000042A</v>
      </c>
      <c r="G9" s="14" t="str">
        <f>IF(ISNA(VLOOKUP($A9,[1]南昌支架电机BOM!$A$2:$I$100,7,FALSE)),"0",(VLOOKUP($A9,[1]南昌支架电机BOM!$A$2:$I$100,7,FALSE)))</f>
        <v>3XM000061A+B+C+3XNC00082B</v>
      </c>
      <c r="H9" s="21" t="s">
        <v>47</v>
      </c>
      <c r="I9" s="14">
        <f>N9*0.3</f>
        <v>16500</v>
      </c>
      <c r="J9" s="21" t="s">
        <v>48</v>
      </c>
      <c r="K9" s="14">
        <f>N9*0.37</f>
        <v>20350</v>
      </c>
      <c r="L9" s="14" t="str">
        <f>IF(ISNA(VLOOKUP($A9,[1]南昌支架电机BOM!$A$2:$I$100,8,FALSE)),"0",(VLOOKUP($A9,[1]南昌支架电机BOM!$A$2:$I$100,8,FALSE)))</f>
        <v>3XM000039A*.3+3XM000040A*.37</v>
      </c>
      <c r="M9" s="14" t="str">
        <f>IF(ISNA(VLOOKUP($A9,[1]南昌支架电机BOM!$A$2:$I$100,9,FALSE)),"0",(VLOOKUP($A9,[1]南昌支架电机BOM!$A$2:$I$100,9,FALSE)))</f>
        <v>3AM000034B</v>
      </c>
      <c r="N9" s="8">
        <f t="shared" si="1"/>
        <v>55000</v>
      </c>
      <c r="O9" s="17"/>
      <c r="P9" s="17"/>
      <c r="Q9" s="17"/>
      <c r="R9" s="17"/>
      <c r="S9" s="15" t="s">
        <v>38</v>
      </c>
      <c r="T9" s="17"/>
      <c r="U9" s="17"/>
      <c r="V9" s="17"/>
      <c r="W9" s="17"/>
      <c r="X9" s="17"/>
      <c r="Y9" s="17"/>
      <c r="Z9" s="17"/>
      <c r="AA9" s="17"/>
      <c r="AB9" s="17">
        <v>12000</v>
      </c>
      <c r="AC9" s="17">
        <v>12000</v>
      </c>
      <c r="AD9" s="17">
        <v>20000</v>
      </c>
      <c r="AE9" s="17">
        <v>11000</v>
      </c>
      <c r="AF9" s="17"/>
      <c r="AG9" s="17"/>
      <c r="AH9" s="17"/>
      <c r="AI9" s="15"/>
      <c r="AJ9" s="15"/>
      <c r="AK9" s="17"/>
      <c r="AL9" s="17"/>
      <c r="AM9" s="17"/>
      <c r="AN9" s="17"/>
      <c r="AO9" s="17"/>
      <c r="AP9" s="17"/>
      <c r="AQ9" s="17"/>
      <c r="AR9" s="17"/>
      <c r="AS9" s="17"/>
    </row>
    <row r="10" spans="1:45" s="18" customFormat="1" ht="30" x14ac:dyDescent="0.25">
      <c r="A10" s="8" t="s">
        <v>19</v>
      </c>
      <c r="B10" s="14" t="str">
        <f>IF(ISNA(VLOOKUP($A10,[1]南昌支架电机BOM!$A$2:$I$100,2,FALSE)),"0",(VLOOKUP($A10,[1]南昌支架电机BOM!$A$2:$I$100,2,FALSE)))</f>
        <v>3XNC00079A</v>
      </c>
      <c r="C10" s="14" t="str">
        <f>IF(ISNA(VLOOKUP($A10,[1]南昌支架电机BOM!$A$2:$I$100,3,FALSE)),"0",(VLOOKUP($A10,[1]南昌支架电机BOM!$A$2:$I$100,3,FALSE)))</f>
        <v>3XNC00080A*3</v>
      </c>
      <c r="D10" s="14" t="str">
        <f>IF(ISNA(VLOOKUP($A10,[1]南昌支架电机BOM!$A$2:$I$100,4,FALSE)),"0",(VLOOKUP($A10,[1]南昌支架电机BOM!$A$2:$I$100,4,FALSE)))</f>
        <v>3XNC00081A</v>
      </c>
      <c r="E10" s="14" t="str">
        <f>IF(ISNA(VLOOKUP($A10,[1]南昌支架电机BOM!$A$2:$I$100,5,FALSE)),"0",(VLOOKUP($A10,[1]南昌支架电机BOM!$A$2:$I$100,5,FALSE)))</f>
        <v>3XM000041A</v>
      </c>
      <c r="F10" s="14" t="str">
        <f>IF(ISNA(VLOOKUP($A10,[1]南昌支架电机BOM!$A$2:$I$100,6,FALSE)),"0",(VLOOKUP($A10,[1]南昌支架电机BOM!$A$2:$I$100,6,FALSE)))</f>
        <v>3XM000042A</v>
      </c>
      <c r="G10" s="14" t="str">
        <f>IF(ISNA(VLOOKUP($A10,[1]南昌支架电机BOM!$A$2:$I$100,7,FALSE)),"0",(VLOOKUP($A10,[1]南昌支架电机BOM!$A$2:$I$100,7,FALSE)))</f>
        <v>3XM000061E+3XM000061F+3DM000293B+3XNC00082B</v>
      </c>
      <c r="H10" s="21" t="s">
        <v>47</v>
      </c>
      <c r="I10" s="14">
        <f>N10*2.7</f>
        <v>325287.90000000002</v>
      </c>
      <c r="J10" s="21" t="s">
        <v>48</v>
      </c>
      <c r="K10" s="14">
        <f>N10*3.33</f>
        <v>401188.41000000003</v>
      </c>
      <c r="L10" s="14" t="str">
        <f>IF(ISNA(VLOOKUP($A10,[1]南昌支架电机BOM!$A$2:$I$100,8,FALSE)),"0",(VLOOKUP($A10,[1]南昌支架电机BOM!$A$2:$I$100,8,FALSE)))</f>
        <v>3XM000039A*2.7+3XM000040A*3.33</v>
      </c>
      <c r="M10" s="14" t="str">
        <f>IF(ISNA(VLOOKUP($A10,[1]南昌支架电机BOM!$A$2:$I$100,9,FALSE)),"0",(VLOOKUP($A10,[1]南昌支架电机BOM!$A$2:$I$100,9,FALSE)))</f>
        <v>3AM000034B</v>
      </c>
      <c r="N10" s="8">
        <f t="shared" ref="N10:N15" si="2">SUM(O10:AU10)</f>
        <v>120477</v>
      </c>
      <c r="O10" s="17"/>
      <c r="P10" s="17">
        <v>13000</v>
      </c>
      <c r="Q10" s="17">
        <v>13000</v>
      </c>
      <c r="R10" s="17">
        <v>13000</v>
      </c>
      <c r="S10" s="15">
        <v>13000</v>
      </c>
      <c r="T10" s="15">
        <v>13000</v>
      </c>
      <c r="U10" s="15">
        <v>13000</v>
      </c>
      <c r="V10" s="15">
        <v>13000</v>
      </c>
      <c r="W10" s="17">
        <v>13000</v>
      </c>
      <c r="X10" s="17">
        <v>13000</v>
      </c>
      <c r="Y10" s="17">
        <v>3477</v>
      </c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6"/>
      <c r="AN10" s="16"/>
      <c r="AO10" s="16"/>
      <c r="AP10" s="16"/>
      <c r="AQ10" s="17"/>
      <c r="AR10" s="17"/>
      <c r="AS10" s="17"/>
    </row>
    <row r="11" spans="1:45" s="18" customFormat="1" ht="30" x14ac:dyDescent="0.25">
      <c r="A11" s="8" t="s">
        <v>10</v>
      </c>
      <c r="B11" s="14" t="str">
        <f>IF(ISNA(VLOOKUP($A11,[1]南昌支架电机BOM!$A$2:$I$100,2,FALSE)),"0",(VLOOKUP($A11,[1]南昌支架电机BOM!$A$2:$I$100,2,FALSE)))</f>
        <v>3XNC00079A</v>
      </c>
      <c r="C11" s="14" t="str">
        <f>IF(ISNA(VLOOKUP($A11,[1]南昌支架电机BOM!$A$2:$I$100,3,FALSE)),"0",(VLOOKUP($A11,[1]南昌支架电机BOM!$A$2:$I$100,3,FALSE)))</f>
        <v>3XNC00080A*3</v>
      </c>
      <c r="D11" s="14" t="str">
        <f>IF(ISNA(VLOOKUP($A11,[1]南昌支架电机BOM!$A$2:$I$100,4,FALSE)),"0",(VLOOKUP($A11,[1]南昌支架电机BOM!$A$2:$I$100,4,FALSE)))</f>
        <v>3XNC00081A</v>
      </c>
      <c r="E11" s="14" t="str">
        <f>IF(ISNA(VLOOKUP($A11,[1]南昌支架电机BOM!$A$2:$I$100,5,FALSE)),"0",(VLOOKUP($A11,[1]南昌支架电机BOM!$A$2:$I$100,5,FALSE)))</f>
        <v>3XM000041A</v>
      </c>
      <c r="F11" s="14" t="str">
        <f>IF(ISNA(VLOOKUP($A11,[1]南昌支架电机BOM!$A$2:$I$100,6,FALSE)),"0",(VLOOKUP($A11,[1]南昌支架电机BOM!$A$2:$I$100,6,FALSE)))</f>
        <v>3XM000042A</v>
      </c>
      <c r="G11" s="14" t="str">
        <f>IF(ISNA(VLOOKUP($A11,[1]南昌支架电机BOM!$A$2:$I$100,7,FALSE)),"0",(VLOOKUP($A11,[1]南昌支架电机BOM!$A$2:$I$100,7,FALSE)))</f>
        <v>3XM000061A+B+C+3XNC00082B</v>
      </c>
      <c r="H11" s="21" t="s">
        <v>47</v>
      </c>
      <c r="I11" s="14">
        <f>N11*0.3</f>
        <v>6000</v>
      </c>
      <c r="J11" s="21" t="s">
        <v>48</v>
      </c>
      <c r="K11" s="14">
        <f>N11*0.37</f>
        <v>7400</v>
      </c>
      <c r="L11" s="14" t="str">
        <f>IF(ISNA(VLOOKUP($A11,[1]南昌支架电机BOM!$A$2:$I$100,8,FALSE)),"0",(VLOOKUP($A11,[1]南昌支架电机BOM!$A$2:$I$100,8,FALSE)))</f>
        <v>3XM000039A*.3+3XM000040A*.37</v>
      </c>
      <c r="M11" s="14" t="str">
        <f>IF(ISNA(VLOOKUP($A11,[1]南昌支架电机BOM!$A$2:$I$100,9,FALSE)),"0",(VLOOKUP($A11,[1]南昌支架电机BOM!$A$2:$I$100,9,FALSE)))</f>
        <v>3AM000034B</v>
      </c>
      <c r="N11" s="8">
        <f t="shared" si="2"/>
        <v>20000</v>
      </c>
      <c r="O11" s="17"/>
      <c r="P11" s="17"/>
      <c r="Q11" s="17"/>
      <c r="R11" s="17"/>
      <c r="S11" s="15"/>
      <c r="T11" s="15"/>
      <c r="U11" s="15"/>
      <c r="V11" s="15"/>
      <c r="W11" s="17"/>
      <c r="X11" s="17"/>
      <c r="Y11" s="17"/>
      <c r="Z11" s="17">
        <v>12000</v>
      </c>
      <c r="AA11" s="17">
        <v>8000</v>
      </c>
      <c r="AB11" s="17"/>
      <c r="AC11" s="17"/>
      <c r="AD11" s="17"/>
      <c r="AE11" s="17"/>
      <c r="AF11" s="17"/>
      <c r="AG11" s="17"/>
      <c r="AH11" s="17"/>
      <c r="AI11" s="19"/>
      <c r="AJ11" s="19"/>
      <c r="AK11" s="19"/>
      <c r="AL11" s="17"/>
    </row>
    <row r="12" spans="1:45" s="18" customFormat="1" ht="30" x14ac:dyDescent="0.25">
      <c r="A12" s="8" t="s">
        <v>12</v>
      </c>
      <c r="B12" s="14" t="str">
        <f>IF(ISNA(VLOOKUP($A12,[1]南昌支架电机BOM!$A$2:$I$100,2,FALSE)),"0",(VLOOKUP($A12,[1]南昌支架电机BOM!$A$2:$I$100,2,FALSE)))</f>
        <v>3XNC00079A</v>
      </c>
      <c r="C12" s="14" t="str">
        <f>IF(ISNA(VLOOKUP($A12,[1]南昌支架电机BOM!$A$2:$I$100,3,FALSE)),"0",(VLOOKUP($A12,[1]南昌支架电机BOM!$A$2:$I$100,3,FALSE)))</f>
        <v>3XNC00080A*3</v>
      </c>
      <c r="D12" s="14" t="str">
        <f>IF(ISNA(VLOOKUP($A12,[1]南昌支架电机BOM!$A$2:$I$100,4,FALSE)),"0",(VLOOKUP($A12,[1]南昌支架电机BOM!$A$2:$I$100,4,FALSE)))</f>
        <v>3XNC00081A</v>
      </c>
      <c r="E12" s="14" t="str">
        <f>IF(ISNA(VLOOKUP($A12,[1]南昌支架电机BOM!$A$2:$I$100,5,FALSE)),"0",(VLOOKUP($A12,[1]南昌支架电机BOM!$A$2:$I$100,5,FALSE)))</f>
        <v>3XM000041A</v>
      </c>
      <c r="F12" s="14" t="str">
        <f>IF(ISNA(VLOOKUP($A12,[1]南昌支架电机BOM!$A$2:$I$100,6,FALSE)),"0",(VLOOKUP($A12,[1]南昌支架电机BOM!$A$2:$I$100,6,FALSE)))</f>
        <v>3XM000042A</v>
      </c>
      <c r="G12" s="14" t="str">
        <f>IF(ISNA(VLOOKUP($A12,[1]南昌支架电机BOM!$A$2:$I$100,7,FALSE)),"0",(VLOOKUP($A12,[1]南昌支架电机BOM!$A$2:$I$100,7,FALSE)))</f>
        <v>3DM000157D+3DM000157E+3DM000157F+3XNC00082B</v>
      </c>
      <c r="H12" s="21" t="s">
        <v>47</v>
      </c>
      <c r="I12" s="14">
        <f>N12*0.369</f>
        <v>22878</v>
      </c>
      <c r="J12" s="21" t="s">
        <v>48</v>
      </c>
      <c r="K12" s="14">
        <f>N12*0.495</f>
        <v>30690</v>
      </c>
      <c r="L12" s="14" t="str">
        <f>IF(ISNA(VLOOKUP($A12,[1]南昌支架电机BOM!$A$2:$I$100,8,FALSE)),"0",(VLOOKUP($A12,[1]南昌支架电机BOM!$A$2:$I$100,8,FALSE)))</f>
        <v>3XM000039A*.369+3XM000040A*.495</v>
      </c>
      <c r="M12" s="14" t="str">
        <f>IF(ISNA(VLOOKUP($A12,[1]南昌支架电机BOM!$A$2:$I$100,9,FALSE)),"0",(VLOOKUP($A12,[1]南昌支架电机BOM!$A$2:$I$100,9,FALSE)))</f>
        <v>3AM000034B</v>
      </c>
      <c r="N12" s="8">
        <f t="shared" si="2"/>
        <v>62000</v>
      </c>
      <c r="O12" s="17"/>
      <c r="P12" s="17"/>
      <c r="Q12" s="17"/>
      <c r="R12" s="17"/>
      <c r="S12" s="15"/>
      <c r="T12" s="15"/>
      <c r="U12" s="15">
        <v>6000</v>
      </c>
      <c r="V12" s="15">
        <v>8000</v>
      </c>
      <c r="W12" s="17">
        <v>8000</v>
      </c>
      <c r="X12" s="17">
        <v>8000</v>
      </c>
      <c r="Y12" s="17">
        <v>8000</v>
      </c>
      <c r="Z12" s="17">
        <v>8000</v>
      </c>
      <c r="AA12" s="17">
        <v>8000</v>
      </c>
      <c r="AB12" s="17">
        <v>8000</v>
      </c>
      <c r="AC12" s="17"/>
      <c r="AD12" s="17"/>
      <c r="AE12" s="17"/>
      <c r="AF12" s="17"/>
      <c r="AG12" s="17"/>
      <c r="AH12" s="17"/>
      <c r="AI12" s="17"/>
      <c r="AJ12" s="17"/>
      <c r="AK12" s="17"/>
      <c r="AL12" s="17"/>
    </row>
    <row r="13" spans="1:45" s="18" customFormat="1" ht="30" x14ac:dyDescent="0.25">
      <c r="A13" s="8" t="s">
        <v>23</v>
      </c>
      <c r="B13" s="14" t="str">
        <f>IF(ISNA(VLOOKUP($A13,[1]南昌支架电机BOM!$A$2:$I$100,2,FALSE)),"0",(VLOOKUP($A13,[1]南昌支架电机BOM!$A$2:$I$100,2,FALSE)))</f>
        <v>3XNC00079A</v>
      </c>
      <c r="C13" s="14" t="str">
        <f>IF(ISNA(VLOOKUP($A13,[1]南昌支架电机BOM!$A$2:$I$100,3,FALSE)),"0",(VLOOKUP($A13,[1]南昌支架电机BOM!$A$2:$I$100,3,FALSE)))</f>
        <v>3XNC00080A*3</v>
      </c>
      <c r="D13" s="14" t="str">
        <f>IF(ISNA(VLOOKUP($A13,[1]南昌支架电机BOM!$A$2:$I$100,4,FALSE)),"0",(VLOOKUP($A13,[1]南昌支架电机BOM!$A$2:$I$100,4,FALSE)))</f>
        <v>3XNC00081A</v>
      </c>
      <c r="E13" s="14" t="str">
        <f>IF(ISNA(VLOOKUP($A13,[1]南昌支架电机BOM!$A$2:$I$100,5,FALSE)),"0",(VLOOKUP($A13,[1]南昌支架电机BOM!$A$2:$I$100,5,FALSE)))</f>
        <v>3XM000041A</v>
      </c>
      <c r="F13" s="14" t="str">
        <f>IF(ISNA(VLOOKUP($A13,[1]南昌支架电机BOM!$A$2:$I$100,6,FALSE)),"0",(VLOOKUP($A13,[1]南昌支架电机BOM!$A$2:$I$100,6,FALSE)))</f>
        <v>3XM000042A</v>
      </c>
      <c r="G13" s="14" t="str">
        <f>IF(ISNA(VLOOKUP($A13,[1]南昌支架电机BOM!$A$2:$I$100,7,FALSE)),"0",(VLOOKUP($A13,[1]南昌支架电机BOM!$A$2:$I$100,7,FALSE)))</f>
        <v>3DM000157D+3DM000157E+3DM000157F+3XNC00082B</v>
      </c>
      <c r="H13" s="21" t="s">
        <v>47</v>
      </c>
      <c r="I13" s="14">
        <f>N13*0.369</f>
        <v>1107</v>
      </c>
      <c r="J13" s="21" t="s">
        <v>48</v>
      </c>
      <c r="K13" s="14">
        <f>N13*0.495</f>
        <v>1485</v>
      </c>
      <c r="L13" s="14" t="str">
        <f>IF(ISNA(VLOOKUP($A13,[1]南昌支架电机BOM!$A$2:$I$100,8,FALSE)),"0",(VLOOKUP($A13,[1]南昌支架电机BOM!$A$2:$I$100,8,FALSE)))</f>
        <v>3XM000039A*.369+3XM000040A*.495</v>
      </c>
      <c r="M13" s="14" t="str">
        <f>IF(ISNA(VLOOKUP($A13,[1]南昌支架电机BOM!$A$2:$I$100,9,FALSE)),"0",(VLOOKUP($A13,[1]南昌支架电机BOM!$A$2:$I$100,9,FALSE)))</f>
        <v>3AM000034B</v>
      </c>
      <c r="N13" s="8">
        <f t="shared" si="2"/>
        <v>3000</v>
      </c>
      <c r="O13" s="17"/>
      <c r="P13" s="17"/>
      <c r="Q13" s="17"/>
      <c r="R13" s="17"/>
      <c r="S13" s="15"/>
      <c r="T13" s="15"/>
      <c r="U13" s="15"/>
      <c r="V13" s="15"/>
      <c r="W13" s="17"/>
      <c r="X13" s="17"/>
      <c r="Y13" s="17"/>
      <c r="Z13" s="17"/>
      <c r="AA13" s="17"/>
      <c r="AB13" s="17"/>
      <c r="AC13" s="17">
        <v>3000</v>
      </c>
      <c r="AD13" s="17"/>
      <c r="AE13" s="17"/>
      <c r="AF13" s="17"/>
      <c r="AG13" s="17"/>
      <c r="AH13" s="17"/>
      <c r="AI13" s="17"/>
      <c r="AJ13" s="17"/>
      <c r="AK13" s="17"/>
      <c r="AL13" s="17"/>
    </row>
    <row r="14" spans="1:45" s="18" customFormat="1" ht="30" x14ac:dyDescent="0.25">
      <c r="A14" s="8" t="s">
        <v>10</v>
      </c>
      <c r="B14" s="14" t="str">
        <f>IF(ISNA(VLOOKUP($A14,[1]南昌支架电机BOM!$A$2:$I$100,2,FALSE)),"0",(VLOOKUP($A14,[1]南昌支架电机BOM!$A$2:$I$100,2,FALSE)))</f>
        <v>3XNC00079A</v>
      </c>
      <c r="C14" s="14" t="str">
        <f>IF(ISNA(VLOOKUP($A14,[1]南昌支架电机BOM!$A$2:$I$100,3,FALSE)),"0",(VLOOKUP($A14,[1]南昌支架电机BOM!$A$2:$I$100,3,FALSE)))</f>
        <v>3XNC00080A*3</v>
      </c>
      <c r="D14" s="14" t="str">
        <f>IF(ISNA(VLOOKUP($A14,[1]南昌支架电机BOM!$A$2:$I$100,4,FALSE)),"0",(VLOOKUP($A14,[1]南昌支架电机BOM!$A$2:$I$100,4,FALSE)))</f>
        <v>3XNC00081A</v>
      </c>
      <c r="E14" s="14" t="str">
        <f>IF(ISNA(VLOOKUP($A14,[1]南昌支架电机BOM!$A$2:$I$100,5,FALSE)),"0",(VLOOKUP($A14,[1]南昌支架电机BOM!$A$2:$I$100,5,FALSE)))</f>
        <v>3XM000041A</v>
      </c>
      <c r="F14" s="14" t="str">
        <f>IF(ISNA(VLOOKUP($A14,[1]南昌支架电机BOM!$A$2:$I$100,6,FALSE)),"0",(VLOOKUP($A14,[1]南昌支架电机BOM!$A$2:$I$100,6,FALSE)))</f>
        <v>3XM000042A</v>
      </c>
      <c r="G14" s="14" t="str">
        <f>IF(ISNA(VLOOKUP($A14,[1]南昌支架电机BOM!$A$2:$I$100,7,FALSE)),"0",(VLOOKUP($A14,[1]南昌支架电机BOM!$A$2:$I$100,7,FALSE)))</f>
        <v>3XM000061A+B+C+3XNC00082B</v>
      </c>
      <c r="H14" s="21" t="s">
        <v>47</v>
      </c>
      <c r="I14" s="14">
        <f>N14*0.3</f>
        <v>2196.6</v>
      </c>
      <c r="J14" s="21" t="s">
        <v>48</v>
      </c>
      <c r="K14" s="14">
        <f>N14*0.37</f>
        <v>2709.14</v>
      </c>
      <c r="L14" s="14" t="str">
        <f>IF(ISNA(VLOOKUP($A14,[1]南昌支架电机BOM!$A$2:$I$100,8,FALSE)),"0",(VLOOKUP($A14,[1]南昌支架电机BOM!$A$2:$I$100,8,FALSE)))</f>
        <v>3XM000039A*.3+3XM000040A*.37</v>
      </c>
      <c r="M14" s="14" t="str">
        <f>IF(ISNA(VLOOKUP($A14,[1]南昌支架电机BOM!$A$2:$I$100,9,FALSE)),"0",(VLOOKUP($A14,[1]南昌支架电机BOM!$A$2:$I$100,9,FALSE)))</f>
        <v>3AM000034B</v>
      </c>
      <c r="N14" s="8">
        <f t="shared" si="2"/>
        <v>7322</v>
      </c>
      <c r="O14" s="17">
        <v>7322</v>
      </c>
      <c r="P14" s="17"/>
      <c r="Q14" s="17"/>
      <c r="R14" s="17"/>
      <c r="S14" s="15"/>
      <c r="T14" s="15"/>
      <c r="U14" s="15"/>
      <c r="V14" s="15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6"/>
      <c r="AJ14" s="16"/>
      <c r="AK14" s="17"/>
      <c r="AL14" s="17"/>
    </row>
    <row r="15" spans="1:45" s="18" customFormat="1" ht="30" x14ac:dyDescent="0.25">
      <c r="A15" s="8" t="s">
        <v>8</v>
      </c>
      <c r="B15" s="14" t="str">
        <f>IF(ISNA(VLOOKUP($A15,[1]南昌支架电机BOM!$A$2:$I$100,2,FALSE)),"0",(VLOOKUP($A15,[1]南昌支架电机BOM!$A$2:$I$100,2,FALSE)))</f>
        <v>3XNC00079A</v>
      </c>
      <c r="C15" s="14" t="str">
        <f>IF(ISNA(VLOOKUP($A15,[1]南昌支架电机BOM!$A$2:$I$100,3,FALSE)),"0",(VLOOKUP($A15,[1]南昌支架电机BOM!$A$2:$I$100,3,FALSE)))</f>
        <v>3XNC00080A*3</v>
      </c>
      <c r="D15" s="14" t="str">
        <f>IF(ISNA(VLOOKUP($A15,[1]南昌支架电机BOM!$A$2:$I$100,4,FALSE)),"0",(VLOOKUP($A15,[1]南昌支架电机BOM!$A$2:$I$100,4,FALSE)))</f>
        <v>3XNC00081A</v>
      </c>
      <c r="E15" s="14" t="str">
        <f>IF(ISNA(VLOOKUP($A15,[1]南昌支架电机BOM!$A$2:$I$100,5,FALSE)),"0",(VLOOKUP($A15,[1]南昌支架电机BOM!$A$2:$I$100,5,FALSE)))</f>
        <v>3XM000041A</v>
      </c>
      <c r="F15" s="14" t="str">
        <f>IF(ISNA(VLOOKUP($A15,[1]南昌支架电机BOM!$A$2:$I$100,6,FALSE)),"0",(VLOOKUP($A15,[1]南昌支架电机BOM!$A$2:$I$100,6,FALSE)))</f>
        <v>3XM000042A</v>
      </c>
      <c r="G15" s="14" t="str">
        <f>IF(ISNA(VLOOKUP($A15,[1]南昌支架电机BOM!$A$2:$I$100,7,FALSE)),"0",(VLOOKUP($A15,[1]南昌支架电机BOM!$A$2:$I$100,7,FALSE)))</f>
        <v>3XNC00047M+N+P+3XNC00082B*4</v>
      </c>
      <c r="H15" s="21" t="s">
        <v>47</v>
      </c>
      <c r="I15" s="14">
        <f>N15*0.3</f>
        <v>14771.699999999999</v>
      </c>
      <c r="J15" s="21" t="s">
        <v>48</v>
      </c>
      <c r="K15" s="14">
        <f>N15*0.37</f>
        <v>18218.43</v>
      </c>
      <c r="L15" s="14" t="str">
        <f>IF(ISNA(VLOOKUP($A15,[1]南昌支架电机BOM!$A$2:$I$100,8,FALSE)),"0",(VLOOKUP($A15,[1]南昌支架电机BOM!$A$2:$I$100,8,FALSE)))</f>
        <v>3XM000039A*.3+3XM000040A*.37</v>
      </c>
      <c r="M15" s="14" t="e">
        <f>IF(ISNA(VLOOKUP($A15,[1]南昌支架电机BOM!$A$2:$I$100,9,FALSE)),"0",(VLOOKUP($A15,[1]南昌支架电机BOM!$A$2:$I$100,9,FALSE)))</f>
        <v>#REF!</v>
      </c>
      <c r="N15" s="8">
        <f t="shared" si="2"/>
        <v>49239</v>
      </c>
      <c r="O15" s="17">
        <v>8000</v>
      </c>
      <c r="P15" s="17">
        <v>8000</v>
      </c>
      <c r="Q15" s="17">
        <v>8000</v>
      </c>
      <c r="R15" s="17">
        <v>8000</v>
      </c>
      <c r="S15" s="15">
        <v>8000</v>
      </c>
      <c r="T15" s="15">
        <v>8000</v>
      </c>
      <c r="U15" s="15">
        <v>1239</v>
      </c>
      <c r="V15" s="15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6"/>
      <c r="AJ15" s="16"/>
      <c r="AK15" s="17"/>
      <c r="AL15" s="17"/>
    </row>
    <row r="16" spans="1:45" s="18" customFormat="1" ht="20.149999999999999" customHeight="1" x14ac:dyDescent="0.25">
      <c r="A16" s="8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8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5"/>
      <c r="AJ16" s="15"/>
      <c r="AK16" s="17"/>
      <c r="AL16" s="17"/>
      <c r="AM16" s="17"/>
      <c r="AN16" s="17"/>
      <c r="AO16" s="17"/>
      <c r="AP16" s="17"/>
      <c r="AQ16" s="17"/>
      <c r="AR16" s="17"/>
      <c r="AS16" s="17"/>
    </row>
    <row r="17" spans="1:45" ht="30" x14ac:dyDescent="0.25">
      <c r="A17" s="1" t="s">
        <v>11</v>
      </c>
      <c r="B17" s="2" t="str">
        <f>IF(ISNA(VLOOKUP($A17,[1]南昌支架电机BOM!$A$2:$I$100,2,FALSE)),"0",(VLOOKUP($A17,[1]南昌支架电机BOM!$A$2:$I$100,2,FALSE)))</f>
        <v>3DM000032C引出线</v>
      </c>
      <c r="C17" s="2" t="e">
        <f>IF(ISNA(VLOOKUP($A17,[1]南昌支架电机BOM!$A$2:$I$100,3,FALSE)),"0",(VLOOKUP($A17,[1]南昌支架电机BOM!$A$2:$I$100,3,FALSE)))</f>
        <v>#REF!</v>
      </c>
      <c r="D17" s="2" t="e">
        <f>IF(ISNA(VLOOKUP($A17,[1]南昌支架电机BOM!$A$2:$I$100,4,FALSE)),"0",(VLOOKUP($A17,[1]南昌支架电机BOM!$A$2:$I$100,4,FALSE)))</f>
        <v>#REF!</v>
      </c>
      <c r="E17" s="2" t="e">
        <f>IF(ISNA(VLOOKUP($A17,[1]南昌支架电机BOM!$A$2:$I$100,5,FALSE)),"0",(VLOOKUP($A17,[1]南昌支架电机BOM!$A$2:$I$100,5,FALSE)))</f>
        <v>#REF!</v>
      </c>
      <c r="F17" s="2" t="e">
        <f>IF(ISNA(VLOOKUP($A17,[1]南昌支架电机BOM!$A$2:$I$100,6,FALSE)),"0",(VLOOKUP($A17,[1]南昌支架电机BOM!$A$2:$I$100,6,FALSE)))</f>
        <v>#REF!</v>
      </c>
      <c r="G17" s="2" t="str">
        <f>IF(ISNA(VLOOKUP($A17,[1]南昌支架电机BOM!$A$2:$I$100,7,FALSE)),"0",(VLOOKUP($A17,[1]南昌支架电机BOM!$A$2:$I$100,7,FALSE)))</f>
        <v>3HNC00629A*3+3HNC00629D*3+3HNC00629H*3+3HNC00030B*4</v>
      </c>
      <c r="H17" s="20" t="s">
        <v>44</v>
      </c>
      <c r="I17" s="2">
        <f>N17*0.666</f>
        <v>13320</v>
      </c>
      <c r="J17" s="20" t="s">
        <v>50</v>
      </c>
      <c r="K17" s="2">
        <f>N17*0.477</f>
        <v>9540</v>
      </c>
      <c r="L17" s="2" t="str">
        <f>IF(ISNA(VLOOKUP($A17,[1]南昌支架电机BOM!$A$2:$I$100,8,FALSE)),"0",(VLOOKUP($A17,[1]南昌支架电机BOM!$A$2:$I$100,8,FALSE)))</f>
        <v>3CNC00061A*0.666+3CNC00057H*0.477</v>
      </c>
      <c r="M17" s="2" t="e">
        <f>IF(ISNA(VLOOKUP($A17,[1]南昌支架电机BOM!$A$2:$I$100,9,FALSE)),"0",(VLOOKUP($A17,[1]南昌支架电机BOM!$A$2:$I$100,9,FALSE)))</f>
        <v>#REF!</v>
      </c>
      <c r="N17" s="5">
        <f t="shared" si="1"/>
        <v>20000</v>
      </c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>
        <v>4000</v>
      </c>
      <c r="AG17" s="7">
        <v>4000</v>
      </c>
      <c r="AH17" s="7">
        <v>4000</v>
      </c>
      <c r="AI17" s="7">
        <v>4000</v>
      </c>
      <c r="AJ17" s="7">
        <v>4000</v>
      </c>
      <c r="AK17" s="6"/>
      <c r="AL17" s="6"/>
      <c r="AM17" s="6"/>
      <c r="AN17" s="6"/>
      <c r="AO17" s="6"/>
      <c r="AP17" s="6"/>
      <c r="AQ17" s="6"/>
      <c r="AR17" s="6"/>
      <c r="AS17" s="6"/>
    </row>
    <row r="18" spans="1:45" ht="30" x14ac:dyDescent="0.25">
      <c r="A18" s="1" t="s">
        <v>14</v>
      </c>
      <c r="B18" s="2" t="str">
        <f>IF(ISNA(VLOOKUP($A18,[1]南昌支架电机BOM!$A$2:$I$100,2,FALSE)),"0",(VLOOKUP($A18,[1]南昌支架电机BOM!$A$2:$I$100,2,FALSE)))</f>
        <v>3DNC00172C引出线</v>
      </c>
      <c r="C18" s="2" t="e">
        <f>IF(ISNA(VLOOKUP($A18,[1]南昌支架电机BOM!$A$2:$I$100,3,FALSE)),"0",(VLOOKUP($A18,[1]南昌支架电机BOM!$A$2:$I$100,3,FALSE)))</f>
        <v>#REF!</v>
      </c>
      <c r="D18" s="2" t="e">
        <f>IF(ISNA(VLOOKUP($A18,[1]南昌支架电机BOM!$A$2:$I$100,4,FALSE)),"0",(VLOOKUP($A18,[1]南昌支架电机BOM!$A$2:$I$100,4,FALSE)))</f>
        <v>#REF!</v>
      </c>
      <c r="E18" s="2" t="e">
        <f>IF(ISNA(VLOOKUP($A18,[1]南昌支架电机BOM!$A$2:$I$100,5,FALSE)),"0",(VLOOKUP($A18,[1]南昌支架电机BOM!$A$2:$I$100,5,FALSE)))</f>
        <v>#REF!</v>
      </c>
      <c r="F18" s="2" t="e">
        <f>IF(ISNA(VLOOKUP($A18,[1]南昌支架电机BOM!$A$2:$I$100,6,FALSE)),"0",(VLOOKUP($A18,[1]南昌支架电机BOM!$A$2:$I$100,6,FALSE)))</f>
        <v>#REF!</v>
      </c>
      <c r="G18" s="2" t="str">
        <f>IF(ISNA(VLOOKUP($A18,[1]南昌支架电机BOM!$A$2:$I$100,7,FALSE)),"0",(VLOOKUP($A18,[1]南昌支架电机BOM!$A$2:$I$100,7,FALSE)))</f>
        <v>3HNC00629A*3+3HNC00629D*3+3HNC00629H*3+3HNC00030A*4</v>
      </c>
      <c r="H18" s="20" t="s">
        <v>44</v>
      </c>
      <c r="I18" s="2">
        <f>N18*0.576</f>
        <v>5760</v>
      </c>
      <c r="J18" s="20" t="s">
        <v>46</v>
      </c>
      <c r="K18" s="2">
        <f>N18*0.477</f>
        <v>4770</v>
      </c>
      <c r="L18" s="2" t="str">
        <f>IF(ISNA(VLOOKUP($A18,[1]南昌支架电机BOM!$A$2:$I$100,8,FALSE)),"0",(VLOOKUP($A18,[1]南昌支架电机BOM!$A$2:$I$100,8,FALSE)))</f>
        <v>3CNC00057A*.477+3CNC00061A*.576</v>
      </c>
      <c r="M18" s="2" t="e">
        <f>IF(ISNA(VLOOKUP($A18,[1]南昌支架电机BOM!$A$2:$I$100,9,FALSE)),"0",(VLOOKUP($A18,[1]南昌支架电机BOM!$A$2:$I$100,9,FALSE)))</f>
        <v>#REF!</v>
      </c>
      <c r="N18" s="5">
        <f t="shared" si="1"/>
        <v>10000</v>
      </c>
      <c r="O18" s="11"/>
      <c r="P18" s="11"/>
      <c r="Q18" s="10"/>
      <c r="R18" s="10"/>
      <c r="S18" s="10"/>
      <c r="T18" s="10"/>
      <c r="U18" s="10"/>
      <c r="V18" s="10"/>
      <c r="W18" s="11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7">
        <v>5000</v>
      </c>
      <c r="AL18" s="7">
        <v>5000</v>
      </c>
      <c r="AM18" s="6"/>
      <c r="AN18" s="6"/>
      <c r="AO18" s="6"/>
      <c r="AP18" s="6"/>
      <c r="AQ18" s="6"/>
      <c r="AR18" s="6"/>
      <c r="AS18" s="6"/>
    </row>
    <row r="19" spans="1:45" ht="45" x14ac:dyDescent="0.25">
      <c r="A19" s="8" t="s">
        <v>28</v>
      </c>
      <c r="B19" s="2" t="str">
        <f>IF(ISNA(VLOOKUP($A19,[1]南昌支架电机BOM!$A$2:$I$100,2,FALSE)),"0",(VLOOKUP($A19,[1]南昌支架电机BOM!$A$2:$I$100,2,FALSE)))</f>
        <v>3DNC00625C引出线</v>
      </c>
      <c r="C19" s="2" t="e">
        <f>IF(ISNA(VLOOKUP($A19,[1]南昌支架电机BOM!$A$2:$I$100,3,FALSE)),"0",(VLOOKUP($A19,[1]南昌支架电机BOM!$A$2:$I$100,3,FALSE)))</f>
        <v>#REF!</v>
      </c>
      <c r="D19" s="2" t="e">
        <f>IF(ISNA(VLOOKUP($A19,[1]南昌支架电机BOM!$A$2:$I$100,4,FALSE)),"0",(VLOOKUP($A19,[1]南昌支架电机BOM!$A$2:$I$100,4,FALSE)))</f>
        <v>#REF!</v>
      </c>
      <c r="E19" s="2" t="e">
        <f>IF(ISNA(VLOOKUP($A19,[1]南昌支架电机BOM!$A$2:$I$100,5,FALSE)),"0",(VLOOKUP($A19,[1]南昌支架电机BOM!$A$2:$I$100,5,FALSE)))</f>
        <v>#REF!</v>
      </c>
      <c r="F19" s="2" t="e">
        <f>IF(ISNA(VLOOKUP($A19,[1]南昌支架电机BOM!$A$2:$I$100,6,FALSE)),"0",(VLOOKUP($A19,[1]南昌支架电机BOM!$A$2:$I$100,6,FALSE)))</f>
        <v>#REF!</v>
      </c>
      <c r="G19" s="2" t="str">
        <f>IF(ISNA(VLOOKUP($A19,[1]南昌支架电机BOM!$A$2:$I$100,7,FALSE)),"0",(VLOOKUP($A19,[1]南昌支架电机BOM!$A$2:$I$100,7,FALSE)))</f>
        <v>3HNC00629A*3+3HNC00629D*2+3HNC00629H*3+3HNC00030B*4+3HNC00629J</v>
      </c>
      <c r="H19" s="20" t="s">
        <v>44</v>
      </c>
      <c r="I19" s="2">
        <f>N19*0.396</f>
        <v>3899.808</v>
      </c>
      <c r="J19" s="20" t="s">
        <v>51</v>
      </c>
      <c r="K19" s="2">
        <f>N19*0.477</f>
        <v>4697.4960000000001</v>
      </c>
      <c r="L19" s="2" t="str">
        <f>IF(ISNA(VLOOKUP($A19,[1]南昌支架电机BOM!$A$2:$I$100,8,FALSE)),"0",(VLOOKUP($A19,[1]南昌支架电机BOM!$A$2:$I$100,8,FALSE)))</f>
        <v>3CNC00061A*0.396+3CNC00057D*0.477</v>
      </c>
      <c r="M19" s="2" t="e">
        <f>IF(ISNA(VLOOKUP($A19,[1]南昌支架电机BOM!$A$2:$I$100,9,FALSE)),"0",(VLOOKUP($A19,[1]南昌支架电机BOM!$A$2:$I$100,9,FALSE)))</f>
        <v>#REF!</v>
      </c>
      <c r="N19" s="5">
        <f t="shared" si="1"/>
        <v>9848</v>
      </c>
      <c r="O19" s="11"/>
      <c r="P19" s="11"/>
      <c r="Q19" s="11"/>
      <c r="R19" s="11"/>
      <c r="S19" s="7">
        <v>4200</v>
      </c>
      <c r="T19" s="7">
        <v>4200</v>
      </c>
      <c r="U19" s="7">
        <v>1448</v>
      </c>
      <c r="V19" s="7"/>
      <c r="W19" s="7"/>
      <c r="X19" s="7" t="s">
        <v>39</v>
      </c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6"/>
      <c r="AL19" s="6"/>
      <c r="AM19" s="7"/>
      <c r="AN19" s="6"/>
      <c r="AO19" s="6"/>
      <c r="AP19" s="6"/>
      <c r="AQ19" s="6"/>
      <c r="AR19" s="6"/>
      <c r="AS19" s="6"/>
    </row>
    <row r="20" spans="1:45" ht="45" x14ac:dyDescent="0.25">
      <c r="A20" s="1" t="s">
        <v>16</v>
      </c>
      <c r="B20" s="2" t="str">
        <f>IF(ISNA(VLOOKUP($A20,[1]南昌支架电机BOM!$A$2:$I$100,2,FALSE)),"0",(VLOOKUP($A20,[1]南昌支架电机BOM!$A$2:$I$100,2,FALSE)))</f>
        <v>3XNC00079A</v>
      </c>
      <c r="C20" s="2" t="str">
        <f>IF(ISNA(VLOOKUP($A20,[1]南昌支架电机BOM!$A$2:$I$100,3,FALSE)),"0",(VLOOKUP($A20,[1]南昌支架电机BOM!$A$2:$I$100,3,FALSE)))</f>
        <v>3XNC00080A*3</v>
      </c>
      <c r="D20" s="2" t="str">
        <f>IF(ISNA(VLOOKUP($A20,[1]南昌支架电机BOM!$A$2:$I$100,4,FALSE)),"0",(VLOOKUP($A20,[1]南昌支架电机BOM!$A$2:$I$100,4,FALSE)))</f>
        <v>3XNC00081A</v>
      </c>
      <c r="E20" s="2" t="str">
        <f>IF(ISNA(VLOOKUP($A20,[1]南昌支架电机BOM!$A$2:$I$100,5,FALSE)),"0",(VLOOKUP($A20,[1]南昌支架电机BOM!$A$2:$I$100,5,FALSE)))</f>
        <v>2DM000064A</v>
      </c>
      <c r="F20" s="2" t="str">
        <f>IF(ISNA(VLOOKUP($A20,[1]南昌支架电机BOM!$A$2:$I$100,6,FALSE)),"0",(VLOOKUP($A20,[1]南昌支架电机BOM!$A$2:$I$100,6,FALSE)))</f>
        <v>2DM000065A</v>
      </c>
      <c r="G20" s="2" t="str">
        <f>IF(ISNA(VLOOKUP($A20,[1]南昌支架电机BOM!$A$2:$I$100,7,FALSE)),"0",(VLOOKUP($A20,[1]南昌支架电机BOM!$A$2:$I$100,7,FALSE)))</f>
        <v>3DM000293B+3DM000294B+3DM000321A+3XNC00082B</v>
      </c>
      <c r="H20" s="20" t="s">
        <v>49</v>
      </c>
      <c r="I20" s="2">
        <f>N20*0.396</f>
        <v>7999.2000000000007</v>
      </c>
      <c r="J20" s="20" t="s">
        <v>52</v>
      </c>
      <c r="K20" s="2">
        <f>N20*0.324</f>
        <v>6544.8</v>
      </c>
      <c r="L20" s="2" t="str">
        <f>IF(ISNA(VLOOKUP($A20,[1]南昌支架电机BOM!$A$2:$I$100,8,FALSE)),"0",(VLOOKUP($A20,[1]南昌支架电机BOM!$A$2:$I$100,8,FALSE)))</f>
        <v>3CNC00057K*.324+3CNC00061D*.396</v>
      </c>
      <c r="M20" s="2" t="str">
        <f>IF(ISNA(VLOOKUP($A20,[1]南昌支架电机BOM!$A$2:$I$100,9,FALSE)),"0",(VLOOKUP($A20,[1]南昌支架电机BOM!$A$2:$I$100,9,FALSE)))</f>
        <v>3AM000034B</v>
      </c>
      <c r="N20" s="5">
        <f t="shared" si="1"/>
        <v>20200</v>
      </c>
      <c r="O20" s="11"/>
      <c r="P20" s="11"/>
      <c r="Q20" s="11"/>
      <c r="R20" s="12">
        <v>3000</v>
      </c>
      <c r="S20" s="12">
        <v>6800</v>
      </c>
      <c r="T20" s="12">
        <v>6800</v>
      </c>
      <c r="U20" s="12">
        <v>3600</v>
      </c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</row>
    <row r="21" spans="1:45" ht="45" x14ac:dyDescent="0.25">
      <c r="A21" s="1" t="s">
        <v>29</v>
      </c>
      <c r="B21" s="2" t="str">
        <f>IF(ISNA(VLOOKUP($A21,[1]南昌支架电机BOM!$A$2:$I$100,2,FALSE)),"0",(VLOOKUP($A21,[1]南昌支架电机BOM!$A$2:$I$100,2,FALSE)))</f>
        <v>3XNC00079A</v>
      </c>
      <c r="C21" s="2" t="str">
        <f>IF(ISNA(VLOOKUP($A21,[1]南昌支架电机BOM!$A$2:$I$100,3,FALSE)),"0",(VLOOKUP($A21,[1]南昌支架电机BOM!$A$2:$I$100,3,FALSE)))</f>
        <v>3XNC00080A*3</v>
      </c>
      <c r="D21" s="2" t="str">
        <f>IF(ISNA(VLOOKUP($A21,[1]南昌支架电机BOM!$A$2:$I$100,4,FALSE)),"0",(VLOOKUP($A21,[1]南昌支架电机BOM!$A$2:$I$100,4,FALSE)))</f>
        <v>3XNC00081A</v>
      </c>
      <c r="E21" s="2" t="str">
        <f>IF(ISNA(VLOOKUP($A21,[1]南昌支架电机BOM!$A$2:$I$100,5,FALSE)),"0",(VLOOKUP($A21,[1]南昌支架电机BOM!$A$2:$I$100,5,FALSE)))</f>
        <v>2DM000064A</v>
      </c>
      <c r="F21" s="2" t="str">
        <f>IF(ISNA(VLOOKUP($A21,[1]南昌支架电机BOM!$A$2:$I$100,6,FALSE)),"0",(VLOOKUP($A21,[1]南昌支架电机BOM!$A$2:$I$100,6,FALSE)))</f>
        <v>2DM000065A</v>
      </c>
      <c r="G21" s="2" t="str">
        <f>IF(ISNA(VLOOKUP($A21,[1]南昌支架电机BOM!$A$2:$I$100,7,FALSE)),"0",(VLOOKUP($A21,[1]南昌支架电机BOM!$A$2:$I$100,7,FALSE)))</f>
        <v>3DM000293A+3DM000294A+3DM000157H+3XNC00082B</v>
      </c>
      <c r="H21" s="20" t="s">
        <v>49</v>
      </c>
      <c r="I21" s="2">
        <f>N21*0.486</f>
        <v>4325.3999999999996</v>
      </c>
      <c r="J21" s="20" t="s">
        <v>52</v>
      </c>
      <c r="K21" s="2">
        <f>N21*0.414</f>
        <v>3684.6</v>
      </c>
      <c r="L21" s="2" t="str">
        <f>IF(ISNA(VLOOKUP($A21,[1]南昌支架电机BOM!$A$2:$I$100,8,FALSE)),"0",(VLOOKUP($A21,[1]南昌支架电机BOM!$A$2:$I$100,8,FALSE)))</f>
        <v>3CNC00057K*.414+3CNC00061D*.486</v>
      </c>
      <c r="M21" s="2" t="str">
        <f>IF(ISNA(VLOOKUP($A21,[1]南昌支架电机BOM!$A$2:$I$100,9,FALSE)),"0",(VLOOKUP($A21,[1]南昌支架电机BOM!$A$2:$I$100,9,FALSE)))</f>
        <v>3AM000034B</v>
      </c>
      <c r="N21" s="5">
        <f t="shared" si="1"/>
        <v>8900</v>
      </c>
      <c r="O21" s="11"/>
      <c r="P21" s="11"/>
      <c r="Q21" s="11"/>
      <c r="R21" s="11"/>
      <c r="S21" s="11"/>
      <c r="T21" s="11"/>
      <c r="U21" s="12">
        <v>2000</v>
      </c>
      <c r="V21" s="12">
        <v>6500</v>
      </c>
      <c r="W21" s="12">
        <v>400</v>
      </c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</row>
    <row r="22" spans="1:45" ht="45" x14ac:dyDescent="0.25">
      <c r="A22" s="1" t="s">
        <v>30</v>
      </c>
      <c r="B22" s="2" t="str">
        <f>IF(ISNA(VLOOKUP($A22,[1]南昌支架电机BOM!$A$2:$I$100,2,FALSE)),"0",(VLOOKUP($A22,[1]南昌支架电机BOM!$A$2:$I$100,2,FALSE)))</f>
        <v>3XNC00079A</v>
      </c>
      <c r="C22" s="2" t="str">
        <f>IF(ISNA(VLOOKUP($A22,[1]南昌支架电机BOM!$A$2:$I$100,3,FALSE)),"0",(VLOOKUP($A22,[1]南昌支架电机BOM!$A$2:$I$100,3,FALSE)))</f>
        <v>3XNC00080A*3</v>
      </c>
      <c r="D22" s="2" t="str">
        <f>IF(ISNA(VLOOKUP($A22,[1]南昌支架电机BOM!$A$2:$I$100,4,FALSE)),"0",(VLOOKUP($A22,[1]南昌支架电机BOM!$A$2:$I$100,4,FALSE)))</f>
        <v>3XNC00081A</v>
      </c>
      <c r="E22" s="2" t="str">
        <f>IF(ISNA(VLOOKUP($A22,[1]南昌支架电机BOM!$A$2:$I$100,5,FALSE)),"0",(VLOOKUP($A22,[1]南昌支架电机BOM!$A$2:$I$100,5,FALSE)))</f>
        <v>2DM000064A</v>
      </c>
      <c r="F22" s="2" t="str">
        <f>IF(ISNA(VLOOKUP($A22,[1]南昌支架电机BOM!$A$2:$I$100,6,FALSE)),"0",(VLOOKUP($A22,[1]南昌支架电机BOM!$A$2:$I$100,6,FALSE)))</f>
        <v>2DM000065A</v>
      </c>
      <c r="G22" s="2" t="str">
        <f>IF(ISNA(VLOOKUP($A22,[1]南昌支架电机BOM!$A$2:$I$100,7,FALSE)),"0",(VLOOKUP($A22,[1]南昌支架电机BOM!$A$2:$I$100,7,FALSE)))</f>
        <v>3DM000293A+3DM000294A+3DM000157H+3XNC00082B</v>
      </c>
      <c r="H22" s="20" t="s">
        <v>49</v>
      </c>
      <c r="I22" s="2">
        <f>N22*0.486</f>
        <v>486</v>
      </c>
      <c r="J22" s="20" t="s">
        <v>52</v>
      </c>
      <c r="K22" s="2">
        <f>N22*0.414</f>
        <v>414</v>
      </c>
      <c r="L22" s="2" t="str">
        <f>IF(ISNA(VLOOKUP($A22,[1]南昌支架电机BOM!$A$2:$I$100,8,FALSE)),"0",(VLOOKUP($A22,[1]南昌支架电机BOM!$A$2:$I$100,8,FALSE)))</f>
        <v>3CNC00057K*.414+3CNC00061D*.486</v>
      </c>
      <c r="M22" s="2" t="str">
        <f>IF(ISNA(VLOOKUP($A22,[1]南昌支架电机BOM!$A$2:$I$100,9,FALSE)),"0",(VLOOKUP($A22,[1]南昌支架电机BOM!$A$2:$I$100,9,FALSE)))</f>
        <v>3AM000034B/4ANC00028B</v>
      </c>
      <c r="N22" s="5">
        <f t="shared" si="1"/>
        <v>1000</v>
      </c>
      <c r="O22" s="11"/>
      <c r="P22" s="11"/>
      <c r="Q22" s="11"/>
      <c r="R22" s="11"/>
      <c r="S22" s="11"/>
      <c r="T22" s="11"/>
      <c r="U22" s="12"/>
      <c r="V22" s="12"/>
      <c r="W22" s="12">
        <v>1000</v>
      </c>
      <c r="X22" s="7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6"/>
      <c r="AJ22" s="6"/>
      <c r="AK22" s="6"/>
      <c r="AL22" s="6"/>
      <c r="AM22" s="11"/>
      <c r="AN22" s="11"/>
      <c r="AO22" s="11"/>
      <c r="AP22" s="11"/>
      <c r="AQ22" s="11"/>
      <c r="AR22" s="6"/>
      <c r="AS22" s="6"/>
    </row>
    <row r="23" spans="1:45" ht="30" x14ac:dyDescent="0.25">
      <c r="A23" s="8" t="s">
        <v>31</v>
      </c>
      <c r="B23" s="2" t="str">
        <f>IF(ISNA(VLOOKUP($A23,[1]南昌支架电机BOM!$A$2:$I$100,2,FALSE)),"0",(VLOOKUP($A23,[1]南昌支架电机BOM!$A$2:$I$100,2,FALSE)))</f>
        <v>3DNC00172C引出线</v>
      </c>
      <c r="C23" s="2" t="e">
        <f>IF(ISNA(VLOOKUP($A23,[1]南昌支架电机BOM!$A$2:$I$100,3,FALSE)),"0",(VLOOKUP($A23,[1]南昌支架电机BOM!$A$2:$I$100,3,FALSE)))</f>
        <v>#REF!</v>
      </c>
      <c r="D23" s="2" t="e">
        <f>IF(ISNA(VLOOKUP($A23,[1]南昌支架电机BOM!$A$2:$I$100,4,FALSE)),"0",(VLOOKUP($A23,[1]南昌支架电机BOM!$A$2:$I$100,4,FALSE)))</f>
        <v>#REF!</v>
      </c>
      <c r="E23" s="2" t="e">
        <f>IF(ISNA(VLOOKUP($A23,[1]南昌支架电机BOM!$A$2:$I$100,5,FALSE)),"0",(VLOOKUP($A23,[1]南昌支架电机BOM!$A$2:$I$100,5,FALSE)))</f>
        <v>#REF!</v>
      </c>
      <c r="F23" s="2" t="e">
        <f>IF(ISNA(VLOOKUP($A23,[1]南昌支架电机BOM!$A$2:$I$100,6,FALSE)),"0",(VLOOKUP($A23,[1]南昌支架电机BOM!$A$2:$I$100,6,FALSE)))</f>
        <v>#REF!</v>
      </c>
      <c r="G23" s="2" t="str">
        <f>IF(ISNA(VLOOKUP($A23,[1]南昌支架电机BOM!$A$2:$I$100,7,FALSE)),"0",(VLOOKUP($A23,[1]南昌支架电机BOM!$A$2:$I$100,7,FALSE)))</f>
        <v>3HNC00629A*3+3HNC00629D*3+3HNC00629H*3+3HNC00030A*4</v>
      </c>
      <c r="H23" s="20" t="s">
        <v>44</v>
      </c>
      <c r="I23" s="2">
        <f>N23*0.621</f>
        <v>1676.7</v>
      </c>
      <c r="J23" s="20" t="s">
        <v>53</v>
      </c>
      <c r="K23" s="2">
        <f>N23*0.486</f>
        <v>1312.2</v>
      </c>
      <c r="L23" s="2" t="str">
        <f>IF(ISNA(VLOOKUP($A23,[1]南昌支架电机BOM!$A$2:$I$100,8,FALSE)),"0",(VLOOKUP($A23,[1]南昌支架电机BOM!$A$2:$I$100,8,FALSE)))</f>
        <v>3CNC00057J*.486+3CNC00061A*.621</v>
      </c>
      <c r="M23" s="2" t="e">
        <f>IF(ISNA(VLOOKUP($A23,[1]南昌支架电机BOM!$A$2:$I$100,9,FALSE)),"0",(VLOOKUP($A23,[1]南昌支架电机BOM!$A$2:$I$100,9,FALSE)))</f>
        <v>#REF!</v>
      </c>
      <c r="N23" s="5">
        <f t="shared" si="1"/>
        <v>2700</v>
      </c>
      <c r="O23" s="11"/>
      <c r="P23" s="11"/>
      <c r="Q23" s="11"/>
      <c r="R23" s="11"/>
      <c r="S23" s="11"/>
      <c r="T23" s="11"/>
      <c r="U23" s="11"/>
      <c r="V23" s="11"/>
      <c r="W23" s="7">
        <v>1500</v>
      </c>
      <c r="X23" s="7">
        <v>1200</v>
      </c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</row>
    <row r="24" spans="1:45" ht="45" x14ac:dyDescent="0.25">
      <c r="A24" s="1" t="s">
        <v>32</v>
      </c>
      <c r="B24" s="2" t="str">
        <f>IF(ISNA(VLOOKUP($A24,[1]南昌支架电机BOM!$A$2:$I$100,2,FALSE)),"0",(VLOOKUP($A24,[1]南昌支架电机BOM!$A$2:$I$100,2,FALSE)))</f>
        <v>3XNC00079A</v>
      </c>
      <c r="C24" s="2" t="str">
        <f>IF(ISNA(VLOOKUP($A24,[1]南昌支架电机BOM!$A$2:$I$100,3,FALSE)),"0",(VLOOKUP($A24,[1]南昌支架电机BOM!$A$2:$I$100,3,FALSE)))</f>
        <v>3XNC00080A*3</v>
      </c>
      <c r="D24" s="2" t="str">
        <f>IF(ISNA(VLOOKUP($A24,[1]南昌支架电机BOM!$A$2:$I$100,4,FALSE)),"0",(VLOOKUP($A24,[1]南昌支架电机BOM!$A$2:$I$100,4,FALSE)))</f>
        <v>3XNC00081A</v>
      </c>
      <c r="E24" s="2" t="str">
        <f>IF(ISNA(VLOOKUP($A24,[1]南昌支架电机BOM!$A$2:$I$100,5,FALSE)),"0",(VLOOKUP($A24,[1]南昌支架电机BOM!$A$2:$I$100,5,FALSE)))</f>
        <v>2DM000064A</v>
      </c>
      <c r="F24" s="2" t="str">
        <f>IF(ISNA(VLOOKUP($A24,[1]南昌支架电机BOM!$A$2:$I$100,6,FALSE)),"0",(VLOOKUP($A24,[1]南昌支架电机BOM!$A$2:$I$100,6,FALSE)))</f>
        <v>2DM000065A</v>
      </c>
      <c r="G24" s="2" t="str">
        <f>IF(ISNA(VLOOKUP($A24,[1]南昌支架电机BOM!$A$2:$I$100,7,FALSE)),"0",(VLOOKUP($A24,[1]南昌支架电机BOM!$A$2:$I$100,7,FALSE)))</f>
        <v>3DM000293A+3DM000294A+3DM000157H+3XNC00082B</v>
      </c>
      <c r="H24" s="20" t="s">
        <v>49</v>
      </c>
      <c r="I24" s="2">
        <f>N24*0.486</f>
        <v>558.9</v>
      </c>
      <c r="J24" s="20" t="s">
        <v>52</v>
      </c>
      <c r="K24" s="2">
        <f>N24*0.414</f>
        <v>476.09999999999997</v>
      </c>
      <c r="L24" s="2" t="str">
        <f>IF(ISNA(VLOOKUP($A24,[1]南昌支架电机BOM!$A$2:$I$100,8,FALSE)),"0",(VLOOKUP($A24,[1]南昌支架电机BOM!$A$2:$I$100,8,FALSE)))</f>
        <v>3CNC00061D*.486+3CNC00057K*.414</v>
      </c>
      <c r="M24" s="2" t="str">
        <f>IF(ISNA(VLOOKUP($A24,[1]南昌支架电机BOM!$A$2:$I$100,9,FALSE)),"0",(VLOOKUP($A24,[1]南昌支架电机BOM!$A$2:$I$100,9,FALSE)))</f>
        <v>3AM000034B</v>
      </c>
      <c r="N24" s="5">
        <f t="shared" si="1"/>
        <v>1150</v>
      </c>
      <c r="O24" s="11"/>
      <c r="P24" s="11"/>
      <c r="Q24" s="11"/>
      <c r="R24" s="11"/>
      <c r="S24" s="11"/>
      <c r="T24" s="11"/>
      <c r="U24" s="11"/>
      <c r="V24" s="11"/>
      <c r="W24" s="12">
        <v>1150</v>
      </c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</row>
    <row r="25" spans="1:45" ht="30" x14ac:dyDescent="0.25">
      <c r="A25" s="13" t="s">
        <v>33</v>
      </c>
      <c r="B25" s="2" t="str">
        <f>IF(ISNA(VLOOKUP($A25,[1]南昌支架电机BOM!$A$2:$I$100,2,FALSE)),"0",(VLOOKUP($A25,[1]南昌支架电机BOM!$A$2:$I$100,2,FALSE)))</f>
        <v>3XNC00079A</v>
      </c>
      <c r="C25" s="2" t="str">
        <f>IF(ISNA(VLOOKUP($A25,[1]南昌支架电机BOM!$A$2:$I$100,3,FALSE)),"0",(VLOOKUP($A25,[1]南昌支架电机BOM!$A$2:$I$100,3,FALSE)))</f>
        <v>3XNC00080A*3</v>
      </c>
      <c r="D25" s="2" t="str">
        <f>IF(ISNA(VLOOKUP($A25,[1]南昌支架电机BOM!$A$2:$I$100,4,FALSE)),"0",(VLOOKUP($A25,[1]南昌支架电机BOM!$A$2:$I$100,4,FALSE)))</f>
        <v>3XNC00081A</v>
      </c>
      <c r="E25" s="2" t="str">
        <f>IF(ISNA(VLOOKUP($A25,[1]南昌支架电机BOM!$A$2:$I$100,5,FALSE)),"0",(VLOOKUP($A25,[1]南昌支架电机BOM!$A$2:$I$100,5,FALSE)))</f>
        <v>2DM000064A</v>
      </c>
      <c r="F25" s="2" t="str">
        <f>IF(ISNA(VLOOKUP($A25,[1]南昌支架电机BOM!$A$2:$I$100,6,FALSE)),"0",(VLOOKUP($A25,[1]南昌支架电机BOM!$A$2:$I$100,6,FALSE)))</f>
        <v>2DM000065A</v>
      </c>
      <c r="G25" s="2" t="str">
        <f>IF(ISNA(VLOOKUP($A25,[1]南昌支架电机BOM!$A$2:$I$100,7,FALSE)),"0",(VLOOKUP($A25,[1]南昌支架电机BOM!$A$2:$I$100,7,FALSE)))</f>
        <v>3DM000293E+3DM000321C+3DM000157C+3XNC00082B</v>
      </c>
      <c r="H25" s="20" t="s">
        <v>49</v>
      </c>
      <c r="I25" s="2">
        <f>N25*0.396</f>
        <v>79.2</v>
      </c>
      <c r="J25" s="20" t="s">
        <v>52</v>
      </c>
      <c r="K25" s="2">
        <f>N25*0.324</f>
        <v>64.8</v>
      </c>
      <c r="L25" s="2" t="str">
        <f>IF(ISNA(VLOOKUP($A25,[1]南昌支架电机BOM!$A$2:$I$100,8,FALSE)),"0",(VLOOKUP($A25,[1]南昌支架电机BOM!$A$2:$I$100,8,FALSE)))</f>
        <v>3CNC00061D*.396+3CNC00057K*.324</v>
      </c>
      <c r="M25" s="2" t="str">
        <f>IF(ISNA(VLOOKUP($A25,[1]南昌支架电机BOM!$A$2:$I$100,9,FALSE)),"0",(VLOOKUP($A25,[1]南昌支架电机BOM!$A$2:$I$100,9,FALSE)))</f>
        <v>4ANC00028B</v>
      </c>
      <c r="N25" s="5">
        <f t="shared" si="1"/>
        <v>200</v>
      </c>
      <c r="O25" s="11"/>
      <c r="P25" s="11"/>
      <c r="Q25" s="11"/>
      <c r="R25" s="11"/>
      <c r="S25" s="11"/>
      <c r="T25" s="11"/>
      <c r="U25" s="11"/>
      <c r="V25" s="11"/>
      <c r="W25" s="12">
        <v>200</v>
      </c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</row>
    <row r="26" spans="1:45" ht="45" x14ac:dyDescent="0.25">
      <c r="A26" s="13" t="s">
        <v>34</v>
      </c>
      <c r="B26" s="2" t="str">
        <f>IF(ISNA(VLOOKUP($A26,[1]南昌支架电机BOM!$A$2:$I$100,2,FALSE)),"0",(VLOOKUP($A26,[1]南昌支架电机BOM!$A$2:$I$100,2,FALSE)))</f>
        <v>3XNC00079A</v>
      </c>
      <c r="C26" s="2" t="str">
        <f>IF(ISNA(VLOOKUP($A26,[1]南昌支架电机BOM!$A$2:$I$100,3,FALSE)),"0",(VLOOKUP($A26,[1]南昌支架电机BOM!$A$2:$I$100,3,FALSE)))</f>
        <v>3XNC00080A*3</v>
      </c>
      <c r="D26" s="2" t="str">
        <f>IF(ISNA(VLOOKUP($A26,[1]南昌支架电机BOM!$A$2:$I$100,4,FALSE)),"0",(VLOOKUP($A26,[1]南昌支架电机BOM!$A$2:$I$100,4,FALSE)))</f>
        <v>3XNC00081A</v>
      </c>
      <c r="E26" s="2" t="str">
        <f>IF(ISNA(VLOOKUP($A26,[1]南昌支架电机BOM!$A$2:$I$100,5,FALSE)),"0",(VLOOKUP($A26,[1]南昌支架电机BOM!$A$2:$I$100,5,FALSE)))</f>
        <v>2DM000064A</v>
      </c>
      <c r="F26" s="2" t="str">
        <f>IF(ISNA(VLOOKUP($A26,[1]南昌支架电机BOM!$A$2:$I$100,6,FALSE)),"0",(VLOOKUP($A26,[1]南昌支架电机BOM!$A$2:$I$100,6,FALSE)))</f>
        <v>2DM000065A</v>
      </c>
      <c r="G26" s="2" t="str">
        <f>IF(ISNA(VLOOKUP($A26,[1]南昌支架电机BOM!$A$2:$I$100,7,FALSE)),"0",(VLOOKUP($A26,[1]南昌支架电机BOM!$A$2:$I$100,7,FALSE)))</f>
        <v>3DM000293A+3DM000294A+3DM000157H+3XNC00082B</v>
      </c>
      <c r="H26" s="20" t="s">
        <v>49</v>
      </c>
      <c r="I26" s="2">
        <f>N26*0.486</f>
        <v>680.4</v>
      </c>
      <c r="J26" s="20" t="s">
        <v>52</v>
      </c>
      <c r="K26" s="2">
        <f>N26*0.414</f>
        <v>579.6</v>
      </c>
      <c r="L26" s="2" t="str">
        <f>IF(ISNA(VLOOKUP($A26,[1]南昌支架电机BOM!$A$2:$I$100,8,FALSE)),"0",(VLOOKUP($A26,[1]南昌支架电机BOM!$A$2:$I$100,8,FALSE)))</f>
        <v>3CNC00057K*.414+3CNC00061D*.486</v>
      </c>
      <c r="M26" s="2" t="str">
        <f>IF(ISNA(VLOOKUP($A26,[1]南昌支架电机BOM!$A$2:$I$100,9,FALSE)),"0",(VLOOKUP($A26,[1]南昌支架电机BOM!$A$2:$I$100,9,FALSE)))</f>
        <v>3AM000034B/4ANC00028B</v>
      </c>
      <c r="N26" s="5">
        <f t="shared" si="1"/>
        <v>1400</v>
      </c>
      <c r="O26" s="11"/>
      <c r="P26" s="11"/>
      <c r="Q26" s="11"/>
      <c r="R26" s="11"/>
      <c r="S26" s="11"/>
      <c r="T26" s="11"/>
      <c r="U26" s="11"/>
      <c r="V26" s="11"/>
      <c r="W26" s="12">
        <v>1400</v>
      </c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6"/>
      <c r="AJ26" s="6"/>
      <c r="AK26" s="6"/>
      <c r="AL26" s="6"/>
      <c r="AM26" s="9"/>
      <c r="AN26" s="6"/>
      <c r="AO26" s="9"/>
      <c r="AP26" s="9"/>
      <c r="AQ26" s="6"/>
      <c r="AR26" s="6"/>
      <c r="AS26" s="6"/>
    </row>
    <row r="27" spans="1:45" ht="45" x14ac:dyDescent="0.25">
      <c r="A27" s="1" t="s">
        <v>17</v>
      </c>
      <c r="B27" s="2" t="str">
        <f>IF(ISNA(VLOOKUP($A27,[1]南昌支架电机BOM!$A$2:$I$100,2,FALSE)),"0",(VLOOKUP($A27,[1]南昌支架电机BOM!$A$2:$I$100,2,FALSE)))</f>
        <v>3XNC00079A</v>
      </c>
      <c r="C27" s="2" t="str">
        <f>IF(ISNA(VLOOKUP($A27,[1]南昌支架电机BOM!$A$2:$I$100,3,FALSE)),"0",(VLOOKUP($A27,[1]南昌支架电机BOM!$A$2:$I$100,3,FALSE)))</f>
        <v>3XNC00080A*3</v>
      </c>
      <c r="D27" s="2" t="str">
        <f>IF(ISNA(VLOOKUP($A27,[1]南昌支架电机BOM!$A$2:$I$100,4,FALSE)),"0",(VLOOKUP($A27,[1]南昌支架电机BOM!$A$2:$I$100,4,FALSE)))</f>
        <v>3XNC00081A</v>
      </c>
      <c r="E27" s="2" t="str">
        <f>IF(ISNA(VLOOKUP($A27,[1]南昌支架电机BOM!$A$2:$I$100,5,FALSE)),"0",(VLOOKUP($A27,[1]南昌支架电机BOM!$A$2:$I$100,5,FALSE)))</f>
        <v>2DM000064A</v>
      </c>
      <c r="F27" s="2" t="str">
        <f>IF(ISNA(VLOOKUP($A27,[1]南昌支架电机BOM!$A$2:$I$100,6,FALSE)),"0",(VLOOKUP($A27,[1]南昌支架电机BOM!$A$2:$I$100,6,FALSE)))</f>
        <v>2DM000065A</v>
      </c>
      <c r="G27" s="2" t="str">
        <f>IF(ISNA(VLOOKUP($A27,[1]南昌支架电机BOM!$A$2:$I$100,7,FALSE)),"0",(VLOOKUP($A27,[1]南昌支架电机BOM!$A$2:$I$100,7,FALSE)))</f>
        <v>3DM000293A+3DM000294A+3DM000157H+3XNC00082B</v>
      </c>
      <c r="H27" s="20" t="s">
        <v>49</v>
      </c>
      <c r="I27" s="2">
        <f>N27*0.486</f>
        <v>4082.4</v>
      </c>
      <c r="J27" s="20" t="s">
        <v>52</v>
      </c>
      <c r="K27" s="2">
        <f>N27*0.414</f>
        <v>3477.6</v>
      </c>
      <c r="L27" s="2" t="str">
        <f>IF(ISNA(VLOOKUP($A27,[1]南昌支架电机BOM!$A$2:$I$100,8,FALSE)),"0",(VLOOKUP($A27,[1]南昌支架电机BOM!$A$2:$I$100,8,FALSE)))</f>
        <v>3CNC00057K*.414+3CNC00061D*.486</v>
      </c>
      <c r="M27" s="2" t="str">
        <f>IF(ISNA(VLOOKUP($A27,[1]南昌支架电机BOM!$A$2:$I$100,9,FALSE)),"0",(VLOOKUP($A27,[1]南昌支架电机BOM!$A$2:$I$100,9,FALSE)))</f>
        <v>3AM000034B/4ANC00028B</v>
      </c>
      <c r="N27" s="5">
        <f t="shared" si="1"/>
        <v>8400</v>
      </c>
      <c r="O27" s="11"/>
      <c r="P27" s="11"/>
      <c r="Q27" s="11"/>
      <c r="R27" s="11"/>
      <c r="S27" s="11"/>
      <c r="T27" s="11"/>
      <c r="U27" s="11"/>
      <c r="V27" s="11"/>
      <c r="W27" s="11"/>
      <c r="X27" s="12">
        <v>6400</v>
      </c>
      <c r="Y27" s="12">
        <v>2000</v>
      </c>
      <c r="Z27" s="12"/>
      <c r="AA27" s="11"/>
      <c r="AB27" s="11"/>
      <c r="AC27" s="11"/>
      <c r="AD27" s="11"/>
      <c r="AE27" s="11"/>
      <c r="AF27" s="11"/>
      <c r="AG27" s="11"/>
      <c r="AH27" s="11"/>
      <c r="AI27" s="6"/>
      <c r="AJ27" s="6"/>
      <c r="AK27" s="6"/>
      <c r="AL27" s="6"/>
      <c r="AM27" s="9"/>
      <c r="AN27" s="6"/>
      <c r="AO27" s="6"/>
      <c r="AP27" s="6"/>
      <c r="AQ27" s="6"/>
      <c r="AR27" s="6"/>
      <c r="AS27" s="6"/>
    </row>
    <row r="28" spans="1:45" ht="45" x14ac:dyDescent="0.25">
      <c r="A28" s="1" t="s">
        <v>16</v>
      </c>
      <c r="B28" s="2" t="str">
        <f>IF(ISNA(VLOOKUP($A28,[1]南昌支架电机BOM!$A$2:$I$100,2,FALSE)),"0",(VLOOKUP($A28,[1]南昌支架电机BOM!$A$2:$I$100,2,FALSE)))</f>
        <v>3XNC00079A</v>
      </c>
      <c r="C28" s="2" t="str">
        <f>IF(ISNA(VLOOKUP($A28,[1]南昌支架电机BOM!$A$2:$I$100,3,FALSE)),"0",(VLOOKUP($A28,[1]南昌支架电机BOM!$A$2:$I$100,3,FALSE)))</f>
        <v>3XNC00080A*3</v>
      </c>
      <c r="D28" s="2" t="str">
        <f>IF(ISNA(VLOOKUP($A28,[1]南昌支架电机BOM!$A$2:$I$100,4,FALSE)),"0",(VLOOKUP($A28,[1]南昌支架电机BOM!$A$2:$I$100,4,FALSE)))</f>
        <v>3XNC00081A</v>
      </c>
      <c r="E28" s="2" t="str">
        <f>IF(ISNA(VLOOKUP($A28,[1]南昌支架电机BOM!$A$2:$I$100,5,FALSE)),"0",(VLOOKUP($A28,[1]南昌支架电机BOM!$A$2:$I$100,5,FALSE)))</f>
        <v>2DM000064A</v>
      </c>
      <c r="F28" s="2" t="str">
        <f>IF(ISNA(VLOOKUP($A28,[1]南昌支架电机BOM!$A$2:$I$100,6,FALSE)),"0",(VLOOKUP($A28,[1]南昌支架电机BOM!$A$2:$I$100,6,FALSE)))</f>
        <v>2DM000065A</v>
      </c>
      <c r="G28" s="2" t="str">
        <f>IF(ISNA(VLOOKUP($A28,[1]南昌支架电机BOM!$A$2:$I$100,7,FALSE)),"0",(VLOOKUP($A28,[1]南昌支架电机BOM!$A$2:$I$100,7,FALSE)))</f>
        <v>3DM000293B+3DM000294B+3DM000321A+3XNC00082B</v>
      </c>
      <c r="H28" s="20" t="s">
        <v>49</v>
      </c>
      <c r="I28" s="2">
        <f>N28*0.396</f>
        <v>3960</v>
      </c>
      <c r="J28" s="20" t="s">
        <v>52</v>
      </c>
      <c r="K28" s="2">
        <f>N28*0.324</f>
        <v>3240</v>
      </c>
      <c r="L28" s="2" t="str">
        <f>IF(ISNA(VLOOKUP($A28,[1]南昌支架电机BOM!$A$2:$I$100,8,FALSE)),"0",(VLOOKUP($A28,[1]南昌支架电机BOM!$A$2:$I$100,8,FALSE)))</f>
        <v>3CNC00057K*.324+3CNC00061D*.396</v>
      </c>
      <c r="M28" s="2" t="str">
        <f>IF(ISNA(VLOOKUP($A28,[1]南昌支架电机BOM!$A$2:$I$100,9,FALSE)),"0",(VLOOKUP($A28,[1]南昌支架电机BOM!$A$2:$I$100,9,FALSE)))</f>
        <v>3AM000034B</v>
      </c>
      <c r="N28" s="5">
        <f t="shared" si="1"/>
        <v>10000</v>
      </c>
      <c r="O28" s="6"/>
      <c r="P28" s="6"/>
      <c r="Q28" s="6"/>
      <c r="R28" s="6"/>
      <c r="S28" s="6"/>
      <c r="T28" s="6"/>
      <c r="U28" s="6"/>
      <c r="V28" s="6"/>
      <c r="W28" s="6"/>
      <c r="X28" s="12"/>
      <c r="Y28" s="12">
        <v>4500</v>
      </c>
      <c r="Z28" s="12">
        <v>5500</v>
      </c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9"/>
      <c r="AN28" s="9"/>
      <c r="AO28" s="9"/>
      <c r="AP28" s="6"/>
      <c r="AQ28" s="6"/>
      <c r="AR28" s="6"/>
      <c r="AS28" s="6"/>
    </row>
    <row r="29" spans="1:45" ht="30" x14ac:dyDescent="0.25">
      <c r="A29" s="8" t="s">
        <v>35</v>
      </c>
      <c r="B29" s="2" t="str">
        <f>IF(ISNA(VLOOKUP($A29,[1]南昌支架电机BOM!$A$2:$I$100,2,FALSE)),"0",(VLOOKUP($A29,[1]南昌支架电机BOM!$A$2:$I$100,2,FALSE)))</f>
        <v>3DNC00787B引出线</v>
      </c>
      <c r="C29" s="2" t="e">
        <f>IF(ISNA(VLOOKUP($A29,[1]南昌支架电机BOM!$A$2:$I$100,3,FALSE)),"0",(VLOOKUP($A29,[1]南昌支架电机BOM!$A$2:$I$100,3,FALSE)))</f>
        <v>#REF!</v>
      </c>
      <c r="D29" s="2" t="e">
        <f>IF(ISNA(VLOOKUP($A29,[1]南昌支架电机BOM!$A$2:$I$100,4,FALSE)),"0",(VLOOKUP($A29,[1]南昌支架电机BOM!$A$2:$I$100,4,FALSE)))</f>
        <v>#REF!</v>
      </c>
      <c r="E29" s="2" t="e">
        <f>IF(ISNA(VLOOKUP($A29,[1]南昌支架电机BOM!$A$2:$I$100,5,FALSE)),"0",(VLOOKUP($A29,[1]南昌支架电机BOM!$A$2:$I$100,5,FALSE)))</f>
        <v>#REF!</v>
      </c>
      <c r="F29" s="2" t="e">
        <f>IF(ISNA(VLOOKUP($A29,[1]南昌支架电机BOM!$A$2:$I$100,6,FALSE)),"0",(VLOOKUP($A29,[1]南昌支架电机BOM!$A$2:$I$100,6,FALSE)))</f>
        <v>#REF!</v>
      </c>
      <c r="G29" s="2" t="str">
        <f>IF(ISNA(VLOOKUP($A29,[1]南昌支架电机BOM!$A$2:$I$100,7,FALSE)),"0",(VLOOKUP($A29,[1]南昌支架电机BOM!$A$2:$I$100,7,FALSE)))</f>
        <v>3HNC00629A*3+3HNC00629D*2+3HNC00629H*3+3HNC00030B*4+3HNC00629J</v>
      </c>
      <c r="H29" s="20" t="s">
        <v>44</v>
      </c>
      <c r="I29" s="2">
        <f>N29*0.531</f>
        <v>6106.5</v>
      </c>
      <c r="J29" s="20" t="s">
        <v>54</v>
      </c>
      <c r="K29" s="2">
        <f>N29*0.477</f>
        <v>5485.5</v>
      </c>
      <c r="L29" s="2" t="str">
        <f>IF(ISNA(VLOOKUP($A29,[1]南昌支架电机BOM!$A$2:$I$100,8,FALSE)),"0",(VLOOKUP($A29,[1]南昌支架电机BOM!$A$2:$I$100,8,FALSE)))</f>
        <v>3CNC00061A*0.531+3CNC00057B*0.477</v>
      </c>
      <c r="M29" s="2" t="e">
        <f>IF(ISNA(VLOOKUP($A29,[1]南昌支架电机BOM!$A$2:$I$100,9,FALSE)),"0",(VLOOKUP($A29,[1]南昌支架电机BOM!$A$2:$I$100,9,FALSE)))</f>
        <v>#REF!</v>
      </c>
      <c r="N29" s="5">
        <f t="shared" si="1"/>
        <v>11500</v>
      </c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7">
        <v>3000</v>
      </c>
      <c r="AB29" s="7">
        <v>4000</v>
      </c>
      <c r="AC29" s="7">
        <v>4000</v>
      </c>
      <c r="AD29" s="7">
        <v>500</v>
      </c>
      <c r="AE29" s="7"/>
      <c r="AF29" s="6"/>
      <c r="AG29" s="6"/>
      <c r="AH29" s="6"/>
      <c r="AI29" s="6"/>
      <c r="AJ29" s="6"/>
      <c r="AK29" s="6"/>
      <c r="AL29" s="6"/>
      <c r="AM29" s="9"/>
      <c r="AN29" s="6"/>
      <c r="AO29" s="9"/>
      <c r="AP29" s="9"/>
      <c r="AQ29" s="9"/>
      <c r="AR29" s="9"/>
      <c r="AS29" s="9"/>
    </row>
    <row r="30" spans="1:45" ht="30" x14ac:dyDescent="0.25">
      <c r="A30" s="8" t="s">
        <v>18</v>
      </c>
      <c r="B30" s="2" t="str">
        <f>IF(ISNA(VLOOKUP($A30,[1]南昌支架电机BOM!$A$2:$I$100,2,FALSE)),"0",(VLOOKUP($A30,[1]南昌支架电机BOM!$A$2:$I$100,2,FALSE)))</f>
        <v>3DNC00787B引出线</v>
      </c>
      <c r="C30" s="2" t="e">
        <f>IF(ISNA(VLOOKUP($A30,[1]南昌支架电机BOM!$A$2:$I$100,3,FALSE)),"0",(VLOOKUP($A30,[1]南昌支架电机BOM!$A$2:$I$100,3,FALSE)))</f>
        <v>#REF!</v>
      </c>
      <c r="D30" s="2" t="e">
        <f>IF(ISNA(VLOOKUP($A30,[1]南昌支架电机BOM!$A$2:$I$100,4,FALSE)),"0",(VLOOKUP($A30,[1]南昌支架电机BOM!$A$2:$I$100,4,FALSE)))</f>
        <v>#REF!</v>
      </c>
      <c r="E30" s="2" t="e">
        <f>IF(ISNA(VLOOKUP($A30,[1]南昌支架电机BOM!$A$2:$I$100,5,FALSE)),"0",(VLOOKUP($A30,[1]南昌支架电机BOM!$A$2:$I$100,5,FALSE)))</f>
        <v>#REF!</v>
      </c>
      <c r="F30" s="2" t="e">
        <f>IF(ISNA(VLOOKUP($A30,[1]南昌支架电机BOM!$A$2:$I$100,6,FALSE)),"0",(VLOOKUP($A30,[1]南昌支架电机BOM!$A$2:$I$100,6,FALSE)))</f>
        <v>#REF!</v>
      </c>
      <c r="G30" s="2" t="str">
        <f>IF(ISNA(VLOOKUP($A30,[1]南昌支架电机BOM!$A$2:$I$100,7,FALSE)),"0",(VLOOKUP($A30,[1]南昌支架电机BOM!$A$2:$I$100,7,FALSE)))</f>
        <v>3HNC00629A*3+3HNC00629D*2+3HNC00629H*3+3HNC00030B*4+3HNC00629J</v>
      </c>
      <c r="H30" s="20" t="s">
        <v>44</v>
      </c>
      <c r="I30" s="2">
        <f>N30*0.531</f>
        <v>1646.1000000000001</v>
      </c>
      <c r="J30" s="20" t="s">
        <v>54</v>
      </c>
      <c r="K30" s="2">
        <f>N30*0.477</f>
        <v>1478.7</v>
      </c>
      <c r="L30" s="2" t="str">
        <f>IF(ISNA(VLOOKUP($A30,[1]南昌支架电机BOM!$A$2:$I$100,8,FALSE)),"0",(VLOOKUP($A30,[1]南昌支架电机BOM!$A$2:$I$100,8,FALSE)))</f>
        <v>3CNC00061A*0.531+3CNC00057B*0.477</v>
      </c>
      <c r="M30" s="2" t="e">
        <f>IF(ISNA(VLOOKUP($A30,[1]南昌支架电机BOM!$A$2:$I$100,9,FALSE)),"0",(VLOOKUP($A30,[1]南昌支架电机BOM!$A$2:$I$100,9,FALSE)))</f>
        <v>#REF!</v>
      </c>
      <c r="N30" s="5">
        <f t="shared" si="1"/>
        <v>3100</v>
      </c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7"/>
      <c r="AB30" s="7"/>
      <c r="AC30" s="7"/>
      <c r="AD30" s="7">
        <v>3100</v>
      </c>
      <c r="AE30" s="7"/>
      <c r="AF30" s="6"/>
      <c r="AG30" s="7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</row>
    <row r="31" spans="1:45" ht="30" x14ac:dyDescent="0.25">
      <c r="A31" s="1" t="s">
        <v>36</v>
      </c>
      <c r="B31" s="2" t="str">
        <f>IF(ISNA(VLOOKUP($A31,[1]南昌支架电机BOM!$A$2:$I$100,2,FALSE)),"0",(VLOOKUP($A31,[1]南昌支架电机BOM!$A$2:$I$100,2,FALSE)))</f>
        <v>3XNC00079A</v>
      </c>
      <c r="C31" s="2" t="str">
        <f>IF(ISNA(VLOOKUP($A31,[1]南昌支架电机BOM!$A$2:$I$100,3,FALSE)),"0",(VLOOKUP($A31,[1]南昌支架电机BOM!$A$2:$I$100,3,FALSE)))</f>
        <v>3XNC00080A*3</v>
      </c>
      <c r="D31" s="2" t="str">
        <f>IF(ISNA(VLOOKUP($A31,[1]南昌支架电机BOM!$A$2:$I$100,4,FALSE)),"0",(VLOOKUP($A31,[1]南昌支架电机BOM!$A$2:$I$100,4,FALSE)))</f>
        <v>3XNC00081A</v>
      </c>
      <c r="E31" s="2" t="str">
        <f>IF(ISNA(VLOOKUP($A31,[1]南昌支架电机BOM!$A$2:$I$100,5,FALSE)),"0",(VLOOKUP($A31,[1]南昌支架电机BOM!$A$2:$I$100,5,FALSE)))</f>
        <v>2DM000064A</v>
      </c>
      <c r="F31" s="2" t="str">
        <f>IF(ISNA(VLOOKUP($A31,[1]南昌支架电机BOM!$A$2:$I$100,6,FALSE)),"0",(VLOOKUP($A31,[1]南昌支架电机BOM!$A$2:$I$100,6,FALSE)))</f>
        <v>2DM000065A</v>
      </c>
      <c r="G31" s="2" t="str">
        <f>IF(ISNA(VLOOKUP($A31,[1]南昌支架电机BOM!$A$2:$I$100,7,FALSE)),"0",(VLOOKUP($A31,[1]南昌支架电机BOM!$A$2:$I$100,7,FALSE)))</f>
        <v>3DM000157A+B+C+3XNC00082B</v>
      </c>
      <c r="H31" s="20" t="s">
        <v>49</v>
      </c>
      <c r="I31" s="2">
        <f>N31*0.486</f>
        <v>1458</v>
      </c>
      <c r="J31" s="20" t="s">
        <v>52</v>
      </c>
      <c r="K31" s="2">
        <f>N31*0.414</f>
        <v>1242</v>
      </c>
      <c r="L31" s="2" t="str">
        <f>IF(ISNA(VLOOKUP($A31,[1]南昌支架电机BOM!$A$2:$I$100,8,FALSE)),"0",(VLOOKUP($A31,[1]南昌支架电机BOM!$A$2:$I$100,8,FALSE)))</f>
        <v>3CNC00057K*.414+3CNC00061D*.486</v>
      </c>
      <c r="M31" s="2" t="str">
        <f>IF(ISNA(VLOOKUP($A31,[1]南昌支架电机BOM!$A$2:$I$100,9,FALSE)),"0",(VLOOKUP($A31,[1]南昌支架电机BOM!$A$2:$I$100,9,FALSE)))</f>
        <v>3AM000034B/4ANC00028B</v>
      </c>
      <c r="N31" s="5">
        <f t="shared" si="1"/>
        <v>3000</v>
      </c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7"/>
      <c r="AB31" s="7"/>
      <c r="AC31" s="7"/>
      <c r="AD31" s="7"/>
      <c r="AE31" s="7">
        <v>3000</v>
      </c>
      <c r="AF31" s="6"/>
      <c r="AG31" s="7"/>
      <c r="AH31" s="6"/>
      <c r="AI31" s="6"/>
      <c r="AJ31" s="6"/>
      <c r="AK31" s="6"/>
      <c r="AL31" s="6"/>
      <c r="AM31" s="10"/>
      <c r="AN31" s="10"/>
      <c r="AO31" s="10"/>
      <c r="AP31" s="10"/>
      <c r="AQ31" s="6"/>
      <c r="AR31" s="6"/>
      <c r="AS31" s="6"/>
    </row>
    <row r="32" spans="1:45" ht="45" x14ac:dyDescent="0.25">
      <c r="A32" s="1" t="s">
        <v>16</v>
      </c>
      <c r="B32" s="2" t="str">
        <f>IF(ISNA(VLOOKUP($A32,[1]南昌支架电机BOM!$A$2:$I$100,2,FALSE)),"0",(VLOOKUP($A32,[1]南昌支架电机BOM!$A$2:$I$100,2,FALSE)))</f>
        <v>3XNC00079A</v>
      </c>
      <c r="C32" s="2" t="str">
        <f>IF(ISNA(VLOOKUP($A32,[1]南昌支架电机BOM!$A$2:$I$100,3,FALSE)),"0",(VLOOKUP($A32,[1]南昌支架电机BOM!$A$2:$I$100,3,FALSE)))</f>
        <v>3XNC00080A*3</v>
      </c>
      <c r="D32" s="2" t="str">
        <f>IF(ISNA(VLOOKUP($A32,[1]南昌支架电机BOM!$A$2:$I$100,4,FALSE)),"0",(VLOOKUP($A32,[1]南昌支架电机BOM!$A$2:$I$100,4,FALSE)))</f>
        <v>3XNC00081A</v>
      </c>
      <c r="E32" s="2" t="str">
        <f>IF(ISNA(VLOOKUP($A32,[1]南昌支架电机BOM!$A$2:$I$100,5,FALSE)),"0",(VLOOKUP($A32,[1]南昌支架电机BOM!$A$2:$I$100,5,FALSE)))</f>
        <v>2DM000064A</v>
      </c>
      <c r="F32" s="2" t="str">
        <f>IF(ISNA(VLOOKUP($A32,[1]南昌支架电机BOM!$A$2:$I$100,6,FALSE)),"0",(VLOOKUP($A32,[1]南昌支架电机BOM!$A$2:$I$100,6,FALSE)))</f>
        <v>2DM000065A</v>
      </c>
      <c r="G32" s="2" t="str">
        <f>IF(ISNA(VLOOKUP($A32,[1]南昌支架电机BOM!$A$2:$I$100,7,FALSE)),"0",(VLOOKUP($A32,[1]南昌支架电机BOM!$A$2:$I$100,7,FALSE)))</f>
        <v>3DM000293B+3DM000294B+3DM000321A+3XNC00082B</v>
      </c>
      <c r="H32" s="20" t="s">
        <v>49</v>
      </c>
      <c r="I32" s="2">
        <f>N32*0.396</f>
        <v>15998.400000000001</v>
      </c>
      <c r="J32" s="20" t="s">
        <v>52</v>
      </c>
      <c r="K32" s="2">
        <f>N32*0.324</f>
        <v>13089.6</v>
      </c>
      <c r="L32" s="2" t="str">
        <f>IF(ISNA(VLOOKUP($A32,[1]南昌支架电机BOM!$A$2:$I$100,8,FALSE)),"0",(VLOOKUP($A32,[1]南昌支架电机BOM!$A$2:$I$100,8,FALSE)))</f>
        <v>3CNC00057K*.324+3CNC00061D*.396</v>
      </c>
      <c r="M32" s="2" t="str">
        <f>IF(ISNA(VLOOKUP($A32,[1]南昌支架电机BOM!$A$2:$I$100,9,FALSE)),"0",(VLOOKUP($A32,[1]南昌支架电机BOM!$A$2:$I$100,9,FALSE)))</f>
        <v>3AM000034B</v>
      </c>
      <c r="N32" s="5">
        <f t="shared" si="1"/>
        <v>40400</v>
      </c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12">
        <v>6500</v>
      </c>
      <c r="AB32" s="12">
        <v>6500</v>
      </c>
      <c r="AC32" s="12">
        <v>6500</v>
      </c>
      <c r="AD32" s="12">
        <v>6500</v>
      </c>
      <c r="AE32" s="12">
        <v>6500</v>
      </c>
      <c r="AF32" s="12">
        <v>6500</v>
      </c>
      <c r="AG32" s="12">
        <v>1400</v>
      </c>
      <c r="AH32" s="6"/>
      <c r="AI32" s="6"/>
      <c r="AJ32" s="6"/>
      <c r="AK32" s="6"/>
      <c r="AL32" s="6"/>
      <c r="AM32" s="10"/>
      <c r="AN32" s="10"/>
      <c r="AO32" s="10"/>
      <c r="AP32" s="10"/>
      <c r="AQ32" s="6"/>
      <c r="AR32" s="6"/>
      <c r="AS32" s="6"/>
    </row>
    <row r="33" spans="1:45" ht="24.75" customHeight="1" x14ac:dyDescent="0.25">
      <c r="A33" s="1" t="s">
        <v>20</v>
      </c>
      <c r="B33" s="2" t="str">
        <f>IF(ISNA(VLOOKUP($A33,[1]南昌支架电机BOM!$A$2:$I$100,2,FALSE)),"0",(VLOOKUP($A33,[1]南昌支架电机BOM!$A$2:$I$100,2,FALSE)))</f>
        <v>3XNC00079A</v>
      </c>
      <c r="C33" s="2" t="str">
        <f>IF(ISNA(VLOOKUP($A33,[1]南昌支架电机BOM!$A$2:$I$100,3,FALSE)),"0",(VLOOKUP($A33,[1]南昌支架电机BOM!$A$2:$I$100,3,FALSE)))</f>
        <v>3XNC00080A*3</v>
      </c>
      <c r="D33" s="2" t="str">
        <f>IF(ISNA(VLOOKUP($A33,[1]南昌支架电机BOM!$A$2:$I$100,4,FALSE)),"0",(VLOOKUP($A33,[1]南昌支架电机BOM!$A$2:$I$100,4,FALSE)))</f>
        <v>3XNC00081A</v>
      </c>
      <c r="E33" s="2" t="str">
        <f>IF(ISNA(VLOOKUP($A33,[1]南昌支架电机BOM!$A$2:$I$100,5,FALSE)),"0",(VLOOKUP($A33,[1]南昌支架电机BOM!$A$2:$I$100,5,FALSE)))</f>
        <v>1XNC00012A</v>
      </c>
      <c r="F33" s="2" t="str">
        <f>IF(ISNA(VLOOKUP($A33,[1]南昌支架电机BOM!$A$2:$I$100,6,FALSE)),"0",(VLOOKUP($A33,[1]南昌支架电机BOM!$A$2:$I$100,6,FALSE)))</f>
        <v>1XNC00013A</v>
      </c>
      <c r="G33" s="2" t="str">
        <f>IF(ISNA(VLOOKUP($A33,[1]南昌支架电机BOM!$A$2:$I$100,7,FALSE)),"0",(VLOOKUP($A33,[1]南昌支架电机BOM!$A$2:$I$100,7,FALSE)))</f>
        <v>3XNC00047D+E+F+3XNC00037A(改回来了)</v>
      </c>
      <c r="H33" s="20" t="s">
        <v>55</v>
      </c>
      <c r="I33" s="2">
        <f>N33*5.013</f>
        <v>197512.19999999998</v>
      </c>
      <c r="J33" s="20" t="s">
        <v>56</v>
      </c>
      <c r="K33" s="2">
        <f>N33*6.219</f>
        <v>245028.6</v>
      </c>
      <c r="L33" s="2" t="str">
        <f>IF(ISNA(VLOOKUP($A33,[1]南昌支架电机BOM!$A$2:$I$100,8,FALSE)),"0",(VLOOKUP($A33,[1]南昌支架电机BOM!$A$2:$I$100,8,FALSE)))</f>
        <v>3XM000050A*5.013+3XM000051A*6.219</v>
      </c>
      <c r="M33" s="2" t="str">
        <f>IF(ISNA(VLOOKUP($A33,[1]南昌支架电机BOM!$A$2:$I$100,9,FALSE)),"0",(VLOOKUP($A33,[1]南昌支架电机BOM!$A$2:$I$100,9,FALSE)))</f>
        <v>1XNC00014A</v>
      </c>
      <c r="N33" s="5">
        <f t="shared" si="1"/>
        <v>39400</v>
      </c>
      <c r="O33" s="7">
        <v>1200</v>
      </c>
      <c r="P33" s="7">
        <v>1300</v>
      </c>
      <c r="Q33" s="7">
        <v>1400</v>
      </c>
      <c r="R33" s="7">
        <v>1500</v>
      </c>
      <c r="S33" s="7">
        <v>1600</v>
      </c>
      <c r="T33" s="7">
        <v>1700</v>
      </c>
      <c r="U33" s="7">
        <v>1800</v>
      </c>
      <c r="V33" s="7">
        <v>1900</v>
      </c>
      <c r="W33" s="7">
        <v>2000</v>
      </c>
      <c r="X33" s="7">
        <v>2200</v>
      </c>
      <c r="Y33" s="7">
        <v>2200</v>
      </c>
      <c r="Z33" s="7">
        <v>2200</v>
      </c>
      <c r="AA33" s="7">
        <v>2200</v>
      </c>
      <c r="AB33" s="7">
        <v>2200</v>
      </c>
      <c r="AC33" s="7">
        <v>2200</v>
      </c>
      <c r="AD33" s="7">
        <v>2200</v>
      </c>
      <c r="AE33" s="7">
        <v>2200</v>
      </c>
      <c r="AF33" s="7">
        <v>2200</v>
      </c>
      <c r="AG33" s="7">
        <v>2200</v>
      </c>
      <c r="AH33" s="7">
        <v>2200</v>
      </c>
      <c r="AI33" s="7">
        <v>800</v>
      </c>
      <c r="AJ33" s="7"/>
      <c r="AK33" s="6"/>
      <c r="AL33" s="6"/>
      <c r="AM33" s="10"/>
      <c r="AN33" s="10"/>
      <c r="AO33" s="10"/>
      <c r="AP33" s="10"/>
      <c r="AQ33" s="6"/>
      <c r="AR33" s="6"/>
      <c r="AS33" s="6"/>
    </row>
    <row r="34" spans="1:45" ht="30" x14ac:dyDescent="0.25">
      <c r="A34" s="1" t="s">
        <v>21</v>
      </c>
      <c r="B34" s="2" t="str">
        <f>IF(ISNA(VLOOKUP($A34,[1]南昌支架电机BOM!$A$2:$I$100,2,FALSE)),"0",(VLOOKUP($A34,[1]南昌支架电机BOM!$A$2:$I$100,2,FALSE)))</f>
        <v>3XM000086A</v>
      </c>
      <c r="C34" s="2" t="str">
        <f>IF(ISNA(VLOOKUP($A34,[1]南昌支架电机BOM!$A$2:$I$100,3,FALSE)),"0",(VLOOKUP($A34,[1]南昌支架电机BOM!$A$2:$I$100,3,FALSE)))</f>
        <v>3XNC00080A*3</v>
      </c>
      <c r="D34" s="2" t="str">
        <f>IF(ISNA(VLOOKUP($A34,[1]南昌支架电机BOM!$A$2:$I$100,4,FALSE)),"0",(VLOOKUP($A34,[1]南昌支架电机BOM!$A$2:$I$100,4,FALSE)))</f>
        <v>3XNC00081A</v>
      </c>
      <c r="E34" s="2" t="str">
        <f>IF(ISNA(VLOOKUP($A34,[1]南昌支架电机BOM!$A$2:$I$100,5,FALSE)),"0",(VLOOKUP($A34,[1]南昌支架电机BOM!$A$2:$I$100,5,FALSE)))</f>
        <v>3XM000076A</v>
      </c>
      <c r="F34" s="2" t="str">
        <f>IF(ISNA(VLOOKUP($A34,[1]南昌支架电机BOM!$A$2:$I$100,6,FALSE)),"0",(VLOOKUP($A34,[1]南昌支架电机BOM!$A$2:$I$100,6,FALSE)))</f>
        <v>3XM000077A</v>
      </c>
      <c r="G34" s="2" t="str">
        <f>IF(ISNA(VLOOKUP($A34,[1]南昌支架电机BOM!$A$2:$I$100,7,FALSE)),"0",(VLOOKUP($A34,[1]南昌支架电机BOM!$A$2:$I$100,7,FALSE)))</f>
        <v>3DM000341A+3DM000342A+3DM000343A+3XNC00082B*2</v>
      </c>
      <c r="H34" s="20" t="s">
        <v>58</v>
      </c>
      <c r="I34" s="2">
        <f>N34*0.588</f>
        <v>0</v>
      </c>
      <c r="J34" s="20" t="s">
        <v>57</v>
      </c>
      <c r="K34" s="2">
        <f>N34*0.492</f>
        <v>0</v>
      </c>
      <c r="L34" s="2" t="str">
        <f>IF(ISNA(VLOOKUP($A34,[1]南昌支架电机BOM!$A$2:$I$100,8,FALSE)),"0",(VLOOKUP($A34,[1]南昌支架电机BOM!$A$2:$I$100,8,FALSE)))</f>
        <v>3CNC00057P*.492+3CNC00061H*.588</v>
      </c>
      <c r="M34" s="2" t="str">
        <f>IF(ISNA(VLOOKUP($A34,[1]南昌支架电机BOM!$A$2:$I$100,9,FALSE)),"0",(VLOOKUP($A34,[1]南昌支架电机BOM!$A$2:$I$100,9,FALSE)))</f>
        <v>3AM000034B</v>
      </c>
      <c r="N34" s="5">
        <f t="shared" si="1"/>
        <v>0</v>
      </c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</row>
    <row r="35" spans="1:45" ht="30" x14ac:dyDescent="0.25">
      <c r="A35" s="1" t="s">
        <v>22</v>
      </c>
      <c r="B35" s="2" t="str">
        <f>IF(ISNA(VLOOKUP($A35,[1]南昌支架电机BOM!$A$2:$I$100,2,FALSE)),"0",(VLOOKUP($A35,[1]南昌支架电机BOM!$A$2:$I$100,2,FALSE)))</f>
        <v>3XM000067A</v>
      </c>
      <c r="C35" s="2" t="str">
        <f>IF(ISNA(VLOOKUP($A35,[1]南昌支架电机BOM!$A$2:$I$100,3,FALSE)),"0",(VLOOKUP($A35,[1]南昌支架电机BOM!$A$2:$I$100,3,FALSE)))</f>
        <v>3XNC00080A*3</v>
      </c>
      <c r="D35" s="2" t="str">
        <f>IF(ISNA(VLOOKUP($A35,[1]南昌支架电机BOM!$A$2:$I$100,4,FALSE)),"0",(VLOOKUP($A35,[1]南昌支架电机BOM!$A$2:$I$100,4,FALSE)))</f>
        <v>3XNC00081A</v>
      </c>
      <c r="E35" s="2" t="str">
        <f>IF(ISNA(VLOOKUP($A35,[1]南昌支架电机BOM!$A$2:$I$100,5,FALSE)),"0",(VLOOKUP($A35,[1]南昌支架电机BOM!$A$2:$I$100,5,FALSE)))</f>
        <v>3XM000096A</v>
      </c>
      <c r="F35" s="2" t="str">
        <f>IF(ISNA(VLOOKUP($A35,[1]南昌支架电机BOM!$A$2:$I$100,6,FALSE)),"0",(VLOOKUP($A35,[1]南昌支架电机BOM!$A$2:$I$100,6,FALSE)))</f>
        <v>3XM000095A</v>
      </c>
      <c r="G35" s="2" t="str">
        <f>IF(ISNA(VLOOKUP($A35,[1]南昌支架电机BOM!$A$2:$I$100,7,FALSE)),"0",(VLOOKUP($A35,[1]南昌支架电机BOM!$A$2:$I$100,7,FALSE)))</f>
        <v>3DM000341B+3DM000342H+3DM000343B</v>
      </c>
      <c r="H35" s="20" t="s">
        <v>58</v>
      </c>
      <c r="I35" s="2">
        <f>N35*0.528</f>
        <v>4752</v>
      </c>
      <c r="J35" s="20" t="s">
        <v>57</v>
      </c>
      <c r="K35" s="2">
        <f>N35*0.432</f>
        <v>3888</v>
      </c>
      <c r="L35" s="2" t="str">
        <f>IF(ISNA(VLOOKUP($A35,[1]南昌支架电机BOM!$A$2:$I$100,8,FALSE)),"0",(VLOOKUP($A35,[1]南昌支架电机BOM!$A$2:$I$100,8,FALSE)))</f>
        <v>3CNC00057P*.432+3CNC00061H*.528</v>
      </c>
      <c r="M35" s="2" t="str">
        <f>IF(ISNA(VLOOKUP($A35,[1]南昌支架电机BOM!$A$2:$I$100,9,FALSE)),"0",(VLOOKUP($A35,[1]南昌支架电机BOM!$A$2:$I$100,9,FALSE)))</f>
        <v>3AM000034B</v>
      </c>
      <c r="N35" s="5">
        <f t="shared" si="1"/>
        <v>9000</v>
      </c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9"/>
      <c r="AD35" s="9"/>
      <c r="AE35" s="6"/>
      <c r="AF35" s="9"/>
      <c r="AG35" s="9"/>
      <c r="AH35" s="6"/>
      <c r="AI35" s="9"/>
      <c r="AJ35" s="9">
        <v>9000</v>
      </c>
      <c r="AK35" s="6"/>
      <c r="AL35" s="6"/>
    </row>
    <row r="36" spans="1:45" ht="30" x14ac:dyDescent="0.25">
      <c r="A36" s="1" t="s">
        <v>21</v>
      </c>
      <c r="B36" s="2" t="str">
        <f>IF(ISNA(VLOOKUP($A36,[1]南昌支架电机BOM!$A$2:$I$100,2,FALSE)),"0",(VLOOKUP($A36,[1]南昌支架电机BOM!$A$2:$I$100,2,FALSE)))</f>
        <v>3XM000086A</v>
      </c>
      <c r="C36" s="2" t="str">
        <f>IF(ISNA(VLOOKUP($A36,[1]南昌支架电机BOM!$A$2:$I$100,3,FALSE)),"0",(VLOOKUP($A36,[1]南昌支架电机BOM!$A$2:$I$100,3,FALSE)))</f>
        <v>3XNC00080A*3</v>
      </c>
      <c r="D36" s="2" t="str">
        <f>IF(ISNA(VLOOKUP($A36,[1]南昌支架电机BOM!$A$2:$I$100,4,FALSE)),"0",(VLOOKUP($A36,[1]南昌支架电机BOM!$A$2:$I$100,4,FALSE)))</f>
        <v>3XNC00081A</v>
      </c>
      <c r="E36" s="2" t="str">
        <f>IF(ISNA(VLOOKUP($A36,[1]南昌支架电机BOM!$A$2:$I$100,5,FALSE)),"0",(VLOOKUP($A36,[1]南昌支架电机BOM!$A$2:$I$100,5,FALSE)))</f>
        <v>3XM000076A</v>
      </c>
      <c r="F36" s="2" t="str">
        <f>IF(ISNA(VLOOKUP($A36,[1]南昌支架电机BOM!$A$2:$I$100,6,FALSE)),"0",(VLOOKUP($A36,[1]南昌支架电机BOM!$A$2:$I$100,6,FALSE)))</f>
        <v>3XM000077A</v>
      </c>
      <c r="G36" s="2" t="str">
        <f>IF(ISNA(VLOOKUP($A36,[1]南昌支架电机BOM!$A$2:$I$100,7,FALSE)),"0",(VLOOKUP($A36,[1]南昌支架电机BOM!$A$2:$I$100,7,FALSE)))</f>
        <v>3DM000341A+3DM000342A+3DM000343A+3XNC00082B*2</v>
      </c>
      <c r="H36" s="20" t="s">
        <v>58</v>
      </c>
      <c r="I36" s="2">
        <f>N36*0.588</f>
        <v>89964</v>
      </c>
      <c r="J36" s="20" t="s">
        <v>57</v>
      </c>
      <c r="K36" s="2">
        <f>N36*0.492</f>
        <v>75276</v>
      </c>
      <c r="L36" s="2" t="str">
        <f>IF(ISNA(VLOOKUP($A36,[1]南昌支架电机BOM!$A$2:$I$100,8,FALSE)),"0",(VLOOKUP($A36,[1]南昌支架电机BOM!$A$2:$I$100,8,FALSE)))</f>
        <v>3CNC00057P*.492+3CNC00061H*.588</v>
      </c>
      <c r="M36" s="2" t="str">
        <f>IF(ISNA(VLOOKUP($A36,[1]南昌支架电机BOM!$A$2:$I$100,9,FALSE)),"0",(VLOOKUP($A36,[1]南昌支架电机BOM!$A$2:$I$100,9,FALSE)))</f>
        <v>3AM000034B</v>
      </c>
      <c r="N36" s="5">
        <f t="shared" si="1"/>
        <v>153000</v>
      </c>
      <c r="O36" s="9">
        <v>11000</v>
      </c>
      <c r="P36" s="9">
        <v>11000</v>
      </c>
      <c r="Q36" s="9">
        <v>12000</v>
      </c>
      <c r="R36" s="9">
        <v>12000</v>
      </c>
      <c r="S36" s="9">
        <v>12000</v>
      </c>
      <c r="T36" s="9">
        <v>13000</v>
      </c>
      <c r="U36" s="9">
        <v>13000</v>
      </c>
      <c r="V36" s="9">
        <v>13000</v>
      </c>
      <c r="W36" s="9">
        <v>14000</v>
      </c>
      <c r="X36" s="9">
        <v>14000</v>
      </c>
      <c r="Y36" s="9">
        <v>14000</v>
      </c>
      <c r="Z36" s="9">
        <v>14000</v>
      </c>
      <c r="AA36" s="9"/>
      <c r="AB36" s="9"/>
      <c r="AC36" s="9"/>
      <c r="AD36" s="9"/>
      <c r="AE36" s="9"/>
      <c r="AF36" s="9"/>
      <c r="AG36" s="9"/>
      <c r="AH36" s="6"/>
      <c r="AI36" s="6"/>
      <c r="AJ36" s="6"/>
      <c r="AK36" s="6"/>
      <c r="AL36" s="6"/>
    </row>
    <row r="37" spans="1:45" ht="30" x14ac:dyDescent="0.25">
      <c r="A37" s="1" t="s">
        <v>21</v>
      </c>
      <c r="B37" s="2" t="str">
        <f>IF(ISNA(VLOOKUP($A37,[1]南昌支架电机BOM!$A$2:$I$100,2,FALSE)),"0",(VLOOKUP($A37,[1]南昌支架电机BOM!$A$2:$I$100,2,FALSE)))</f>
        <v>3XM000086A</v>
      </c>
      <c r="C37" s="2" t="str">
        <f>IF(ISNA(VLOOKUP($A37,[1]南昌支架电机BOM!$A$2:$I$100,3,FALSE)),"0",(VLOOKUP($A37,[1]南昌支架电机BOM!$A$2:$I$100,3,FALSE)))</f>
        <v>3XNC00080A*3</v>
      </c>
      <c r="D37" s="2" t="str">
        <f>IF(ISNA(VLOOKUP($A37,[1]南昌支架电机BOM!$A$2:$I$100,4,FALSE)),"0",(VLOOKUP($A37,[1]南昌支架电机BOM!$A$2:$I$100,4,FALSE)))</f>
        <v>3XNC00081A</v>
      </c>
      <c r="E37" s="2" t="str">
        <f>IF(ISNA(VLOOKUP($A37,[1]南昌支架电机BOM!$A$2:$I$100,5,FALSE)),"0",(VLOOKUP($A37,[1]南昌支架电机BOM!$A$2:$I$100,5,FALSE)))</f>
        <v>3XM000076A</v>
      </c>
      <c r="F37" s="2" t="str">
        <f>IF(ISNA(VLOOKUP($A37,[1]南昌支架电机BOM!$A$2:$I$100,6,FALSE)),"0",(VLOOKUP($A37,[1]南昌支架电机BOM!$A$2:$I$100,6,FALSE)))</f>
        <v>3XM000077A</v>
      </c>
      <c r="G37" s="2" t="str">
        <f>IF(ISNA(VLOOKUP($A37,[1]南昌支架电机BOM!$A$2:$I$100,7,FALSE)),"0",(VLOOKUP($A37,[1]南昌支架电机BOM!$A$2:$I$100,7,FALSE)))</f>
        <v>3DM000341A+3DM000342A+3DM000343A+3XNC00082B*2</v>
      </c>
      <c r="H37" s="20" t="s">
        <v>58</v>
      </c>
      <c r="I37" s="2">
        <f>N37*0.588</f>
        <v>53449.2</v>
      </c>
      <c r="J37" s="20" t="s">
        <v>57</v>
      </c>
      <c r="K37" s="2">
        <f>N37*0.492</f>
        <v>44722.8</v>
      </c>
      <c r="L37" s="2" t="str">
        <f>IF(ISNA(VLOOKUP($A37,[1]南昌支架电机BOM!$A$2:$I$100,8,FALSE)),"0",(VLOOKUP($A37,[1]南昌支架电机BOM!$A$2:$I$100,8,FALSE)))</f>
        <v>3CNC00057P*.492+3CNC00061H*.588</v>
      </c>
      <c r="M37" s="2" t="str">
        <f>IF(ISNA(VLOOKUP($A37,[1]南昌支架电机BOM!$A$2:$I$100,9,FALSE)),"0",(VLOOKUP($A37,[1]南昌支架电机BOM!$A$2:$I$100,9,FALSE)))</f>
        <v>3AM000034B</v>
      </c>
      <c r="N37" s="5">
        <f t="shared" si="1"/>
        <v>90900</v>
      </c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9">
        <v>15000</v>
      </c>
      <c r="AB37" s="9">
        <v>15000</v>
      </c>
      <c r="AC37" s="9">
        <v>15000</v>
      </c>
      <c r="AD37" s="9">
        <v>15000</v>
      </c>
      <c r="AE37" s="9">
        <v>15000</v>
      </c>
      <c r="AF37" s="9">
        <v>15000</v>
      </c>
      <c r="AG37" s="9">
        <v>900</v>
      </c>
      <c r="AH37" s="9"/>
      <c r="AI37" s="9"/>
      <c r="AJ37" s="6"/>
      <c r="AK37" s="6"/>
      <c r="AL37" s="6"/>
    </row>
    <row r="38" spans="1:45" ht="30" x14ac:dyDescent="0.25">
      <c r="A38" s="1" t="s">
        <v>9</v>
      </c>
      <c r="B38" s="2" t="str">
        <f>IF(ISNA(VLOOKUP($A38,[1]南昌支架电机BOM!$A$2:$I$100,2,FALSE)),"0",(VLOOKUP($A38,[1]南昌支架电机BOM!$A$2:$I$100,2,FALSE)))</f>
        <v>3XM000086A</v>
      </c>
      <c r="C38" s="2" t="str">
        <f>IF(ISNA(VLOOKUP($A38,[1]南昌支架电机BOM!$A$2:$I$100,3,FALSE)),"0",(VLOOKUP($A38,[1]南昌支架电机BOM!$A$2:$I$100,3,FALSE)))</f>
        <v>3XNC00080A*3</v>
      </c>
      <c r="D38" s="2" t="str">
        <f>IF(ISNA(VLOOKUP($A38,[1]南昌支架电机BOM!$A$2:$I$100,4,FALSE)),"0",(VLOOKUP($A38,[1]南昌支架电机BOM!$A$2:$I$100,4,FALSE)))</f>
        <v>3XNC00081A</v>
      </c>
      <c r="E38" s="2" t="str">
        <f>IF(ISNA(VLOOKUP($A38,[1]南昌支架电机BOM!$A$2:$I$100,5,FALSE)),"0",(VLOOKUP($A38,[1]南昌支架电机BOM!$A$2:$I$100,5,FALSE)))</f>
        <v>3XM000076A</v>
      </c>
      <c r="F38" s="2" t="str">
        <f>IF(ISNA(VLOOKUP($A38,[1]南昌支架电机BOM!$A$2:$I$100,6,FALSE)),"0",(VLOOKUP($A38,[1]南昌支架电机BOM!$A$2:$I$100,6,FALSE)))</f>
        <v>3XM000077A</v>
      </c>
      <c r="G38" s="2" t="str">
        <f>IF(ISNA(VLOOKUP($A38,[1]南昌支架电机BOM!$A$2:$I$100,7,FALSE)),"0",(VLOOKUP($A38,[1]南昌支架电机BOM!$A$2:$I$100,7,FALSE)))</f>
        <v>3DM000341A+3DM000342A+3DM000343A+3XNC00082B*2</v>
      </c>
      <c r="H38" s="20" t="s">
        <v>58</v>
      </c>
      <c r="I38" s="2">
        <f>N38*0.588</f>
        <v>29694</v>
      </c>
      <c r="J38" s="20" t="s">
        <v>57</v>
      </c>
      <c r="K38" s="2">
        <f>N38*0.492</f>
        <v>24846</v>
      </c>
      <c r="L38" s="2" t="str">
        <f>IF(ISNA(VLOOKUP($A38,[1]南昌支架电机BOM!$A$2:$I$100,8,FALSE)),"0",(VLOOKUP($A38,[1]南昌支架电机BOM!$A$2:$I$100,8,FALSE)))</f>
        <v>3CNC00057P*.492+3CNC00061H*.588</v>
      </c>
      <c r="M38" s="2" t="str">
        <f>IF(ISNA(VLOOKUP($A38,[1]南昌支架电机BOM!$A$2:$I$100,9,FALSE)),"0",(VLOOKUP($A38,[1]南昌支架电机BOM!$A$2:$I$100,9,FALSE)))</f>
        <v>3AM000034B</v>
      </c>
      <c r="N38" s="5">
        <f t="shared" si="1"/>
        <v>50500</v>
      </c>
      <c r="O38" s="6"/>
      <c r="P38" s="6"/>
      <c r="Q38" s="6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>
        <v>14000</v>
      </c>
      <c r="AH38" s="9">
        <v>15000</v>
      </c>
      <c r="AI38" s="9">
        <v>15000</v>
      </c>
      <c r="AJ38" s="9">
        <v>6500</v>
      </c>
      <c r="AK38" s="9"/>
      <c r="AL38" s="9"/>
    </row>
    <row r="39" spans="1:45" ht="45" x14ac:dyDescent="0.25">
      <c r="A39" s="1" t="s">
        <v>37</v>
      </c>
      <c r="B39" s="2" t="str">
        <f>IF(ISNA(VLOOKUP($A39,[1]南昌支架电机BOM!$A$2:$I$100,2,FALSE)),"0",(VLOOKUP($A39,[1]南昌支架电机BOM!$A$2:$I$100,2,FALSE)))</f>
        <v>3XNC00079A</v>
      </c>
      <c r="C39" s="2" t="str">
        <f>IF(ISNA(VLOOKUP($A39,[1]南昌支架电机BOM!$A$2:$I$100,3,FALSE)),"0",(VLOOKUP($A39,[1]南昌支架电机BOM!$A$2:$I$100,3,FALSE)))</f>
        <v>3XNC00080A*3</v>
      </c>
      <c r="D39" s="2" t="str">
        <f>IF(ISNA(VLOOKUP($A39,[1]南昌支架电机BOM!$A$2:$I$100,4,FALSE)),"0",(VLOOKUP($A39,[1]南昌支架电机BOM!$A$2:$I$100,4,FALSE)))</f>
        <v>3XNC00081A</v>
      </c>
      <c r="E39" s="2" t="str">
        <f>IF(ISNA(VLOOKUP($A39,[1]南昌支架电机BOM!$A$2:$I$100,5,FALSE)),"0",(VLOOKUP($A39,[1]南昌支架电机BOM!$A$2:$I$100,5,FALSE)))</f>
        <v>2DM000064A</v>
      </c>
      <c r="F39" s="2" t="str">
        <f>IF(ISNA(VLOOKUP($A39,[1]南昌支架电机BOM!$A$2:$I$100,6,FALSE)),"0",(VLOOKUP($A39,[1]南昌支架电机BOM!$A$2:$I$100,6,FALSE)))</f>
        <v>2DM000065A</v>
      </c>
      <c r="G39" s="2" t="str">
        <f>IF(ISNA(VLOOKUP($A39,[1]南昌支架电机BOM!$A$2:$I$100,7,FALSE)),"0",(VLOOKUP($A39,[1]南昌支架电机BOM!$A$2:$I$100,7,FALSE)))</f>
        <v>3DM000293B+3DM000294B+3DM000321A+3XNC00082B</v>
      </c>
      <c r="H39" s="20" t="s">
        <v>49</v>
      </c>
      <c r="I39" s="2">
        <f>N39*0.396</f>
        <v>9642.6</v>
      </c>
      <c r="J39" s="20" t="s">
        <v>52</v>
      </c>
      <c r="K39" s="2">
        <f>N39*0.324</f>
        <v>7889.4000000000005</v>
      </c>
      <c r="L39" s="2" t="str">
        <f>IF(ISNA(VLOOKUP($A39,[1]南昌支架电机BOM!$A$2:$I$100,8,FALSE)),"0",(VLOOKUP($A39,[1]南昌支架电机BOM!$A$2:$I$100,8,FALSE)))</f>
        <v>3CNC00057K*.324+3CNC00061D*.396</v>
      </c>
      <c r="M39" s="2" t="str">
        <f>IF(ISNA(VLOOKUP($A39,[1]南昌支架电机BOM!$A$2:$I$100,9,FALSE)),"0",(VLOOKUP($A39,[1]南昌支架电机BOM!$A$2:$I$100,9,FALSE)))</f>
        <v>3AM000034B</v>
      </c>
      <c r="N39" s="5">
        <f t="shared" si="1"/>
        <v>24350</v>
      </c>
      <c r="O39" s="12">
        <v>6800</v>
      </c>
      <c r="P39" s="12">
        <v>6800</v>
      </c>
      <c r="Q39" s="12">
        <v>6800</v>
      </c>
      <c r="R39" s="12">
        <v>3950</v>
      </c>
      <c r="S39" s="6"/>
      <c r="T39" s="6"/>
      <c r="U39" s="6"/>
      <c r="V39" s="6"/>
      <c r="W39" s="6"/>
      <c r="X39" s="6"/>
      <c r="Y39" s="6"/>
      <c r="Z39" s="6"/>
      <c r="AA39" s="6"/>
      <c r="AB39" s="10"/>
      <c r="AC39" s="10"/>
      <c r="AD39" s="10"/>
      <c r="AE39" s="10"/>
      <c r="AF39" s="10"/>
      <c r="AG39" s="10"/>
      <c r="AH39" s="10"/>
      <c r="AI39" s="10"/>
      <c r="AJ39" s="10"/>
      <c r="AK39" s="6"/>
      <c r="AL39" s="6"/>
    </row>
  </sheetData>
  <phoneticPr fontId="5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SHEC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shec</dc:creator>
  <cp:lastModifiedBy>毛海宁</cp:lastModifiedBy>
  <cp:lastPrinted>2020-10-20T03:31:19Z</cp:lastPrinted>
  <dcterms:created xsi:type="dcterms:W3CDTF">2004-12-23T01:34:23Z</dcterms:created>
  <dcterms:modified xsi:type="dcterms:W3CDTF">2022-04-27T00:18:37Z</dcterms:modified>
</cp:coreProperties>
</file>