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lilly\OneDrive\Documents\digital sputnik\training\"/>
    </mc:Choice>
  </mc:AlternateContent>
  <xr:revisionPtr revIDLastSave="8" documentId="8_{61069FA2-09D3-4FB8-8317-DEB347774B67}" xr6:coauthVersionLast="40" xr6:coauthVersionMax="40" xr10:uidLastSave="{AE9B2061-70E9-4241-A74F-5B4EEDDE6F49}"/>
  <bookViews>
    <workbookView xWindow="0" yWindow="0" windowWidth="19200" windowHeight="8280" xr2:uid="{E458B55C-D0D5-4D96-B895-F45DFC24AB96}"/>
  </bookViews>
  <sheets>
    <sheet name="Buffer sizing" sheetId="1" r:id="rId1"/>
    <sheet name="Sim" sheetId="3" r:id="rId2"/>
    <sheet name="Demand histo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J7" i="3" l="1"/>
  <c r="B33" i="4"/>
  <c r="A3" i="4"/>
  <c r="C3" i="4" s="1"/>
  <c r="A4" i="4" l="1"/>
  <c r="C4" i="4" s="1"/>
  <c r="A5" i="4" l="1"/>
  <c r="C5" i="4" s="1"/>
  <c r="A6" i="4" l="1"/>
  <c r="C6" i="4" s="1"/>
  <c r="A7" i="4" l="1"/>
  <c r="C7" i="4" s="1"/>
  <c r="A8" i="4" l="1"/>
  <c r="C8" i="4" s="1"/>
  <c r="A9" i="4" l="1"/>
  <c r="C9" i="4" s="1"/>
  <c r="A10" i="4" l="1"/>
  <c r="C10" i="4" s="1"/>
  <c r="A11" i="4" l="1"/>
  <c r="C11" i="4" s="1"/>
  <c r="A12" i="4" l="1"/>
  <c r="C12" i="4" s="1"/>
  <c r="A13" i="4" l="1"/>
  <c r="C13" i="4" s="1"/>
  <c r="A14" i="4" l="1"/>
  <c r="C14" i="4" s="1"/>
  <c r="A15" i="4" l="1"/>
  <c r="C15" i="4" s="1"/>
  <c r="A16" i="4" l="1"/>
  <c r="C16" i="4" s="1"/>
  <c r="A17" i="4" l="1"/>
  <c r="C17" i="4" s="1"/>
  <c r="A18" i="4" l="1"/>
  <c r="C18" i="4" s="1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E1" i="3"/>
  <c r="C1" i="3"/>
  <c r="G34" i="3"/>
  <c r="M30" i="3" s="1"/>
  <c r="G33" i="3"/>
  <c r="G32" i="3"/>
  <c r="L32" i="3" s="1"/>
  <c r="S31" i="3"/>
  <c r="R31" i="3"/>
  <c r="Q31" i="3"/>
  <c r="K31" i="3"/>
  <c r="J31" i="3"/>
  <c r="I31" i="3"/>
  <c r="S30" i="3"/>
  <c r="R30" i="3"/>
  <c r="Q30" i="3"/>
  <c r="K30" i="3"/>
  <c r="J30" i="3"/>
  <c r="I30" i="3"/>
  <c r="S29" i="3"/>
  <c r="R29" i="3"/>
  <c r="Q29" i="3"/>
  <c r="K29" i="3"/>
  <c r="J29" i="3"/>
  <c r="I29" i="3"/>
  <c r="S28" i="3"/>
  <c r="R28" i="3"/>
  <c r="Q28" i="3"/>
  <c r="K28" i="3"/>
  <c r="J28" i="3"/>
  <c r="I28" i="3"/>
  <c r="S27" i="3"/>
  <c r="R27" i="3"/>
  <c r="Q27" i="3"/>
  <c r="K27" i="3"/>
  <c r="J27" i="3"/>
  <c r="I27" i="3"/>
  <c r="S26" i="3"/>
  <c r="R26" i="3"/>
  <c r="Q26" i="3"/>
  <c r="K26" i="3"/>
  <c r="J26" i="3"/>
  <c r="I26" i="3"/>
  <c r="S25" i="3"/>
  <c r="R25" i="3"/>
  <c r="Q25" i="3"/>
  <c r="K25" i="3"/>
  <c r="J25" i="3"/>
  <c r="I25" i="3"/>
  <c r="S24" i="3"/>
  <c r="R24" i="3"/>
  <c r="Q24" i="3"/>
  <c r="K24" i="3"/>
  <c r="J24" i="3"/>
  <c r="I24" i="3"/>
  <c r="S23" i="3"/>
  <c r="R23" i="3"/>
  <c r="Q23" i="3"/>
  <c r="K23" i="3"/>
  <c r="J23" i="3"/>
  <c r="I23" i="3"/>
  <c r="S22" i="3"/>
  <c r="R22" i="3"/>
  <c r="Q22" i="3"/>
  <c r="K22" i="3"/>
  <c r="J22" i="3"/>
  <c r="I22" i="3"/>
  <c r="S21" i="3"/>
  <c r="R21" i="3"/>
  <c r="Q21" i="3"/>
  <c r="K21" i="3"/>
  <c r="J21" i="3"/>
  <c r="I21" i="3"/>
  <c r="S20" i="3"/>
  <c r="R20" i="3"/>
  <c r="Q20" i="3"/>
  <c r="K20" i="3"/>
  <c r="J20" i="3"/>
  <c r="I20" i="3"/>
  <c r="S19" i="3"/>
  <c r="R19" i="3"/>
  <c r="Q19" i="3"/>
  <c r="K19" i="3"/>
  <c r="J19" i="3"/>
  <c r="I19" i="3"/>
  <c r="S18" i="3"/>
  <c r="R18" i="3"/>
  <c r="Q18" i="3"/>
  <c r="K18" i="3"/>
  <c r="J18" i="3"/>
  <c r="I18" i="3"/>
  <c r="S17" i="3"/>
  <c r="R17" i="3"/>
  <c r="Q17" i="3"/>
  <c r="K17" i="3"/>
  <c r="J17" i="3"/>
  <c r="I17" i="3"/>
  <c r="S16" i="3"/>
  <c r="R16" i="3"/>
  <c r="Q16" i="3"/>
  <c r="K16" i="3"/>
  <c r="J16" i="3"/>
  <c r="I16" i="3"/>
  <c r="S15" i="3"/>
  <c r="R15" i="3"/>
  <c r="Q15" i="3"/>
  <c r="K15" i="3"/>
  <c r="J15" i="3"/>
  <c r="I15" i="3"/>
  <c r="S14" i="3"/>
  <c r="R14" i="3"/>
  <c r="Q14" i="3"/>
  <c r="K14" i="3"/>
  <c r="J14" i="3"/>
  <c r="I14" i="3"/>
  <c r="S13" i="3"/>
  <c r="R13" i="3"/>
  <c r="Q13" i="3"/>
  <c r="K13" i="3"/>
  <c r="J13" i="3"/>
  <c r="I13" i="3"/>
  <c r="S12" i="3"/>
  <c r="R12" i="3"/>
  <c r="Q12" i="3"/>
  <c r="K12" i="3"/>
  <c r="J12" i="3"/>
  <c r="I12" i="3"/>
  <c r="K11" i="3"/>
  <c r="J11" i="3"/>
  <c r="I11" i="3"/>
  <c r="K10" i="3"/>
  <c r="J10" i="3"/>
  <c r="I10" i="3"/>
  <c r="K9" i="3"/>
  <c r="J9" i="3"/>
  <c r="I9" i="3"/>
  <c r="S11" i="3"/>
  <c r="K8" i="3"/>
  <c r="J8" i="3"/>
  <c r="I8" i="3"/>
  <c r="S10" i="3"/>
  <c r="K7" i="3"/>
  <c r="I7" i="3"/>
  <c r="M17" i="3" l="1"/>
  <c r="M13" i="3"/>
  <c r="M21" i="3"/>
  <c r="M25" i="3"/>
  <c r="M9" i="3"/>
  <c r="M11" i="3"/>
  <c r="M16" i="3"/>
  <c r="M20" i="3"/>
  <c r="M24" i="3"/>
  <c r="M15" i="3"/>
  <c r="M19" i="3"/>
  <c r="M23" i="3"/>
  <c r="M27" i="3"/>
  <c r="M31" i="3"/>
  <c r="M8" i="3"/>
  <c r="M29" i="3"/>
  <c r="M10" i="3"/>
  <c r="M12" i="3"/>
  <c r="M28" i="3"/>
  <c r="M7" i="3"/>
  <c r="M14" i="3"/>
  <c r="M18" i="3"/>
  <c r="M22" i="3"/>
  <c r="M26" i="3"/>
  <c r="A19" i="4"/>
  <c r="C19" i="4" s="1"/>
  <c r="I32" i="3"/>
  <c r="S32" i="3"/>
  <c r="B13" i="3" s="1"/>
  <c r="J32" i="3"/>
  <c r="K32" i="3"/>
  <c r="Q11" i="3"/>
  <c r="Q10" i="3"/>
  <c r="R11" i="3"/>
  <c r="R10" i="3"/>
  <c r="A20" i="4" l="1"/>
  <c r="C20" i="4" s="1"/>
  <c r="B14" i="3"/>
  <c r="Q32" i="3"/>
  <c r="R32" i="3"/>
  <c r="B19" i="3" s="1"/>
  <c r="A21" i="4" l="1"/>
  <c r="C21" i="4" s="1"/>
  <c r="B11" i="3"/>
  <c r="B47" i="3" s="1"/>
  <c r="C48" i="3"/>
  <c r="B42" i="3"/>
  <c r="B48" i="3"/>
  <c r="C42" i="3"/>
  <c r="A22" i="4" l="1"/>
  <c r="C22" i="4" s="1"/>
  <c r="C47" i="3"/>
  <c r="B41" i="3"/>
  <c r="B16" i="3"/>
  <c r="C41" i="3"/>
  <c r="A23" i="4" l="1"/>
  <c r="C23" i="4" s="1"/>
  <c r="C40" i="3"/>
  <c r="B40" i="3"/>
  <c r="A24" i="4" l="1"/>
  <c r="C24" i="4" s="1"/>
  <c r="B20" i="1"/>
  <c r="A25" i="4" l="1"/>
  <c r="C25" i="4" s="1"/>
  <c r="A26" i="4" l="1"/>
  <c r="C26" i="4" s="1"/>
  <c r="A27" i="4" l="1"/>
  <c r="C27" i="4" s="1"/>
  <c r="A28" i="4" l="1"/>
  <c r="C28" i="4" s="1"/>
  <c r="A29" i="4" l="1"/>
  <c r="C29" i="4" s="1"/>
  <c r="A30" i="4" l="1"/>
  <c r="C30" i="4" s="1"/>
  <c r="A31" i="4" l="1"/>
  <c r="C31" i="4" s="1"/>
  <c r="C32" i="4" l="1"/>
  <c r="B7" i="1" s="1"/>
  <c r="B24" i="1" l="1"/>
  <c r="B21" i="1"/>
  <c r="B26" i="1" l="1"/>
  <c r="B27" i="1" s="1"/>
  <c r="B19" i="1"/>
  <c r="B22" i="1" s="1"/>
  <c r="B30" i="1" s="1"/>
  <c r="B28" i="1" l="1"/>
  <c r="F25" i="1" s="1"/>
  <c r="F20" i="1"/>
  <c r="I25" i="1" l="1"/>
  <c r="I24" i="1"/>
  <c r="F24" i="1"/>
  <c r="B5" i="3"/>
  <c r="B45" i="3" l="1"/>
  <c r="B44" i="3"/>
  <c r="B37" i="3"/>
  <c r="I23" i="1"/>
  <c r="F23" i="1"/>
  <c r="B3" i="3" s="1"/>
  <c r="B4" i="3"/>
  <c r="C17" i="3" l="1"/>
  <c r="B17" i="3" s="1"/>
  <c r="B39" i="3"/>
  <c r="B38" i="3"/>
  <c r="B46" i="3"/>
</calcChain>
</file>

<file path=xl/sharedStrings.xml><?xml version="1.0" encoding="utf-8"?>
<sst xmlns="http://schemas.openxmlformats.org/spreadsheetml/2006/main" count="98" uniqueCount="78">
  <si>
    <t>LillyWorks DDMRP Simulator</t>
  </si>
  <si>
    <t>Item Part Number:</t>
  </si>
  <si>
    <t>Item Name:</t>
  </si>
  <si>
    <t>Decoupled Lead Time (DLT):</t>
  </si>
  <si>
    <t>Average Daily Usage (ADU):</t>
  </si>
  <si>
    <t>Green Zone Lead Time Factor:</t>
  </si>
  <si>
    <t>Use Derived Red Zone Lead Time Factor:</t>
  </si>
  <si>
    <t>Variability Factor:</t>
  </si>
  <si>
    <t>Red Zone Lead Time Factor:</t>
  </si>
  <si>
    <t>Order Spike Threshold:</t>
  </si>
  <si>
    <t>Desired Order Cycle (days):</t>
  </si>
  <si>
    <t>Minimum Order Quantity (MOQ):</t>
  </si>
  <si>
    <t>Order Spike Horizon (days):</t>
  </si>
  <si>
    <t>On Hand Alert Level (% of TOR):</t>
  </si>
  <si>
    <t>Derived Red Zone Lead Time Factor:</t>
  </si>
  <si>
    <t>LTF Green Zone</t>
  </si>
  <si>
    <t>MOQ Green Zone</t>
  </si>
  <si>
    <t>Order Cycle Green Zone</t>
  </si>
  <si>
    <t>use for green zone</t>
  </si>
  <si>
    <t>Yellow Zone</t>
  </si>
  <si>
    <t>Red Base</t>
  </si>
  <si>
    <t>Red Safety</t>
  </si>
  <si>
    <t>Red Zone</t>
  </si>
  <si>
    <t>ABC-123</t>
  </si>
  <si>
    <t>Part Number ABC version 123</t>
  </si>
  <si>
    <t>N</t>
  </si>
  <si>
    <t>TOR</t>
  </si>
  <si>
    <t>TOY</t>
  </si>
  <si>
    <t>TOG</t>
  </si>
  <si>
    <t>OH target</t>
  </si>
  <si>
    <t>------&gt;</t>
  </si>
  <si>
    <t>Planning</t>
  </si>
  <si>
    <t>Execution</t>
  </si>
  <si>
    <t>for item:</t>
  </si>
  <si>
    <t xml:space="preserve">     LillyWorks DDMRP Simulator</t>
  </si>
  <si>
    <t>Top of Green:</t>
  </si>
  <si>
    <t>HIDE</t>
  </si>
  <si>
    <t>Top of Yellow:</t>
  </si>
  <si>
    <t>------------</t>
  </si>
  <si>
    <t>Demand</t>
  </si>
  <si>
    <t>-----------</t>
  </si>
  <si>
    <t>++++++++</t>
  </si>
  <si>
    <t>Supply</t>
  </si>
  <si>
    <t>Top of Red:</t>
  </si>
  <si>
    <t>sub from</t>
  </si>
  <si>
    <t xml:space="preserve">ship </t>
  </si>
  <si>
    <t>spike</t>
  </si>
  <si>
    <t xml:space="preserve">std </t>
  </si>
  <si>
    <t>Date</t>
  </si>
  <si>
    <t>Qty</t>
  </si>
  <si>
    <t>beg OH</t>
  </si>
  <si>
    <t>end OH</t>
  </si>
  <si>
    <t>today</t>
  </si>
  <si>
    <t>qty</t>
  </si>
  <si>
    <t>deviations</t>
  </si>
  <si>
    <t>Today's Date:</t>
  </si>
  <si>
    <t>add to</t>
  </si>
  <si>
    <t xml:space="preserve">add to </t>
  </si>
  <si>
    <t>OS</t>
  </si>
  <si>
    <t>Beginning on hand:</t>
  </si>
  <si>
    <t>On Open Supply Orders:</t>
  </si>
  <si>
    <t>Qualified Demand:</t>
  </si>
  <si>
    <t>Net Flow Position</t>
  </si>
  <si>
    <t>Order Recommendation:</t>
  </si>
  <si>
    <t>Ending on hand:</t>
  </si>
  <si>
    <t>www.lillyworks.com</t>
  </si>
  <si>
    <t>Total</t>
  </si>
  <si>
    <t>Average</t>
  </si>
  <si>
    <t>Std deviation</t>
  </si>
  <si>
    <t>Red Zone:</t>
  </si>
  <si>
    <t>Yellow Zone:</t>
  </si>
  <si>
    <t>Green Zone:</t>
  </si>
  <si>
    <t>Net Flow Position:</t>
  </si>
  <si>
    <t>Beginning On Hand:</t>
  </si>
  <si>
    <t>Ending On Hand:</t>
  </si>
  <si>
    <t>Beginning on hand balance</t>
  </si>
  <si>
    <t>Day-by-Day Simulation</t>
  </si>
  <si>
    <t>Sum of 30 day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</si>
</sst>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b/>
      <u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6F117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1" fontId="0" fillId="0" borderId="0" xfId="0" applyNumberFormat="1"/>
    <xf numFmtId="9" fontId="0" fillId="2" borderId="0" xfId="0" applyNumberFormat="1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2" fillId="0" borderId="2" xfId="0" applyFont="1" applyBorder="1"/>
    <xf numFmtId="0" fontId="2" fillId="0" borderId="3" xfId="0" applyFont="1" applyBorder="1" applyAlignment="1" applyProtection="1">
      <alignment horizontal="right"/>
    </xf>
    <xf numFmtId="14" fontId="2" fillId="0" borderId="3" xfId="0" applyNumberFormat="1" applyFont="1" applyBorder="1" applyProtection="1"/>
    <xf numFmtId="14" fontId="2" fillId="0" borderId="4" xfId="0" applyNumberFormat="1" applyFont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Protection="1"/>
    <xf numFmtId="0" fontId="2" fillId="6" borderId="5" xfId="0" applyFont="1" applyFill="1" applyBorder="1" applyAlignment="1">
      <alignment horizontal="right"/>
    </xf>
    <xf numFmtId="0" fontId="2" fillId="0" borderId="6" xfId="0" applyFont="1" applyBorder="1" applyProtection="1"/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9" xfId="0" applyFont="1" applyBorder="1"/>
    <xf numFmtId="0" fontId="2" fillId="0" borderId="8" xfId="0" applyFont="1" applyBorder="1"/>
    <xf numFmtId="0" fontId="2" fillId="0" borderId="7" xfId="0" applyFont="1" applyBorder="1"/>
    <xf numFmtId="0" fontId="2" fillId="4" borderId="10" xfId="0" applyFont="1" applyFill="1" applyBorder="1" applyAlignment="1">
      <alignment horizontal="right"/>
    </xf>
    <xf numFmtId="0" fontId="2" fillId="0" borderId="11" xfId="0" applyFont="1" applyBorder="1" applyProtection="1"/>
    <xf numFmtId="0" fontId="2" fillId="0" borderId="12" xfId="0" quotePrefix="1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13" xfId="0" quotePrefix="1" applyFont="1" applyBorder="1" applyProtection="1">
      <protection locked="0"/>
    </xf>
    <xf numFmtId="0" fontId="2" fillId="0" borderId="13" xfId="0" quotePrefix="1" applyFont="1" applyBorder="1"/>
    <xf numFmtId="0" fontId="2" fillId="0" borderId="0" xfId="0" quotePrefix="1" applyFont="1" applyBorder="1"/>
    <xf numFmtId="0" fontId="2" fillId="0" borderId="12" xfId="0" quotePrefix="1" applyFont="1" applyBorder="1"/>
    <xf numFmtId="0" fontId="2" fillId="0" borderId="0" xfId="0" applyFont="1" applyBorder="1" applyAlignment="1">
      <alignment horizontal="center"/>
    </xf>
    <xf numFmtId="0" fontId="2" fillId="5" borderId="14" xfId="0" applyFont="1" applyFill="1" applyBorder="1" applyAlignment="1">
      <alignment horizontal="right"/>
    </xf>
    <xf numFmtId="0" fontId="2" fillId="0" borderId="15" xfId="0" applyFont="1" applyBorder="1" applyProtection="1"/>
    <xf numFmtId="0" fontId="2" fillId="0" borderId="12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3" xfId="0" applyFont="1" applyBorder="1"/>
    <xf numFmtId="0" fontId="2" fillId="0" borderId="0" xfId="0" applyFont="1" applyBorder="1" applyAlignment="1">
      <alignment horizontal="right"/>
    </xf>
    <xf numFmtId="0" fontId="2" fillId="0" borderId="12" xfId="0" applyFont="1" applyBorder="1"/>
    <xf numFmtId="0" fontId="4" fillId="0" borderId="0" xfId="0" applyFont="1" applyBorder="1" applyAlignment="1" applyProtection="1">
      <alignment horizontal="right"/>
      <protection locked="0"/>
    </xf>
    <xf numFmtId="0" fontId="4" fillId="0" borderId="13" xfId="0" applyFont="1" applyBorder="1" applyAlignment="1" applyProtection="1">
      <alignment horizontal="right"/>
      <protection locked="0"/>
    </xf>
    <xf numFmtId="0" fontId="4" fillId="0" borderId="13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Border="1" applyProtection="1">
      <protection locked="0"/>
    </xf>
    <xf numFmtId="0" fontId="4" fillId="0" borderId="0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6" xfId="0" applyFont="1" applyBorder="1"/>
    <xf numFmtId="0" fontId="5" fillId="0" borderId="6" xfId="0" applyFont="1" applyBorder="1"/>
    <xf numFmtId="0" fontId="5" fillId="0" borderId="0" xfId="0" applyFont="1"/>
    <xf numFmtId="0" fontId="2" fillId="0" borderId="10" xfId="0" applyFont="1" applyBorder="1" applyAlignment="1">
      <alignment horizontal="right"/>
    </xf>
    <xf numFmtId="0" fontId="2" fillId="0" borderId="11" xfId="0" applyFont="1" applyBorder="1"/>
    <xf numFmtId="0" fontId="5" fillId="0" borderId="11" xfId="0" applyFont="1" applyBorder="1"/>
    <xf numFmtId="14" fontId="2" fillId="0" borderId="0" xfId="0" applyNumberFormat="1" applyFont="1" applyBorder="1" applyProtection="1"/>
    <xf numFmtId="0" fontId="2" fillId="0" borderId="14" xfId="0" applyFont="1" applyBorder="1" applyAlignment="1">
      <alignment horizontal="right"/>
    </xf>
    <xf numFmtId="0" fontId="2" fillId="0" borderId="17" xfId="0" applyFont="1" applyBorder="1"/>
    <xf numFmtId="0" fontId="5" fillId="0" borderId="1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8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2" fillId="0" borderId="20" xfId="0" applyFont="1" applyBorder="1" applyProtection="1">
      <protection locked="0"/>
    </xf>
    <xf numFmtId="0" fontId="2" fillId="0" borderId="20" xfId="0" applyFont="1" applyBorder="1"/>
    <xf numFmtId="0" fontId="2" fillId="0" borderId="0" xfId="0" applyFont="1" applyFill="1" applyBorder="1"/>
    <xf numFmtId="0" fontId="2" fillId="5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14" fontId="0" fillId="0" borderId="0" xfId="0" applyNumberFormat="1"/>
    <xf numFmtId="2" fontId="0" fillId="0" borderId="0" xfId="0" applyNumberFormat="1"/>
    <xf numFmtId="49" fontId="3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1" fillId="0" borderId="10" xfId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2" xfId="0" applyNumberFormat="1" applyFont="1" applyBorder="1" applyAlignment="1"/>
    <xf numFmtId="49" fontId="0" fillId="0" borderId="3" xfId="0" applyNumberFormat="1" applyBorder="1" applyAlignment="1"/>
    <xf numFmtId="49" fontId="0" fillId="0" borderId="4" xfId="0" applyNumberFormat="1" applyBorder="1" applyAlignment="1"/>
  </cellXfs>
  <cellStyles count="2">
    <cellStyle name="Hyperlink" xfId="1" builtinId="8"/>
    <cellStyle name="Normal" xfId="0" builtinId="0"/>
  </cellStyles>
  <dxfs count="14"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820000"/>
        </patternFill>
      </fill>
    </dxf>
    <dxf>
      <fill>
        <patternFill>
          <bgColor rgb="FF8A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46428535513916E-2"/>
          <c:y val="5.2774870834400134E-2"/>
          <c:w val="0.58898884765841064"/>
          <c:h val="0.82814425226180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Sim!$A$37</c:f>
              <c:strCache>
                <c:ptCount val="1"/>
                <c:pt idx="0">
                  <c:v>Red Zone: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Lit>
              <c:ptCount val="1"/>
              <c:pt idx="0">
                <c:v>Planning  Status</c:v>
              </c:pt>
            </c:strLit>
          </c:cat>
          <c:val>
            <c:numRef>
              <c:f>Sim!$B$37:$C$37</c:f>
              <c:numCache>
                <c:formatCode>General</c:formatCode>
                <c:ptCount val="2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F-440A-8D28-A3057CA29FA1}"/>
            </c:ext>
          </c:extLst>
        </c:ser>
        <c:ser>
          <c:idx val="1"/>
          <c:order val="1"/>
          <c:tx>
            <c:strRef>
              <c:f>Sim!$A$38</c:f>
              <c:strCache>
                <c:ptCount val="1"/>
                <c:pt idx="0">
                  <c:v>Yellow Zone: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Lit>
              <c:ptCount val="1"/>
              <c:pt idx="0">
                <c:v>Planning  Status</c:v>
              </c:pt>
            </c:strLit>
          </c:cat>
          <c:val>
            <c:numRef>
              <c:f>Sim!$B$38:$C$38</c:f>
              <c:numCache>
                <c:formatCode>General</c:formatCode>
                <c:ptCount val="2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F-440A-8D28-A3057CA29FA1}"/>
            </c:ext>
          </c:extLst>
        </c:ser>
        <c:ser>
          <c:idx val="2"/>
          <c:order val="2"/>
          <c:tx>
            <c:strRef>
              <c:f>Sim!$A$39</c:f>
              <c:strCache>
                <c:ptCount val="1"/>
                <c:pt idx="0">
                  <c:v>Green Zone:</c:v>
                </c:pt>
              </c:strCache>
            </c:strRef>
          </c:tx>
          <c:spPr>
            <a:solidFill>
              <a:srgbClr val="46F117"/>
            </a:solidFill>
          </c:spPr>
          <c:invertIfNegative val="0"/>
          <c:cat>
            <c:strLit>
              <c:ptCount val="1"/>
              <c:pt idx="0">
                <c:v>Planning  Status</c:v>
              </c:pt>
            </c:strLit>
          </c:cat>
          <c:val>
            <c:numRef>
              <c:f>Sim!$B$39:$C$39</c:f>
              <c:numCache>
                <c:formatCode>General</c:formatCode>
                <c:ptCount val="2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F-440A-8D28-A3057CA29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46432"/>
        <c:axId val="60544896"/>
      </c:barChart>
      <c:lineChart>
        <c:grouping val="standard"/>
        <c:varyColors val="0"/>
        <c:ser>
          <c:idx val="3"/>
          <c:order val="3"/>
          <c:tx>
            <c:strRef>
              <c:f>Sim!$A$40</c:f>
              <c:strCache>
                <c:ptCount val="1"/>
                <c:pt idx="0">
                  <c:v>Net Flow Position: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Sim!$B$40:$C$40</c:f>
              <c:numCache>
                <c:formatCode>General</c:formatCode>
                <c:ptCount val="2"/>
                <c:pt idx="0">
                  <c:v>209</c:v>
                </c:pt>
                <c:pt idx="1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F-440A-8D28-A3057CA29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46432"/>
        <c:axId val="60544896"/>
      </c:lineChart>
      <c:valAx>
        <c:axId val="60544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546432"/>
        <c:crosses val="autoZero"/>
        <c:crossBetween val="between"/>
      </c:valAx>
      <c:catAx>
        <c:axId val="60546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05448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Sim!$A$44</c:f>
              <c:strCache>
                <c:ptCount val="1"/>
                <c:pt idx="0">
                  <c:v>Red Zone: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Lit>
              <c:ptCount val="1"/>
              <c:pt idx="0">
                <c:v>Execution Status</c:v>
              </c:pt>
            </c:strLit>
          </c:cat>
          <c:val>
            <c:numRef>
              <c:f>Sim!$B$44:$C$44</c:f>
              <c:numCache>
                <c:formatCode>General</c:formatCode>
                <c:ptCount val="2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B-4246-AA5B-BBE68D0657FF}"/>
            </c:ext>
          </c:extLst>
        </c:ser>
        <c:ser>
          <c:idx val="1"/>
          <c:order val="1"/>
          <c:tx>
            <c:strRef>
              <c:f>Sim!$A$45</c:f>
              <c:strCache>
                <c:ptCount val="1"/>
                <c:pt idx="0">
                  <c:v>Yellow Zone: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Lit>
              <c:ptCount val="1"/>
              <c:pt idx="0">
                <c:v>Execution Status</c:v>
              </c:pt>
            </c:strLit>
          </c:cat>
          <c:val>
            <c:numRef>
              <c:f>Sim!$B$45:$C$45</c:f>
              <c:numCache>
                <c:formatCode>General</c:formatCode>
                <c:ptCount val="2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B-4246-AA5B-BBE68D0657FF}"/>
            </c:ext>
          </c:extLst>
        </c:ser>
        <c:ser>
          <c:idx val="2"/>
          <c:order val="2"/>
          <c:tx>
            <c:strRef>
              <c:f>Sim!$A$46</c:f>
              <c:strCache>
                <c:ptCount val="1"/>
                <c:pt idx="0">
                  <c:v>Green Zone:</c:v>
                </c:pt>
              </c:strCache>
            </c:strRef>
          </c:tx>
          <c:spPr>
            <a:solidFill>
              <a:srgbClr val="46F117"/>
            </a:solidFill>
          </c:spPr>
          <c:invertIfNegative val="0"/>
          <c:cat>
            <c:strLit>
              <c:ptCount val="1"/>
              <c:pt idx="0">
                <c:v>Execution Status</c:v>
              </c:pt>
            </c:strLit>
          </c:cat>
          <c:val>
            <c:numRef>
              <c:f>Sim!$B$46:$C$46</c:f>
              <c:numCache>
                <c:formatCode>General</c:formatCode>
                <c:ptCount val="2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B-4246-AA5B-BBE68D06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65888"/>
        <c:axId val="94510464"/>
      </c:barChart>
      <c:lineChart>
        <c:grouping val="standard"/>
        <c:varyColors val="0"/>
        <c:ser>
          <c:idx val="4"/>
          <c:order val="3"/>
          <c:tx>
            <c:strRef>
              <c:f>Sim!$A$48</c:f>
              <c:strCache>
                <c:ptCount val="1"/>
                <c:pt idx="0">
                  <c:v>Ending On Hand: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Sim!$B$48:$C$48</c:f>
              <c:numCache>
                <c:formatCode>General</c:formatCode>
                <c:ptCount val="2"/>
                <c:pt idx="0">
                  <c:v>105</c:v>
                </c:pt>
                <c:pt idx="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B-4246-AA5B-BBE68D06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65888"/>
        <c:axId val="94510464"/>
      </c:lineChart>
      <c:valAx>
        <c:axId val="94510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565888"/>
        <c:crosses val="autoZero"/>
        <c:crossBetween val="between"/>
      </c:valAx>
      <c:catAx>
        <c:axId val="94565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5104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142876</xdr:colOff>
      <xdr:row>1</xdr:row>
      <xdr:rowOff>185737</xdr:rowOff>
    </xdr:from>
    <xdr:to>
      <xdr:col>29</xdr:col>
      <xdr:colOff>238126</xdr:colOff>
      <xdr:row>15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E8392-AA95-40A6-8F6C-7D26F5757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123825</xdr:colOff>
      <xdr:row>16</xdr:row>
      <xdr:rowOff>152401</xdr:rowOff>
    </xdr:from>
    <xdr:to>
      <xdr:col>29</xdr:col>
      <xdr:colOff>219075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1CC56-18A1-438C-A205-165741E35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70578</xdr:colOff>
      <xdr:row>20</xdr:row>
      <xdr:rowOff>84687</xdr:rowOff>
    </xdr:from>
    <xdr:to>
      <xdr:col>2</xdr:col>
      <xdr:colOff>507184</xdr:colOff>
      <xdr:row>23</xdr:row>
      <xdr:rowOff>67076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F80DAC-188F-443E-9CD6-96F69D59E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78" y="3856587"/>
          <a:ext cx="2932156" cy="541189"/>
        </a:xfrm>
        <a:prstGeom prst="rect">
          <a:avLst/>
        </a:prstGeom>
      </xdr:spPr>
    </xdr:pic>
    <xdr:clientData/>
  </xdr:twoCellAnchor>
  <xdr:twoCellAnchor editAs="oneCell">
    <xdr:from>
      <xdr:col>0</xdr:col>
      <xdr:colOff>529166</xdr:colOff>
      <xdr:row>23</xdr:row>
      <xdr:rowOff>105833</xdr:rowOff>
    </xdr:from>
    <xdr:to>
      <xdr:col>2</xdr:col>
      <xdr:colOff>57855</xdr:colOff>
      <xdr:row>25</xdr:row>
      <xdr:rowOff>138995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79066F-CC5F-4FC7-9B49-94AA451AA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6" y="4436533"/>
          <a:ext cx="2024239" cy="401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lillywor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5571-E780-4BE2-A4C2-028CE14CE179}">
  <dimension ref="A1:I32"/>
  <sheetViews>
    <sheetView tabSelected="1" workbookViewId="0">
      <selection activeCell="I23" sqref="I23"/>
    </sheetView>
  </sheetViews>
  <sheetFormatPr defaultRowHeight="14.5" x14ac:dyDescent="0.35"/>
  <cols>
    <col min="1" max="1" width="34.6328125" bestFit="1" customWidth="1"/>
    <col min="2" max="2" width="33.6328125" customWidth="1"/>
  </cols>
  <sheetData>
    <row r="1" spans="1:2" x14ac:dyDescent="0.35">
      <c r="A1" t="s">
        <v>0</v>
      </c>
    </row>
    <row r="3" spans="1:2" x14ac:dyDescent="0.35">
      <c r="A3" s="1" t="s">
        <v>1</v>
      </c>
      <c r="B3" s="2" t="s">
        <v>23</v>
      </c>
    </row>
    <row r="4" spans="1:2" x14ac:dyDescent="0.35">
      <c r="A4" s="1" t="s">
        <v>2</v>
      </c>
      <c r="B4" s="2" t="s">
        <v>24</v>
      </c>
    </row>
    <row r="6" spans="1:2" x14ac:dyDescent="0.35">
      <c r="A6" s="1" t="s">
        <v>3</v>
      </c>
      <c r="B6" s="3">
        <v>7</v>
      </c>
    </row>
    <row r="7" spans="1:2" x14ac:dyDescent="0.35">
      <c r="A7" s="1" t="s">
        <v>4</v>
      </c>
      <c r="B7" s="4">
        <f>(Sim!$I$32+'Demand history'!$C$32)/30</f>
        <v>12</v>
      </c>
    </row>
    <row r="8" spans="1:2" x14ac:dyDescent="0.35">
      <c r="A8" s="1"/>
    </row>
    <row r="9" spans="1:2" x14ac:dyDescent="0.35">
      <c r="A9" s="1" t="s">
        <v>7</v>
      </c>
      <c r="B9" s="5">
        <v>1</v>
      </c>
    </row>
    <row r="10" spans="1:2" x14ac:dyDescent="0.35">
      <c r="A10" s="1" t="s">
        <v>5</v>
      </c>
      <c r="B10" s="5">
        <v>0.5</v>
      </c>
    </row>
    <row r="11" spans="1:2" x14ac:dyDescent="0.35">
      <c r="A11" s="1" t="s">
        <v>8</v>
      </c>
      <c r="B11" s="5">
        <v>0.5</v>
      </c>
    </row>
    <row r="12" spans="1:2" x14ac:dyDescent="0.35">
      <c r="A12" s="1" t="s">
        <v>6</v>
      </c>
      <c r="B12" s="6" t="s">
        <v>25</v>
      </c>
    </row>
    <row r="13" spans="1:2" x14ac:dyDescent="0.35">
      <c r="A13" s="1" t="s">
        <v>11</v>
      </c>
      <c r="B13" s="3">
        <v>10</v>
      </c>
    </row>
    <row r="14" spans="1:2" x14ac:dyDescent="0.35">
      <c r="A14" s="1" t="s">
        <v>9</v>
      </c>
      <c r="B14" s="3">
        <v>1</v>
      </c>
    </row>
    <row r="15" spans="1:2" x14ac:dyDescent="0.35">
      <c r="A15" s="1" t="s">
        <v>12</v>
      </c>
      <c r="B15" s="3">
        <v>0</v>
      </c>
    </row>
    <row r="16" spans="1:2" x14ac:dyDescent="0.35">
      <c r="A16" s="1" t="s">
        <v>13</v>
      </c>
      <c r="B16" s="8">
        <v>0.5</v>
      </c>
    </row>
    <row r="17" spans="1:9" x14ac:dyDescent="0.35">
      <c r="A17" s="1" t="s">
        <v>10</v>
      </c>
      <c r="B17" s="3">
        <v>2</v>
      </c>
    </row>
    <row r="19" spans="1:9" ht="15" thickBot="1" x14ac:dyDescent="0.4">
      <c r="A19" s="1" t="s">
        <v>15</v>
      </c>
      <c r="B19">
        <f>INT(B24*B10+0.99)</f>
        <v>42</v>
      </c>
    </row>
    <row r="20" spans="1:9" ht="15.5" thickTop="1" thickBot="1" x14ac:dyDescent="0.4">
      <c r="A20" s="1" t="s">
        <v>16</v>
      </c>
      <c r="B20" s="7">
        <f>B13</f>
        <v>10</v>
      </c>
      <c r="D20" s="17" t="s">
        <v>30</v>
      </c>
      <c r="E20" s="13" t="s">
        <v>29</v>
      </c>
      <c r="F20" s="13">
        <f>B28+0.5*B22</f>
        <v>105</v>
      </c>
    </row>
    <row r="21" spans="1:9" ht="15" thickTop="1" x14ac:dyDescent="0.35">
      <c r="A21" s="1" t="s">
        <v>17</v>
      </c>
      <c r="B21">
        <f>INT(B17*B7+0.99)</f>
        <v>24</v>
      </c>
    </row>
    <row r="22" spans="1:9" ht="15" thickBot="1" x14ac:dyDescent="0.4">
      <c r="A22" s="9" t="s">
        <v>18</v>
      </c>
      <c r="B22">
        <f>MAX(B19:B21)</f>
        <v>42</v>
      </c>
      <c r="E22" t="s">
        <v>31</v>
      </c>
      <c r="H22" t="s">
        <v>32</v>
      </c>
    </row>
    <row r="23" spans="1:9" ht="15.5" thickTop="1" thickBot="1" x14ac:dyDescent="0.4">
      <c r="A23" s="1"/>
      <c r="E23" s="12" t="s">
        <v>28</v>
      </c>
      <c r="F23" s="16">
        <f>F24+B22</f>
        <v>210</v>
      </c>
      <c r="H23" s="12" t="s">
        <v>28</v>
      </c>
      <c r="I23" s="16">
        <f>F24</f>
        <v>168</v>
      </c>
    </row>
    <row r="24" spans="1:9" ht="15.5" thickTop="1" thickBot="1" x14ac:dyDescent="0.4">
      <c r="A24" s="10" t="s">
        <v>19</v>
      </c>
      <c r="B24">
        <f>INT(B6*B7+0.99)</f>
        <v>84</v>
      </c>
      <c r="E24" s="14" t="s">
        <v>27</v>
      </c>
      <c r="F24" s="16">
        <f>F25+B24</f>
        <v>168</v>
      </c>
      <c r="H24" s="14" t="s">
        <v>27</v>
      </c>
      <c r="I24" s="16">
        <f>B28</f>
        <v>84</v>
      </c>
    </row>
    <row r="25" spans="1:9" ht="15.5" thickTop="1" thickBot="1" x14ac:dyDescent="0.4">
      <c r="A25" s="1"/>
      <c r="E25" s="15" t="s">
        <v>26</v>
      </c>
      <c r="F25" s="16">
        <f>B28</f>
        <v>84</v>
      </c>
      <c r="H25" s="15" t="s">
        <v>26</v>
      </c>
      <c r="I25" s="16">
        <f>B28*B16</f>
        <v>42</v>
      </c>
    </row>
    <row r="26" spans="1:9" ht="15" thickTop="1" x14ac:dyDescent="0.35">
      <c r="A26" s="1" t="s">
        <v>20</v>
      </c>
      <c r="B26">
        <f>INT(B24*B11+0.99)</f>
        <v>42</v>
      </c>
    </row>
    <row r="27" spans="1:9" x14ac:dyDescent="0.35">
      <c r="A27" s="1" t="s">
        <v>21</v>
      </c>
      <c r="B27">
        <f>INT(B26*B9+0.99)</f>
        <v>42</v>
      </c>
    </row>
    <row r="28" spans="1:9" x14ac:dyDescent="0.35">
      <c r="A28" s="11" t="s">
        <v>22</v>
      </c>
      <c r="B28">
        <f>B26+B27</f>
        <v>84</v>
      </c>
    </row>
    <row r="30" spans="1:9" x14ac:dyDescent="0.35">
      <c r="A30" s="1" t="s">
        <v>14</v>
      </c>
      <c r="B30">
        <f>IF(B22&gt;B24,1,B22/B24)</f>
        <v>0.5</v>
      </c>
    </row>
    <row r="32" spans="1:9" x14ac:dyDescent="0.35">
      <c r="A32" t="s">
        <v>75</v>
      </c>
      <c r="B32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C456-72C6-4F7C-8B5D-4B4E555EAE16}">
  <dimension ref="A1:W48"/>
  <sheetViews>
    <sheetView zoomScale="90" zoomScaleNormal="90" workbookViewId="0">
      <selection activeCell="AF10" sqref="AF10"/>
    </sheetView>
  </sheetViews>
  <sheetFormatPr defaultRowHeight="14.5" x14ac:dyDescent="0.35"/>
  <cols>
    <col min="1" max="1" width="23.26953125" style="23" bestFit="1" customWidth="1"/>
    <col min="2" max="2" width="12.453125" style="23" customWidth="1"/>
    <col min="3" max="5" width="8.7265625" style="23"/>
    <col min="6" max="6" width="11.453125" style="23" customWidth="1"/>
    <col min="7" max="7" width="8.7265625" style="23"/>
    <col min="8" max="11" width="9.1796875" style="23" hidden="1" customWidth="1"/>
    <col min="12" max="13" width="11.1796875" style="23" hidden="1" customWidth="1"/>
    <col min="14" max="14" width="8.7265625" style="23"/>
    <col min="15" max="15" width="10.453125" style="23" customWidth="1"/>
    <col min="16" max="16" width="8.7265625" style="23"/>
    <col min="17" max="21" width="9.1796875" style="23" hidden="1" customWidth="1"/>
    <col min="22" max="22" width="8.7265625" style="23" customWidth="1"/>
    <col min="23" max="16384" width="8.7265625" style="23"/>
  </cols>
  <sheetData>
    <row r="1" spans="1:23" ht="16.5" thickTop="1" thickBot="1" x14ac:dyDescent="0.4">
      <c r="A1" s="18" t="s">
        <v>76</v>
      </c>
      <c r="B1" s="19" t="s">
        <v>33</v>
      </c>
      <c r="C1" s="20" t="str">
        <f>'Buffer sizing'!B3</f>
        <v>ABC-123</v>
      </c>
      <c r="D1" s="21"/>
      <c r="E1" s="93" t="str">
        <f>'Buffer sizing'!B4</f>
        <v>Part Number ABC version 123</v>
      </c>
      <c r="F1" s="94"/>
      <c r="G1" s="94"/>
      <c r="H1" s="95"/>
      <c r="O1" s="87" t="s">
        <v>34</v>
      </c>
      <c r="P1" s="88"/>
      <c r="Q1" s="88"/>
      <c r="R1" s="88"/>
      <c r="S1" s="88"/>
      <c r="T1" s="88"/>
      <c r="U1" s="88"/>
      <c r="V1" s="88"/>
      <c r="W1" s="89"/>
    </row>
    <row r="2" spans="1:23" ht="15.5" thickTop="1" thickBot="1" x14ac:dyDescent="0.4">
      <c r="B2" s="24"/>
    </row>
    <row r="3" spans="1:23" ht="15" thickTop="1" x14ac:dyDescent="0.35">
      <c r="A3" s="25" t="s">
        <v>35</v>
      </c>
      <c r="B3" s="26">
        <f>'Buffer sizing'!$F$23</f>
        <v>210</v>
      </c>
      <c r="E3" s="27"/>
      <c r="F3" s="28"/>
      <c r="G3" s="29"/>
      <c r="H3" s="30" t="s">
        <v>36</v>
      </c>
      <c r="I3" s="31"/>
      <c r="J3" s="31"/>
      <c r="K3" s="31"/>
      <c r="L3" s="31"/>
      <c r="M3" s="31"/>
      <c r="N3" s="32"/>
      <c r="O3" s="31"/>
      <c r="P3" s="30"/>
    </row>
    <row r="4" spans="1:23" x14ac:dyDescent="0.35">
      <c r="A4" s="33" t="s">
        <v>37</v>
      </c>
      <c r="B4" s="34">
        <f>'Buffer sizing'!$F$24</f>
        <v>168</v>
      </c>
      <c r="E4" s="35" t="s">
        <v>38</v>
      </c>
      <c r="F4" s="36" t="s">
        <v>39</v>
      </c>
      <c r="G4" s="37" t="s">
        <v>40</v>
      </c>
      <c r="H4" s="38" t="s">
        <v>40</v>
      </c>
      <c r="I4" s="39"/>
      <c r="J4" s="39"/>
      <c r="K4" s="39"/>
      <c r="L4" s="39"/>
      <c r="M4" s="39"/>
      <c r="N4" s="40" t="s">
        <v>41</v>
      </c>
      <c r="O4" s="41" t="s">
        <v>42</v>
      </c>
      <c r="P4" s="38" t="s">
        <v>41</v>
      </c>
    </row>
    <row r="5" spans="1:23" ht="15" thickBot="1" x14ac:dyDescent="0.4">
      <c r="A5" s="42" t="s">
        <v>43</v>
      </c>
      <c r="B5" s="43">
        <f>'Buffer sizing'!$F$25</f>
        <v>84</v>
      </c>
      <c r="E5" s="44"/>
      <c r="F5" s="45"/>
      <c r="G5" s="46"/>
      <c r="H5" s="47"/>
      <c r="I5" s="48" t="s">
        <v>44</v>
      </c>
      <c r="J5" s="48" t="s">
        <v>44</v>
      </c>
      <c r="K5" s="48" t="s">
        <v>45</v>
      </c>
      <c r="L5" s="48" t="s">
        <v>46</v>
      </c>
      <c r="M5" s="48" t="s">
        <v>47</v>
      </c>
      <c r="N5" s="49"/>
      <c r="O5" s="22"/>
      <c r="P5" s="47"/>
    </row>
    <row r="6" spans="1:23" ht="15" thickTop="1" x14ac:dyDescent="0.35">
      <c r="E6" s="44"/>
      <c r="F6" s="50" t="s">
        <v>48</v>
      </c>
      <c r="G6" s="51" t="s">
        <v>49</v>
      </c>
      <c r="H6" s="52" t="s">
        <v>49</v>
      </c>
      <c r="I6" s="53" t="s">
        <v>50</v>
      </c>
      <c r="J6" s="53" t="s">
        <v>51</v>
      </c>
      <c r="K6" s="53" t="s">
        <v>52</v>
      </c>
      <c r="L6" s="53" t="s">
        <v>53</v>
      </c>
      <c r="M6" s="53" t="s">
        <v>54</v>
      </c>
      <c r="N6" s="49"/>
      <c r="O6" s="53" t="s">
        <v>48</v>
      </c>
      <c r="P6" s="52" t="s">
        <v>49</v>
      </c>
      <c r="Q6" s="31"/>
      <c r="R6" s="31"/>
    </row>
    <row r="7" spans="1:23" x14ac:dyDescent="0.35">
      <c r="A7" s="54" t="s">
        <v>55</v>
      </c>
      <c r="B7" s="55">
        <v>50040</v>
      </c>
      <c r="E7" s="44"/>
      <c r="F7" s="55">
        <v>50041</v>
      </c>
      <c r="G7" s="46">
        <v>20</v>
      </c>
      <c r="H7" s="47">
        <f ca="1">ROUND(RAND()*1*'Buffer sizing'!$B$14, 0)</f>
        <v>1</v>
      </c>
      <c r="I7" s="22">
        <f>IF(F7&lt;$B$7, G7,0)</f>
        <v>0</v>
      </c>
      <c r="J7" s="22">
        <f>IF(F7&lt;=$B$7, G7,0)</f>
        <v>0</v>
      </c>
      <c r="K7" s="22">
        <f>IF(F7=$B$7, G7, 0)</f>
        <v>0</v>
      </c>
      <c r="L7" s="22">
        <f>IF(AND(F7-$B$7 &gt; 0,F7-$B$7&lt;='Buffer sizing'!$B$15, G7&gt;'Buffer sizing'!$B$14),G7,0)</f>
        <v>0</v>
      </c>
      <c r="M7" s="22">
        <f>(G7-$G$33)/$G$34</f>
        <v>0.10987781567629894</v>
      </c>
      <c r="N7" s="44"/>
      <c r="O7" s="55">
        <v>50042</v>
      </c>
      <c r="P7" s="46">
        <v>50</v>
      </c>
      <c r="Q7" s="39"/>
      <c r="R7" s="39"/>
    </row>
    <row r="8" spans="1:23" x14ac:dyDescent="0.35">
      <c r="E8" s="44"/>
      <c r="F8" s="55">
        <v>50042</v>
      </c>
      <c r="G8" s="46">
        <v>7</v>
      </c>
      <c r="H8" s="47">
        <f ca="1">ROUND(RAND()*1*'Buffer sizing'!$B$14, 0)</f>
        <v>0</v>
      </c>
      <c r="I8" s="22">
        <f t="shared" ref="I8:I31" si="0">IF(F8&lt;$B$7, G8,0)</f>
        <v>0</v>
      </c>
      <c r="J8" s="22">
        <f t="shared" ref="J8:J31" si="1">IF(F8&lt;=$B$7, G8,0)</f>
        <v>0</v>
      </c>
      <c r="K8" s="22">
        <f t="shared" ref="K8:K31" si="2">IF(F8=$B$7, G8, 0)</f>
        <v>0</v>
      </c>
      <c r="L8" s="22">
        <f>IF(AND(F8-$B$7 &gt; 0,F8-$B$7&lt;='Buffer sizing'!$B$15, G8&gt;'Buffer sizing'!$B$14),G8,0)</f>
        <v>0</v>
      </c>
      <c r="M8" s="22">
        <f t="shared" ref="M8:M31" si="3">(G8-$G$33)/$G$34</f>
        <v>-1.1069172542204921</v>
      </c>
      <c r="N8" s="44"/>
      <c r="O8" s="55">
        <v>50046</v>
      </c>
      <c r="P8" s="46">
        <v>54</v>
      </c>
      <c r="Q8" s="48" t="s">
        <v>56</v>
      </c>
      <c r="R8" s="48" t="s">
        <v>56</v>
      </c>
      <c r="S8" s="54" t="s">
        <v>57</v>
      </c>
    </row>
    <row r="9" spans="1:23" x14ac:dyDescent="0.35">
      <c r="E9" s="44"/>
      <c r="F9" s="55">
        <v>50043</v>
      </c>
      <c r="G9" s="46">
        <v>30</v>
      </c>
      <c r="H9" s="47">
        <f ca="1">ROUND(RAND()*1*'Buffer sizing'!$B$14, 0)</f>
        <v>0</v>
      </c>
      <c r="I9" s="22">
        <f t="shared" si="0"/>
        <v>0</v>
      </c>
      <c r="J9" s="22">
        <f t="shared" si="1"/>
        <v>0</v>
      </c>
      <c r="K9" s="22">
        <f t="shared" si="2"/>
        <v>0</v>
      </c>
      <c r="L9" s="22">
        <f>IF(AND(F9-$B$7 &gt; 0,F9-$B$7&lt;='Buffer sizing'!$B$15, G9&gt;'Buffer sizing'!$B$14),G9,0)</f>
        <v>0</v>
      </c>
      <c r="M9" s="22">
        <f t="shared" si="3"/>
        <v>1.0458740232892152</v>
      </c>
      <c r="N9" s="44"/>
      <c r="O9" s="55"/>
      <c r="P9" s="46"/>
      <c r="Q9" s="53" t="s">
        <v>50</v>
      </c>
      <c r="R9" s="53" t="s">
        <v>51</v>
      </c>
      <c r="S9" s="56" t="s">
        <v>58</v>
      </c>
    </row>
    <row r="10" spans="1:23" ht="15" thickBot="1" x14ac:dyDescent="0.4">
      <c r="E10" s="44"/>
      <c r="F10" s="55">
        <v>50044</v>
      </c>
      <c r="G10" s="46">
        <v>2</v>
      </c>
      <c r="H10" s="47">
        <f ca="1">ROUND(RAND()*1*'Buffer sizing'!$B$14, 0)</f>
        <v>0</v>
      </c>
      <c r="I10" s="22">
        <f t="shared" si="0"/>
        <v>0</v>
      </c>
      <c r="J10" s="22">
        <f t="shared" si="1"/>
        <v>0</v>
      </c>
      <c r="K10" s="22">
        <f t="shared" si="2"/>
        <v>0</v>
      </c>
      <c r="L10" s="22">
        <f>IF(AND(F10-$B$7 &gt; 0,F10-$B$7&lt;='Buffer sizing'!$B$15, G10&gt;'Buffer sizing'!$B$14),G10,0)</f>
        <v>0</v>
      </c>
      <c r="M10" s="22">
        <f t="shared" si="3"/>
        <v>-1.5749153580269504</v>
      </c>
      <c r="N10" s="44"/>
      <c r="O10" s="55"/>
      <c r="P10" s="46"/>
      <c r="Q10" s="22">
        <f t="shared" ref="Q10:Q31" si="4">IF(O7&lt;$B$7, P7,0)</f>
        <v>0</v>
      </c>
      <c r="R10" s="22">
        <f t="shared" ref="R10:R31" si="5">IF(O7&lt;=$B$7, P7,0)</f>
        <v>0</v>
      </c>
      <c r="S10" s="23">
        <f t="shared" ref="S10:S31" si="6">IF(O7&gt;=$B$7, P7,0)</f>
        <v>50</v>
      </c>
    </row>
    <row r="11" spans="1:23" ht="15" thickTop="1" x14ac:dyDescent="0.35">
      <c r="A11" s="57" t="s">
        <v>59</v>
      </c>
      <c r="B11" s="58">
        <f>'Buffer sizing'!B32-I32+Q32</f>
        <v>105</v>
      </c>
      <c r="C11" s="59"/>
      <c r="D11" s="60"/>
      <c r="E11" s="44"/>
      <c r="F11" s="55">
        <v>50045</v>
      </c>
      <c r="G11" s="46">
        <v>16</v>
      </c>
      <c r="H11" s="47">
        <f ca="1">ROUND(RAND()*1*'Buffer sizing'!$B$14, 0)</f>
        <v>1</v>
      </c>
      <c r="I11" s="22">
        <f t="shared" si="0"/>
        <v>0</v>
      </c>
      <c r="J11" s="22">
        <f t="shared" si="1"/>
        <v>0</v>
      </c>
      <c r="K11" s="22">
        <f t="shared" si="2"/>
        <v>0</v>
      </c>
      <c r="L11" s="22">
        <f>IF(AND(F11-$B$7 &gt; 0,F11-$B$7&lt;='Buffer sizing'!$B$15, G11&gt;'Buffer sizing'!$B$14),G11,0)</f>
        <v>0</v>
      </c>
      <c r="M11" s="22">
        <f t="shared" si="3"/>
        <v>-0.26452066736886753</v>
      </c>
      <c r="N11" s="44"/>
      <c r="O11" s="55"/>
      <c r="P11" s="46"/>
      <c r="Q11" s="22">
        <f t="shared" si="4"/>
        <v>0</v>
      </c>
      <c r="R11" s="22">
        <f t="shared" si="5"/>
        <v>0</v>
      </c>
      <c r="S11" s="23">
        <f t="shared" si="6"/>
        <v>54</v>
      </c>
    </row>
    <row r="12" spans="1:23" x14ac:dyDescent="0.35">
      <c r="A12" s="61"/>
      <c r="B12" s="22"/>
      <c r="C12" s="62"/>
      <c r="E12" s="44"/>
      <c r="F12" s="55">
        <v>50046</v>
      </c>
      <c r="G12" s="46">
        <v>31</v>
      </c>
      <c r="H12" s="47">
        <f ca="1">ROUND(RAND()*1*'Buffer sizing'!$B$14, 0)</f>
        <v>0</v>
      </c>
      <c r="I12" s="22">
        <f t="shared" si="0"/>
        <v>0</v>
      </c>
      <c r="J12" s="22">
        <f t="shared" si="1"/>
        <v>0</v>
      </c>
      <c r="K12" s="22">
        <f t="shared" si="2"/>
        <v>0</v>
      </c>
      <c r="L12" s="22">
        <f>IF(AND(F12-$B$7 &gt; 0,F12-$B$7&lt;='Buffer sizing'!$B$15, G12&gt;'Buffer sizing'!$B$14),G12,0)</f>
        <v>0</v>
      </c>
      <c r="M12" s="22">
        <f t="shared" si="3"/>
        <v>1.1394736440505069</v>
      </c>
      <c r="N12" s="44"/>
      <c r="O12" s="55"/>
      <c r="P12" s="46"/>
      <c r="Q12" s="22">
        <f t="shared" si="4"/>
        <v>0</v>
      </c>
      <c r="R12" s="22">
        <f t="shared" si="5"/>
        <v>0</v>
      </c>
      <c r="S12" s="23">
        <f t="shared" si="6"/>
        <v>0</v>
      </c>
    </row>
    <row r="13" spans="1:23" x14ac:dyDescent="0.35">
      <c r="A13" s="61" t="s">
        <v>60</v>
      </c>
      <c r="B13" s="22">
        <f>$S$32</f>
        <v>104</v>
      </c>
      <c r="C13" s="62"/>
      <c r="E13" s="44"/>
      <c r="F13" s="55">
        <v>50047</v>
      </c>
      <c r="G13" s="46">
        <v>15</v>
      </c>
      <c r="H13" s="47">
        <f ca="1">ROUND(RAND()*1*'Buffer sizing'!$B$14, 0)</f>
        <v>1</v>
      </c>
      <c r="I13" s="22">
        <f t="shared" si="0"/>
        <v>0</v>
      </c>
      <c r="J13" s="22">
        <f t="shared" si="1"/>
        <v>0</v>
      </c>
      <c r="K13" s="22">
        <f t="shared" si="2"/>
        <v>0</v>
      </c>
      <c r="L13" s="22">
        <f>IF(AND(F13-$B$7 &gt; 0,F13-$B$7&lt;='Buffer sizing'!$B$15, G13&gt;'Buffer sizing'!$B$14),G13,0)</f>
        <v>0</v>
      </c>
      <c r="M13" s="22">
        <f t="shared" si="3"/>
        <v>-0.35812028813015917</v>
      </c>
      <c r="N13" s="44"/>
      <c r="O13" s="55"/>
      <c r="P13" s="46"/>
      <c r="Q13" s="22">
        <f t="shared" si="4"/>
        <v>0</v>
      </c>
      <c r="R13" s="22">
        <f t="shared" si="5"/>
        <v>0</v>
      </c>
      <c r="S13" s="23">
        <f t="shared" si="6"/>
        <v>0</v>
      </c>
    </row>
    <row r="14" spans="1:23" x14ac:dyDescent="0.35">
      <c r="A14" s="61" t="s">
        <v>61</v>
      </c>
      <c r="B14" s="22">
        <f>$L$32+$K$32</f>
        <v>0</v>
      </c>
      <c r="C14" s="62"/>
      <c r="E14" s="44"/>
      <c r="F14" s="55">
        <v>50048</v>
      </c>
      <c r="G14" s="46">
        <v>1</v>
      </c>
      <c r="H14" s="47">
        <f ca="1">ROUND(RAND()*1*'Buffer sizing'!$B$14, 0)</f>
        <v>1</v>
      </c>
      <c r="I14" s="22">
        <f t="shared" si="0"/>
        <v>0</v>
      </c>
      <c r="J14" s="22">
        <f t="shared" si="1"/>
        <v>0</v>
      </c>
      <c r="K14" s="22">
        <f t="shared" si="2"/>
        <v>0</v>
      </c>
      <c r="L14" s="22">
        <f>IF(AND(F14-$B$7 &gt; 0,F14-$B$7&lt;='Buffer sizing'!$B$15, G14&gt;'Buffer sizing'!$B$14),G14,0)</f>
        <v>0</v>
      </c>
      <c r="M14" s="22">
        <f t="shared" si="3"/>
        <v>-1.6685149787882418</v>
      </c>
      <c r="N14" s="44"/>
      <c r="O14" s="55"/>
      <c r="P14" s="46"/>
      <c r="Q14" s="22">
        <f t="shared" si="4"/>
        <v>0</v>
      </c>
      <c r="R14" s="22">
        <f t="shared" si="5"/>
        <v>0</v>
      </c>
      <c r="S14" s="23">
        <f t="shared" si="6"/>
        <v>0</v>
      </c>
    </row>
    <row r="15" spans="1:23" x14ac:dyDescent="0.35">
      <c r="A15" s="61"/>
      <c r="B15" s="22"/>
      <c r="C15" s="62"/>
      <c r="E15" s="44"/>
      <c r="F15" s="55">
        <v>50049</v>
      </c>
      <c r="G15" s="46">
        <v>18</v>
      </c>
      <c r="H15" s="47">
        <f ca="1">ROUND(RAND()*1*'Buffer sizing'!$B$14, 0)</f>
        <v>1</v>
      </c>
      <c r="I15" s="22">
        <f t="shared" si="0"/>
        <v>0</v>
      </c>
      <c r="J15" s="22">
        <f t="shared" si="1"/>
        <v>0</v>
      </c>
      <c r="K15" s="22">
        <f t="shared" si="2"/>
        <v>0</v>
      </c>
      <c r="L15" s="22">
        <f>IF(AND(F15-$B$7 &gt; 0,F15-$B$7&lt;='Buffer sizing'!$B$15, G15&gt;'Buffer sizing'!$B$14),G15,0)</f>
        <v>0</v>
      </c>
      <c r="M15" s="22">
        <f t="shared" si="3"/>
        <v>-7.7321425846284306E-2</v>
      </c>
      <c r="N15" s="44"/>
      <c r="O15" s="55"/>
      <c r="P15" s="46"/>
      <c r="Q15" s="22">
        <f t="shared" si="4"/>
        <v>0</v>
      </c>
      <c r="R15" s="22">
        <f t="shared" si="5"/>
        <v>0</v>
      </c>
      <c r="S15" s="23">
        <f t="shared" si="6"/>
        <v>0</v>
      </c>
    </row>
    <row r="16" spans="1:23" x14ac:dyDescent="0.35">
      <c r="A16" s="61" t="s">
        <v>62</v>
      </c>
      <c r="B16" s="22">
        <f>B11+B13-B14</f>
        <v>209</v>
      </c>
      <c r="C16" s="63"/>
      <c r="D16" s="60"/>
      <c r="E16" s="44"/>
      <c r="F16" s="55">
        <v>50050</v>
      </c>
      <c r="G16" s="46">
        <v>22</v>
      </c>
      <c r="H16" s="47">
        <f ca="1">ROUND(RAND()*1*'Buffer sizing'!$B$14, 0)</f>
        <v>0</v>
      </c>
      <c r="I16" s="22">
        <f t="shared" si="0"/>
        <v>0</v>
      </c>
      <c r="J16" s="22">
        <f t="shared" si="1"/>
        <v>0</v>
      </c>
      <c r="K16" s="22">
        <f t="shared" si="2"/>
        <v>0</v>
      </c>
      <c r="L16" s="22">
        <f>IF(AND(F16-$B$7 &gt; 0,F16-$B$7&lt;='Buffer sizing'!$B$15, G16&gt;'Buffer sizing'!$B$14),G16,0)</f>
        <v>0</v>
      </c>
      <c r="M16" s="22">
        <f t="shared" si="3"/>
        <v>0.29707705719888217</v>
      </c>
      <c r="N16" s="44"/>
      <c r="O16" s="55"/>
      <c r="P16" s="46"/>
      <c r="Q16" s="22">
        <f t="shared" si="4"/>
        <v>0</v>
      </c>
      <c r="R16" s="22">
        <f t="shared" si="5"/>
        <v>0</v>
      </c>
      <c r="S16" s="23">
        <f t="shared" si="6"/>
        <v>0</v>
      </c>
    </row>
    <row r="17" spans="1:19" x14ac:dyDescent="0.35">
      <c r="A17" s="61" t="s">
        <v>63</v>
      </c>
      <c r="B17" s="64" t="str">
        <f>IF(C17&gt;0, $B$7+'Buffer sizing'!$B$6, "")</f>
        <v/>
      </c>
      <c r="C17" s="34">
        <f>IF(B16&lt;'Buffer sizing'!$F$24, 'Buffer sizing'!$F$23 - B16,0)</f>
        <v>0</v>
      </c>
      <c r="E17" s="44"/>
      <c r="F17" s="55">
        <v>50051</v>
      </c>
      <c r="G17" s="46">
        <v>39</v>
      </c>
      <c r="H17" s="47">
        <f ca="1">ROUND(RAND()*1*'Buffer sizing'!$B$14, 0)</f>
        <v>0</v>
      </c>
      <c r="I17" s="22">
        <f t="shared" si="0"/>
        <v>0</v>
      </c>
      <c r="J17" s="22">
        <f t="shared" si="1"/>
        <v>0</v>
      </c>
      <c r="K17" s="22">
        <f t="shared" si="2"/>
        <v>0</v>
      </c>
      <c r="L17" s="22">
        <f>IF(AND(F17-$B$7 &gt; 0,F17-$B$7&lt;='Buffer sizing'!$B$15, G17&gt;'Buffer sizing'!$B$14),G17,0)</f>
        <v>0</v>
      </c>
      <c r="M17" s="22">
        <f t="shared" si="3"/>
        <v>1.8882706101408397</v>
      </c>
      <c r="N17" s="44"/>
      <c r="O17" s="55"/>
      <c r="P17" s="46"/>
      <c r="Q17" s="22">
        <f t="shared" si="4"/>
        <v>0</v>
      </c>
      <c r="R17" s="22">
        <f t="shared" si="5"/>
        <v>0</v>
      </c>
      <c r="S17" s="23">
        <f t="shared" si="6"/>
        <v>0</v>
      </c>
    </row>
    <row r="18" spans="1:19" x14ac:dyDescent="0.35">
      <c r="A18" s="61"/>
      <c r="B18" s="22"/>
      <c r="C18" s="62"/>
      <c r="E18" s="44"/>
      <c r="F18" s="55">
        <v>50052</v>
      </c>
      <c r="G18" s="46">
        <v>29</v>
      </c>
      <c r="H18" s="47">
        <f ca="1">ROUND(RAND()*1*'Buffer sizing'!$B$14, 0)</f>
        <v>1</v>
      </c>
      <c r="I18" s="22">
        <f t="shared" si="0"/>
        <v>0</v>
      </c>
      <c r="J18" s="22">
        <f t="shared" si="1"/>
        <v>0</v>
      </c>
      <c r="K18" s="22">
        <f t="shared" si="2"/>
        <v>0</v>
      </c>
      <c r="L18" s="22">
        <f>IF(AND(F18-$B$7 &gt; 0,F18-$B$7&lt;='Buffer sizing'!$B$15, G18&gt;'Buffer sizing'!$B$14),G18,0)</f>
        <v>0</v>
      </c>
      <c r="M18" s="22">
        <f t="shared" si="3"/>
        <v>0.9522744025279235</v>
      </c>
      <c r="N18" s="44"/>
      <c r="O18" s="55"/>
      <c r="P18" s="46"/>
      <c r="Q18" s="22">
        <f t="shared" si="4"/>
        <v>0</v>
      </c>
      <c r="R18" s="22">
        <f t="shared" si="5"/>
        <v>0</v>
      </c>
      <c r="S18" s="23">
        <f t="shared" si="6"/>
        <v>0</v>
      </c>
    </row>
    <row r="19" spans="1:19" ht="15" thickBot="1" x14ac:dyDescent="0.4">
      <c r="A19" s="65" t="s">
        <v>64</v>
      </c>
      <c r="B19" s="66">
        <f>'Buffer sizing'!B32-J32+R32</f>
        <v>105</v>
      </c>
      <c r="C19" s="67"/>
      <c r="D19" s="60"/>
      <c r="E19" s="44"/>
      <c r="F19" s="55">
        <v>50053</v>
      </c>
      <c r="G19" s="46">
        <v>22</v>
      </c>
      <c r="H19" s="47">
        <f ca="1">ROUND(RAND()*1*'Buffer sizing'!$B$14, 0)</f>
        <v>0</v>
      </c>
      <c r="I19" s="22">
        <f t="shared" si="0"/>
        <v>0</v>
      </c>
      <c r="J19" s="22">
        <f t="shared" si="1"/>
        <v>0</v>
      </c>
      <c r="K19" s="22">
        <f t="shared" si="2"/>
        <v>0</v>
      </c>
      <c r="L19" s="22">
        <f>IF(AND(F19-$B$7 &gt; 0,F19-$B$7&lt;='Buffer sizing'!$B$15, G19&gt;'Buffer sizing'!$B$14),G19,0)</f>
        <v>0</v>
      </c>
      <c r="M19" s="22">
        <f t="shared" si="3"/>
        <v>0.29707705719888217</v>
      </c>
      <c r="N19" s="44"/>
      <c r="O19" s="55"/>
      <c r="P19" s="46"/>
      <c r="Q19" s="22">
        <f t="shared" si="4"/>
        <v>0</v>
      </c>
      <c r="R19" s="22">
        <f t="shared" si="5"/>
        <v>0</v>
      </c>
      <c r="S19" s="23">
        <f t="shared" si="6"/>
        <v>0</v>
      </c>
    </row>
    <row r="20" spans="1:19" ht="15.5" thickTop="1" thickBot="1" x14ac:dyDescent="0.4">
      <c r="E20" s="44"/>
      <c r="F20" s="55">
        <v>50054</v>
      </c>
      <c r="G20" s="46">
        <v>8</v>
      </c>
      <c r="H20" s="47">
        <f ca="1">ROUND(RAND()*1*'Buffer sizing'!$B$14, 0)</f>
        <v>1</v>
      </c>
      <c r="I20" s="22">
        <f t="shared" si="0"/>
        <v>0</v>
      </c>
      <c r="J20" s="22">
        <f t="shared" si="1"/>
        <v>0</v>
      </c>
      <c r="K20" s="22">
        <f t="shared" si="2"/>
        <v>0</v>
      </c>
      <c r="L20" s="22">
        <f>IF(AND(F20-$B$7 &gt; 0,F20-$B$7&lt;='Buffer sizing'!$B$15, G20&gt;'Buffer sizing'!$B$14),G20,0)</f>
        <v>0</v>
      </c>
      <c r="M20" s="22">
        <f t="shared" si="3"/>
        <v>-1.0133176334592005</v>
      </c>
      <c r="N20" s="44"/>
      <c r="O20" s="55"/>
      <c r="P20" s="46"/>
      <c r="Q20" s="22">
        <f t="shared" si="4"/>
        <v>0</v>
      </c>
      <c r="R20" s="22">
        <f t="shared" si="5"/>
        <v>0</v>
      </c>
      <c r="S20" s="23">
        <f t="shared" si="6"/>
        <v>0</v>
      </c>
    </row>
    <row r="21" spans="1:19" ht="15" thickTop="1" x14ac:dyDescent="0.35">
      <c r="A21" s="68"/>
      <c r="B21" s="58"/>
      <c r="C21" s="69"/>
      <c r="E21" s="44"/>
      <c r="F21" s="55">
        <v>50055</v>
      </c>
      <c r="G21" s="46">
        <v>23</v>
      </c>
      <c r="H21" s="47">
        <f ca="1">ROUND(RAND()*1*'Buffer sizing'!$B$14, 0)</f>
        <v>0</v>
      </c>
      <c r="I21" s="22">
        <f t="shared" si="0"/>
        <v>0</v>
      </c>
      <c r="J21" s="22">
        <f t="shared" si="1"/>
        <v>0</v>
      </c>
      <c r="K21" s="22">
        <f t="shared" si="2"/>
        <v>0</v>
      </c>
      <c r="L21" s="22">
        <f>IF(AND(F21-$B$7 &gt; 0,F21-$B$7&lt;='Buffer sizing'!$B$15, G21&gt;'Buffer sizing'!$B$14),G21,0)</f>
        <v>0</v>
      </c>
      <c r="M21" s="22">
        <f t="shared" si="3"/>
        <v>0.3906766779601738</v>
      </c>
      <c r="N21" s="44"/>
      <c r="O21" s="55"/>
      <c r="P21" s="46"/>
      <c r="Q21" s="22">
        <f t="shared" si="4"/>
        <v>0</v>
      </c>
      <c r="R21" s="22">
        <f t="shared" si="5"/>
        <v>0</v>
      </c>
      <c r="S21" s="23">
        <f t="shared" si="6"/>
        <v>0</v>
      </c>
    </row>
    <row r="22" spans="1:19" x14ac:dyDescent="0.35">
      <c r="A22" s="70"/>
      <c r="B22" s="22"/>
      <c r="C22" s="62"/>
      <c r="E22" s="44"/>
      <c r="F22" s="55">
        <v>50056</v>
      </c>
      <c r="G22" s="46">
        <v>27</v>
      </c>
      <c r="H22" s="47">
        <f ca="1">ROUND(RAND()*1*'Buffer sizing'!$B$14, 0)</f>
        <v>1</v>
      </c>
      <c r="I22" s="22">
        <f t="shared" si="0"/>
        <v>0</v>
      </c>
      <c r="J22" s="22">
        <f t="shared" si="1"/>
        <v>0</v>
      </c>
      <c r="K22" s="22">
        <f t="shared" si="2"/>
        <v>0</v>
      </c>
      <c r="L22" s="22">
        <f>IF(AND(F22-$B$7 &gt; 0,F22-$B$7&lt;='Buffer sizing'!$B$15, G22&gt;'Buffer sizing'!$B$14),G22,0)</f>
        <v>0</v>
      </c>
      <c r="M22" s="22">
        <f t="shared" si="3"/>
        <v>0.76507516100534023</v>
      </c>
      <c r="N22" s="44"/>
      <c r="O22" s="55"/>
      <c r="P22" s="46"/>
      <c r="Q22" s="22">
        <f t="shared" si="4"/>
        <v>0</v>
      </c>
      <c r="R22" s="22">
        <f t="shared" si="5"/>
        <v>0</v>
      </c>
      <c r="S22" s="23">
        <f t="shared" si="6"/>
        <v>0</v>
      </c>
    </row>
    <row r="23" spans="1:19" x14ac:dyDescent="0.35">
      <c r="A23" s="70"/>
      <c r="B23" s="22"/>
      <c r="C23" s="62"/>
      <c r="E23" s="44"/>
      <c r="F23" s="55">
        <v>50057</v>
      </c>
      <c r="G23" s="46">
        <v>2</v>
      </c>
      <c r="H23" s="47">
        <f ca="1">ROUND(RAND()*1*'Buffer sizing'!$B$14, 0)</f>
        <v>1</v>
      </c>
      <c r="I23" s="22">
        <f t="shared" si="0"/>
        <v>0</v>
      </c>
      <c r="J23" s="22">
        <f t="shared" si="1"/>
        <v>0</v>
      </c>
      <c r="K23" s="22">
        <f t="shared" si="2"/>
        <v>0</v>
      </c>
      <c r="L23" s="22">
        <f>IF(AND(F23-$B$7 &gt; 0,F23-$B$7&lt;='Buffer sizing'!$B$15, G23&gt;'Buffer sizing'!$B$14),G23,0)</f>
        <v>0</v>
      </c>
      <c r="M23" s="22">
        <f t="shared" si="3"/>
        <v>-1.5749153580269504</v>
      </c>
      <c r="N23" s="44"/>
      <c r="O23" s="55"/>
      <c r="P23" s="46"/>
      <c r="Q23" s="22">
        <f t="shared" si="4"/>
        <v>0</v>
      </c>
      <c r="R23" s="22">
        <f t="shared" si="5"/>
        <v>0</v>
      </c>
      <c r="S23" s="23">
        <f t="shared" si="6"/>
        <v>0</v>
      </c>
    </row>
    <row r="24" spans="1:19" x14ac:dyDescent="0.35">
      <c r="A24" s="70"/>
      <c r="B24" s="22"/>
      <c r="C24" s="62"/>
      <c r="E24" s="44"/>
      <c r="F24" s="55">
        <v>50058</v>
      </c>
      <c r="G24" s="46">
        <v>26</v>
      </c>
      <c r="H24" s="47">
        <f ca="1">ROUND(RAND()*1*'Buffer sizing'!$B$14, 0)</f>
        <v>1</v>
      </c>
      <c r="I24" s="22">
        <f t="shared" si="0"/>
        <v>0</v>
      </c>
      <c r="J24" s="22">
        <f t="shared" si="1"/>
        <v>0</v>
      </c>
      <c r="K24" s="22">
        <f t="shared" si="2"/>
        <v>0</v>
      </c>
      <c r="L24" s="22">
        <f>IF(AND(F24-$B$7 &gt; 0,F24-$B$7&lt;='Buffer sizing'!$B$15, G24&gt;'Buffer sizing'!$B$14),G24,0)</f>
        <v>0</v>
      </c>
      <c r="M24" s="22">
        <f t="shared" si="3"/>
        <v>0.67147554024404865</v>
      </c>
      <c r="N24" s="44"/>
      <c r="O24" s="55"/>
      <c r="P24" s="46"/>
      <c r="Q24" s="22">
        <f t="shared" si="4"/>
        <v>0</v>
      </c>
      <c r="R24" s="22">
        <f t="shared" si="5"/>
        <v>0</v>
      </c>
      <c r="S24" s="23">
        <f t="shared" si="6"/>
        <v>0</v>
      </c>
    </row>
    <row r="25" spans="1:19" x14ac:dyDescent="0.35">
      <c r="A25" s="90"/>
      <c r="B25" s="91"/>
      <c r="C25" s="92"/>
      <c r="E25" s="44"/>
      <c r="F25" s="55">
        <v>50059</v>
      </c>
      <c r="G25" s="46">
        <v>9</v>
      </c>
      <c r="H25" s="47">
        <f ca="1">ROUND(RAND()*1*'Buffer sizing'!$B$14, 0)</f>
        <v>0</v>
      </c>
      <c r="I25" s="22">
        <f t="shared" si="0"/>
        <v>0</v>
      </c>
      <c r="J25" s="22">
        <f t="shared" si="1"/>
        <v>0</v>
      </c>
      <c r="K25" s="22">
        <f t="shared" si="2"/>
        <v>0</v>
      </c>
      <c r="L25" s="22">
        <f>IF(AND(F25-$B$7 &gt; 0,F25-$B$7&lt;='Buffer sizing'!$B$15, G25&gt;'Buffer sizing'!$B$14),G25,0)</f>
        <v>0</v>
      </c>
      <c r="M25" s="22">
        <f t="shared" si="3"/>
        <v>-0.91971801269790887</v>
      </c>
      <c r="N25" s="44"/>
      <c r="O25" s="55"/>
      <c r="P25" s="46"/>
      <c r="Q25" s="22">
        <f t="shared" si="4"/>
        <v>0</v>
      </c>
      <c r="R25" s="22">
        <f t="shared" si="5"/>
        <v>0</v>
      </c>
      <c r="S25" s="23">
        <f t="shared" si="6"/>
        <v>0</v>
      </c>
    </row>
    <row r="26" spans="1:19" x14ac:dyDescent="0.35">
      <c r="A26" s="71"/>
      <c r="B26" s="41"/>
      <c r="C26" s="72"/>
      <c r="E26" s="44"/>
      <c r="F26" s="55">
        <v>50060</v>
      </c>
      <c r="G26" s="46">
        <v>5</v>
      </c>
      <c r="H26" s="47">
        <f ca="1">ROUND(RAND()*1*'Buffer sizing'!$B$14, 0)</f>
        <v>0</v>
      </c>
      <c r="I26" s="22">
        <f t="shared" si="0"/>
        <v>0</v>
      </c>
      <c r="J26" s="22">
        <f t="shared" si="1"/>
        <v>0</v>
      </c>
      <c r="K26" s="22">
        <f t="shared" si="2"/>
        <v>0</v>
      </c>
      <c r="L26" s="22">
        <f>IF(AND(F26-$B$7 &gt; 0,F26-$B$7&lt;='Buffer sizing'!$B$15, G26&gt;'Buffer sizing'!$B$14),G26,0)</f>
        <v>0</v>
      </c>
      <c r="M26" s="22">
        <f t="shared" si="3"/>
        <v>-1.2941164957430753</v>
      </c>
      <c r="N26" s="44"/>
      <c r="O26" s="55"/>
      <c r="P26" s="46"/>
      <c r="Q26" s="22">
        <f t="shared" si="4"/>
        <v>0</v>
      </c>
      <c r="R26" s="22">
        <f t="shared" si="5"/>
        <v>0</v>
      </c>
      <c r="S26" s="23">
        <f t="shared" si="6"/>
        <v>0</v>
      </c>
    </row>
    <row r="27" spans="1:19" x14ac:dyDescent="0.35">
      <c r="A27" s="90" t="s">
        <v>65</v>
      </c>
      <c r="B27" s="91"/>
      <c r="C27" s="92"/>
      <c r="E27" s="44"/>
      <c r="F27" s="55">
        <v>50061</v>
      </c>
      <c r="G27" s="46">
        <v>27</v>
      </c>
      <c r="H27" s="47">
        <f ca="1">ROUND(RAND()*1*'Buffer sizing'!$B$14, 0)</f>
        <v>1</v>
      </c>
      <c r="I27" s="22">
        <f t="shared" si="0"/>
        <v>0</v>
      </c>
      <c r="J27" s="22">
        <f t="shared" si="1"/>
        <v>0</v>
      </c>
      <c r="K27" s="22">
        <f t="shared" si="2"/>
        <v>0</v>
      </c>
      <c r="L27" s="22">
        <f>IF(AND(F27-$B$7 &gt; 0,F27-$B$7&lt;='Buffer sizing'!$B$15, G27&gt;'Buffer sizing'!$B$14),G27,0)</f>
        <v>0</v>
      </c>
      <c r="M27" s="22">
        <f t="shared" si="3"/>
        <v>0.76507516100534023</v>
      </c>
      <c r="N27" s="44"/>
      <c r="O27" s="55"/>
      <c r="P27" s="46"/>
      <c r="Q27" s="22">
        <f t="shared" si="4"/>
        <v>0</v>
      </c>
      <c r="R27" s="22">
        <f t="shared" si="5"/>
        <v>0</v>
      </c>
      <c r="S27" s="23">
        <f t="shared" si="6"/>
        <v>0</v>
      </c>
    </row>
    <row r="28" spans="1:19" ht="15" thickBot="1" x14ac:dyDescent="0.4">
      <c r="A28" s="73"/>
      <c r="B28" s="66"/>
      <c r="C28" s="74"/>
      <c r="E28" s="44"/>
      <c r="F28" s="55">
        <v>50062</v>
      </c>
      <c r="G28" s="46">
        <v>31</v>
      </c>
      <c r="H28" s="47">
        <f ca="1">ROUND(RAND()*1*'Buffer sizing'!$B$14, 0)</f>
        <v>1</v>
      </c>
      <c r="I28" s="22">
        <f t="shared" si="0"/>
        <v>0</v>
      </c>
      <c r="J28" s="22">
        <f t="shared" si="1"/>
        <v>0</v>
      </c>
      <c r="K28" s="22">
        <f t="shared" si="2"/>
        <v>0</v>
      </c>
      <c r="L28" s="22">
        <f>IF(AND(F28-$B$7 &gt; 0,F28-$B$7&lt;='Buffer sizing'!$B$15, G28&gt;'Buffer sizing'!$B$14),G28,0)</f>
        <v>0</v>
      </c>
      <c r="M28" s="22">
        <f t="shared" si="3"/>
        <v>1.1394736440505069</v>
      </c>
      <c r="N28" s="44"/>
      <c r="O28" s="55"/>
      <c r="P28" s="46"/>
      <c r="Q28" s="22">
        <f t="shared" si="4"/>
        <v>0</v>
      </c>
      <c r="R28" s="22">
        <f t="shared" si="5"/>
        <v>0</v>
      </c>
      <c r="S28" s="23">
        <f t="shared" si="6"/>
        <v>0</v>
      </c>
    </row>
    <row r="29" spans="1:19" ht="15" thickTop="1" x14ac:dyDescent="0.35">
      <c r="E29" s="44"/>
      <c r="F29" s="55">
        <v>50063</v>
      </c>
      <c r="G29" s="46">
        <v>23</v>
      </c>
      <c r="H29" s="47">
        <f ca="1">ROUND(RAND()*1*'Buffer sizing'!$B$14, 0)</f>
        <v>0</v>
      </c>
      <c r="I29" s="22">
        <f t="shared" si="0"/>
        <v>0</v>
      </c>
      <c r="J29" s="22">
        <f t="shared" si="1"/>
        <v>0</v>
      </c>
      <c r="K29" s="22">
        <f t="shared" si="2"/>
        <v>0</v>
      </c>
      <c r="L29" s="22">
        <f>IF(AND(F29-$B$7 &gt; 0,F29-$B$7&lt;='Buffer sizing'!$B$15, G29&gt;'Buffer sizing'!$B$14),G29,0)</f>
        <v>0</v>
      </c>
      <c r="M29" s="22">
        <f t="shared" si="3"/>
        <v>0.3906766779601738</v>
      </c>
      <c r="N29" s="44"/>
      <c r="O29" s="55"/>
      <c r="P29" s="46"/>
      <c r="Q29" s="22">
        <f t="shared" si="4"/>
        <v>0</v>
      </c>
      <c r="R29" s="22">
        <f t="shared" si="5"/>
        <v>0</v>
      </c>
      <c r="S29" s="23">
        <f t="shared" si="6"/>
        <v>0</v>
      </c>
    </row>
    <row r="30" spans="1:19" x14ac:dyDescent="0.35">
      <c r="E30" s="44"/>
      <c r="F30" s="45"/>
      <c r="G30" s="46"/>
      <c r="H30" s="47"/>
      <c r="I30" s="22">
        <f t="shared" si="0"/>
        <v>0</v>
      </c>
      <c r="J30" s="22">
        <f t="shared" si="1"/>
        <v>0</v>
      </c>
      <c r="K30" s="22">
        <f t="shared" si="2"/>
        <v>0</v>
      </c>
      <c r="L30" s="22">
        <f>IF(AND(F30-$B$7 &gt; 0,F30-$B$7&lt;='Buffer sizing'!$B$15, G30&gt;'Buffer sizing'!$B$14),G30,0)</f>
        <v>0</v>
      </c>
      <c r="M30" s="22">
        <f t="shared" si="3"/>
        <v>-1.7621145995495335</v>
      </c>
      <c r="N30" s="44"/>
      <c r="O30" s="45"/>
      <c r="P30" s="46"/>
      <c r="Q30" s="22">
        <f t="shared" si="4"/>
        <v>0</v>
      </c>
      <c r="R30" s="22">
        <f t="shared" si="5"/>
        <v>0</v>
      </c>
      <c r="S30" s="23">
        <f t="shared" si="6"/>
        <v>0</v>
      </c>
    </row>
    <row r="31" spans="1:19" ht="15" thickBot="1" x14ac:dyDescent="0.4">
      <c r="E31" s="75"/>
      <c r="F31" s="76"/>
      <c r="G31" s="77"/>
      <c r="H31" s="78"/>
      <c r="I31" s="22">
        <f t="shared" si="0"/>
        <v>0</v>
      </c>
      <c r="J31" s="22">
        <f t="shared" si="1"/>
        <v>0</v>
      </c>
      <c r="K31" s="22">
        <f t="shared" si="2"/>
        <v>0</v>
      </c>
      <c r="L31" s="22">
        <f>IF(AND(F31-$B$7 &gt; 0,F31-$B$7&lt;='Buffer sizing'!$B$15, G31&gt;'Buffer sizing'!$B$14),G31,0)</f>
        <v>0</v>
      </c>
      <c r="M31" s="22">
        <f t="shared" si="3"/>
        <v>-1.7621145995495335</v>
      </c>
      <c r="N31" s="75"/>
      <c r="O31" s="76"/>
      <c r="P31" s="77"/>
      <c r="Q31" s="22">
        <f t="shared" si="4"/>
        <v>0</v>
      </c>
      <c r="R31" s="22">
        <f t="shared" si="5"/>
        <v>0</v>
      </c>
      <c r="S31" s="23">
        <f t="shared" si="6"/>
        <v>0</v>
      </c>
    </row>
    <row r="32" spans="1:19" hidden="1" x14ac:dyDescent="0.35">
      <c r="E32" s="23" t="s">
        <v>66</v>
      </c>
      <c r="G32" s="79">
        <f>SUM(G7:G31)</f>
        <v>433</v>
      </c>
      <c r="I32" s="79">
        <f>SUM(I7:I31)</f>
        <v>0</v>
      </c>
      <c r="J32" s="79">
        <f>SUM(J7:J31)</f>
        <v>0</v>
      </c>
      <c r="K32" s="79">
        <f>SUM(K7:K31)</f>
        <v>0</v>
      </c>
      <c r="L32" s="22">
        <f>IF(AND(F32-$B$7 &gt; 0,F32-$B$7&lt;='Buffer sizing'!$B$15, G32&gt;'Buffer sizing'!$B$14),G32,0)</f>
        <v>0</v>
      </c>
      <c r="M32" s="79"/>
      <c r="Q32" s="79">
        <f>SUM(Q10:Q31)</f>
        <v>0</v>
      </c>
      <c r="R32" s="79">
        <f>SUM(R10:R31)</f>
        <v>0</v>
      </c>
      <c r="S32" s="79">
        <f>SUM(S10:S31)</f>
        <v>104</v>
      </c>
    </row>
    <row r="33" spans="1:7" hidden="1" x14ac:dyDescent="0.35">
      <c r="E33" s="23" t="s">
        <v>67</v>
      </c>
      <c r="G33" s="23">
        <f>AVERAGE(G7:G29)</f>
        <v>18.826086956521738</v>
      </c>
    </row>
    <row r="34" spans="1:7" hidden="1" x14ac:dyDescent="0.35">
      <c r="E34" s="23" t="s">
        <v>68</v>
      </c>
      <c r="G34" s="23">
        <f>STDEVP(G7:G29)</f>
        <v>10.68380397128225</v>
      </c>
    </row>
    <row r="37" spans="1:7" x14ac:dyDescent="0.35">
      <c r="A37" s="80" t="s">
        <v>69</v>
      </c>
      <c r="B37" s="23">
        <f>$B$5</f>
        <v>84</v>
      </c>
    </row>
    <row r="38" spans="1:7" x14ac:dyDescent="0.35">
      <c r="A38" s="81" t="s">
        <v>70</v>
      </c>
      <c r="B38" s="23">
        <f>$B$4-$B$5</f>
        <v>84</v>
      </c>
    </row>
    <row r="39" spans="1:7" x14ac:dyDescent="0.35">
      <c r="A39" s="82" t="s">
        <v>71</v>
      </c>
      <c r="B39" s="23">
        <f>$B$3-$B$4</f>
        <v>42</v>
      </c>
    </row>
    <row r="40" spans="1:7" x14ac:dyDescent="0.35">
      <c r="A40" s="23" t="s">
        <v>72</v>
      </c>
      <c r="B40" s="23">
        <f>$B$16</f>
        <v>209</v>
      </c>
      <c r="C40" s="23">
        <f>$B$16</f>
        <v>209</v>
      </c>
    </row>
    <row r="41" spans="1:7" x14ac:dyDescent="0.35">
      <c r="A41" s="23" t="s">
        <v>73</v>
      </c>
      <c r="B41" s="23">
        <f>$B$11</f>
        <v>105</v>
      </c>
      <c r="C41" s="23">
        <f>$B$11</f>
        <v>105</v>
      </c>
    </row>
    <row r="42" spans="1:7" x14ac:dyDescent="0.35">
      <c r="A42" s="23" t="s">
        <v>74</v>
      </c>
      <c r="B42" s="23">
        <f>$B$19</f>
        <v>105</v>
      </c>
      <c r="C42" s="23">
        <f>$B$19</f>
        <v>105</v>
      </c>
    </row>
    <row r="44" spans="1:7" x14ac:dyDescent="0.35">
      <c r="A44" s="80" t="s">
        <v>69</v>
      </c>
      <c r="B44" s="23">
        <f>ROUND('Buffer sizing'!$B$30*$B$5,0)</f>
        <v>42</v>
      </c>
    </row>
    <row r="45" spans="1:7" x14ac:dyDescent="0.35">
      <c r="A45" s="81" t="s">
        <v>70</v>
      </c>
      <c r="B45" s="23">
        <f>$B$5-ROUND('Buffer sizing'!$B$30*$B$5,0)</f>
        <v>42</v>
      </c>
    </row>
    <row r="46" spans="1:7" x14ac:dyDescent="0.35">
      <c r="A46" s="82" t="s">
        <v>71</v>
      </c>
      <c r="B46" s="23">
        <f>$B$4-$B$5</f>
        <v>84</v>
      </c>
    </row>
    <row r="47" spans="1:7" x14ac:dyDescent="0.35">
      <c r="A47" s="23" t="s">
        <v>73</v>
      </c>
      <c r="B47" s="23">
        <f>$B$11</f>
        <v>105</v>
      </c>
      <c r="C47" s="23">
        <f>$B$11</f>
        <v>105</v>
      </c>
    </row>
    <row r="48" spans="1:7" x14ac:dyDescent="0.35">
      <c r="A48" s="23" t="s">
        <v>74</v>
      </c>
      <c r="B48" s="23">
        <f>$B$19</f>
        <v>105</v>
      </c>
      <c r="C48" s="23">
        <f>$B$19</f>
        <v>105</v>
      </c>
    </row>
  </sheetData>
  <mergeCells count="4">
    <mergeCell ref="O1:W1"/>
    <mergeCell ref="A25:C25"/>
    <mergeCell ref="A27:C27"/>
    <mergeCell ref="E1:H1"/>
  </mergeCells>
  <conditionalFormatting sqref="M7:M31">
    <cfRule type="cellIs" dxfId="13" priority="14" operator="greaterThan">
      <formula>1.5</formula>
    </cfRule>
  </conditionalFormatting>
  <conditionalFormatting sqref="D16">
    <cfRule type="cellIs" dxfId="12" priority="13" operator="lessThan">
      <formula>0</formula>
    </cfRule>
  </conditionalFormatting>
  <conditionalFormatting sqref="C16 C11">
    <cfRule type="cellIs" dxfId="11" priority="12" operator="lessThan">
      <formula>0</formula>
    </cfRule>
  </conditionalFormatting>
  <conditionalFormatting sqref="C19">
    <cfRule type="cellIs" dxfId="10" priority="10" operator="lessThan">
      <formula>0</formula>
    </cfRule>
    <cfRule type="cellIs" dxfId="9" priority="11" operator="lessThan">
      <formula>0</formula>
    </cfRule>
  </conditionalFormatting>
  <conditionalFormatting sqref="D11">
    <cfRule type="cellIs" dxfId="8" priority="8" operator="lessThan">
      <formula>0</formula>
    </cfRule>
    <cfRule type="cellIs" dxfId="7" priority="9" operator="lessThan">
      <formula>0</formula>
    </cfRule>
  </conditionalFormatting>
  <conditionalFormatting sqref="D19">
    <cfRule type="cellIs" dxfId="6" priority="5" operator="lessThan">
      <formula>0</formula>
    </cfRule>
    <cfRule type="cellIs" dxfId="5" priority="6" operator="lessThan">
      <formula>0</formula>
    </cfRule>
    <cfRule type="cellIs" dxfId="4" priority="7" operator="lessThan">
      <formula>0</formula>
    </cfRule>
  </conditionalFormatting>
  <conditionalFormatting sqref="B11">
    <cfRule type="cellIs" dxfId="3" priority="4" operator="lessThan">
      <formula>0</formula>
    </cfRule>
  </conditionalFormatting>
  <conditionalFormatting sqref="B19">
    <cfRule type="cellIs" dxfId="2" priority="3" operator="lessThan">
      <formula>0</formula>
    </cfRule>
  </conditionalFormatting>
  <conditionalFormatting sqref="B17">
    <cfRule type="notContainsBlanks" dxfId="1" priority="2">
      <formula>LEN(TRIM(B17))&gt;0</formula>
    </cfRule>
  </conditionalFormatting>
  <conditionalFormatting sqref="C17">
    <cfRule type="cellIs" dxfId="0" priority="1" operator="greaterThan">
      <formula>0</formula>
    </cfRule>
  </conditionalFormatting>
  <hyperlinks>
    <hyperlink ref="A27" r:id="rId1" xr:uid="{110B0529-A208-488E-A6CD-B0DFE293DE89}"/>
  </hyperlinks>
  <pageMargins left="0.7" right="0.7" top="0.75" bottom="0.75" header="0.3" footer="0.3"/>
  <pageSetup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295E-DC66-4035-A68C-C15D49D67407}">
  <dimension ref="A1:D33"/>
  <sheetViews>
    <sheetView workbookViewId="0">
      <selection activeCell="C2" sqref="C2:C31"/>
    </sheetView>
  </sheetViews>
  <sheetFormatPr defaultRowHeight="14.5" x14ac:dyDescent="0.35"/>
  <cols>
    <col min="1" max="1" width="11.81640625" customWidth="1"/>
    <col min="2" max="2" width="7.7265625" customWidth="1"/>
    <col min="3" max="4" width="8.7265625" customWidth="1"/>
  </cols>
  <sheetData>
    <row r="1" spans="1:3" x14ac:dyDescent="0.35">
      <c r="A1" s="84" t="s">
        <v>48</v>
      </c>
      <c r="B1" s="83" t="s">
        <v>49</v>
      </c>
    </row>
    <row r="2" spans="1:3" x14ac:dyDescent="0.35">
      <c r="A2" s="85">
        <v>50011</v>
      </c>
      <c r="B2">
        <v>11</v>
      </c>
      <c r="C2">
        <f>IF(Sim!$B$7-A2&lt;31, B2,0)</f>
        <v>11</v>
      </c>
    </row>
    <row r="3" spans="1:3" x14ac:dyDescent="0.35">
      <c r="A3" s="85">
        <f>A2+1</f>
        <v>50012</v>
      </c>
      <c r="B3">
        <v>2</v>
      </c>
      <c r="C3">
        <f>IF(Sim!$B$7-A3&lt;31, B3,0)</f>
        <v>2</v>
      </c>
    </row>
    <row r="4" spans="1:3" x14ac:dyDescent="0.35">
      <c r="A4" s="85">
        <f t="shared" ref="A4:A31" si="0">A3+1</f>
        <v>50013</v>
      </c>
      <c r="B4">
        <v>12</v>
      </c>
      <c r="C4">
        <f>IF(Sim!$B$7-A4&lt;31, B4,0)</f>
        <v>12</v>
      </c>
    </row>
    <row r="5" spans="1:3" x14ac:dyDescent="0.35">
      <c r="A5" s="85">
        <f t="shared" si="0"/>
        <v>50014</v>
      </c>
      <c r="B5">
        <v>14</v>
      </c>
      <c r="C5">
        <f>IF(Sim!$B$7-A5&lt;31, B5,0)</f>
        <v>14</v>
      </c>
    </row>
    <row r="6" spans="1:3" x14ac:dyDescent="0.35">
      <c r="A6" s="85">
        <f t="shared" si="0"/>
        <v>50015</v>
      </c>
      <c r="B6">
        <v>10</v>
      </c>
      <c r="C6">
        <f>IF(Sim!$B$7-A6&lt;31, B6,0)</f>
        <v>10</v>
      </c>
    </row>
    <row r="7" spans="1:3" x14ac:dyDescent="0.35">
      <c r="A7" s="85">
        <f t="shared" si="0"/>
        <v>50016</v>
      </c>
      <c r="B7">
        <v>13</v>
      </c>
      <c r="C7">
        <f>IF(Sim!$B$7-A7&lt;31, B7,0)</f>
        <v>13</v>
      </c>
    </row>
    <row r="8" spans="1:3" x14ac:dyDescent="0.35">
      <c r="A8" s="85">
        <f t="shared" si="0"/>
        <v>50017</v>
      </c>
      <c r="B8">
        <v>16</v>
      </c>
      <c r="C8">
        <f>IF(Sim!$B$7-A8&lt;31, B8,0)</f>
        <v>16</v>
      </c>
    </row>
    <row r="9" spans="1:3" x14ac:dyDescent="0.35">
      <c r="A9" s="85">
        <f t="shared" si="0"/>
        <v>50018</v>
      </c>
      <c r="B9">
        <v>11</v>
      </c>
      <c r="C9">
        <f>IF(Sim!$B$7-A9&lt;31, B9,0)</f>
        <v>11</v>
      </c>
    </row>
    <row r="10" spans="1:3" x14ac:dyDescent="0.35">
      <c r="A10" s="85">
        <f t="shared" si="0"/>
        <v>50019</v>
      </c>
      <c r="B10">
        <v>13</v>
      </c>
      <c r="C10">
        <f>IF(Sim!$B$7-A10&lt;31, B10,0)</f>
        <v>13</v>
      </c>
    </row>
    <row r="11" spans="1:3" x14ac:dyDescent="0.35">
      <c r="A11" s="85">
        <f t="shared" si="0"/>
        <v>50020</v>
      </c>
      <c r="B11">
        <v>18</v>
      </c>
      <c r="C11">
        <f>IF(Sim!$B$7-A11&lt;31, B11,0)</f>
        <v>18</v>
      </c>
    </row>
    <row r="12" spans="1:3" x14ac:dyDescent="0.35">
      <c r="A12" s="85">
        <f t="shared" si="0"/>
        <v>50021</v>
      </c>
      <c r="B12">
        <v>10</v>
      </c>
      <c r="C12">
        <f>IF(Sim!$B$7-A12&lt;31, B12,0)</f>
        <v>10</v>
      </c>
    </row>
    <row r="13" spans="1:3" x14ac:dyDescent="0.35">
      <c r="A13" s="85">
        <f t="shared" si="0"/>
        <v>50022</v>
      </c>
      <c r="B13">
        <v>24</v>
      </c>
      <c r="C13">
        <f>IF(Sim!$B$7-A13&lt;31, B13,0)</f>
        <v>24</v>
      </c>
    </row>
    <row r="14" spans="1:3" x14ac:dyDescent="0.35">
      <c r="A14" s="85">
        <f t="shared" si="0"/>
        <v>50023</v>
      </c>
      <c r="B14">
        <v>8</v>
      </c>
      <c r="C14">
        <f>IF(Sim!$B$7-A14&lt;31, B14,0)</f>
        <v>8</v>
      </c>
    </row>
    <row r="15" spans="1:3" x14ac:dyDescent="0.35">
      <c r="A15" s="85">
        <f t="shared" si="0"/>
        <v>50024</v>
      </c>
      <c r="B15">
        <v>11</v>
      </c>
      <c r="C15">
        <f>IF(Sim!$B$7-A15&lt;31, B15,0)</f>
        <v>11</v>
      </c>
    </row>
    <row r="16" spans="1:3" x14ac:dyDescent="0.35">
      <c r="A16" s="85">
        <f t="shared" si="0"/>
        <v>50025</v>
      </c>
      <c r="B16">
        <v>5</v>
      </c>
      <c r="C16">
        <f>IF(Sim!$B$7-A16&lt;31, B16,0)</f>
        <v>5</v>
      </c>
    </row>
    <row r="17" spans="1:4" x14ac:dyDescent="0.35">
      <c r="A17" s="85">
        <f t="shared" si="0"/>
        <v>50026</v>
      </c>
      <c r="B17">
        <v>10</v>
      </c>
      <c r="C17">
        <f>IF(Sim!$B$7-A17&lt;31, B17,0)</f>
        <v>10</v>
      </c>
    </row>
    <row r="18" spans="1:4" x14ac:dyDescent="0.35">
      <c r="A18" s="85">
        <f t="shared" si="0"/>
        <v>50027</v>
      </c>
      <c r="B18">
        <v>8</v>
      </c>
      <c r="C18">
        <f>IF(Sim!$B$7-A18&lt;31, B18,0)</f>
        <v>8</v>
      </c>
    </row>
    <row r="19" spans="1:4" x14ac:dyDescent="0.35">
      <c r="A19" s="85">
        <f t="shared" si="0"/>
        <v>50028</v>
      </c>
      <c r="B19">
        <v>14</v>
      </c>
      <c r="C19">
        <f>IF(Sim!$B$7-A19&lt;31, B19,0)</f>
        <v>14</v>
      </c>
    </row>
    <row r="20" spans="1:4" x14ac:dyDescent="0.35">
      <c r="A20" s="85">
        <f t="shared" si="0"/>
        <v>50029</v>
      </c>
      <c r="B20">
        <v>12</v>
      </c>
      <c r="C20">
        <f>IF(Sim!$B$7-A20&lt;31, B20,0)</f>
        <v>12</v>
      </c>
    </row>
    <row r="21" spans="1:4" x14ac:dyDescent="0.35">
      <c r="A21" s="85">
        <f t="shared" si="0"/>
        <v>50030</v>
      </c>
      <c r="B21">
        <v>7</v>
      </c>
      <c r="C21">
        <f>IF(Sim!$B$7-A21&lt;31, B21,0)</f>
        <v>7</v>
      </c>
    </row>
    <row r="22" spans="1:4" x14ac:dyDescent="0.35">
      <c r="A22" s="85">
        <f t="shared" si="0"/>
        <v>50031</v>
      </c>
      <c r="B22">
        <v>11</v>
      </c>
      <c r="C22">
        <f>IF(Sim!$B$7-A22&lt;31, B22,0)</f>
        <v>11</v>
      </c>
    </row>
    <row r="23" spans="1:4" x14ac:dyDescent="0.35">
      <c r="A23" s="85">
        <f t="shared" si="0"/>
        <v>50032</v>
      </c>
      <c r="B23">
        <v>18</v>
      </c>
      <c r="C23">
        <f>IF(Sim!$B$7-A23&lt;31, B23,0)</f>
        <v>18</v>
      </c>
    </row>
    <row r="24" spans="1:4" x14ac:dyDescent="0.35">
      <c r="A24" s="85">
        <f t="shared" si="0"/>
        <v>50033</v>
      </c>
      <c r="B24">
        <v>1</v>
      </c>
      <c r="C24">
        <f>IF(Sim!$B$7-A24&lt;31, B24,0)</f>
        <v>1</v>
      </c>
    </row>
    <row r="25" spans="1:4" x14ac:dyDescent="0.35">
      <c r="A25" s="85">
        <f t="shared" si="0"/>
        <v>50034</v>
      </c>
      <c r="B25">
        <v>23</v>
      </c>
      <c r="C25">
        <f>IF(Sim!$B$7-A25&lt;31, B25,0)</f>
        <v>23</v>
      </c>
    </row>
    <row r="26" spans="1:4" x14ac:dyDescent="0.35">
      <c r="A26" s="85">
        <f t="shared" si="0"/>
        <v>50035</v>
      </c>
      <c r="B26">
        <v>2</v>
      </c>
      <c r="C26">
        <f>IF(Sim!$B$7-A26&lt;31, B26,0)</f>
        <v>2</v>
      </c>
    </row>
    <row r="27" spans="1:4" x14ac:dyDescent="0.35">
      <c r="A27" s="85">
        <f t="shared" si="0"/>
        <v>50036</v>
      </c>
      <c r="B27">
        <v>12</v>
      </c>
      <c r="C27">
        <f>IF(Sim!$B$7-A27&lt;31, B27,0)</f>
        <v>12</v>
      </c>
    </row>
    <row r="28" spans="1:4" x14ac:dyDescent="0.35">
      <c r="A28" s="85">
        <f t="shared" si="0"/>
        <v>50037</v>
      </c>
      <c r="B28">
        <v>17</v>
      </c>
      <c r="C28">
        <f>IF(Sim!$B$7-A28&lt;31, B28,0)</f>
        <v>17</v>
      </c>
    </row>
    <row r="29" spans="1:4" x14ac:dyDescent="0.35">
      <c r="A29" s="85">
        <f t="shared" si="0"/>
        <v>50038</v>
      </c>
      <c r="B29">
        <v>10</v>
      </c>
      <c r="C29">
        <f>IF(Sim!$B$7-A29&lt;31, B29,0)</f>
        <v>10</v>
      </c>
    </row>
    <row r="30" spans="1:4" x14ac:dyDescent="0.35">
      <c r="A30" s="85">
        <f t="shared" si="0"/>
        <v>50039</v>
      </c>
      <c r="B30">
        <v>17</v>
      </c>
      <c r="C30">
        <f>IF(Sim!$B$7-A30&lt;31, B30,0)</f>
        <v>17</v>
      </c>
    </row>
    <row r="31" spans="1:4" x14ac:dyDescent="0.35">
      <c r="A31" s="85">
        <f t="shared" si="0"/>
        <v>50040</v>
      </c>
      <c r="B31">
        <v>20</v>
      </c>
      <c r="C31">
        <f>IF(Sim!$B$7-A31&lt;31, B31,0)</f>
        <v>20</v>
      </c>
    </row>
    <row r="32" spans="1:4" x14ac:dyDescent="0.35">
      <c r="C32">
        <f>SUM(C2:C31)</f>
        <v>360</v>
      </c>
      <c r="D32" t="s">
        <v>77</v>
      </c>
    </row>
    <row r="33" spans="1:2" x14ac:dyDescent="0.35">
      <c r="A33" t="s">
        <v>67</v>
      </c>
      <c r="B33" s="86">
        <f>SUM(B2:B31)/30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Buffer sizing</vt:lpstr>
      <vt:lpstr>Sim</vt:lpstr>
      <vt:lpstr>Demand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Lilly</dc:creator>
  <cp:lastModifiedBy>Michael Lilly</cp:lastModifiedBy>
  <dcterms:created xsi:type="dcterms:W3CDTF">2018-05-29T20:46:14Z</dcterms:created>
  <dcterms:modified xsi:type="dcterms:W3CDTF">2018-12-12T21:37:20Z</dcterms:modified>
</cp:coreProperties>
</file>