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ENSATION AND BENEFITS (2014)\DATA &amp; REPORTS\HR Finance Project\BEE training stats\"/>
    </mc:Choice>
  </mc:AlternateContent>
  <xr:revisionPtr revIDLastSave="0" documentId="8_{0DB9089D-CF25-4F96-A9D2-9495A5659DE9}" xr6:coauthVersionLast="47" xr6:coauthVersionMax="47" xr10:uidLastSave="{00000000-0000-0000-0000-000000000000}"/>
  <bookViews>
    <workbookView xWindow="28680" yWindow="-120" windowWidth="29040" windowHeight="15840" tabRatio="797" firstSheet="1" activeTab="1" xr2:uid="{9FE1B09E-0F96-4F0F-A8E8-D7D02D82B120}"/>
  </bookViews>
  <sheets>
    <sheet name="Sheet1" sheetId="2" state="hidden" r:id="rId1"/>
    <sheet name="SD Scorecard 2024" sheetId="4" r:id="rId2"/>
    <sheet name="Summary ltd 15% Internal Train" sheetId="5" r:id="rId3"/>
    <sheet name="2023 vs 2024" sheetId="8" r:id="rId4"/>
    <sheet name="Sheet2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4" l="1"/>
  <c r="K14" i="4" l="1"/>
  <c r="I15" i="4"/>
  <c r="I16" i="4"/>
  <c r="I14" i="4"/>
  <c r="J14" i="4"/>
  <c r="J16" i="4" l="1"/>
  <c r="J15" i="4"/>
  <c r="K16" i="4" l="1"/>
  <c r="K15" i="4"/>
  <c r="F18" i="4"/>
  <c r="J18" i="4"/>
  <c r="K18" i="4" s="1"/>
  <c r="K20" i="4"/>
  <c r="K2" i="5"/>
  <c r="F2" i="5" s="1"/>
  <c r="I2" i="5" s="1"/>
  <c r="K3" i="5"/>
  <c r="F3" i="5" s="1"/>
  <c r="K4" i="5"/>
  <c r="F4" i="5" s="1"/>
  <c r="K5" i="5"/>
  <c r="F5" i="5" s="1"/>
  <c r="K6" i="5"/>
  <c r="F6" i="5" s="1"/>
  <c r="K7" i="5"/>
  <c r="F7" i="5" s="1"/>
  <c r="K8" i="5"/>
  <c r="F8" i="5" s="1"/>
  <c r="K9" i="5"/>
  <c r="F9" i="5" s="1"/>
  <c r="K10" i="5"/>
  <c r="F10" i="5" s="1"/>
  <c r="G33" i="4" l="1"/>
  <c r="F5" i="4"/>
  <c r="C4" i="4"/>
  <c r="C31" i="4" s="1"/>
  <c r="G39" i="4"/>
  <c r="K29" i="4" s="1"/>
  <c r="I13" i="5"/>
  <c r="I12" i="5"/>
  <c r="I11" i="5"/>
  <c r="O12" i="2"/>
  <c r="O9" i="2"/>
  <c r="O6" i="2"/>
  <c r="F6" i="4"/>
  <c r="F7" i="4"/>
  <c r="F8" i="4"/>
  <c r="F9" i="4"/>
  <c r="F10" i="4"/>
  <c r="F11" i="4"/>
  <c r="F12" i="4"/>
  <c r="F13" i="4"/>
  <c r="G20" i="4"/>
  <c r="F20" i="4" l="1"/>
  <c r="I8" i="5"/>
  <c r="G11" i="4" s="1"/>
  <c r="I9" i="5"/>
  <c r="G12" i="4" s="1"/>
  <c r="G5" i="4"/>
  <c r="I5" i="4" s="1"/>
  <c r="J5" i="4" s="1"/>
  <c r="K5" i="4" s="1"/>
  <c r="I10" i="5"/>
  <c r="G13" i="4" s="1"/>
  <c r="I3" i="5"/>
  <c r="G6" i="4" s="1"/>
  <c r="I5" i="5"/>
  <c r="G8" i="4" s="1"/>
  <c r="L8" i="4" s="1"/>
  <c r="I6" i="5"/>
  <c r="G9" i="4" s="1"/>
  <c r="I4" i="5"/>
  <c r="G7" i="4" s="1"/>
  <c r="I7" i="5"/>
  <c r="G10" i="4" s="1"/>
  <c r="J29" i="4"/>
  <c r="J20" i="4"/>
  <c r="I11" i="4" l="1"/>
  <c r="J11" i="4" s="1"/>
  <c r="K11" i="4" s="1"/>
  <c r="I7" i="4"/>
  <c r="J7" i="4" s="1"/>
  <c r="K7" i="4" s="1"/>
  <c r="I13" i="4"/>
  <c r="I6" i="4"/>
  <c r="J6" i="4" s="1"/>
  <c r="K6" i="4" s="1"/>
  <c r="I12" i="4"/>
  <c r="J12" i="4" s="1"/>
  <c r="K12" i="4" s="1"/>
  <c r="I10" i="4"/>
  <c r="J10" i="4" s="1"/>
  <c r="K10" i="4" s="1"/>
  <c r="I9" i="4"/>
  <c r="J9" i="4" s="1"/>
  <c r="K9" i="4" s="1"/>
  <c r="I8" i="4"/>
  <c r="J8" i="4" s="1"/>
  <c r="K8" i="4" s="1"/>
  <c r="J13" i="4" l="1"/>
  <c r="K13" i="4" s="1"/>
  <c r="F5" i="8" s="1"/>
  <c r="F3" i="8"/>
  <c r="F4" i="8"/>
  <c r="J13" i="2"/>
  <c r="I15" i="2"/>
  <c r="I14" i="2"/>
  <c r="I13" i="2"/>
  <c r="K13" i="2"/>
  <c r="K17" i="2"/>
  <c r="F17" i="2"/>
  <c r="G32" i="2"/>
  <c r="I17" i="2"/>
  <c r="K28" i="2"/>
  <c r="I8" i="2"/>
  <c r="I7" i="2"/>
  <c r="I6" i="2"/>
  <c r="J6" i="2" s="1"/>
  <c r="I5" i="2"/>
  <c r="J5" i="2" s="1"/>
  <c r="I10" i="2"/>
  <c r="J10" i="2" s="1"/>
  <c r="I11" i="2"/>
  <c r="J11" i="2" s="1"/>
  <c r="C3" i="2"/>
  <c r="I9" i="2"/>
  <c r="J9" i="2" s="1"/>
  <c r="I12" i="2"/>
  <c r="J12" i="2" s="1"/>
  <c r="I4" i="2"/>
  <c r="J4" i="2" s="1"/>
  <c r="K4" i="4" l="1"/>
  <c r="K31" i="4" s="1"/>
  <c r="J7" i="2"/>
  <c r="J8" i="2"/>
  <c r="K14" i="2"/>
  <c r="K15" i="2"/>
  <c r="F19" i="2" l="1"/>
  <c r="F15" i="2" l="1"/>
  <c r="M15" i="2" s="1"/>
  <c r="F14" i="2"/>
  <c r="M14" i="2" s="1"/>
  <c r="F13" i="2"/>
  <c r="F12" i="2"/>
  <c r="N12" i="2" s="1"/>
  <c r="F10" i="2"/>
  <c r="N10" i="2" s="1"/>
  <c r="F9" i="2"/>
  <c r="N9" i="2" s="1"/>
  <c r="F8" i="2"/>
  <c r="N8" i="2" s="1"/>
  <c r="F7" i="2"/>
  <c r="N7" i="2" s="1"/>
  <c r="F6" i="2"/>
  <c r="F5" i="2"/>
  <c r="F4" i="2"/>
  <c r="M13" i="2" l="1"/>
  <c r="M4" i="2"/>
  <c r="M5" i="2"/>
  <c r="M6" i="2"/>
  <c r="M7" i="2"/>
  <c r="M8" i="2"/>
  <c r="M9" i="2"/>
  <c r="M10" i="2"/>
  <c r="M12" i="2"/>
  <c r="C30" i="2"/>
  <c r="J28" i="2"/>
  <c r="G19" i="2"/>
  <c r="J15" i="2"/>
  <c r="J14" i="2"/>
  <c r="F11" i="2" l="1"/>
  <c r="N11" i="2" s="1"/>
  <c r="M11" i="2" l="1"/>
  <c r="K12" i="2"/>
  <c r="K11" i="2"/>
  <c r="K10" i="2"/>
  <c r="K9" i="2"/>
  <c r="K8" i="2"/>
  <c r="K7" i="2"/>
  <c r="K6" i="2"/>
  <c r="K5" i="2"/>
  <c r="K4" i="2"/>
  <c r="K3" i="2" l="1"/>
  <c r="J17" i="2"/>
  <c r="J19" i="2"/>
  <c r="K19" i="2" s="1"/>
  <c r="K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René Dantu</author>
    <author>tc={D7D32088-D414-4598-8AA5-1DFB092DA831}</author>
    <author>tc={02349034-9EF6-4763-83A1-AF0925F43EBF}</author>
  </authors>
  <commentList>
    <comment ref="G13" authorId="0" shapeId="0" xr:uid="{4A2BC316-67D1-43A5-9288-8DB4268315E1}">
      <text>
        <r>
          <rPr>
            <sz val="9"/>
            <color indexed="81"/>
            <rFont val="Tahoma"/>
            <family val="2"/>
          </rPr>
          <t>Should maximise in ths category since spend on disabled learners is included (double count)</t>
        </r>
      </text>
    </comment>
    <comment ref="G28" authorId="1" shapeId="0" xr:uid="{D7D32088-D414-4598-8AA5-1DFB092D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against MC to confirm number people with disabilities that need to be employed. Split this into employed and unemployed to make it easier.</t>
      </text>
    </comment>
    <comment ref="G38" authorId="2" shapeId="0" xr:uid="{02349034-9EF6-4763-83A1-AF0925F43EB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estimating staff headcount - 641 in October and add exec directors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tc={F01CD454-FD34-4483-929B-6B2401DAF80C}</author>
  </authors>
  <commentList>
    <comment ref="G29" authorId="0" shapeId="0" xr:uid="{F01CD454-FD34-4483-929B-6B2401DAF80C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against MC to confirm number people with disabilities that need to be employed. Split this into employed and unemployed to make it easier.</t>
      </text>
    </comment>
  </commentList>
</comments>
</file>

<file path=xl/sharedStrings.xml><?xml version="1.0" encoding="utf-8"?>
<sst xmlns="http://schemas.openxmlformats.org/spreadsheetml/2006/main" count="137" uniqueCount="80">
  <si>
    <t>Description</t>
  </si>
  <si>
    <t>Target points</t>
  </si>
  <si>
    <t>% target spend of leviable amount</t>
  </si>
  <si>
    <t>Target Spend to achieve full points</t>
  </si>
  <si>
    <t>Spend to date</t>
  </si>
  <si>
    <t>Planned Spend</t>
  </si>
  <si>
    <t>Total</t>
  </si>
  <si>
    <t>% spend</t>
  </si>
  <si>
    <t>Total Points</t>
  </si>
  <si>
    <t>Cost per point</t>
  </si>
  <si>
    <t>91A Training Spend on employees</t>
  </si>
  <si>
    <t>Senior Management - Black</t>
  </si>
  <si>
    <t>Senior Management - Black Female</t>
  </si>
  <si>
    <t>Senior Management - African</t>
  </si>
  <si>
    <t>Middle Management - Black</t>
  </si>
  <si>
    <t>Middle Management - Black Female</t>
  </si>
  <si>
    <t>Middle Management - African</t>
  </si>
  <si>
    <t>Junior Management - Black</t>
  </si>
  <si>
    <t>Junior Management - Black Female</t>
  </si>
  <si>
    <t>Junior Management - African</t>
  </si>
  <si>
    <t>Non-Management - Black</t>
  </si>
  <si>
    <t>Non-Management - Black Female</t>
  </si>
  <si>
    <t>Non-Management - African</t>
  </si>
  <si>
    <t xml:space="preserve">Black people with Disabilities </t>
  </si>
  <si>
    <t>91A Training Spend on unemployed</t>
  </si>
  <si>
    <t>Changeblazers undergraduate</t>
  </si>
  <si>
    <t>Changeblazers post graduate - Wits</t>
  </si>
  <si>
    <t>Changeblazers post graduate - UP</t>
  </si>
  <si>
    <t>Changeblazers post graduate - US</t>
  </si>
  <si>
    <t>Changeblazers post graduate - UJ</t>
  </si>
  <si>
    <t>IFA Practice Management Program (67%)</t>
  </si>
  <si>
    <t>ProMaths / StudyTrust (Bursary program)</t>
  </si>
  <si>
    <t>Skills Development Corporation</t>
  </si>
  <si>
    <t># people in learnership</t>
  </si>
  <si>
    <t>Total leviable amount (final)</t>
  </si>
  <si>
    <t>Senior Management</t>
  </si>
  <si>
    <t>Middle Management</t>
  </si>
  <si>
    <t>Junior Management</t>
  </si>
  <si>
    <t>Semi-skilled</t>
  </si>
  <si>
    <t>Total Employees (April 22)</t>
  </si>
  <si>
    <t xml:space="preserve">IFA Practice Management Program </t>
  </si>
  <si>
    <t>Total Employees (April 23) including people with disabilities</t>
  </si>
  <si>
    <t>Rolled Out</t>
  </si>
  <si>
    <t>Amount per Gl</t>
  </si>
  <si>
    <t xml:space="preserve">Total Internal Trainers </t>
  </si>
  <si>
    <t xml:space="preserve">Total </t>
  </si>
  <si>
    <t>Semi Skilled Black</t>
  </si>
  <si>
    <t>Semi Skilled Black Female</t>
  </si>
  <si>
    <t>Semi Skilled African</t>
  </si>
  <si>
    <t>Limit</t>
  </si>
  <si>
    <t>Actual On the job</t>
  </si>
  <si>
    <t>Senior management</t>
  </si>
  <si>
    <t>Middle management</t>
  </si>
  <si>
    <t>Junior management</t>
  </si>
  <si>
    <t>Non management</t>
  </si>
  <si>
    <t>4.00 </t>
  </si>
  <si>
    <t>Skills Development</t>
  </si>
  <si>
    <t>Total available points</t>
  </si>
  <si>
    <t>FY2023</t>
  </si>
  <si>
    <t>FYE2022</t>
  </si>
  <si>
    <t>employees with disabilities</t>
  </si>
  <si>
    <t>- unemployed</t>
  </si>
  <si>
    <t>- # people in learnership</t>
  </si>
  <si>
    <t>FY2024</t>
  </si>
  <si>
    <t>Comfortable will meet this goal</t>
  </si>
  <si>
    <t xml:space="preserve">Need to build on this. </t>
  </si>
  <si>
    <t>Thato Theron</t>
  </si>
  <si>
    <t>Female</t>
  </si>
  <si>
    <t>African</t>
  </si>
  <si>
    <t>Yandisa Gcwabe</t>
  </si>
  <si>
    <t>Rifqah Adams</t>
  </si>
  <si>
    <t>Coloured</t>
  </si>
  <si>
    <t>Melanie Lucas</t>
  </si>
  <si>
    <t>Beatrice Ramaloko</t>
  </si>
  <si>
    <t>Imran Solomons</t>
  </si>
  <si>
    <t>Male</t>
  </si>
  <si>
    <t>On the Job Training ltd to 15%</t>
  </si>
  <si>
    <t>Plural Sight</t>
  </si>
  <si>
    <t>Learnerships</t>
  </si>
  <si>
    <t>Leadership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</si>
</sst>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_ ;\-0\ "/>
    <numFmt numFmtId="167" formatCode="_-* #,##0.0_-;\-* #,##0.0_-;_-* &quot;-&quot;??_-;_-@_-"/>
    <numFmt numFmtId="168" formatCode="_(* #,##0.0_);_(* \(#,##0.0\);_(* &quot;-&quot;?_);_(@_)"/>
    <numFmt numFmtId="169" formatCode="_(* #,##0_);_(* \(#,##0\);_(* &quot;-&quot;??_);_(@_)"/>
  </numFmts>
  <fonts count="1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rgb="FF0033CC"/>
      <name val="Calibri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164" fontId="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1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</cellStyleXfs>
  <cellXfs count="186">
    <xf numFmtId="0" fontId="0" fillId="0" borderId="0" xfId="0"/>
    <xf numFmtId="164" fontId="2" fillId="0" borderId="0" xfId="1" applyFont="1"/>
    <xf numFmtId="165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3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64" fontId="5" fillId="0" borderId="0" xfId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64" fontId="5" fillId="0" borderId="7" xfId="1" applyFont="1" applyFill="1" applyBorder="1" applyAlignment="1">
      <alignment horizontal="left"/>
    </xf>
    <xf numFmtId="3" fontId="2" fillId="0" borderId="7" xfId="0" applyNumberFormat="1" applyFont="1" applyBorder="1"/>
    <xf numFmtId="10" fontId="2" fillId="0" borderId="8" xfId="2" applyNumberFormat="1" applyFont="1" applyBorder="1"/>
    <xf numFmtId="3" fontId="2" fillId="0" borderId="0" xfId="2" applyNumberFormat="1" applyFont="1"/>
    <xf numFmtId="2" fontId="2" fillId="0" borderId="0" xfId="3" applyNumberFormat="1"/>
    <xf numFmtId="164" fontId="5" fillId="0" borderId="5" xfId="1" applyFont="1" applyFill="1" applyBorder="1" applyAlignment="1">
      <alignment horizontal="left"/>
    </xf>
    <xf numFmtId="3" fontId="2" fillId="0" borderId="5" xfId="0" applyNumberFormat="1" applyFont="1" applyBorder="1"/>
    <xf numFmtId="10" fontId="2" fillId="0" borderId="6" xfId="2" applyNumberFormat="1" applyFont="1" applyBorder="1"/>
    <xf numFmtId="164" fontId="5" fillId="0" borderId="3" xfId="1" applyFont="1" applyFill="1" applyBorder="1" applyAlignment="1">
      <alignment horizontal="left"/>
    </xf>
    <xf numFmtId="3" fontId="2" fillId="0" borderId="3" xfId="0" applyNumberFormat="1" applyFont="1" applyBorder="1"/>
    <xf numFmtId="10" fontId="2" fillId="0" borderId="4" xfId="2" applyNumberFormat="1" applyFont="1" applyBorder="1"/>
    <xf numFmtId="10" fontId="2" fillId="0" borderId="7" xfId="2" applyNumberFormat="1" applyFont="1" applyBorder="1"/>
    <xf numFmtId="10" fontId="2" fillId="0" borderId="5" xfId="2" applyNumberFormat="1" applyFont="1" applyBorder="1"/>
    <xf numFmtId="10" fontId="2" fillId="0" borderId="3" xfId="2" applyNumberFormat="1" applyFont="1" applyBorder="1"/>
    <xf numFmtId="164" fontId="5" fillId="0" borderId="1" xfId="1" applyFont="1" applyFill="1" applyBorder="1" applyAlignment="1">
      <alignment horizontal="left"/>
    </xf>
    <xf numFmtId="10" fontId="2" fillId="0" borderId="1" xfId="2" applyNumberFormat="1" applyFont="1" applyBorder="1"/>
    <xf numFmtId="3" fontId="6" fillId="0" borderId="0" xfId="2" applyNumberFormat="1" applyFont="1"/>
    <xf numFmtId="0" fontId="6" fillId="0" borderId="0" xfId="0" applyFont="1"/>
    <xf numFmtId="1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165" fontId="2" fillId="0" borderId="1" xfId="0" applyNumberFormat="1" applyFont="1" applyBorder="1"/>
    <xf numFmtId="164" fontId="6" fillId="0" borderId="0" xfId="0" applyNumberFormat="1" applyFont="1"/>
    <xf numFmtId="164" fontId="5" fillId="0" borderId="8" xfId="1" applyFont="1" applyFill="1" applyBorder="1" applyAlignment="1">
      <alignment horizontal="left"/>
    </xf>
    <xf numFmtId="167" fontId="2" fillId="0" borderId="7" xfId="1" applyNumberFormat="1" applyFont="1" applyBorder="1" applyAlignment="1">
      <alignment horizontal="center"/>
    </xf>
    <xf numFmtId="164" fontId="2" fillId="0" borderId="5" xfId="1" applyFont="1" applyBorder="1"/>
    <xf numFmtId="165" fontId="7" fillId="0" borderId="0" xfId="0" applyNumberFormat="1" applyFont="1"/>
    <xf numFmtId="164" fontId="5" fillId="0" borderId="6" xfId="1" applyFont="1" applyFill="1" applyBorder="1" applyAlignment="1">
      <alignment horizontal="left"/>
    </xf>
    <xf numFmtId="167" fontId="2" fillId="0" borderId="5" xfId="1" applyNumberFormat="1" applyFont="1" applyBorder="1" applyAlignment="1">
      <alignment horizontal="center"/>
    </xf>
    <xf numFmtId="0" fontId="2" fillId="0" borderId="5" xfId="0" applyFont="1" applyBorder="1"/>
    <xf numFmtId="164" fontId="5" fillId="0" borderId="4" xfId="1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1" applyFont="1" applyBorder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3" fillId="0" borderId="0" xfId="1" applyNumberFormat="1" applyFont="1" applyFill="1" applyBorder="1" applyAlignment="1">
      <alignment horizontal="right"/>
    </xf>
    <xf numFmtId="165" fontId="3" fillId="0" borderId="0" xfId="1" applyNumberFormat="1" applyFont="1" applyFill="1"/>
    <xf numFmtId="165" fontId="5" fillId="0" borderId="0" xfId="1" applyNumberFormat="1" applyFont="1" applyFill="1" applyBorder="1" applyAlignment="1">
      <alignment horizontal="right"/>
    </xf>
    <xf numFmtId="2" fontId="4" fillId="0" borderId="0" xfId="0" applyNumberFormat="1" applyFont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164" fontId="5" fillId="0" borderId="10" xfId="1" applyFont="1" applyFill="1" applyBorder="1" applyAlignment="1">
      <alignment horizontal="left"/>
    </xf>
    <xf numFmtId="10" fontId="2" fillId="0" borderId="10" xfId="0" applyNumberFormat="1" applyFont="1" applyBorder="1" applyAlignment="1">
      <alignment horizontal="center"/>
    </xf>
    <xf numFmtId="3" fontId="2" fillId="0" borderId="10" xfId="0" applyNumberFormat="1" applyFont="1" applyBorder="1"/>
    <xf numFmtId="10" fontId="2" fillId="0" borderId="10" xfId="2" applyNumberFormat="1" applyFont="1" applyBorder="1"/>
    <xf numFmtId="2" fontId="2" fillId="0" borderId="10" xfId="0" applyNumberFormat="1" applyFont="1" applyBorder="1" applyAlignment="1">
      <alignment horizontal="center"/>
    </xf>
    <xf numFmtId="3" fontId="2" fillId="0" borderId="0" xfId="2" applyNumberFormat="1" applyFont="1" applyBorder="1"/>
    <xf numFmtId="0" fontId="4" fillId="0" borderId="9" xfId="0" applyFont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3" fontId="2" fillId="5" borderId="7" xfId="0" applyNumberFormat="1" applyFont="1" applyFill="1" applyBorder="1"/>
    <xf numFmtId="3" fontId="2" fillId="5" borderId="5" xfId="0" applyNumberFormat="1" applyFont="1" applyFill="1" applyBorder="1"/>
    <xf numFmtId="3" fontId="2" fillId="5" borderId="3" xfId="0" applyNumberFormat="1" applyFont="1" applyFill="1" applyBorder="1"/>
    <xf numFmtId="165" fontId="3" fillId="5" borderId="0" xfId="1" applyNumberFormat="1" applyFont="1" applyFill="1"/>
    <xf numFmtId="165" fontId="5" fillId="5" borderId="0" xfId="1" applyNumberFormat="1" applyFont="1" applyFill="1" applyBorder="1" applyAlignment="1">
      <alignment horizontal="right"/>
    </xf>
    <xf numFmtId="165" fontId="5" fillId="5" borderId="0" xfId="1" applyNumberFormat="1" applyFont="1" applyFill="1"/>
    <xf numFmtId="10" fontId="2" fillId="5" borderId="3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5" fontId="2" fillId="5" borderId="5" xfId="0" applyNumberFormat="1" applyFont="1" applyFill="1" applyBorder="1"/>
    <xf numFmtId="165" fontId="5" fillId="5" borderId="5" xfId="0" applyNumberFormat="1" applyFont="1" applyFill="1" applyBorder="1"/>
    <xf numFmtId="165" fontId="2" fillId="5" borderId="5" xfId="1" applyNumberFormat="1" applyFont="1" applyFill="1" applyBorder="1"/>
    <xf numFmtId="165" fontId="2" fillId="5" borderId="3" xfId="1" applyNumberFormat="1" applyFont="1" applyFill="1" applyBorder="1"/>
    <xf numFmtId="0" fontId="2" fillId="5" borderId="1" xfId="0" applyFont="1" applyFill="1" applyBorder="1" applyAlignment="1">
      <alignment horizontal="center"/>
    </xf>
    <xf numFmtId="165" fontId="0" fillId="0" borderId="0" xfId="1" applyNumberFormat="1" applyFont="1"/>
    <xf numFmtId="2" fontId="2" fillId="6" borderId="5" xfId="0" applyNumberFormat="1" applyFont="1" applyFill="1" applyBorder="1" applyAlignment="1">
      <alignment horizontal="center"/>
    </xf>
    <xf numFmtId="168" fontId="2" fillId="0" borderId="0" xfId="0" applyNumberFormat="1" applyFont="1"/>
    <xf numFmtId="169" fontId="2" fillId="0" borderId="7" xfId="1" applyNumberFormat="1" applyFont="1" applyBorder="1"/>
    <xf numFmtId="169" fontId="2" fillId="0" borderId="5" xfId="1" applyNumberFormat="1" applyFont="1" applyBorder="1"/>
    <xf numFmtId="169" fontId="2" fillId="0" borderId="3" xfId="1" applyNumberFormat="1" applyFont="1" applyBorder="1"/>
    <xf numFmtId="165" fontId="2" fillId="5" borderId="0" xfId="0" applyNumberFormat="1" applyFont="1" applyFill="1"/>
    <xf numFmtId="165" fontId="5" fillId="5" borderId="0" xfId="0" applyNumberFormat="1" applyFont="1" applyFill="1"/>
    <xf numFmtId="165" fontId="2" fillId="5" borderId="0" xfId="1" applyNumberFormat="1" applyFont="1" applyFill="1" applyBorder="1"/>
    <xf numFmtId="169" fontId="2" fillId="0" borderId="5" xfId="3" applyNumberFormat="1" applyBorder="1"/>
    <xf numFmtId="169" fontId="0" fillId="0" borderId="0" xfId="5" applyNumberFormat="1" applyFont="1" applyFill="1"/>
    <xf numFmtId="0" fontId="3" fillId="0" borderId="0" xfId="0" applyFont="1" applyAlignment="1">
      <alignment horizontal="center" vertical="center"/>
    </xf>
    <xf numFmtId="164" fontId="5" fillId="0" borderId="0" xfId="8" applyFont="1" applyFill="1" applyBorder="1" applyAlignment="1">
      <alignment horizontal="left"/>
    </xf>
    <xf numFmtId="164" fontId="5" fillId="0" borderId="7" xfId="8" applyFont="1" applyFill="1" applyBorder="1" applyAlignment="1">
      <alignment horizontal="left"/>
    </xf>
    <xf numFmtId="165" fontId="0" fillId="0" borderId="0" xfId="8" applyNumberFormat="1" applyFont="1"/>
    <xf numFmtId="169" fontId="2" fillId="0" borderId="0" xfId="5" applyNumberFormat="1" applyFont="1"/>
    <xf numFmtId="43" fontId="2" fillId="0" borderId="0" xfId="0" applyNumberFormat="1" applyFont="1"/>
    <xf numFmtId="164" fontId="2" fillId="0" borderId="0" xfId="8" applyFont="1"/>
    <xf numFmtId="164" fontId="5" fillId="0" borderId="5" xfId="8" applyFont="1" applyFill="1" applyBorder="1" applyAlignment="1">
      <alignment horizontal="left"/>
    </xf>
    <xf numFmtId="164" fontId="5" fillId="0" borderId="3" xfId="8" applyFont="1" applyFill="1" applyBorder="1" applyAlignment="1">
      <alignment horizontal="left"/>
    </xf>
    <xf numFmtId="164" fontId="5" fillId="0" borderId="10" xfId="8" applyFont="1" applyFill="1" applyBorder="1" applyAlignment="1">
      <alignment horizontal="left"/>
    </xf>
    <xf numFmtId="164" fontId="5" fillId="0" borderId="1" xfId="8" applyFont="1" applyFill="1" applyBorder="1" applyAlignment="1">
      <alignment horizontal="left"/>
    </xf>
    <xf numFmtId="165" fontId="2" fillId="0" borderId="0" xfId="8" applyNumberFormat="1" applyFont="1"/>
    <xf numFmtId="164" fontId="5" fillId="0" borderId="8" xfId="8" applyFont="1" applyFill="1" applyBorder="1" applyAlignment="1">
      <alignment horizontal="left"/>
    </xf>
    <xf numFmtId="167" fontId="2" fillId="0" borderId="7" xfId="8" applyNumberFormat="1" applyFont="1" applyBorder="1" applyAlignment="1">
      <alignment horizontal="center"/>
    </xf>
    <xf numFmtId="164" fontId="2" fillId="0" borderId="5" xfId="8" applyFont="1" applyBorder="1"/>
    <xf numFmtId="164" fontId="5" fillId="0" borderId="6" xfId="8" applyFont="1" applyFill="1" applyBorder="1" applyAlignment="1">
      <alignment horizontal="left"/>
    </xf>
    <xf numFmtId="167" fontId="2" fillId="0" borderId="5" xfId="8" applyNumberFormat="1" applyFont="1" applyBorder="1" applyAlignment="1">
      <alignment horizontal="center"/>
    </xf>
    <xf numFmtId="165" fontId="2" fillId="5" borderId="5" xfId="8" applyNumberFormat="1" applyFont="1" applyFill="1" applyBorder="1"/>
    <xf numFmtId="165" fontId="2" fillId="5" borderId="0" xfId="8" applyNumberFormat="1" applyFont="1" applyFill="1" applyBorder="1"/>
    <xf numFmtId="164" fontId="5" fillId="0" borderId="4" xfId="8" applyFont="1" applyFill="1" applyBorder="1" applyAlignment="1">
      <alignment horizontal="left"/>
    </xf>
    <xf numFmtId="164" fontId="2" fillId="0" borderId="3" xfId="8" applyFont="1" applyBorder="1"/>
    <xf numFmtId="165" fontId="2" fillId="5" borderId="3" xfId="8" applyNumberFormat="1" applyFont="1" applyFill="1" applyBorder="1"/>
    <xf numFmtId="166" fontId="2" fillId="0" borderId="1" xfId="8" applyNumberFormat="1" applyFont="1" applyBorder="1" applyAlignment="1">
      <alignment horizontal="center"/>
    </xf>
    <xf numFmtId="165" fontId="3" fillId="0" borderId="0" xfId="8" applyNumberFormat="1" applyFont="1" applyFill="1" applyBorder="1" applyAlignment="1">
      <alignment horizontal="right"/>
    </xf>
    <xf numFmtId="165" fontId="3" fillId="5" borderId="0" xfId="8" applyNumberFormat="1" applyFont="1" applyFill="1"/>
    <xf numFmtId="165" fontId="5" fillId="0" borderId="0" xfId="8" applyNumberFormat="1" applyFont="1" applyFill="1" applyBorder="1" applyAlignment="1">
      <alignment horizontal="right"/>
    </xf>
    <xf numFmtId="165" fontId="5" fillId="5" borderId="0" xfId="8" applyNumberFormat="1" applyFont="1" applyFill="1" applyBorder="1" applyAlignment="1">
      <alignment horizontal="right"/>
    </xf>
    <xf numFmtId="0" fontId="2" fillId="0" borderId="7" xfId="3" applyBorder="1"/>
    <xf numFmtId="169" fontId="0" fillId="0" borderId="0" xfId="5" applyNumberFormat="1" applyFont="1"/>
    <xf numFmtId="169" fontId="2" fillId="0" borderId="0" xfId="5" applyNumberFormat="1" applyFont="1" applyBorder="1"/>
    <xf numFmtId="169" fontId="2" fillId="0" borderId="0" xfId="5" applyNumberFormat="1" applyFont="1" applyFill="1" applyBorder="1"/>
    <xf numFmtId="2" fontId="2" fillId="0" borderId="0" xfId="5" applyNumberFormat="1" applyFont="1"/>
    <xf numFmtId="166" fontId="6" fillId="0" borderId="1" xfId="1" applyNumberFormat="1" applyFont="1" applyBorder="1" applyAlignment="1">
      <alignment horizontal="center"/>
    </xf>
    <xf numFmtId="3" fontId="13" fillId="0" borderId="0" xfId="0" applyNumberFormat="1" applyFont="1"/>
    <xf numFmtId="3" fontId="2" fillId="0" borderId="0" xfId="0" applyNumberFormat="1" applyFont="1"/>
    <xf numFmtId="3" fontId="2" fillId="0" borderId="8" xfId="0" applyNumberFormat="1" applyFont="1" applyBorder="1"/>
    <xf numFmtId="3" fontId="2" fillId="0" borderId="6" xfId="0" applyNumberFormat="1" applyFont="1" applyBorder="1"/>
    <xf numFmtId="3" fontId="2" fillId="0" borderId="4" xfId="0" applyNumberFormat="1" applyFont="1" applyBorder="1"/>
    <xf numFmtId="3" fontId="2" fillId="5" borderId="12" xfId="0" applyNumberFormat="1" applyFont="1" applyFill="1" applyBorder="1"/>
    <xf numFmtId="3" fontId="2" fillId="5" borderId="13" xfId="0" applyNumberFormat="1" applyFont="1" applyFill="1" applyBorder="1"/>
    <xf numFmtId="3" fontId="2" fillId="5" borderId="14" xfId="0" applyNumberFormat="1" applyFont="1" applyFill="1" applyBorder="1"/>
    <xf numFmtId="3" fontId="12" fillId="5" borderId="0" xfId="0" applyNumberFormat="1" applyFont="1" applyFill="1"/>
    <xf numFmtId="3" fontId="13" fillId="5" borderId="15" xfId="0" applyNumberFormat="1" applyFont="1" applyFill="1" applyBorder="1"/>
    <xf numFmtId="3" fontId="13" fillId="5" borderId="16" xfId="0" applyNumberFormat="1" applyFont="1" applyFill="1" applyBorder="1"/>
    <xf numFmtId="3" fontId="13" fillId="5" borderId="17" xfId="0" applyNumberFormat="1" applyFont="1" applyFill="1" applyBorder="1"/>
    <xf numFmtId="165" fontId="6" fillId="5" borderId="0" xfId="8" applyNumberFormat="1" applyFont="1" applyFill="1"/>
    <xf numFmtId="3" fontId="13" fillId="5" borderId="18" xfId="0" applyNumberFormat="1" applyFont="1" applyFill="1" applyBorder="1"/>
    <xf numFmtId="164" fontId="5" fillId="0" borderId="6" xfId="13" applyFont="1" applyFill="1" applyBorder="1" applyAlignment="1">
      <alignment horizontal="left"/>
    </xf>
    <xf numFmtId="164" fontId="5" fillId="0" borderId="4" xfId="13" applyFont="1" applyFill="1" applyBorder="1" applyAlignment="1">
      <alignment horizontal="left"/>
    </xf>
    <xf numFmtId="3" fontId="12" fillId="0" borderId="5" xfId="0" applyNumberFormat="1" applyFont="1" applyBorder="1"/>
    <xf numFmtId="0" fontId="12" fillId="0" borderId="5" xfId="0" applyFont="1" applyBorder="1"/>
    <xf numFmtId="3" fontId="12" fillId="0" borderId="3" xfId="0" applyNumberFormat="1" applyFont="1" applyBorder="1"/>
    <xf numFmtId="3" fontId="12" fillId="0" borderId="0" xfId="0" applyNumberFormat="1" applyFont="1" applyBorder="1"/>
    <xf numFmtId="169" fontId="2" fillId="0" borderId="10" xfId="5" applyNumberFormat="1" applyFont="1" applyFill="1" applyBorder="1"/>
    <xf numFmtId="3" fontId="12" fillId="0" borderId="7" xfId="0" applyNumberFormat="1" applyFont="1" applyBorder="1"/>
    <xf numFmtId="165" fontId="2" fillId="0" borderId="0" xfId="17" applyNumberFormat="1"/>
    <xf numFmtId="3" fontId="12" fillId="5" borderId="13" xfId="0" applyNumberFormat="1" applyFont="1" applyFill="1" applyBorder="1"/>
    <xf numFmtId="169" fontId="2" fillId="0" borderId="5" xfId="5" applyNumberFormat="1" applyFont="1" applyFill="1" applyBorder="1"/>
    <xf numFmtId="169" fontId="2" fillId="0" borderId="3" xfId="5" applyNumberFormat="1" applyFont="1" applyFill="1" applyBorder="1"/>
    <xf numFmtId="0" fontId="2" fillId="5" borderId="0" xfId="3" applyFill="1"/>
    <xf numFmtId="164" fontId="2" fillId="5" borderId="0" xfId="3" applyNumberFormat="1" applyFill="1"/>
    <xf numFmtId="3" fontId="12" fillId="5" borderId="12" xfId="0" applyNumberFormat="1" applyFont="1" applyFill="1" applyBorder="1"/>
    <xf numFmtId="3" fontId="12" fillId="0" borderId="8" xfId="0" applyNumberFormat="1" applyFont="1" applyBorder="1"/>
    <xf numFmtId="3" fontId="12" fillId="0" borderId="6" xfId="0" applyNumberFormat="1" applyFont="1" applyBorder="1"/>
    <xf numFmtId="3" fontId="12" fillId="0" borderId="4" xfId="0" applyNumberFormat="1" applyFont="1" applyBorder="1"/>
    <xf numFmtId="169" fontId="0" fillId="0" borderId="7" xfId="5" applyNumberFormat="1" applyFont="1" applyFill="1" applyBorder="1"/>
    <xf numFmtId="169" fontId="0" fillId="0" borderId="5" xfId="5" applyNumberFormat="1" applyFont="1" applyFill="1" applyBorder="1"/>
    <xf numFmtId="169" fontId="0" fillId="0" borderId="3" xfId="5" applyNumberFormat="1" applyFont="1" applyFill="1" applyBorder="1"/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0" fontId="14" fillId="0" borderId="0" xfId="0" applyFont="1"/>
    <xf numFmtId="165" fontId="10" fillId="0" borderId="0" xfId="16" applyNumberFormat="1"/>
    <xf numFmtId="0" fontId="2" fillId="0" borderId="0" xfId="17"/>
    <xf numFmtId="0" fontId="9" fillId="7" borderId="0" xfId="18" applyFont="1" applyFill="1"/>
    <xf numFmtId="0" fontId="9" fillId="8" borderId="0" xfId="18" applyFont="1" applyFill="1"/>
    <xf numFmtId="0" fontId="9" fillId="5" borderId="0" xfId="18" applyFont="1" applyFill="1"/>
    <xf numFmtId="0" fontId="9" fillId="9" borderId="0" xfId="18" applyFont="1" applyFill="1"/>
    <xf numFmtId="0" fontId="9" fillId="0" borderId="0" xfId="18" applyFont="1"/>
    <xf numFmtId="0" fontId="14" fillId="10" borderId="12" xfId="0" applyFont="1" applyFill="1" applyBorder="1" applyAlignment="1">
      <alignment wrapText="1"/>
    </xf>
    <xf numFmtId="0" fontId="14" fillId="10" borderId="12" xfId="0" applyFont="1" applyFill="1" applyBorder="1"/>
    <xf numFmtId="0" fontId="14" fillId="10" borderId="0" xfId="0" applyFont="1" applyFill="1"/>
    <xf numFmtId="0" fontId="14" fillId="11" borderId="7" xfId="0" applyFont="1" applyFill="1" applyBorder="1"/>
    <xf numFmtId="0" fontId="2" fillId="0" borderId="1" xfId="3" applyBorder="1"/>
    <xf numFmtId="0" fontId="0" fillId="0" borderId="1" xfId="0" applyBorder="1" applyAlignment="1">
      <alignment vertical="center" wrapText="1"/>
    </xf>
    <xf numFmtId="164" fontId="0" fillId="0" borderId="1" xfId="1" applyFont="1" applyBorder="1" applyAlignment="1">
      <alignment vertical="center" wrapText="1"/>
    </xf>
    <xf numFmtId="2" fontId="2" fillId="0" borderId="1" xfId="3" applyNumberFormat="1" applyBorder="1"/>
    <xf numFmtId="0" fontId="0" fillId="0" borderId="1" xfId="0" applyFill="1" applyBorder="1" applyAlignment="1">
      <alignment vertical="center" wrapText="1"/>
    </xf>
    <xf numFmtId="164" fontId="0" fillId="0" borderId="1" xfId="1" applyFont="1" applyFill="1" applyBorder="1" applyAlignment="1">
      <alignment vertical="center" wrapText="1"/>
    </xf>
    <xf numFmtId="2" fontId="2" fillId="0" borderId="1" xfId="3" applyNumberFormat="1" applyFill="1" applyBorder="1"/>
    <xf numFmtId="165" fontId="5" fillId="0" borderId="0" xfId="1" applyNumberFormat="1" applyFont="1" applyFill="1" applyBorder="1" applyAlignment="1">
      <alignment horizontal="center"/>
    </xf>
    <xf numFmtId="165" fontId="5" fillId="0" borderId="0" xfId="8" applyNumberFormat="1" applyFont="1" applyFill="1" applyBorder="1" applyAlignment="1">
      <alignment horizontal="center"/>
    </xf>
  </cellXfs>
  <cellStyles count="19">
    <cellStyle name="Comma" xfId="1" builtinId="3"/>
    <cellStyle name="Comma 2" xfId="8" xr:uid="{92324339-2D79-41C8-AB15-F7CEE3FC8E96}"/>
    <cellStyle name="Comma 2 2" xfId="15" xr:uid="{823E01B3-00C4-4899-99BF-0A58A0F2D0F7}"/>
    <cellStyle name="Comma 2 3" xfId="13" xr:uid="{7FAC01F6-49B6-49E0-B74B-F7633414FB4D}"/>
    <cellStyle name="Comma 3" xfId="10" xr:uid="{882C8792-A463-4C60-A37F-8768791BAFFF}"/>
    <cellStyle name="Comma 4" xfId="12" xr:uid="{7655633A-5E11-46A4-ADE3-14228E3FAB27}"/>
    <cellStyle name="Comma 5" xfId="5" xr:uid="{9923144E-E529-40FD-A134-3747CA02D6AD}"/>
    <cellStyle name="Normal" xfId="0" builtinId="0"/>
    <cellStyle name="Normal 10" xfId="7" xr:uid="{2ADA2B19-29D8-40C9-800F-261BE66D17EC}"/>
    <cellStyle name="Normal 10 3 2" xfId="18" xr:uid="{6352D062-8B50-434C-8CA6-D4BE3263EAD2}"/>
    <cellStyle name="Normal 14" xfId="17" xr:uid="{DC6DF296-A9D5-4BAC-8C43-888932E14ED0}"/>
    <cellStyle name="Normal 2" xfId="3" xr:uid="{2029B420-4368-447A-AEAC-467C2546659C}"/>
    <cellStyle name="Normal 3" xfId="4" xr:uid="{F07285CF-F6B2-4A1D-8694-15287D53172C}"/>
    <cellStyle name="Normal 3 2" xfId="16" xr:uid="{D3C9CBE6-A966-45C3-8119-7D512E29B56A}"/>
    <cellStyle name="Normal 3 3" xfId="14" xr:uid="{F65B69CC-70BA-4D00-A89D-CA5C79AB0772}"/>
    <cellStyle name="Normal 3 4" xfId="9" xr:uid="{56903677-EFBF-44CE-A654-506AC099E903}"/>
    <cellStyle name="Normal 4" xfId="11" xr:uid="{750FF481-FCB6-490F-B509-0F89758955C1}"/>
    <cellStyle name="Normal 6" xfId="6" xr:uid="{D1B30EB3-0532-4809-8F83-6BDD62C989CF}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rassa Govender" id="{3BF58251-06D9-4B1D-B164-D35345C89CA1}" userId="S::Narassa.Govender@ninetyone.com::1d5aa46b-a33d-4189-82ea-11747de927f2" providerId="AD"/>
  <person displayName="Narassa Govender" id="{16FF52AF-84FA-4271-93A6-ECBCCBD0B982}" userId="S::narassa.govender@ninetyone.com::1d5aa46b-a33d-4189-82ea-11747de927f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8" dT="2022-08-19T05:45:11.23" personId="{3BF58251-06D9-4B1D-B164-D35345C89CA1}" id="{D7D32088-D414-4598-8AA5-1DFB092DA831}">
    <text>Check against MC to confirm number people with disabilities that need to be employed. Split this into employed and unemployed to make it easier.</text>
  </threadedComment>
  <threadedComment ref="G38" dT="2022-11-28T12:47:23.44" personId="{16FF52AF-84FA-4271-93A6-ECBCCBD0B982}" id="{02349034-9EF6-4763-83A1-AF0925F43EBF}">
    <text>estimating staff headcount - 641 in October and add exec directors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9" dT="2022-08-19T05:45:11.23" personId="{3BF58251-06D9-4B1D-B164-D35345C89CA1}" id="{F01CD454-FD34-4483-929B-6B2401DAF80C}">
    <text>Check against MC to confirm number people with disabilities that need to be employed. Split this into employed and unemployed to make it easier.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0397-979F-4AFE-A780-DFC7EB6AF18A}">
  <dimension ref="B1:P38"/>
  <sheetViews>
    <sheetView workbookViewId="0">
      <selection activeCell="L33" sqref="L33"/>
    </sheetView>
  </sheetViews>
  <sheetFormatPr defaultColWidth="9" defaultRowHeight="12.75" x14ac:dyDescent="0.2"/>
  <cols>
    <col min="1" max="1" width="9" style="5"/>
    <col min="2" max="2" width="34.7109375" style="3" bestFit="1" customWidth="1"/>
    <col min="3" max="3" width="6.5703125" style="3" bestFit="1" customWidth="1"/>
    <col min="4" max="4" width="8.28515625" style="3" customWidth="1"/>
    <col min="5" max="5" width="1.7109375" style="3" customWidth="1"/>
    <col min="6" max="6" width="13.7109375" style="3" customWidth="1"/>
    <col min="7" max="9" width="15.7109375" style="3" customWidth="1"/>
    <col min="10" max="10" width="20.7109375" style="3" customWidth="1"/>
    <col min="11" max="11" width="7.28515625" style="4" customWidth="1"/>
    <col min="12" max="12" width="14.42578125" style="3" customWidth="1"/>
    <col min="13" max="13" width="15" style="3" customWidth="1"/>
    <col min="14" max="14" width="20" style="5" bestFit="1" customWidth="1"/>
    <col min="15" max="15" width="13.5703125" style="5" bestFit="1" customWidth="1"/>
    <col min="16" max="16" width="10" style="5" bestFit="1" customWidth="1"/>
    <col min="17" max="17" width="10.7109375" style="5" bestFit="1" customWidth="1"/>
    <col min="18" max="16384" width="9" style="5"/>
  </cols>
  <sheetData>
    <row r="1" spans="2:16" x14ac:dyDescent="0.2">
      <c r="C1" s="4"/>
      <c r="D1" s="4"/>
    </row>
    <row r="2" spans="2:16" ht="51" x14ac:dyDescent="0.2">
      <c r="B2" s="6" t="s">
        <v>0</v>
      </c>
      <c r="C2" s="7" t="s">
        <v>1</v>
      </c>
      <c r="D2" s="7" t="s">
        <v>2</v>
      </c>
      <c r="F2" s="8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M2" s="8" t="s">
        <v>9</v>
      </c>
    </row>
    <row r="3" spans="2:16" x14ac:dyDescent="0.2">
      <c r="B3" s="11" t="s">
        <v>10</v>
      </c>
      <c r="C3" s="12">
        <f>SUM(C4:C12)</f>
        <v>7</v>
      </c>
      <c r="D3" s="12"/>
      <c r="K3" s="51">
        <f>SUM(K4:K12)</f>
        <v>4.5369378307171289</v>
      </c>
    </row>
    <row r="4" spans="2:16" x14ac:dyDescent="0.2">
      <c r="B4" s="13" t="s">
        <v>11</v>
      </c>
      <c r="C4" s="55">
        <v>1</v>
      </c>
      <c r="D4" s="56">
        <v>0.02</v>
      </c>
      <c r="F4" s="14">
        <f>G33*D4</f>
        <v>22504245.240000002</v>
      </c>
      <c r="G4" s="94">
        <v>2012256.5375524492</v>
      </c>
      <c r="H4" s="93">
        <v>75376.92</v>
      </c>
      <c r="I4" s="84">
        <f>G4+H4</f>
        <v>2087633.4575524491</v>
      </c>
      <c r="J4" s="15">
        <f>I4/G33</f>
        <v>1.8553241268823367E-3</v>
      </c>
      <c r="K4" s="78">
        <f t="shared" ref="K4:K12" si="0">MIN(J4/D4*C4,C4)</f>
        <v>9.2766206344116836E-2</v>
      </c>
      <c r="L4" s="87"/>
      <c r="M4" s="14">
        <f>F4/C4</f>
        <v>22504245.240000002</v>
      </c>
      <c r="O4" s="1"/>
      <c r="P4" s="17"/>
    </row>
    <row r="5" spans="2:16" x14ac:dyDescent="0.2">
      <c r="B5" s="18" t="s">
        <v>12</v>
      </c>
      <c r="C5" s="4">
        <v>0.5</v>
      </c>
      <c r="D5" s="57">
        <v>0.01</v>
      </c>
      <c r="F5" s="19">
        <f>G33*D5</f>
        <v>11252122.620000001</v>
      </c>
      <c r="G5" s="94">
        <v>1031962.4254806831</v>
      </c>
      <c r="H5" s="93">
        <v>10713</v>
      </c>
      <c r="I5" s="84">
        <f t="shared" ref="I5:I12" si="1">G5+H5</f>
        <v>1042675.4254806831</v>
      </c>
      <c r="J5" s="20">
        <f>I5/G33</f>
        <v>9.2664776299841202E-4</v>
      </c>
      <c r="K5" s="78">
        <f t="shared" si="0"/>
        <v>4.6332388149920599E-2</v>
      </c>
      <c r="L5" s="88"/>
      <c r="M5" s="19">
        <f t="shared" ref="M5:M15" si="2">F5/C5</f>
        <v>22504245.240000002</v>
      </c>
      <c r="O5" s="1"/>
      <c r="P5" s="17"/>
    </row>
    <row r="6" spans="2:16" x14ac:dyDescent="0.2">
      <c r="B6" s="21" t="s">
        <v>13</v>
      </c>
      <c r="C6" s="58">
        <v>0.5</v>
      </c>
      <c r="D6" s="77">
        <v>1.7399999999999999E-2</v>
      </c>
      <c r="F6" s="22">
        <f>G33*D6</f>
        <v>19578693.358799998</v>
      </c>
      <c r="G6" s="94">
        <v>935617.1478429198</v>
      </c>
      <c r="H6" s="93">
        <v>59126.92</v>
      </c>
      <c r="I6" s="84">
        <f t="shared" si="1"/>
        <v>994744.06784291985</v>
      </c>
      <c r="J6" s="23">
        <f>I6/G33</f>
        <v>8.8405014896906608E-4</v>
      </c>
      <c r="K6" s="78">
        <f t="shared" si="0"/>
        <v>2.5403739912904198E-2</v>
      </c>
      <c r="L6" s="88"/>
      <c r="M6" s="22">
        <f t="shared" si="2"/>
        <v>39157386.717599995</v>
      </c>
      <c r="O6" s="1">
        <f>SUM(K4:K6)</f>
        <v>0.16450233440694165</v>
      </c>
      <c r="P6" s="17"/>
    </row>
    <row r="7" spans="2:16" x14ac:dyDescent="0.2">
      <c r="B7" s="18" t="s">
        <v>14</v>
      </c>
      <c r="C7" s="59">
        <v>1</v>
      </c>
      <c r="D7" s="56">
        <v>0.03</v>
      </c>
      <c r="F7" s="14">
        <f>G34*D7</f>
        <v>3649000.59</v>
      </c>
      <c r="G7" s="94">
        <v>2495571.3559045559</v>
      </c>
      <c r="H7" s="93">
        <v>203242.41999999998</v>
      </c>
      <c r="I7" s="84">
        <f t="shared" si="1"/>
        <v>2698813.7759045558</v>
      </c>
      <c r="J7" s="15">
        <f>I7/G34</f>
        <v>2.2188106381516554E-2</v>
      </c>
      <c r="K7" s="78">
        <f t="shared" si="0"/>
        <v>0.73960354605055179</v>
      </c>
      <c r="L7" s="88"/>
      <c r="M7" s="14">
        <f t="shared" si="2"/>
        <v>3649000.59</v>
      </c>
      <c r="N7" s="2">
        <f>F7-I7</f>
        <v>950186.81409544405</v>
      </c>
      <c r="O7" s="1"/>
      <c r="P7" s="17"/>
    </row>
    <row r="8" spans="2:16" x14ac:dyDescent="0.2">
      <c r="B8" s="18" t="s">
        <v>15</v>
      </c>
      <c r="C8" s="60">
        <v>0.5</v>
      </c>
      <c r="D8" s="57">
        <v>1.4999999999999999E-2</v>
      </c>
      <c r="F8" s="19">
        <f>G34*D8</f>
        <v>1824500.2949999999</v>
      </c>
      <c r="G8" s="94">
        <v>1634755.4477530192</v>
      </c>
      <c r="H8" s="93">
        <v>165204.41999999998</v>
      </c>
      <c r="I8" s="84">
        <f t="shared" si="1"/>
        <v>1799959.8677530191</v>
      </c>
      <c r="J8" s="20">
        <f>I8/G34</f>
        <v>1.4798242614860901E-2</v>
      </c>
      <c r="K8" s="78">
        <f t="shared" si="0"/>
        <v>0.49327475382869673</v>
      </c>
      <c r="L8" s="88"/>
      <c r="M8" s="19">
        <f t="shared" si="2"/>
        <v>3649000.59</v>
      </c>
      <c r="N8" s="2">
        <f t="shared" ref="N8:N12" si="3">F8-I8</f>
        <v>24540.427246980835</v>
      </c>
      <c r="O8" s="1"/>
      <c r="P8" s="17"/>
    </row>
    <row r="9" spans="2:16" x14ac:dyDescent="0.2">
      <c r="B9" s="21" t="s">
        <v>16</v>
      </c>
      <c r="C9" s="61">
        <v>0.5</v>
      </c>
      <c r="D9" s="77">
        <v>2.6100000000000002E-2</v>
      </c>
      <c r="F9" s="22">
        <f>G34*D9</f>
        <v>3174630.5133000002</v>
      </c>
      <c r="G9" s="94">
        <v>905225.31584265851</v>
      </c>
      <c r="H9" s="93">
        <v>51007.46</v>
      </c>
      <c r="I9" s="84">
        <f t="shared" si="1"/>
        <v>956232.77584265848</v>
      </c>
      <c r="J9" s="23">
        <f>I9/G34</f>
        <v>7.8616000649316849E-3</v>
      </c>
      <c r="K9" s="78">
        <f t="shared" si="0"/>
        <v>0.15060536522857632</v>
      </c>
      <c r="L9" s="88"/>
      <c r="M9" s="22">
        <f t="shared" si="2"/>
        <v>6349261.0266000004</v>
      </c>
      <c r="N9" s="2">
        <f t="shared" si="3"/>
        <v>2218397.7374573415</v>
      </c>
      <c r="O9" s="1">
        <f>SUM(K7:K9)</f>
        <v>1.3834836651078248</v>
      </c>
      <c r="P9" s="17"/>
    </row>
    <row r="10" spans="2:16" x14ac:dyDescent="0.2">
      <c r="B10" s="13" t="s">
        <v>17</v>
      </c>
      <c r="C10" s="59">
        <v>1</v>
      </c>
      <c r="D10" s="56">
        <v>0.05</v>
      </c>
      <c r="F10" s="14">
        <f>G35*D10</f>
        <v>2690298.6</v>
      </c>
      <c r="G10" s="94">
        <v>3056634.858848019</v>
      </c>
      <c r="H10" s="93">
        <v>156806.96</v>
      </c>
      <c r="I10" s="84">
        <f t="shared" si="1"/>
        <v>3213441.818848019</v>
      </c>
      <c r="J10" s="15">
        <f>I10/G35</f>
        <v>5.972277238757101E-2</v>
      </c>
      <c r="K10" s="78">
        <f t="shared" si="0"/>
        <v>1</v>
      </c>
      <c r="L10" s="88"/>
      <c r="M10" s="14">
        <f t="shared" si="2"/>
        <v>2690298.6</v>
      </c>
      <c r="N10" s="2">
        <f t="shared" si="3"/>
        <v>-523143.21884801891</v>
      </c>
      <c r="O10" s="1"/>
      <c r="P10" s="17"/>
    </row>
    <row r="11" spans="2:16" x14ac:dyDescent="0.2">
      <c r="B11" s="18" t="s">
        <v>18</v>
      </c>
      <c r="C11" s="60">
        <v>1</v>
      </c>
      <c r="D11" s="57">
        <v>2.5000000000000001E-2</v>
      </c>
      <c r="F11" s="19">
        <f>G35*D11</f>
        <v>1345149.3</v>
      </c>
      <c r="G11" s="94">
        <v>1729723.418996908</v>
      </c>
      <c r="H11" s="93">
        <v>77970</v>
      </c>
      <c r="I11" s="84">
        <f t="shared" si="1"/>
        <v>1807693.418996908</v>
      </c>
      <c r="J11" s="20">
        <f>I11/G35</f>
        <v>3.3596520085110777E-2</v>
      </c>
      <c r="K11" s="78">
        <f t="shared" si="0"/>
        <v>1</v>
      </c>
      <c r="L11" s="88"/>
      <c r="M11" s="19">
        <f t="shared" si="2"/>
        <v>1345149.3</v>
      </c>
      <c r="N11" s="2">
        <f t="shared" si="3"/>
        <v>-462544.11899690796</v>
      </c>
      <c r="O11" s="1"/>
      <c r="P11" s="17"/>
    </row>
    <row r="12" spans="2:16" x14ac:dyDescent="0.2">
      <c r="B12" s="18" t="s">
        <v>19</v>
      </c>
      <c r="C12" s="61">
        <v>1</v>
      </c>
      <c r="D12" s="77">
        <v>4.3499999999999997E-2</v>
      </c>
      <c r="F12" s="22">
        <f>G35*D12</f>
        <v>2340559.7819999997</v>
      </c>
      <c r="G12" s="94">
        <v>2186520.9224475008</v>
      </c>
      <c r="H12" s="93">
        <v>128179.95999999999</v>
      </c>
      <c r="I12" s="84">
        <f t="shared" si="1"/>
        <v>2314700.8824475007</v>
      </c>
      <c r="J12" s="23">
        <f>I12/G35</f>
        <v>4.3019404657302737E-2</v>
      </c>
      <c r="K12" s="78">
        <f t="shared" si="0"/>
        <v>0.98895183120236185</v>
      </c>
      <c r="L12" s="89"/>
      <c r="M12" s="22">
        <f t="shared" si="2"/>
        <v>2340559.7819999997</v>
      </c>
      <c r="N12" s="2">
        <f t="shared" si="3"/>
        <v>25858.899552498944</v>
      </c>
      <c r="O12" s="1">
        <f>SUM(K10:K12)</f>
        <v>2.9889518312023617</v>
      </c>
      <c r="P12" s="17"/>
    </row>
    <row r="13" spans="2:16" x14ac:dyDescent="0.2">
      <c r="B13" s="13" t="s">
        <v>20</v>
      </c>
      <c r="C13" s="59">
        <v>2</v>
      </c>
      <c r="D13" s="56">
        <v>0.08</v>
      </c>
      <c r="F13" s="14">
        <f>G36*D13</f>
        <v>94816.88</v>
      </c>
      <c r="G13" s="71">
        <v>2011973</v>
      </c>
      <c r="H13" s="71"/>
      <c r="I13" s="71">
        <f>G13+H13</f>
        <v>2011973</v>
      </c>
      <c r="J13" s="24">
        <f>I13/F13</f>
        <v>21.219565545712957</v>
      </c>
      <c r="K13" s="85">
        <f>MIN((I13/F13)*C13,C13)</f>
        <v>2</v>
      </c>
      <c r="L13" s="16"/>
      <c r="M13" s="14">
        <f t="shared" si="2"/>
        <v>47408.44</v>
      </c>
    </row>
    <row r="14" spans="2:16" x14ac:dyDescent="0.2">
      <c r="B14" s="18" t="s">
        <v>21</v>
      </c>
      <c r="C14" s="60">
        <v>1</v>
      </c>
      <c r="D14" s="57">
        <v>0.04</v>
      </c>
      <c r="F14" s="19">
        <f>G36*D14</f>
        <v>47408.44</v>
      </c>
      <c r="G14" s="72">
        <v>1890858.0406911392</v>
      </c>
      <c r="H14" s="72"/>
      <c r="I14" s="72">
        <f>H14+G14</f>
        <v>1890858.0406911392</v>
      </c>
      <c r="J14" s="25">
        <f>G14/G36</f>
        <v>1.5953767225339111</v>
      </c>
      <c r="K14" s="85">
        <f>C14</f>
        <v>1</v>
      </c>
      <c r="L14" s="16"/>
      <c r="M14" s="19">
        <f t="shared" si="2"/>
        <v>47408.44</v>
      </c>
    </row>
    <row r="15" spans="2:16" x14ac:dyDescent="0.2">
      <c r="B15" s="21" t="s">
        <v>22</v>
      </c>
      <c r="C15" s="61">
        <v>1</v>
      </c>
      <c r="D15" s="77">
        <v>6.9599999999999995E-2</v>
      </c>
      <c r="F15" s="22">
        <f>G36*D15</f>
        <v>82490.685599999997</v>
      </c>
      <c r="G15" s="73">
        <v>2011973.1137367759</v>
      </c>
      <c r="H15" s="73"/>
      <c r="I15" s="73">
        <f>H15+G15</f>
        <v>2011973.1137367759</v>
      </c>
      <c r="J15" s="26">
        <f>G15/G36</f>
        <v>1.6975653396203512</v>
      </c>
      <c r="K15" s="85">
        <f>C15</f>
        <v>1</v>
      </c>
      <c r="L15" s="16"/>
      <c r="M15" s="22">
        <f t="shared" si="2"/>
        <v>82490.685599999997</v>
      </c>
    </row>
    <row r="16" spans="2:16" x14ac:dyDescent="0.2">
      <c r="B16" s="63"/>
      <c r="C16" s="58"/>
      <c r="D16" s="64"/>
      <c r="F16" s="65"/>
      <c r="G16" s="65"/>
      <c r="H16" s="65"/>
      <c r="I16" s="65"/>
      <c r="J16" s="66"/>
      <c r="K16" s="67"/>
      <c r="L16" s="68"/>
    </row>
    <row r="17" spans="2:15" x14ac:dyDescent="0.2">
      <c r="B17" s="27" t="s">
        <v>23</v>
      </c>
      <c r="C17" s="69">
        <v>1</v>
      </c>
      <c r="D17" s="62">
        <v>3.0000000000000001E-3</v>
      </c>
      <c r="F17" s="22">
        <f>G32*D17</f>
        <v>3905510.3939999999</v>
      </c>
      <c r="G17" s="73">
        <v>1021018</v>
      </c>
      <c r="H17" s="73">
        <v>2828283</v>
      </c>
      <c r="I17" s="73">
        <f>SUM(G17:H17)</f>
        <v>3849301</v>
      </c>
      <c r="J17" s="28">
        <f>G17/G32</f>
        <v>7.8429032085172322E-4</v>
      </c>
      <c r="K17" s="85">
        <f>MIN((I17/F17)*C17,C17)</f>
        <v>0.98560767010469263</v>
      </c>
      <c r="L17" s="29"/>
    </row>
    <row r="18" spans="2:15" x14ac:dyDescent="0.2">
      <c r="B18" s="11"/>
      <c r="C18" s="4"/>
      <c r="D18" s="4"/>
      <c r="F18" s="1"/>
      <c r="L18" s="30"/>
    </row>
    <row r="19" spans="2:15" x14ac:dyDescent="0.2">
      <c r="B19" s="27" t="s">
        <v>24</v>
      </c>
      <c r="C19" s="46">
        <v>4</v>
      </c>
      <c r="D19" s="31">
        <v>1.4999999999999999E-2</v>
      </c>
      <c r="F19" s="32">
        <f>G32*D19</f>
        <v>19527551.969999999</v>
      </c>
      <c r="G19" s="33">
        <f>SUM(G20:G27)</f>
        <v>0</v>
      </c>
      <c r="H19" s="33"/>
      <c r="I19" s="33"/>
      <c r="J19" s="28">
        <f>G19/G32</f>
        <v>0</v>
      </c>
      <c r="K19" s="85">
        <f>J19*C19</f>
        <v>0</v>
      </c>
      <c r="L19" s="34"/>
      <c r="O19" s="2"/>
    </row>
    <row r="20" spans="2:15" x14ac:dyDescent="0.2">
      <c r="B20" s="35" t="s">
        <v>25</v>
      </c>
      <c r="C20" s="36"/>
      <c r="D20" s="36"/>
      <c r="F20" s="37"/>
      <c r="G20" s="79"/>
      <c r="H20" s="90"/>
      <c r="I20" s="90"/>
      <c r="J20" s="38"/>
      <c r="K20" s="52"/>
      <c r="L20" s="38"/>
    </row>
    <row r="21" spans="2:15" x14ac:dyDescent="0.2">
      <c r="B21" s="39" t="s">
        <v>26</v>
      </c>
      <c r="C21" s="40"/>
      <c r="D21" s="40"/>
      <c r="F21" s="37"/>
      <c r="G21" s="79"/>
      <c r="H21" s="90"/>
      <c r="I21" s="90"/>
      <c r="J21" s="38"/>
      <c r="K21" s="53"/>
      <c r="L21" s="38"/>
    </row>
    <row r="22" spans="2:15" x14ac:dyDescent="0.2">
      <c r="B22" s="39" t="s">
        <v>27</v>
      </c>
      <c r="C22" s="40"/>
      <c r="D22" s="40"/>
      <c r="F22" s="37"/>
      <c r="G22" s="79"/>
      <c r="H22" s="90"/>
      <c r="I22" s="90"/>
      <c r="J22" s="38"/>
      <c r="K22" s="53"/>
      <c r="L22" s="38"/>
    </row>
    <row r="23" spans="2:15" x14ac:dyDescent="0.2">
      <c r="B23" s="39" t="s">
        <v>28</v>
      </c>
      <c r="C23" s="40"/>
      <c r="D23" s="40"/>
      <c r="F23" s="37"/>
      <c r="G23" s="80"/>
      <c r="H23" s="91"/>
      <c r="I23" s="91"/>
      <c r="J23" s="38"/>
      <c r="K23" s="53"/>
      <c r="L23" s="38"/>
    </row>
    <row r="24" spans="2:15" x14ac:dyDescent="0.2">
      <c r="B24" s="39" t="s">
        <v>29</v>
      </c>
      <c r="C24" s="40"/>
      <c r="D24" s="40"/>
      <c r="F24" s="37"/>
      <c r="G24" s="80"/>
      <c r="H24" s="91"/>
      <c r="I24" s="91"/>
      <c r="J24" s="38"/>
      <c r="K24" s="53"/>
      <c r="L24" s="38"/>
    </row>
    <row r="25" spans="2:15" x14ac:dyDescent="0.2">
      <c r="B25" s="39" t="s">
        <v>30</v>
      </c>
      <c r="C25" s="40"/>
      <c r="D25" s="40"/>
      <c r="F25" s="41"/>
      <c r="G25" s="81"/>
      <c r="H25" s="92"/>
      <c r="I25" s="92"/>
      <c r="K25" s="54"/>
    </row>
    <row r="26" spans="2:15" x14ac:dyDescent="0.2">
      <c r="B26" s="39" t="s">
        <v>31</v>
      </c>
      <c r="C26" s="40"/>
      <c r="D26" s="40"/>
      <c r="F26" s="37"/>
      <c r="G26" s="81"/>
      <c r="H26" s="92"/>
      <c r="I26" s="92"/>
      <c r="K26" s="54"/>
    </row>
    <row r="27" spans="2:15" x14ac:dyDescent="0.2">
      <c r="B27" s="42" t="s">
        <v>32</v>
      </c>
      <c r="C27" s="43"/>
      <c r="D27" s="43"/>
      <c r="F27" s="44"/>
      <c r="G27" s="82"/>
      <c r="H27" s="92"/>
      <c r="I27" s="92"/>
      <c r="K27" s="43"/>
    </row>
    <row r="28" spans="2:15" x14ac:dyDescent="0.2">
      <c r="B28" s="27" t="s">
        <v>33</v>
      </c>
      <c r="C28" s="45">
        <v>4</v>
      </c>
      <c r="D28" s="31">
        <v>0.05</v>
      </c>
      <c r="F28" s="127">
        <v>34</v>
      </c>
      <c r="G28" s="83"/>
      <c r="H28" s="83"/>
      <c r="I28" s="83"/>
      <c r="J28" s="28">
        <f>G28/G38</f>
        <v>0</v>
      </c>
      <c r="K28" s="70">
        <f>J28*C28</f>
        <v>0</v>
      </c>
    </row>
    <row r="29" spans="2:15" x14ac:dyDescent="0.2">
      <c r="C29" s="4"/>
      <c r="D29" s="4"/>
    </row>
    <row r="30" spans="2:15" x14ac:dyDescent="0.2">
      <c r="B30" s="3" t="s">
        <v>6</v>
      </c>
      <c r="C30" s="46">
        <f>C3+C17+C19+C28</f>
        <v>16</v>
      </c>
      <c r="D30" s="12"/>
      <c r="K30" s="47">
        <f>K3+K17+K19+K28</f>
        <v>5.5225455008218214</v>
      </c>
      <c r="L30" s="4"/>
    </row>
    <row r="31" spans="2:15" x14ac:dyDescent="0.2">
      <c r="C31" s="4"/>
      <c r="D31" s="4"/>
    </row>
    <row r="32" spans="2:15" x14ac:dyDescent="0.2">
      <c r="C32" s="4"/>
      <c r="D32" s="4"/>
      <c r="F32" s="48" t="s">
        <v>34</v>
      </c>
      <c r="G32" s="74">
        <f>SUM(G33:G36)</f>
        <v>1301836798</v>
      </c>
      <c r="H32" s="74"/>
      <c r="I32" s="74"/>
      <c r="J32" s="86"/>
      <c r="L32" s="49"/>
    </row>
    <row r="33" spans="3:12" x14ac:dyDescent="0.2">
      <c r="C33" s="4"/>
      <c r="D33" s="4"/>
      <c r="F33" s="50" t="s">
        <v>35</v>
      </c>
      <c r="G33" s="75">
        <v>1125212262</v>
      </c>
      <c r="H33" s="75"/>
      <c r="I33" s="75"/>
      <c r="J33" s="86"/>
      <c r="L33" s="50"/>
    </row>
    <row r="34" spans="3:12" x14ac:dyDescent="0.2">
      <c r="C34" s="4"/>
      <c r="D34" s="4"/>
      <c r="F34" s="50" t="s">
        <v>36</v>
      </c>
      <c r="G34" s="75">
        <v>121633353</v>
      </c>
      <c r="H34" s="75"/>
      <c r="I34" s="75"/>
      <c r="J34" s="86"/>
      <c r="L34" s="50"/>
    </row>
    <row r="35" spans="3:12" x14ac:dyDescent="0.2">
      <c r="C35" s="4"/>
      <c r="D35" s="4"/>
      <c r="E35" s="4"/>
      <c r="F35" s="50" t="s">
        <v>37</v>
      </c>
      <c r="G35" s="75">
        <v>53805972</v>
      </c>
      <c r="H35" s="75"/>
      <c r="I35" s="75"/>
      <c r="J35" s="86"/>
      <c r="L35" s="50"/>
    </row>
    <row r="36" spans="3:12" x14ac:dyDescent="0.2">
      <c r="C36" s="4"/>
      <c r="D36" s="4"/>
      <c r="E36" s="4"/>
      <c r="F36" s="50" t="s">
        <v>38</v>
      </c>
      <c r="G36" s="75">
        <v>1185211</v>
      </c>
      <c r="H36" s="75"/>
      <c r="I36" s="75"/>
      <c r="J36" s="86"/>
      <c r="L36" s="50"/>
    </row>
    <row r="37" spans="3:12" x14ac:dyDescent="0.2">
      <c r="C37" s="4"/>
      <c r="D37" s="4"/>
      <c r="E37" s="4"/>
    </row>
    <row r="38" spans="3:12" x14ac:dyDescent="0.2">
      <c r="D38" s="184" t="s">
        <v>39</v>
      </c>
      <c r="E38" s="184"/>
      <c r="F38" s="184"/>
      <c r="G38" s="76">
        <v>645</v>
      </c>
      <c r="H38" s="76"/>
      <c r="I38" s="76"/>
    </row>
  </sheetData>
  <mergeCells count="1">
    <mergeCell ref="D38:F38"/>
  </mergeCells>
  <pageMargins left="0.7" right="0.7" top="0.75" bottom="0.75" header="0.3" footer="0.3"/>
  <pageSetup paperSize="9" orientation="portrait" r:id="rId1"/>
  <ignoredErrors>
    <ignoredError sqref="G19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EB7D-6D22-4B54-9A61-04F294567D7A}">
  <dimension ref="B1:P40"/>
  <sheetViews>
    <sheetView tabSelected="1" workbookViewId="0">
      <selection activeCell="G34" sqref="G34"/>
    </sheetView>
  </sheetViews>
  <sheetFormatPr defaultColWidth="9" defaultRowHeight="12.75" x14ac:dyDescent="0.2"/>
  <cols>
    <col min="1" max="1" width="9" style="5"/>
    <col min="2" max="2" width="34.85546875" style="3" bestFit="1" customWidth="1"/>
    <col min="3" max="3" width="6.5703125" style="3" bestFit="1" customWidth="1"/>
    <col min="4" max="4" width="30.7109375" style="3" bestFit="1" customWidth="1"/>
    <col min="5" max="5" width="1.85546875" style="3" customWidth="1"/>
    <col min="6" max="6" width="28.5703125" style="3" customWidth="1"/>
    <col min="7" max="7" width="13.5703125" style="3" bestFit="1" customWidth="1"/>
    <col min="8" max="9" width="15.85546875" style="3" customWidth="1"/>
    <col min="10" max="10" width="20.85546875" style="3" customWidth="1"/>
    <col min="11" max="11" width="6.5703125" style="4" bestFit="1" customWidth="1"/>
    <col min="12" max="12" width="14.42578125" style="3" customWidth="1"/>
    <col min="13" max="13" width="13.5703125" style="3" bestFit="1" customWidth="1"/>
    <col min="14" max="14" width="29.5703125" style="5" bestFit="1" customWidth="1"/>
    <col min="15" max="15" width="13.5703125" style="5" bestFit="1" customWidth="1"/>
    <col min="16" max="16" width="10" style="5" bestFit="1" customWidth="1"/>
    <col min="17" max="17" width="10.85546875" style="5" bestFit="1" customWidth="1"/>
    <col min="18" max="16384" width="9" style="5"/>
  </cols>
  <sheetData>
    <row r="1" spans="2:16" x14ac:dyDescent="0.2">
      <c r="C1" s="4"/>
      <c r="D1" s="4"/>
    </row>
    <row r="2" spans="2:16" ht="25.5" x14ac:dyDescent="0.2">
      <c r="B2" s="6" t="s">
        <v>0</v>
      </c>
      <c r="C2" s="7" t="s">
        <v>1</v>
      </c>
      <c r="D2" s="7" t="s">
        <v>2</v>
      </c>
      <c r="F2" s="8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</row>
    <row r="3" spans="2:16" x14ac:dyDescent="0.2">
      <c r="B3" s="95"/>
      <c r="C3" s="95"/>
      <c r="D3" s="95"/>
    </row>
    <row r="4" spans="2:16" x14ac:dyDescent="0.2">
      <c r="B4" s="96" t="s">
        <v>10</v>
      </c>
      <c r="C4" s="12">
        <f>SUM(C5:C16)</f>
        <v>11</v>
      </c>
      <c r="D4" s="12"/>
      <c r="K4" s="51">
        <f>SUM(K5:K13)</f>
        <v>4.0372108704555991</v>
      </c>
    </row>
    <row r="5" spans="2:16" x14ac:dyDescent="0.2">
      <c r="B5" s="97" t="s">
        <v>11</v>
      </c>
      <c r="C5" s="55">
        <v>1</v>
      </c>
      <c r="D5" s="56">
        <v>0.02</v>
      </c>
      <c r="F5" s="14">
        <f>G34*D5</f>
        <v>31201263.600000001</v>
      </c>
      <c r="G5" s="136">
        <f>'Summary ltd 15% Internal Train'!I2</f>
        <v>3000207.9165320494</v>
      </c>
      <c r="H5" s="98"/>
      <c r="I5" s="98">
        <f>G5+H5</f>
        <v>3000207.9165320494</v>
      </c>
      <c r="J5" s="15">
        <f>I5/G34</f>
        <v>1.92313231604636E-3</v>
      </c>
      <c r="K5" s="78">
        <f>MIN(J5/D5*C5,C5)</f>
        <v>9.6156615802318005E-2</v>
      </c>
      <c r="L5" s="99"/>
      <c r="M5" s="100"/>
      <c r="O5" s="101"/>
      <c r="P5" s="17"/>
    </row>
    <row r="6" spans="2:16" x14ac:dyDescent="0.2">
      <c r="B6" s="102" t="s">
        <v>12</v>
      </c>
      <c r="C6" s="4">
        <v>0.5</v>
      </c>
      <c r="D6" s="57">
        <v>0.01</v>
      </c>
      <c r="F6" s="19">
        <f>G34*D6</f>
        <v>15600631.800000001</v>
      </c>
      <c r="G6" s="136">
        <f>'Summary ltd 15% Internal Train'!I3</f>
        <v>1824482.3114556912</v>
      </c>
      <c r="H6" s="98"/>
      <c r="I6" s="98">
        <f t="shared" ref="I6:I13" si="0">G6+H6</f>
        <v>1824482.3114556912</v>
      </c>
      <c r="J6" s="20">
        <f>I6/G34</f>
        <v>1.1694925787913866E-3</v>
      </c>
      <c r="K6" s="78">
        <f t="shared" ref="K6:K12" si="1">MIN(J6/D6*C6,C6)</f>
        <v>5.8474628939569333E-2</v>
      </c>
      <c r="L6" s="99"/>
      <c r="O6" s="101"/>
      <c r="P6" s="17"/>
    </row>
    <row r="7" spans="2:16" x14ac:dyDescent="0.2">
      <c r="B7" s="103" t="s">
        <v>13</v>
      </c>
      <c r="C7" s="58">
        <v>0.5</v>
      </c>
      <c r="D7" s="77">
        <v>1.7399999999999999E-2</v>
      </c>
      <c r="F7" s="22">
        <f>G34*D7</f>
        <v>27145099.331999999</v>
      </c>
      <c r="G7" s="136">
        <f>'Summary ltd 15% Internal Train'!I4</f>
        <v>1582572.466221998</v>
      </c>
      <c r="H7" s="98"/>
      <c r="I7" s="98">
        <f t="shared" si="0"/>
        <v>1582572.466221998</v>
      </c>
      <c r="J7" s="23">
        <f>I7/G34</f>
        <v>1.0144284452774522E-3</v>
      </c>
      <c r="K7" s="78">
        <f t="shared" si="1"/>
        <v>2.9150242680386559E-2</v>
      </c>
      <c r="L7" s="126"/>
      <c r="O7" s="101"/>
      <c r="P7" s="17"/>
    </row>
    <row r="8" spans="2:16" x14ac:dyDescent="0.2">
      <c r="B8" s="102" t="s">
        <v>14</v>
      </c>
      <c r="C8" s="59">
        <v>1</v>
      </c>
      <c r="D8" s="56">
        <v>0.03</v>
      </c>
      <c r="F8" s="14">
        <f>G35*D8</f>
        <v>4023101.88</v>
      </c>
      <c r="G8" s="136">
        <f>'Summary ltd 15% Internal Train'!I5</f>
        <v>2238838.4084468284</v>
      </c>
      <c r="H8" s="98"/>
      <c r="I8" s="98">
        <f t="shared" si="0"/>
        <v>2238838.4084468284</v>
      </c>
      <c r="J8" s="15">
        <f>I8/G35</f>
        <v>1.6694867357772418E-2</v>
      </c>
      <c r="K8" s="78">
        <f t="shared" si="1"/>
        <v>0.55649557859241394</v>
      </c>
      <c r="L8" s="99">
        <f>F8-G8</f>
        <v>1784263.4715531715</v>
      </c>
    </row>
    <row r="9" spans="2:16" x14ac:dyDescent="0.2">
      <c r="B9" s="102" t="s">
        <v>15</v>
      </c>
      <c r="C9" s="60">
        <v>0.5</v>
      </c>
      <c r="D9" s="57">
        <v>1.4999999999999999E-2</v>
      </c>
      <c r="F9" s="19">
        <f>G35*D9</f>
        <v>2011550.94</v>
      </c>
      <c r="G9" s="136">
        <f>'Summary ltd 15% Internal Train'!I6</f>
        <v>1394525.7179473715</v>
      </c>
      <c r="H9" s="98"/>
      <c r="I9" s="98">
        <f t="shared" si="0"/>
        <v>1394525.7179473715</v>
      </c>
      <c r="J9" s="20">
        <f>I9/G35</f>
        <v>1.0398884439491536E-2</v>
      </c>
      <c r="K9" s="78">
        <f t="shared" si="1"/>
        <v>0.34662948131638455</v>
      </c>
      <c r="L9" s="99"/>
    </row>
    <row r="10" spans="2:16" x14ac:dyDescent="0.2">
      <c r="B10" s="103" t="s">
        <v>16</v>
      </c>
      <c r="C10" s="61">
        <v>0.5</v>
      </c>
      <c r="D10" s="77">
        <v>2.6100000000000002E-2</v>
      </c>
      <c r="F10" s="22">
        <f>G35*D10</f>
        <v>3500098.6356000002</v>
      </c>
      <c r="G10" s="136">
        <f>'Summary ltd 15% Internal Train'!I7</f>
        <v>1003543.7349081775</v>
      </c>
      <c r="H10" s="98"/>
      <c r="I10" s="98">
        <f t="shared" si="0"/>
        <v>1003543.7349081775</v>
      </c>
      <c r="J10" s="23">
        <f>I10/G35</f>
        <v>7.483358101596305E-3</v>
      </c>
      <c r="K10" s="78">
        <f t="shared" si="1"/>
        <v>0.1433593506052932</v>
      </c>
      <c r="L10" s="126"/>
    </row>
    <row r="11" spans="2:16" x14ac:dyDescent="0.2">
      <c r="B11" s="97" t="s">
        <v>17</v>
      </c>
      <c r="C11" s="59">
        <v>1</v>
      </c>
      <c r="D11" s="56">
        <v>0.05</v>
      </c>
      <c r="F11" s="14">
        <f>G36*D11</f>
        <v>2727959.7</v>
      </c>
      <c r="G11" s="136">
        <f>'Summary ltd 15% Internal Train'!I8</f>
        <v>2588132.8682366651</v>
      </c>
      <c r="H11" s="98"/>
      <c r="I11" s="98">
        <f t="shared" si="0"/>
        <v>2588132.8682366651</v>
      </c>
      <c r="J11" s="15">
        <f>I11/G36</f>
        <v>4.7437153639708553E-2</v>
      </c>
      <c r="K11" s="78">
        <f>MIN(J11/D11*C11,C11)</f>
        <v>0.94874307279417103</v>
      </c>
      <c r="L11" s="99"/>
      <c r="M11" s="100"/>
    </row>
    <row r="12" spans="2:16" x14ac:dyDescent="0.2">
      <c r="B12" s="102" t="s">
        <v>18</v>
      </c>
      <c r="C12" s="60">
        <v>1</v>
      </c>
      <c r="D12" s="57">
        <v>2.5000000000000001E-2</v>
      </c>
      <c r="F12" s="19">
        <f>G36*D12</f>
        <v>1363979.85</v>
      </c>
      <c r="G12" s="136">
        <f>'Summary ltd 15% Internal Train'!I9</f>
        <v>1374791.4325148978</v>
      </c>
      <c r="H12" s="98"/>
      <c r="I12" s="98">
        <f t="shared" si="0"/>
        <v>1374791.4325148978</v>
      </c>
      <c r="J12" s="20">
        <f>I12/G36</f>
        <v>2.5198162430971723E-2</v>
      </c>
      <c r="K12" s="78">
        <f t="shared" si="1"/>
        <v>1</v>
      </c>
      <c r="L12" s="99"/>
    </row>
    <row r="13" spans="2:16" x14ac:dyDescent="0.2">
      <c r="B13" s="102" t="s">
        <v>19</v>
      </c>
      <c r="C13" s="61">
        <v>1</v>
      </c>
      <c r="D13" s="77">
        <v>4.3499999999999997E-2</v>
      </c>
      <c r="F13" s="22">
        <f>G36*D13</f>
        <v>2373324.9389999998</v>
      </c>
      <c r="G13" s="136">
        <f>'Summary ltd 15% Internal Train'!I10</f>
        <v>2036791.9713146694</v>
      </c>
      <c r="H13" s="98"/>
      <c r="I13" s="98">
        <f t="shared" si="0"/>
        <v>2036791.9713146694</v>
      </c>
      <c r="J13" s="23">
        <f>I13/G36</f>
        <v>3.733178263804024E-2</v>
      </c>
      <c r="K13" s="78">
        <f>MIN(J13/D13*C13,C13)</f>
        <v>0.858201899725063</v>
      </c>
      <c r="L13" s="126"/>
    </row>
    <row r="14" spans="2:16" x14ac:dyDescent="0.2">
      <c r="B14" s="97" t="s">
        <v>20</v>
      </c>
      <c r="C14" s="59">
        <v>2</v>
      </c>
      <c r="D14" s="56">
        <v>0.08</v>
      </c>
      <c r="F14" s="130">
        <v>2421486.3080459768</v>
      </c>
      <c r="G14" s="137">
        <v>1963715.748045977</v>
      </c>
      <c r="H14" s="133"/>
      <c r="I14" s="71">
        <f>G14</f>
        <v>1963715.748045977</v>
      </c>
      <c r="J14" s="23">
        <f>I14/$G$37</f>
        <v>0.8934805824325468</v>
      </c>
      <c r="K14" s="78">
        <f>MIN(J14/D14*C14,C14)</f>
        <v>2</v>
      </c>
      <c r="L14" s="99"/>
    </row>
    <row r="15" spans="2:16" x14ac:dyDescent="0.2">
      <c r="B15" s="102" t="s">
        <v>21</v>
      </c>
      <c r="C15" s="60">
        <v>1</v>
      </c>
      <c r="D15" s="57">
        <v>0.04</v>
      </c>
      <c r="F15" s="131">
        <v>1990786.308045977</v>
      </c>
      <c r="G15" s="138">
        <v>1616315.748045977</v>
      </c>
      <c r="H15" s="134"/>
      <c r="I15" s="71">
        <f t="shared" ref="I15:I16" si="2">G15</f>
        <v>1616315.748045977</v>
      </c>
      <c r="J15" s="23">
        <f>I15/$G$37</f>
        <v>0.735415366198512</v>
      </c>
      <c r="K15" s="78">
        <f t="shared" ref="K15:K16" si="3">MIN(J15/D15*C15,C15)</f>
        <v>1</v>
      </c>
      <c r="L15" s="99"/>
    </row>
    <row r="16" spans="2:16" x14ac:dyDescent="0.2">
      <c r="B16" s="103" t="s">
        <v>22</v>
      </c>
      <c r="C16" s="61">
        <v>1</v>
      </c>
      <c r="D16" s="77">
        <v>6.9599999999999995E-2</v>
      </c>
      <c r="F16" s="132">
        <v>1605286.308045977</v>
      </c>
      <c r="G16" s="139">
        <v>1919715.748045977</v>
      </c>
      <c r="H16" s="135"/>
      <c r="I16" s="71">
        <f t="shared" si="2"/>
        <v>1919715.748045977</v>
      </c>
      <c r="J16" s="23">
        <f>I16/$G$37</f>
        <v>0.87346080835569728</v>
      </c>
      <c r="K16" s="78">
        <f t="shared" si="3"/>
        <v>1</v>
      </c>
      <c r="L16" s="99"/>
    </row>
    <row r="17" spans="2:15" x14ac:dyDescent="0.2">
      <c r="B17" s="104"/>
      <c r="C17" s="58"/>
      <c r="D17" s="64"/>
      <c r="F17" s="65"/>
      <c r="G17" s="128"/>
      <c r="H17" s="65"/>
      <c r="I17" s="65"/>
      <c r="J17" s="66"/>
      <c r="K17" s="67"/>
      <c r="L17" s="68"/>
    </row>
    <row r="18" spans="2:15" x14ac:dyDescent="0.2">
      <c r="B18" s="105" t="s">
        <v>23</v>
      </c>
      <c r="C18" s="69">
        <v>1</v>
      </c>
      <c r="D18" s="62">
        <v>3.0000000000000001E-3</v>
      </c>
      <c r="F18" s="132">
        <f>G33*D18</f>
        <v>5252770.7910000002</v>
      </c>
      <c r="G18" s="141"/>
      <c r="H18" s="135"/>
      <c r="I18" s="73">
        <f>I14+585000</f>
        <v>2548715.7480459772</v>
      </c>
      <c r="J18" s="23">
        <f>I18/G33</f>
        <v>1.4556407557776362E-3</v>
      </c>
      <c r="K18" s="78">
        <f>MIN(J18/D18*C18,C18)</f>
        <v>0.48521358525921204</v>
      </c>
      <c r="L18" s="29"/>
    </row>
    <row r="19" spans="2:15" x14ac:dyDescent="0.2">
      <c r="B19" s="96"/>
      <c r="C19" s="4"/>
      <c r="D19" s="4"/>
      <c r="F19" s="101"/>
      <c r="G19" s="129"/>
      <c r="L19" s="30"/>
    </row>
    <row r="20" spans="2:15" x14ac:dyDescent="0.2">
      <c r="B20" s="105" t="s">
        <v>24</v>
      </c>
      <c r="C20" s="46">
        <v>4</v>
      </c>
      <c r="D20" s="31">
        <v>1.4999999999999999E-2</v>
      </c>
      <c r="F20" s="33">
        <f>G33*D20</f>
        <v>26263853.954999998</v>
      </c>
      <c r="G20" s="33">
        <f>SUM(G21:G28)</f>
        <v>0</v>
      </c>
      <c r="H20" s="33"/>
      <c r="I20" s="33"/>
      <c r="J20" s="28">
        <f>G20/G33</f>
        <v>0</v>
      </c>
      <c r="K20" s="78">
        <f>MIN(J20/D20*C20,C20)</f>
        <v>0</v>
      </c>
      <c r="L20" s="34"/>
      <c r="O20" s="106"/>
    </row>
    <row r="21" spans="2:15" x14ac:dyDescent="0.2">
      <c r="B21" s="107" t="s">
        <v>25</v>
      </c>
      <c r="C21" s="108"/>
      <c r="D21" s="108"/>
      <c r="F21" s="109"/>
      <c r="G21" s="79"/>
      <c r="H21" s="90"/>
      <c r="I21" s="90"/>
      <c r="J21" s="38"/>
      <c r="K21" s="52"/>
      <c r="L21" s="38"/>
    </row>
    <row r="22" spans="2:15" x14ac:dyDescent="0.2">
      <c r="B22" s="110" t="s">
        <v>26</v>
      </c>
      <c r="C22" s="111"/>
      <c r="D22" s="111"/>
      <c r="F22" s="109"/>
      <c r="G22" s="79"/>
      <c r="H22" s="90"/>
      <c r="I22" s="90"/>
      <c r="J22" s="38"/>
      <c r="K22" s="53"/>
      <c r="L22" s="38"/>
    </row>
    <row r="23" spans="2:15" x14ac:dyDescent="0.2">
      <c r="B23" s="110" t="s">
        <v>27</v>
      </c>
      <c r="C23" s="111"/>
      <c r="D23" s="111"/>
      <c r="F23" s="109"/>
      <c r="G23" s="79"/>
      <c r="H23" s="90"/>
      <c r="I23" s="90"/>
      <c r="J23" s="38"/>
      <c r="K23" s="53"/>
      <c r="L23" s="38"/>
    </row>
    <row r="24" spans="2:15" x14ac:dyDescent="0.2">
      <c r="B24" s="110" t="s">
        <v>28</v>
      </c>
      <c r="C24" s="111"/>
      <c r="D24" s="111"/>
      <c r="F24" s="109"/>
      <c r="G24" s="80"/>
      <c r="H24" s="91"/>
      <c r="I24" s="91"/>
      <c r="J24" s="38"/>
      <c r="K24" s="53"/>
      <c r="L24" s="38"/>
    </row>
    <row r="25" spans="2:15" x14ac:dyDescent="0.2">
      <c r="B25" s="110" t="s">
        <v>29</v>
      </c>
      <c r="C25" s="111"/>
      <c r="D25" s="111"/>
      <c r="F25" s="109"/>
      <c r="G25" s="80"/>
      <c r="H25" s="91"/>
      <c r="I25" s="91"/>
      <c r="J25" s="38"/>
      <c r="K25" s="53"/>
      <c r="L25" s="38"/>
    </row>
    <row r="26" spans="2:15" x14ac:dyDescent="0.2">
      <c r="B26" s="110" t="s">
        <v>40</v>
      </c>
      <c r="C26" s="111"/>
      <c r="D26" s="111"/>
      <c r="F26" s="41"/>
      <c r="G26" s="112"/>
      <c r="H26" s="113"/>
      <c r="I26" s="113"/>
      <c r="K26" s="54"/>
    </row>
    <row r="27" spans="2:15" x14ac:dyDescent="0.2">
      <c r="B27" s="110" t="s">
        <v>31</v>
      </c>
      <c r="C27" s="111"/>
      <c r="D27" s="111"/>
      <c r="F27" s="109"/>
      <c r="G27" s="112"/>
      <c r="H27" s="113"/>
      <c r="I27" s="113"/>
      <c r="K27" s="54"/>
    </row>
    <row r="28" spans="2:15" x14ac:dyDescent="0.2">
      <c r="B28" s="114" t="s">
        <v>32</v>
      </c>
      <c r="C28" s="43"/>
      <c r="D28" s="43"/>
      <c r="F28" s="115"/>
      <c r="G28" s="116"/>
      <c r="H28" s="113"/>
      <c r="I28" s="113"/>
      <c r="K28" s="43"/>
    </row>
    <row r="29" spans="2:15" x14ac:dyDescent="0.2">
      <c r="B29" s="105" t="s">
        <v>33</v>
      </c>
      <c r="C29" s="45">
        <v>4</v>
      </c>
      <c r="D29" s="31">
        <v>0.05</v>
      </c>
      <c r="F29" s="117">
        <v>34</v>
      </c>
      <c r="G29" s="83"/>
      <c r="H29" s="83"/>
      <c r="I29" s="83"/>
      <c r="J29" s="28">
        <f>G29/G39</f>
        <v>0</v>
      </c>
      <c r="K29" s="70">
        <f>MIN(C29,C29*(F29/(D29*G39)))</f>
        <v>4</v>
      </c>
    </row>
    <row r="30" spans="2:15" x14ac:dyDescent="0.2">
      <c r="C30" s="4"/>
      <c r="D30" s="4"/>
    </row>
    <row r="31" spans="2:15" x14ac:dyDescent="0.2">
      <c r="B31" s="3" t="s">
        <v>6</v>
      </c>
      <c r="C31" s="46">
        <f>C4+C18+C20+C29</f>
        <v>20</v>
      </c>
      <c r="D31" s="12"/>
      <c r="K31" s="47">
        <f>K4+K18+K20+K29</f>
        <v>8.5224244557148108</v>
      </c>
      <c r="L31" s="4"/>
    </row>
    <row r="32" spans="2:15" x14ac:dyDescent="0.2">
      <c r="C32" s="4"/>
      <c r="D32" s="4"/>
    </row>
    <row r="33" spans="3:13" x14ac:dyDescent="0.2">
      <c r="C33" s="4"/>
      <c r="D33" s="4"/>
      <c r="F33" s="118" t="s">
        <v>34</v>
      </c>
      <c r="G33" s="119">
        <f>SUM(G34:G37)</f>
        <v>1750923597</v>
      </c>
      <c r="H33" s="5"/>
      <c r="I33" s="5"/>
      <c r="J33" s="5"/>
      <c r="K33" s="5"/>
      <c r="L33" s="5"/>
      <c r="M33" s="5"/>
    </row>
    <row r="34" spans="3:13" x14ac:dyDescent="0.2">
      <c r="C34" s="4"/>
      <c r="D34" s="4"/>
      <c r="F34" s="120" t="s">
        <v>35</v>
      </c>
      <c r="G34" s="121">
        <v>1560063180</v>
      </c>
      <c r="H34" s="5"/>
      <c r="I34" s="5"/>
      <c r="J34" s="5"/>
      <c r="K34" s="5"/>
      <c r="L34" s="5"/>
      <c r="M34" s="5"/>
    </row>
    <row r="35" spans="3:13" x14ac:dyDescent="0.2">
      <c r="C35" s="4"/>
      <c r="D35" s="4"/>
      <c r="F35" s="120" t="s">
        <v>36</v>
      </c>
      <c r="G35" s="121">
        <v>134103396</v>
      </c>
      <c r="H35" s="5"/>
      <c r="I35" s="5"/>
      <c r="J35" s="5"/>
      <c r="K35" s="5"/>
      <c r="L35" s="5"/>
      <c r="M35" s="5"/>
    </row>
    <row r="36" spans="3:13" x14ac:dyDescent="0.2">
      <c r="C36" s="4"/>
      <c r="D36" s="4"/>
      <c r="E36" s="4"/>
      <c r="F36" s="120" t="s">
        <v>37</v>
      </c>
      <c r="G36" s="121">
        <v>54559194</v>
      </c>
      <c r="H36" s="5"/>
      <c r="I36" s="5"/>
      <c r="J36" s="5"/>
      <c r="K36" s="5"/>
      <c r="L36" s="5"/>
      <c r="M36" s="5"/>
    </row>
    <row r="37" spans="3:13" x14ac:dyDescent="0.2">
      <c r="C37" s="4"/>
      <c r="D37" s="4"/>
      <c r="E37" s="4"/>
      <c r="F37" s="120" t="s">
        <v>38</v>
      </c>
      <c r="G37" s="121">
        <v>2197827</v>
      </c>
      <c r="H37" s="5"/>
      <c r="I37" s="5"/>
      <c r="J37" s="5"/>
      <c r="K37" s="5"/>
      <c r="L37" s="5"/>
      <c r="M37" s="5"/>
    </row>
    <row r="38" spans="3:13" x14ac:dyDescent="0.2">
      <c r="C38" s="4"/>
      <c r="D38" s="4"/>
      <c r="E38" s="4"/>
      <c r="H38" s="5"/>
      <c r="I38" s="5"/>
      <c r="J38" s="5"/>
      <c r="K38" s="5"/>
      <c r="L38" s="5"/>
      <c r="M38" s="5"/>
    </row>
    <row r="39" spans="3:13" x14ac:dyDescent="0.2">
      <c r="D39" s="185" t="s">
        <v>41</v>
      </c>
      <c r="E39" s="185"/>
      <c r="F39" s="185"/>
      <c r="G39" s="140">
        <f>615+34</f>
        <v>649</v>
      </c>
      <c r="H39" s="5"/>
      <c r="I39" s="5"/>
      <c r="J39" s="5"/>
      <c r="K39" s="5"/>
      <c r="L39" s="5"/>
      <c r="M39" s="5"/>
    </row>
    <row r="40" spans="3:13" x14ac:dyDescent="0.2">
      <c r="H40" s="5"/>
      <c r="I40" s="5"/>
      <c r="J40" s="5"/>
      <c r="K40" s="5"/>
      <c r="L40" s="5"/>
      <c r="M40" s="5"/>
    </row>
  </sheetData>
  <mergeCells count="1">
    <mergeCell ref="D39:F3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3A8E-F98E-4E5F-BF7F-2A0161A900C9}">
  <dimension ref="B1:L14"/>
  <sheetViews>
    <sheetView workbookViewId="0">
      <pane xSplit="2" ySplit="1" topLeftCell="C2" activePane="bottomRight" state="frozen"/>
      <selection pane="topRight" activeCell="H13" sqref="H13"/>
      <selection pane="bottomLeft" activeCell="H13" sqref="H13"/>
      <selection pane="bottomRight" activeCell="D11" sqref="D11"/>
    </sheetView>
  </sheetViews>
  <sheetFormatPr defaultColWidth="8.140625" defaultRowHeight="12.75" customHeight="1" x14ac:dyDescent="0.2"/>
  <cols>
    <col min="1" max="1" width="8.140625" style="5"/>
    <col min="2" max="2" width="29.5703125" style="5" bestFit="1" customWidth="1"/>
    <col min="3" max="3" width="29.5703125" style="5" customWidth="1"/>
    <col min="4" max="4" width="20" style="5" bestFit="1" customWidth="1"/>
    <col min="5" max="5" width="14.85546875" style="5" customWidth="1"/>
    <col min="6" max="6" width="15.85546875" style="5" bestFit="1" customWidth="1"/>
    <col min="7" max="7" width="15.85546875" style="5" customWidth="1"/>
    <col min="8" max="8" width="20.28515625" style="5" bestFit="1" customWidth="1"/>
    <col min="9" max="9" width="23.85546875" style="5" bestFit="1" customWidth="1"/>
    <col min="10" max="13" width="13.5703125" style="5" customWidth="1"/>
    <col min="14" max="14" width="10.140625" style="5" bestFit="1" customWidth="1"/>
    <col min="15" max="16384" width="8.140625" style="5"/>
  </cols>
  <sheetData>
    <row r="1" spans="2:12" ht="42.6" customHeight="1" x14ac:dyDescent="0.2">
      <c r="B1" s="122" t="s">
        <v>42</v>
      </c>
      <c r="C1" s="176" t="s">
        <v>43</v>
      </c>
      <c r="D1" s="173" t="s">
        <v>44</v>
      </c>
      <c r="E1" s="173" t="s">
        <v>78</v>
      </c>
      <c r="F1" s="174" t="s">
        <v>76</v>
      </c>
      <c r="G1" s="175" t="s">
        <v>77</v>
      </c>
      <c r="H1" s="165" t="s">
        <v>79</v>
      </c>
      <c r="I1" s="165" t="s">
        <v>45</v>
      </c>
      <c r="K1" s="154" t="s">
        <v>49</v>
      </c>
      <c r="L1" s="154" t="s">
        <v>50</v>
      </c>
    </row>
    <row r="2" spans="2:12" ht="15" x14ac:dyDescent="0.25">
      <c r="B2" s="110" t="s">
        <v>11</v>
      </c>
      <c r="C2" s="84">
        <v>1597461.85</v>
      </c>
      <c r="D2" s="150">
        <v>717548.15248502465</v>
      </c>
      <c r="E2" s="149">
        <v>123553.84615384616</v>
      </c>
      <c r="F2" s="147">
        <f>IF(L2&gt;K2,K2,L2)</f>
        <v>212000</v>
      </c>
      <c r="G2" s="166">
        <v>236516.03603603604</v>
      </c>
      <c r="H2" s="157">
        <v>113128.03185714284</v>
      </c>
      <c r="I2" s="160">
        <f>SUM(C2:H2)</f>
        <v>3000207.9165320494</v>
      </c>
      <c r="K2" s="155">
        <f>C2*0.15</f>
        <v>239619.2775</v>
      </c>
      <c r="L2" s="156">
        <v>212000</v>
      </c>
    </row>
    <row r="3" spans="2:12" ht="15" x14ac:dyDescent="0.25">
      <c r="B3" s="110" t="s">
        <v>12</v>
      </c>
      <c r="C3" s="84">
        <v>1208376.3</v>
      </c>
      <c r="D3" s="150">
        <v>338405.85207340238</v>
      </c>
      <c r="E3" s="144">
        <v>0</v>
      </c>
      <c r="F3" s="147">
        <f t="shared" ref="F3:F10" si="0">IF(L3&gt;K3,K3,L3)</f>
        <v>109753.84615384616</v>
      </c>
      <c r="G3" s="166">
        <v>106216.78558558557</v>
      </c>
      <c r="H3" s="158">
        <v>61729.527642857131</v>
      </c>
      <c r="I3" s="161">
        <f t="shared" ref="I3:I10" si="1">SUM(C3:H3)</f>
        <v>1824482.3114556912</v>
      </c>
      <c r="K3" s="155">
        <f t="shared" ref="K3:K10" si="2">C3*0.15</f>
        <v>181256.44500000001</v>
      </c>
      <c r="L3" s="151">
        <v>109753.84615384616</v>
      </c>
    </row>
    <row r="4" spans="2:12" ht="15" x14ac:dyDescent="0.25">
      <c r="B4" s="110" t="s">
        <v>13</v>
      </c>
      <c r="C4" s="84">
        <v>1140746.2100000002</v>
      </c>
      <c r="D4" s="150">
        <v>287422.5599191566</v>
      </c>
      <c r="E4" s="144">
        <v>58707.692307692305</v>
      </c>
      <c r="F4" s="147">
        <f t="shared" si="0"/>
        <v>26923.076923076922</v>
      </c>
      <c r="G4" s="166">
        <v>60461.372072072067</v>
      </c>
      <c r="H4" s="158">
        <v>8311.5550000000003</v>
      </c>
      <c r="I4" s="161">
        <f t="shared" si="1"/>
        <v>1582572.466221998</v>
      </c>
      <c r="K4" s="155">
        <f t="shared" si="2"/>
        <v>171111.93150000004</v>
      </c>
      <c r="L4" s="151">
        <v>26923.076923076922</v>
      </c>
    </row>
    <row r="5" spans="2:12" ht="15" x14ac:dyDescent="0.25">
      <c r="B5" s="110" t="s">
        <v>14</v>
      </c>
      <c r="C5" s="84">
        <v>937118.3200000003</v>
      </c>
      <c r="D5" s="150">
        <v>806146.59672392951</v>
      </c>
      <c r="E5" s="144">
        <v>96969.230769230751</v>
      </c>
      <c r="F5" s="147">
        <f t="shared" si="0"/>
        <v>140567.74800000005</v>
      </c>
      <c r="G5" s="166">
        <v>129343.4108108108</v>
      </c>
      <c r="H5" s="158">
        <v>128693.10214285714</v>
      </c>
      <c r="I5" s="161">
        <f t="shared" si="1"/>
        <v>2238838.4084468284</v>
      </c>
      <c r="K5" s="155">
        <f t="shared" si="2"/>
        <v>140567.74800000005</v>
      </c>
      <c r="L5" s="151">
        <v>202601.56010989012</v>
      </c>
    </row>
    <row r="6" spans="2:12" ht="15" x14ac:dyDescent="0.25">
      <c r="B6" s="110" t="s">
        <v>15</v>
      </c>
      <c r="C6" s="84">
        <v>598839.10000000009</v>
      </c>
      <c r="D6" s="150">
        <v>515624.27155340044</v>
      </c>
      <c r="E6" s="144">
        <v>64661.538461538461</v>
      </c>
      <c r="F6" s="147">
        <f t="shared" si="0"/>
        <v>89825.865000000005</v>
      </c>
      <c r="G6" s="166">
        <v>72136.532432432432</v>
      </c>
      <c r="H6" s="158">
        <v>53438.410499999998</v>
      </c>
      <c r="I6" s="161">
        <f t="shared" si="1"/>
        <v>1394525.7179473715</v>
      </c>
      <c r="K6" s="155">
        <f t="shared" si="2"/>
        <v>89825.865000000005</v>
      </c>
      <c r="L6" s="151">
        <v>105186.1754945055</v>
      </c>
    </row>
    <row r="7" spans="2:12" ht="15" x14ac:dyDescent="0.25">
      <c r="B7" s="110" t="s">
        <v>16</v>
      </c>
      <c r="C7" s="84">
        <v>448261.45000000019</v>
      </c>
      <c r="D7" s="150">
        <v>312380.11623215501</v>
      </c>
      <c r="E7" s="144">
        <v>69276.923076923063</v>
      </c>
      <c r="F7" s="147">
        <f t="shared" si="0"/>
        <v>67239.217500000028</v>
      </c>
      <c r="G7" s="166">
        <v>67926.199099099103</v>
      </c>
      <c r="H7" s="158">
        <v>38459.828999999998</v>
      </c>
      <c r="I7" s="161">
        <f t="shared" si="1"/>
        <v>1003543.7349081775</v>
      </c>
      <c r="K7" s="155">
        <f t="shared" si="2"/>
        <v>67239.217500000028</v>
      </c>
      <c r="L7" s="151">
        <v>134923.07692307694</v>
      </c>
    </row>
    <row r="8" spans="2:12" ht="15" x14ac:dyDescent="0.25">
      <c r="B8" s="110" t="s">
        <v>17</v>
      </c>
      <c r="C8" s="84">
        <v>992703.22999999986</v>
      </c>
      <c r="D8" s="150">
        <v>1049267.0176375662</v>
      </c>
      <c r="E8" s="144">
        <v>302500</v>
      </c>
      <c r="F8" s="147">
        <f t="shared" si="0"/>
        <v>148905.48449999996</v>
      </c>
      <c r="G8" s="166">
        <v>79682.999099099106</v>
      </c>
      <c r="H8" s="158">
        <v>15074.137000000001</v>
      </c>
      <c r="I8" s="161">
        <f t="shared" si="1"/>
        <v>2588132.8682366651</v>
      </c>
      <c r="K8" s="155">
        <f t="shared" si="2"/>
        <v>148905.48449999996</v>
      </c>
      <c r="L8" s="151">
        <v>220169.23076923075</v>
      </c>
    </row>
    <row r="9" spans="2:12" ht="15" x14ac:dyDescent="0.25">
      <c r="B9" s="110" t="s">
        <v>18</v>
      </c>
      <c r="C9" s="84">
        <v>554814.46999999951</v>
      </c>
      <c r="D9" s="150">
        <v>596245.97756895237</v>
      </c>
      <c r="E9" s="144">
        <v>100000</v>
      </c>
      <c r="F9" s="147">
        <f t="shared" si="0"/>
        <v>83222.17049999992</v>
      </c>
      <c r="G9" s="166">
        <v>32971.745945945942</v>
      </c>
      <c r="H9" s="158">
        <v>7537.0685000000003</v>
      </c>
      <c r="I9" s="161">
        <f t="shared" si="1"/>
        <v>1374791.4325148978</v>
      </c>
      <c r="K9" s="155">
        <f t="shared" si="2"/>
        <v>83222.17049999992</v>
      </c>
      <c r="L9" s="151">
        <v>152923.07692307691</v>
      </c>
    </row>
    <row r="10" spans="2:12" ht="15" x14ac:dyDescent="0.25">
      <c r="B10" s="110" t="s">
        <v>19</v>
      </c>
      <c r="C10" s="84">
        <v>832962.3899999999</v>
      </c>
      <c r="D10" s="150">
        <v>803420.97950836318</v>
      </c>
      <c r="E10" s="144">
        <v>227500</v>
      </c>
      <c r="F10" s="147">
        <f t="shared" si="0"/>
        <v>124944.35849999997</v>
      </c>
      <c r="G10" s="166">
        <v>32890.106306306305</v>
      </c>
      <c r="H10" s="158">
        <v>15074.137000000001</v>
      </c>
      <c r="I10" s="161">
        <f t="shared" si="1"/>
        <v>2036791.9713146694</v>
      </c>
      <c r="K10" s="155">
        <f t="shared" si="2"/>
        <v>124944.35849999997</v>
      </c>
      <c r="L10" s="151">
        <v>138784.61538461538</v>
      </c>
    </row>
    <row r="11" spans="2:12" x14ac:dyDescent="0.2">
      <c r="B11" s="142" t="s">
        <v>46</v>
      </c>
      <c r="C11" s="144"/>
      <c r="D11" s="125"/>
      <c r="E11" s="152"/>
      <c r="F11" s="125"/>
      <c r="G11" s="125"/>
      <c r="H11" s="158"/>
      <c r="I11" s="161">
        <f>C11+H11</f>
        <v>0</v>
      </c>
    </row>
    <row r="12" spans="2:12" x14ac:dyDescent="0.2">
      <c r="B12" s="142" t="s">
        <v>47</v>
      </c>
      <c r="C12" s="145"/>
      <c r="D12" s="125"/>
      <c r="E12" s="152"/>
      <c r="F12" s="125"/>
      <c r="G12" s="125"/>
      <c r="H12" s="158"/>
      <c r="I12" s="161">
        <f>H12</f>
        <v>0</v>
      </c>
    </row>
    <row r="13" spans="2:12" x14ac:dyDescent="0.2">
      <c r="B13" s="143" t="s">
        <v>48</v>
      </c>
      <c r="C13" s="146"/>
      <c r="D13" s="148"/>
      <c r="E13" s="153"/>
      <c r="F13" s="148"/>
      <c r="G13" s="148"/>
      <c r="H13" s="159"/>
      <c r="I13" s="162">
        <f>H13+C13</f>
        <v>0</v>
      </c>
    </row>
    <row r="14" spans="2:12" x14ac:dyDescent="0.2">
      <c r="B14" s="96"/>
      <c r="C14" s="123"/>
      <c r="D14" s="124"/>
      <c r="E14" s="124"/>
      <c r="F14" s="125"/>
      <c r="G14" s="125"/>
      <c r="H14" s="123"/>
      <c r="I14" s="9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0178-0715-4C17-B822-9D18B3FA1D00}">
  <dimension ref="B1:H9"/>
  <sheetViews>
    <sheetView workbookViewId="0">
      <selection activeCell="F3" sqref="F3:F7"/>
    </sheetView>
  </sheetViews>
  <sheetFormatPr defaultColWidth="9" defaultRowHeight="12.75" x14ac:dyDescent="0.2"/>
  <cols>
    <col min="1" max="16384" width="9" style="5"/>
  </cols>
  <sheetData>
    <row r="1" spans="2:8" ht="38.25" x14ac:dyDescent="0.2">
      <c r="B1" s="177"/>
      <c r="C1" s="178" t="s">
        <v>57</v>
      </c>
      <c r="D1" s="178" t="s">
        <v>58</v>
      </c>
      <c r="E1" s="178" t="s">
        <v>59</v>
      </c>
      <c r="F1" s="177" t="s">
        <v>63</v>
      </c>
    </row>
    <row r="2" spans="2:8" ht="38.25" hidden="1" x14ac:dyDescent="0.2">
      <c r="B2" s="178" t="s">
        <v>56</v>
      </c>
      <c r="C2" s="179">
        <v>23</v>
      </c>
      <c r="D2" s="179">
        <v>17.739999999999998</v>
      </c>
      <c r="E2" s="179">
        <v>15.19</v>
      </c>
      <c r="F2" s="177"/>
    </row>
    <row r="3" spans="2:8" ht="38.25" x14ac:dyDescent="0.2">
      <c r="B3" s="178" t="s">
        <v>51</v>
      </c>
      <c r="C3" s="179">
        <v>2</v>
      </c>
      <c r="D3" s="179">
        <v>0.23</v>
      </c>
      <c r="E3" s="179">
        <v>0.16</v>
      </c>
      <c r="F3" s="180">
        <f>SUM('SD Scorecard 2024'!K5:K7)</f>
        <v>0.1837814874222739</v>
      </c>
    </row>
    <row r="4" spans="2:8" ht="38.25" x14ac:dyDescent="0.2">
      <c r="B4" s="181" t="s">
        <v>52</v>
      </c>
      <c r="C4" s="182">
        <v>2</v>
      </c>
      <c r="D4" s="182">
        <v>1.55</v>
      </c>
      <c r="E4" s="182">
        <v>0.67</v>
      </c>
      <c r="F4" s="183">
        <f>SUM('SD Scorecard 2024'!K8:K10)</f>
        <v>1.0464844105140918</v>
      </c>
      <c r="G4" s="5">
        <v>2</v>
      </c>
      <c r="H4" s="5" t="s">
        <v>65</v>
      </c>
    </row>
    <row r="5" spans="2:8" ht="38.25" x14ac:dyDescent="0.2">
      <c r="B5" s="178" t="s">
        <v>53</v>
      </c>
      <c r="C5" s="179">
        <v>3</v>
      </c>
      <c r="D5" s="179">
        <v>2.59</v>
      </c>
      <c r="E5" s="179">
        <v>1.36</v>
      </c>
      <c r="F5" s="180">
        <f>SUM('SD Scorecard 2024'!K11:K13)</f>
        <v>2.8069449725192341</v>
      </c>
      <c r="G5" s="5">
        <v>3</v>
      </c>
      <c r="H5" s="5" t="s">
        <v>64</v>
      </c>
    </row>
    <row r="6" spans="2:8" ht="38.25" x14ac:dyDescent="0.2">
      <c r="B6" s="178" t="s">
        <v>54</v>
      </c>
      <c r="C6" s="179">
        <v>4</v>
      </c>
      <c r="D6" s="179">
        <v>4</v>
      </c>
      <c r="E6" s="179">
        <v>4</v>
      </c>
      <c r="F6" s="177">
        <v>4</v>
      </c>
    </row>
    <row r="7" spans="2:8" ht="51" x14ac:dyDescent="0.2">
      <c r="B7" s="178" t="s">
        <v>60</v>
      </c>
      <c r="C7" s="179">
        <v>1</v>
      </c>
      <c r="D7" s="179">
        <v>1</v>
      </c>
      <c r="E7" s="179">
        <v>1</v>
      </c>
      <c r="F7" s="177">
        <v>0.49</v>
      </c>
    </row>
    <row r="8" spans="2:8" ht="38.25" x14ac:dyDescent="0.2">
      <c r="B8" s="163" t="s">
        <v>61</v>
      </c>
      <c r="C8" s="164">
        <v>4</v>
      </c>
      <c r="D8" s="164">
        <v>4</v>
      </c>
      <c r="E8" s="164" t="s">
        <v>55</v>
      </c>
    </row>
    <row r="9" spans="2:8" ht="51" x14ac:dyDescent="0.2">
      <c r="B9" s="163" t="s">
        <v>62</v>
      </c>
      <c r="C9" s="164">
        <v>7</v>
      </c>
      <c r="D9" s="164">
        <v>4.37</v>
      </c>
      <c r="E9" s="164" t="s">
        <v>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0DC9-7379-4740-97F1-C756545FCAEB}">
  <dimension ref="B5:D10"/>
  <sheetViews>
    <sheetView workbookViewId="0">
      <selection activeCell="B5" sqref="B5:D10"/>
    </sheetView>
  </sheetViews>
  <sheetFormatPr defaultColWidth="9" defaultRowHeight="12.75" x14ac:dyDescent="0.2"/>
  <cols>
    <col min="1" max="16384" width="9" style="167"/>
  </cols>
  <sheetData>
    <row r="5" spans="2:4" x14ac:dyDescent="0.2">
      <c r="B5" s="168" t="s">
        <v>66</v>
      </c>
      <c r="C5" s="169" t="s">
        <v>67</v>
      </c>
      <c r="D5" s="169" t="s">
        <v>68</v>
      </c>
    </row>
    <row r="6" spans="2:4" x14ac:dyDescent="0.2">
      <c r="B6" s="168" t="s">
        <v>69</v>
      </c>
      <c r="C6" s="169" t="s">
        <v>67</v>
      </c>
      <c r="D6" s="169" t="s">
        <v>68</v>
      </c>
    </row>
    <row r="7" spans="2:4" x14ac:dyDescent="0.2">
      <c r="B7" s="168" t="s">
        <v>70</v>
      </c>
      <c r="C7" s="170" t="s">
        <v>67</v>
      </c>
      <c r="D7" s="170" t="s">
        <v>71</v>
      </c>
    </row>
    <row r="8" spans="2:4" x14ac:dyDescent="0.2">
      <c r="B8" s="168" t="s">
        <v>72</v>
      </c>
      <c r="C8" s="170" t="s">
        <v>67</v>
      </c>
      <c r="D8" s="170" t="s">
        <v>71</v>
      </c>
    </row>
    <row r="9" spans="2:4" x14ac:dyDescent="0.2">
      <c r="B9" s="168" t="s">
        <v>73</v>
      </c>
      <c r="C9" s="171" t="s">
        <v>67</v>
      </c>
      <c r="D9" s="171" t="s">
        <v>68</v>
      </c>
    </row>
    <row r="10" spans="2:4" x14ac:dyDescent="0.2">
      <c r="B10" s="172" t="s">
        <v>74</v>
      </c>
      <c r="C10" s="172" t="s">
        <v>75</v>
      </c>
      <c r="D10" s="5" t="s">
        <v>71</v>
      </c>
    </row>
  </sheetData>
  <conditionalFormatting sqref="B5:B9">
    <cfRule type="duplicateValues" dxfId="8" priority="3"/>
  </conditionalFormatting>
  <conditionalFormatting sqref="B5:B8">
    <cfRule type="duplicateValues" dxfId="7" priority="4"/>
  </conditionalFormatting>
  <conditionalFormatting sqref="B5:B7">
    <cfRule type="duplicateValues" dxfId="6" priority="5"/>
  </conditionalFormatting>
  <conditionalFormatting sqref="B5:B8">
    <cfRule type="duplicateValues" dxfId="5" priority="6"/>
  </conditionalFormatting>
  <conditionalFormatting sqref="B5:B8">
    <cfRule type="duplicateValues" dxfId="4" priority="7"/>
  </conditionalFormatting>
  <conditionalFormatting sqref="B5:B8">
    <cfRule type="duplicateValues" dxfId="3" priority="8"/>
  </conditionalFormatting>
  <conditionalFormatting sqref="B5:B8">
    <cfRule type="duplicateValues" dxfId="2" priority="9"/>
  </conditionalFormatting>
  <conditionalFormatting sqref="B10">
    <cfRule type="duplicateValues" dxfId="1" priority="1"/>
  </conditionalFormatting>
  <conditionalFormatting sqref="B10"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774BB652B5A449997094DEA24E818" ma:contentTypeVersion="2" ma:contentTypeDescription="Create a new document." ma:contentTypeScope="" ma:versionID="f25b31798711b14118302b467ef7223a">
  <xsd:schema xmlns:xsd="http://www.w3.org/2001/XMLSchema" xmlns:xs="http://www.w3.org/2001/XMLSchema" xmlns:p="http://schemas.microsoft.com/office/2006/metadata/properties" xmlns:ns2="8bbfa069-e179-4562-a8ae-686afe436d5e" targetNamespace="http://schemas.microsoft.com/office/2006/metadata/properties" ma:root="true" ma:fieldsID="5566bbfe2dfbcfc80973a88bb4e7c4eb" ns2:_="">
    <xsd:import namespace="8bbfa069-e179-4562-a8ae-686afe436d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fa069-e179-4562-a8ae-686afe436d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5391EE-2F8A-4451-AE19-DBA93023C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fa069-e179-4562-a8ae-686afe436d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E1EF5C-85E7-44D8-8AFE-B632909FB3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A6C52D-3DAB-42CE-BCE1-AEA2E0CA33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SD Scorecard 2024</vt:lpstr>
      <vt:lpstr>Summary ltd 15% Internal Train</vt:lpstr>
      <vt:lpstr>2023 vs 2024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Mpho Magolego</dc:creator>
  <cp:keywords/>
  <dc:description/>
  <cp:lastModifiedBy>Denise Moss</cp:lastModifiedBy>
  <cp:revision/>
  <dcterms:created xsi:type="dcterms:W3CDTF">2022-02-15T10:24:42Z</dcterms:created>
  <dcterms:modified xsi:type="dcterms:W3CDTF">2024-02-14T14:25:00Z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-1604026373</vt:i4>
  </property>
  <property fmtid="{D5CDD505-2E9C-101B-9397-08002B2CF9AE}" pid="3" name="_NewReviewCycle">
    <vt:lpwstr/>
  </property>
  <property fmtid="{D5CDD505-2E9C-101B-9397-08002B2CF9AE}" pid="4" name="_EmailSubject">
    <vt:lpwstr>SD Summary</vt:lpwstr>
  </property>
  <property fmtid="{D5CDD505-2E9C-101B-9397-08002B2CF9AE}" pid="5" name="_AuthorEmail">
    <vt:lpwstr>Rene.Dantu@ninetyone.com</vt:lpwstr>
  </property>
  <property fmtid="{D5CDD505-2E9C-101B-9397-08002B2CF9AE}" pid="6" name="_AuthorEmailDisplayName">
    <vt:lpwstr>René Dantu</vt:lpwstr>
  </property>
  <property fmtid="{D5CDD505-2E9C-101B-9397-08002B2CF9AE}" pid="7" name="_ReviewingToolsShownOnce">
    <vt:lpwstr/>
  </property>
  <property fmtid="{D5CDD505-2E9C-101B-9397-08002B2CF9AE}" pid="8" name="ContentTypeId">
    <vt:lpwstr>0x0101008F5774BB652B5A449997094DEA24E818</vt:lpwstr>
  </property>
  <property fmtid="{D5CDD505-2E9C-101B-9397-08002B2CF9AE}" pid="9" name="SV_QUERY_LIST_4F35BF76-6C0D-4D9B-82B2-816C12CF3733">
    <vt:lpwstr>empty_477D106A-C0D6-4607-AEBD-E2C9D60EA279</vt:lpwstr>
  </property>
  <property fmtid="{D5CDD505-2E9C-101B-9397-08002B2CF9AE}" pid="10" name="SV_HIDDEN_GRID_QUERY_LIST_4F35BF76-6C0D-4D9B-82B2-816C12CF3733">
    <vt:lpwstr>empty_477D106A-C0D6-4607-AEBD-E2C9D60EA279</vt:lpwstr>
  </property>
</Properties>
</file>