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13" documentId="13_ncr:1_{E8479CC6-6D85-6D46-B4B6-D55D71F4B924}" xr6:coauthVersionLast="47" xr6:coauthVersionMax="47" xr10:uidLastSave="{C04FCF35-D955-4E27-9BAC-70E8F9BEEC62}"/>
  <bookViews>
    <workbookView xWindow="0" yWindow="500" windowWidth="38400" windowHeight="21100" tabRatio="714" firstSheet="2" activeTab="2" xr2:uid="{00000000-000D-0000-FFFF-FFFF00000000}"/>
  </bookViews>
  <sheets>
    <sheet name="Consulta1" sheetId="14" r:id="rId1"/>
    <sheet name="Tabelas" sheetId="9" r:id="rId2"/>
    <sheet name="Piloto" sheetId="15" r:id="rId3"/>
  </sheets>
  <externalReferences>
    <externalReference r:id="rId4"/>
  </externalReferences>
  <definedNames>
    <definedName name="_xlnm._FilterDatabase" localSheetId="2" hidden="1">Piloto!$B$67:$H$163</definedName>
    <definedName name="_xlnm._FilterDatabase" localSheetId="1" hidden="1">Tabelas!$B$26:$AB$121</definedName>
    <definedName name="A">#REF!</definedName>
    <definedName name="_xlnm.Extract">[1]NBMC!#REF!</definedName>
    <definedName name="_xlnm.Print_Area" localSheetId="1">Tabelas!$B$5:$W$93</definedName>
    <definedName name="_xlnm.Database">[1]NBMC!#REF!</definedName>
    <definedName name="_xlnm.Criteria">[1]NBMC!#REF!</definedName>
    <definedName name="DadosExternos_1" localSheetId="0" hidden="1">'Consulta1'!$A$1:$AL$2</definedName>
    <definedName name="Excel_BuiltIn_Print_Area_3">#REF!</definedName>
    <definedName name="Print_Titles_MI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15" l="1"/>
  <c r="J143" i="15"/>
  <c r="L143" i="15" s="1"/>
  <c r="C143" i="15" s="1"/>
  <c r="J139" i="15"/>
  <c r="J137" i="15"/>
  <c r="J134" i="15"/>
  <c r="J133" i="15"/>
  <c r="L133" i="15" s="1"/>
  <c r="C133" i="15" s="1"/>
  <c r="J131" i="15"/>
  <c r="J125" i="15"/>
  <c r="J121" i="15"/>
  <c r="J119" i="15"/>
  <c r="J117" i="15"/>
  <c r="J115" i="15"/>
  <c r="J113" i="15"/>
  <c r="J111" i="15"/>
  <c r="J109" i="15"/>
  <c r="J107" i="15"/>
  <c r="J105" i="15"/>
  <c r="J103" i="15"/>
  <c r="J101" i="15"/>
  <c r="J99" i="15"/>
  <c r="J97" i="15"/>
  <c r="J95" i="15"/>
  <c r="J94" i="15"/>
  <c r="J93" i="15"/>
  <c r="J92" i="15"/>
  <c r="J91" i="15"/>
  <c r="J89" i="15"/>
  <c r="J87" i="15"/>
  <c r="J85" i="15"/>
  <c r="J84" i="15"/>
  <c r="J83" i="15"/>
  <c r="J82" i="15"/>
  <c r="J81" i="15"/>
  <c r="J79" i="15"/>
  <c r="J78" i="15"/>
  <c r="J76" i="15"/>
  <c r="J75" i="15"/>
  <c r="J74" i="15"/>
  <c r="J73" i="15"/>
  <c r="J72" i="15"/>
  <c r="J71" i="15"/>
  <c r="J70" i="15"/>
  <c r="J69" i="15"/>
  <c r="L111" i="15"/>
  <c r="C111" i="15" s="1"/>
  <c r="L99" i="15"/>
  <c r="C99" i="15" s="1"/>
  <c r="L121" i="15"/>
  <c r="C121" i="15" s="1"/>
  <c r="J106" i="15"/>
  <c r="J100" i="15"/>
  <c r="J90" i="15"/>
  <c r="J155" i="15"/>
  <c r="J127" i="15"/>
  <c r="L127" i="15" s="1"/>
  <c r="C127" i="15" s="1"/>
  <c r="J122" i="15"/>
  <c r="L105" i="15"/>
  <c r="C105" i="15" s="1"/>
  <c r="J86" i="15"/>
  <c r="L79" i="15"/>
  <c r="C79" i="15" s="1"/>
  <c r="L75" i="15"/>
  <c r="C75" i="15" s="1"/>
  <c r="L139" i="15"/>
  <c r="C139" i="15" s="1"/>
  <c r="L131" i="15"/>
  <c r="C131" i="15" s="1"/>
  <c r="J123" i="15"/>
  <c r="J98" i="15"/>
  <c r="J151" i="15"/>
  <c r="J96" i="15"/>
  <c r="J77" i="15"/>
  <c r="L123" i="15"/>
  <c r="C123" i="15" s="1"/>
  <c r="G17" i="9"/>
  <c r="N21" i="9"/>
  <c r="D18" i="9"/>
  <c r="D17" i="9"/>
  <c r="S22" i="9"/>
  <c r="Q22" i="9"/>
  <c r="P22" i="9"/>
  <c r="O22" i="9"/>
  <c r="R22" i="9"/>
  <c r="S20" i="9"/>
  <c r="S16" i="9" s="1"/>
  <c r="R20" i="9"/>
  <c r="R16" i="9" s="1"/>
  <c r="Q20" i="9"/>
  <c r="Q16" i="9" s="1"/>
  <c r="P20" i="9"/>
  <c r="P16" i="9" s="1"/>
  <c r="O20" i="9"/>
  <c r="O16" i="9" s="1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55" i="15"/>
  <c r="A189" i="15"/>
  <c r="A190" i="15" s="1"/>
  <c r="C189" i="15"/>
  <c r="C190" i="15" s="1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E145" i="15"/>
  <c r="W103" i="9" s="1"/>
  <c r="W102" i="9"/>
  <c r="E143" i="15"/>
  <c r="W101" i="9" s="1"/>
  <c r="W100" i="9"/>
  <c r="W99" i="9"/>
  <c r="W98" i="9"/>
  <c r="E139" i="15"/>
  <c r="W97" i="9" s="1"/>
  <c r="W96" i="9"/>
  <c r="E137" i="15"/>
  <c r="W95" i="9" s="1"/>
  <c r="W94" i="9"/>
  <c r="W93" i="9"/>
  <c r="W92" i="9"/>
  <c r="E133" i="15"/>
  <c r="W91" i="9" s="1"/>
  <c r="W90" i="9"/>
  <c r="E131" i="15"/>
  <c r="W89" i="9" s="1"/>
  <c r="W88" i="9"/>
  <c r="W87" i="9"/>
  <c r="W86" i="9"/>
  <c r="W85" i="9"/>
  <c r="W84" i="9"/>
  <c r="E125" i="15"/>
  <c r="W83" i="9" s="1"/>
  <c r="W82" i="9"/>
  <c r="W81" i="9"/>
  <c r="W80" i="9"/>
  <c r="E121" i="15"/>
  <c r="W79" i="9" s="1"/>
  <c r="W78" i="9"/>
  <c r="E119" i="15"/>
  <c r="W77" i="9" s="1"/>
  <c r="W76" i="9"/>
  <c r="E117" i="15"/>
  <c r="W75" i="9" s="1"/>
  <c r="W74" i="9"/>
  <c r="E115" i="15"/>
  <c r="W73" i="9" s="1"/>
  <c r="W72" i="9"/>
  <c r="E113" i="15"/>
  <c r="W71" i="9" s="1"/>
  <c r="W70" i="9"/>
  <c r="E111" i="15"/>
  <c r="W69" i="9" s="1"/>
  <c r="W68" i="9"/>
  <c r="E109" i="15"/>
  <c r="W67" i="9" s="1"/>
  <c r="W66" i="9"/>
  <c r="E107" i="15"/>
  <c r="W65" i="9" s="1"/>
  <c r="W64" i="9"/>
  <c r="W63" i="9"/>
  <c r="W62" i="9"/>
  <c r="E103" i="15"/>
  <c r="W61" i="9" s="1"/>
  <c r="W60" i="9"/>
  <c r="E101" i="15"/>
  <c r="W59" i="9" s="1"/>
  <c r="W58" i="9"/>
  <c r="E99" i="15"/>
  <c r="W57" i="9" s="1"/>
  <c r="W56" i="9"/>
  <c r="E97" i="15"/>
  <c r="W55" i="9" s="1"/>
  <c r="W54" i="9"/>
  <c r="E95" i="15"/>
  <c r="W53" i="9" s="1"/>
  <c r="E94" i="15"/>
  <c r="W52" i="9" s="1"/>
  <c r="E93" i="15"/>
  <c r="W51" i="9" s="1"/>
  <c r="E92" i="15"/>
  <c r="W50" i="9" s="1"/>
  <c r="E91" i="15"/>
  <c r="W49" i="9" s="1"/>
  <c r="W48" i="9"/>
  <c r="W47" i="9"/>
  <c r="W46" i="9"/>
  <c r="E87" i="15"/>
  <c r="W45" i="9" s="1"/>
  <c r="W44" i="9"/>
  <c r="E85" i="15"/>
  <c r="W43" i="9" s="1"/>
  <c r="E84" i="15"/>
  <c r="W42" i="9" s="1"/>
  <c r="E83" i="15"/>
  <c r="W41" i="9" s="1"/>
  <c r="E82" i="15"/>
  <c r="W40" i="9" s="1"/>
  <c r="E81" i="15"/>
  <c r="W39" i="9" s="1"/>
  <c r="W38" i="9"/>
  <c r="E79" i="15"/>
  <c r="W37" i="9" s="1"/>
  <c r="E78" i="15"/>
  <c r="W36" i="9" s="1"/>
  <c r="W35" i="9"/>
  <c r="E76" i="15"/>
  <c r="W34" i="9" s="1"/>
  <c r="E75" i="15"/>
  <c r="W33" i="9" s="1"/>
  <c r="W32" i="9"/>
  <c r="E73" i="15"/>
  <c r="W31" i="9" s="1"/>
  <c r="E72" i="15"/>
  <c r="W30" i="9" s="1"/>
  <c r="E71" i="15"/>
  <c r="W29" i="9" s="1"/>
  <c r="E70" i="15"/>
  <c r="W28" i="9" s="1"/>
  <c r="E69" i="15"/>
  <c r="W27" i="9" s="1"/>
  <c r="R205" i="15"/>
  <c r="P205" i="15"/>
  <c r="N205" i="15"/>
  <c r="L205" i="15"/>
  <c r="J205" i="15"/>
  <c r="H205" i="15"/>
  <c r="F205" i="15"/>
  <c r="D205" i="15"/>
  <c r="R186" i="15"/>
  <c r="P186" i="15"/>
  <c r="N186" i="15"/>
  <c r="L186" i="15"/>
  <c r="J186" i="15"/>
  <c r="H186" i="15"/>
  <c r="F186" i="15"/>
  <c r="D186" i="15"/>
  <c r="A178" i="15"/>
  <c r="A177" i="15"/>
  <c r="A176" i="15"/>
  <c r="A175" i="15"/>
  <c r="A174" i="15"/>
  <c r="A173" i="15"/>
  <c r="A172" i="15"/>
  <c r="A171" i="15"/>
  <c r="N163" i="15"/>
  <c r="L163" i="15"/>
  <c r="C163" i="15" s="1"/>
  <c r="N162" i="15"/>
  <c r="L162" i="15"/>
  <c r="C162" i="15" s="1"/>
  <c r="N161" i="15"/>
  <c r="L161" i="15"/>
  <c r="C161" i="15" s="1"/>
  <c r="N160" i="15"/>
  <c r="L160" i="15"/>
  <c r="C160" i="15" s="1"/>
  <c r="N159" i="15"/>
  <c r="L159" i="15"/>
  <c r="C159" i="15" s="1"/>
  <c r="N158" i="15"/>
  <c r="L158" i="15"/>
  <c r="C158" i="15" s="1"/>
  <c r="N157" i="15"/>
  <c r="L157" i="15"/>
  <c r="C157" i="15" s="1"/>
  <c r="N156" i="15"/>
  <c r="L156" i="15"/>
  <c r="C156" i="15" s="1"/>
  <c r="N155" i="15"/>
  <c r="L155" i="15"/>
  <c r="C155" i="15" s="1"/>
  <c r="N154" i="15"/>
  <c r="L154" i="15"/>
  <c r="C154" i="15" s="1"/>
  <c r="N153" i="15"/>
  <c r="L153" i="15"/>
  <c r="C153" i="15" s="1"/>
  <c r="N152" i="15"/>
  <c r="L152" i="15"/>
  <c r="C152" i="15" s="1"/>
  <c r="N151" i="15"/>
  <c r="L151" i="15"/>
  <c r="C151" i="15" s="1"/>
  <c r="N150" i="15"/>
  <c r="L150" i="15"/>
  <c r="C150" i="15" s="1"/>
  <c r="N149" i="15"/>
  <c r="L149" i="15"/>
  <c r="C149" i="15" s="1"/>
  <c r="N148" i="15"/>
  <c r="L148" i="15"/>
  <c r="C148" i="15" s="1"/>
  <c r="N147" i="15"/>
  <c r="L147" i="15"/>
  <c r="C147" i="15" s="1"/>
  <c r="N146" i="15"/>
  <c r="L146" i="15"/>
  <c r="C146" i="15" s="1"/>
  <c r="N145" i="15"/>
  <c r="L145" i="15"/>
  <c r="C145" i="15" s="1"/>
  <c r="N144" i="15"/>
  <c r="L144" i="15"/>
  <c r="C144" i="15" s="1"/>
  <c r="N143" i="15"/>
  <c r="N142" i="15"/>
  <c r="L142" i="15"/>
  <c r="C142" i="15" s="1"/>
  <c r="N141" i="15"/>
  <c r="L141" i="15"/>
  <c r="C141" i="15" s="1"/>
  <c r="N140" i="15"/>
  <c r="L140" i="15"/>
  <c r="C140" i="15" s="1"/>
  <c r="N139" i="15"/>
  <c r="N138" i="15"/>
  <c r="L138" i="15"/>
  <c r="C138" i="15" s="1"/>
  <c r="N137" i="15"/>
  <c r="L137" i="15"/>
  <c r="C137" i="15" s="1"/>
  <c r="N136" i="15"/>
  <c r="L136" i="15"/>
  <c r="C136" i="15" s="1"/>
  <c r="N135" i="15"/>
  <c r="L135" i="15"/>
  <c r="C135" i="15" s="1"/>
  <c r="N134" i="15"/>
  <c r="L134" i="15"/>
  <c r="C134" i="15" s="1"/>
  <c r="N133" i="15"/>
  <c r="N132" i="15"/>
  <c r="L132" i="15"/>
  <c r="C132" i="15" s="1"/>
  <c r="N131" i="15"/>
  <c r="N130" i="15"/>
  <c r="L130" i="15"/>
  <c r="C130" i="15" s="1"/>
  <c r="N129" i="15"/>
  <c r="L129" i="15"/>
  <c r="C129" i="15" s="1"/>
  <c r="N128" i="15"/>
  <c r="L128" i="15"/>
  <c r="C128" i="15" s="1"/>
  <c r="N127" i="15"/>
  <c r="N126" i="15"/>
  <c r="L126" i="15"/>
  <c r="C126" i="15" s="1"/>
  <c r="N125" i="15"/>
  <c r="L125" i="15"/>
  <c r="C125" i="15" s="1"/>
  <c r="N124" i="15"/>
  <c r="L124" i="15"/>
  <c r="C124" i="15" s="1"/>
  <c r="N123" i="15"/>
  <c r="N122" i="15"/>
  <c r="L122" i="15"/>
  <c r="C122" i="15" s="1"/>
  <c r="N121" i="15"/>
  <c r="N120" i="15"/>
  <c r="L120" i="15"/>
  <c r="C120" i="15" s="1"/>
  <c r="N119" i="15"/>
  <c r="L119" i="15"/>
  <c r="C119" i="15" s="1"/>
  <c r="N118" i="15"/>
  <c r="L118" i="15"/>
  <c r="C118" i="15" s="1"/>
  <c r="N117" i="15"/>
  <c r="L117" i="15"/>
  <c r="C117" i="15" s="1"/>
  <c r="N116" i="15"/>
  <c r="L116" i="15"/>
  <c r="C116" i="15" s="1"/>
  <c r="N115" i="15"/>
  <c r="L115" i="15"/>
  <c r="C115" i="15" s="1"/>
  <c r="N114" i="15"/>
  <c r="L114" i="15"/>
  <c r="C114" i="15" s="1"/>
  <c r="N113" i="15"/>
  <c r="L113" i="15"/>
  <c r="C113" i="15" s="1"/>
  <c r="N112" i="15"/>
  <c r="L112" i="15"/>
  <c r="C112" i="15" s="1"/>
  <c r="N111" i="15"/>
  <c r="N110" i="15"/>
  <c r="L110" i="15"/>
  <c r="C110" i="15" s="1"/>
  <c r="N109" i="15"/>
  <c r="L109" i="15"/>
  <c r="C109" i="15" s="1"/>
  <c r="N108" i="15"/>
  <c r="L108" i="15"/>
  <c r="C108" i="15" s="1"/>
  <c r="N107" i="15"/>
  <c r="L107" i="15"/>
  <c r="C107" i="15" s="1"/>
  <c r="N106" i="15"/>
  <c r="L106" i="15"/>
  <c r="C106" i="15" s="1"/>
  <c r="N105" i="15"/>
  <c r="N104" i="15"/>
  <c r="L104" i="15"/>
  <c r="C104" i="15" s="1"/>
  <c r="N103" i="15"/>
  <c r="L103" i="15"/>
  <c r="C103" i="15" s="1"/>
  <c r="N102" i="15"/>
  <c r="L102" i="15"/>
  <c r="C102" i="15" s="1"/>
  <c r="N101" i="15"/>
  <c r="L101" i="15"/>
  <c r="C101" i="15" s="1"/>
  <c r="N100" i="15"/>
  <c r="L100" i="15"/>
  <c r="C100" i="15" s="1"/>
  <c r="N99" i="15"/>
  <c r="N98" i="15"/>
  <c r="L98" i="15"/>
  <c r="C98" i="15" s="1"/>
  <c r="N97" i="15"/>
  <c r="L97" i="15"/>
  <c r="C97" i="15" s="1"/>
  <c r="N96" i="15"/>
  <c r="L96" i="15"/>
  <c r="C96" i="15" s="1"/>
  <c r="N95" i="15"/>
  <c r="L95" i="15"/>
  <c r="C95" i="15" s="1"/>
  <c r="N94" i="15"/>
  <c r="L94" i="15"/>
  <c r="C94" i="15" s="1"/>
  <c r="N93" i="15"/>
  <c r="L93" i="15"/>
  <c r="C93" i="15" s="1"/>
  <c r="N92" i="15"/>
  <c r="L92" i="15"/>
  <c r="C92" i="15" s="1"/>
  <c r="N91" i="15"/>
  <c r="L91" i="15"/>
  <c r="C91" i="15" s="1"/>
  <c r="N90" i="15"/>
  <c r="L90" i="15"/>
  <c r="C90" i="15" s="1"/>
  <c r="N89" i="15"/>
  <c r="L89" i="15"/>
  <c r="C89" i="15" s="1"/>
  <c r="N88" i="15"/>
  <c r="L88" i="15"/>
  <c r="C88" i="15" s="1"/>
  <c r="N87" i="15"/>
  <c r="L87" i="15"/>
  <c r="C87" i="15" s="1"/>
  <c r="N86" i="15"/>
  <c r="L86" i="15"/>
  <c r="C86" i="15" s="1"/>
  <c r="N85" i="15"/>
  <c r="L85" i="15"/>
  <c r="C85" i="15" s="1"/>
  <c r="N84" i="15"/>
  <c r="L84" i="15"/>
  <c r="C84" i="15" s="1"/>
  <c r="N83" i="15"/>
  <c r="L83" i="15"/>
  <c r="C83" i="15" s="1"/>
  <c r="N82" i="15"/>
  <c r="L82" i="15"/>
  <c r="C82" i="15" s="1"/>
  <c r="N81" i="15"/>
  <c r="L81" i="15"/>
  <c r="C81" i="15" s="1"/>
  <c r="N80" i="15"/>
  <c r="L80" i="15"/>
  <c r="C80" i="15" s="1"/>
  <c r="N79" i="15"/>
  <c r="N78" i="15"/>
  <c r="L78" i="15"/>
  <c r="C78" i="15" s="1"/>
  <c r="N77" i="15"/>
  <c r="L77" i="15"/>
  <c r="C77" i="15" s="1"/>
  <c r="N76" i="15"/>
  <c r="L76" i="15"/>
  <c r="C76" i="15" s="1"/>
  <c r="N75" i="15"/>
  <c r="N74" i="15"/>
  <c r="L74" i="15"/>
  <c r="C74" i="15" s="1"/>
  <c r="N73" i="15"/>
  <c r="L73" i="15"/>
  <c r="C73" i="15" s="1"/>
  <c r="N72" i="15"/>
  <c r="L72" i="15"/>
  <c r="C72" i="15" s="1"/>
  <c r="N71" i="15"/>
  <c r="L71" i="15"/>
  <c r="C71" i="15" s="1"/>
  <c r="N70" i="15"/>
  <c r="L70" i="15"/>
  <c r="C70" i="15" s="1"/>
  <c r="N69" i="15"/>
  <c r="L69" i="15"/>
  <c r="C69" i="15" s="1"/>
  <c r="B60" i="15"/>
  <c r="B59" i="15"/>
  <c r="B58" i="15"/>
  <c r="B57" i="15"/>
  <c r="B56" i="15"/>
  <c r="F14" i="15"/>
  <c r="H9" i="15"/>
  <c r="E6" i="15"/>
  <c r="G18" i="9" s="1"/>
  <c r="D6" i="15"/>
  <c r="E18" i="9" s="1"/>
  <c r="D5" i="15"/>
  <c r="E17" i="9" s="1"/>
  <c r="C204" i="15" l="1"/>
  <c r="C205" i="15" s="1"/>
  <c r="D9" i="15" s="1"/>
  <c r="H60" i="15"/>
  <c r="B61" i="15"/>
  <c r="J9" i="15"/>
  <c r="K9" i="15" s="1"/>
  <c r="F6" i="15"/>
  <c r="G6" i="15" s="1"/>
  <c r="H55" i="15"/>
  <c r="H56" i="15"/>
  <c r="D10" i="15"/>
  <c r="H57" i="15"/>
  <c r="Q19" i="9" s="1"/>
  <c r="Q26" i="9" s="1"/>
  <c r="H58" i="15"/>
  <c r="R26" i="9" s="1"/>
  <c r="H59" i="15"/>
  <c r="S26" i="9" s="1"/>
  <c r="S21" i="9" l="1"/>
  <c r="R21" i="9"/>
  <c r="Q21" i="9"/>
  <c r="P21" i="9"/>
  <c r="O21" i="9"/>
  <c r="R25" i="9"/>
  <c r="Q25" i="9"/>
  <c r="T22" i="9" l="1"/>
  <c r="V22" i="9"/>
  <c r="C42" i="15" l="1"/>
  <c r="B172" i="15" s="1"/>
  <c r="C44" i="15"/>
  <c r="B174" i="15" s="1"/>
  <c r="C171" i="15"/>
  <c r="C47" i="15"/>
  <c r="D47" i="15" s="1"/>
  <c r="E47" i="15" s="1"/>
  <c r="C48" i="15"/>
  <c r="B178" i="15" s="1"/>
  <c r="C45" i="15"/>
  <c r="B175" i="15" s="1"/>
  <c r="C43" i="15"/>
  <c r="B173" i="15" s="1"/>
  <c r="C46" i="15"/>
  <c r="B176" i="15" s="1"/>
  <c r="C41" i="15"/>
  <c r="D41" i="15" s="1"/>
  <c r="E41" i="15" s="1"/>
  <c r="F70" i="15" s="1"/>
  <c r="C175" i="15"/>
  <c r="C174" i="15"/>
  <c r="C173" i="15"/>
  <c r="C177" i="15"/>
  <c r="C178" i="15"/>
  <c r="C172" i="15"/>
  <c r="C176" i="15"/>
  <c r="B171" i="15" l="1"/>
  <c r="D43" i="15"/>
  <c r="E43" i="15" s="1"/>
  <c r="F125" i="15"/>
  <c r="H125" i="15" s="1"/>
  <c r="M83" i="9" s="1"/>
  <c r="N83" i="9" s="1"/>
  <c r="F105" i="15"/>
  <c r="H105" i="15" s="1"/>
  <c r="M63" i="9" s="1"/>
  <c r="N63" i="9" s="1"/>
  <c r="F110" i="15"/>
  <c r="H110" i="15" s="1"/>
  <c r="M68" i="9" s="1"/>
  <c r="N68" i="9" s="1"/>
  <c r="F128" i="15"/>
  <c r="H128" i="15" s="1"/>
  <c r="M86" i="9" s="1"/>
  <c r="N86" i="9" s="1"/>
  <c r="F95" i="15"/>
  <c r="H95" i="15" s="1"/>
  <c r="M53" i="9" s="1"/>
  <c r="N53" i="9" s="1"/>
  <c r="F120" i="15"/>
  <c r="H120" i="15" s="1"/>
  <c r="M78" i="9" s="1"/>
  <c r="N78" i="9" s="1"/>
  <c r="F115" i="15"/>
  <c r="H115" i="15" s="1"/>
  <c r="M73" i="9" s="1"/>
  <c r="N73" i="9" s="1"/>
  <c r="F150" i="15"/>
  <c r="H150" i="15" s="1"/>
  <c r="M108" i="9" s="1"/>
  <c r="N108" i="9" s="1"/>
  <c r="F135" i="15"/>
  <c r="H135" i="15" s="1"/>
  <c r="M93" i="9" s="1"/>
  <c r="N93" i="9" s="1"/>
  <c r="F134" i="15"/>
  <c r="H134" i="15" s="1"/>
  <c r="M92" i="9" s="1"/>
  <c r="N92" i="9" s="1"/>
  <c r="F148" i="15"/>
  <c r="H148" i="15" s="1"/>
  <c r="M106" i="9" s="1"/>
  <c r="N106" i="9" s="1"/>
  <c r="F130" i="15"/>
  <c r="H130" i="15" s="1"/>
  <c r="M88" i="9" s="1"/>
  <c r="N88" i="9" s="1"/>
  <c r="F122" i="15"/>
  <c r="H122" i="15" s="1"/>
  <c r="M80" i="9" s="1"/>
  <c r="N80" i="9" s="1"/>
  <c r="F142" i="15"/>
  <c r="H142" i="15" s="1"/>
  <c r="M100" i="9" s="1"/>
  <c r="N100" i="9" s="1"/>
  <c r="F113" i="15"/>
  <c r="H113" i="15" s="1"/>
  <c r="M71" i="9" s="1"/>
  <c r="N71" i="9" s="1"/>
  <c r="F118" i="15"/>
  <c r="H118" i="15" s="1"/>
  <c r="M76" i="9" s="1"/>
  <c r="N76" i="9" s="1"/>
  <c r="F124" i="15"/>
  <c r="H124" i="15" s="1"/>
  <c r="M82" i="9" s="1"/>
  <c r="N82" i="9" s="1"/>
  <c r="F140" i="15"/>
  <c r="H140" i="15" s="1"/>
  <c r="M98" i="9" s="1"/>
  <c r="N98" i="9" s="1"/>
  <c r="F144" i="15"/>
  <c r="H144" i="15" s="1"/>
  <c r="M102" i="9" s="1"/>
  <c r="N102" i="9" s="1"/>
  <c r="F145" i="15"/>
  <c r="H145" i="15" s="1"/>
  <c r="M103" i="9" s="1"/>
  <c r="N103" i="9" s="1"/>
  <c r="F112" i="15"/>
  <c r="H112" i="15" s="1"/>
  <c r="M70" i="9" s="1"/>
  <c r="N70" i="9" s="1"/>
  <c r="F114" i="15"/>
  <c r="H114" i="15" s="1"/>
  <c r="M72" i="9" s="1"/>
  <c r="N72" i="9" s="1"/>
  <c r="F138" i="15"/>
  <c r="H138" i="15" s="1"/>
  <c r="M96" i="9" s="1"/>
  <c r="N96" i="9" s="1"/>
  <c r="F100" i="15"/>
  <c r="H100" i="15" s="1"/>
  <c r="M58" i="9" s="1"/>
  <c r="N58" i="9" s="1"/>
  <c r="F133" i="15"/>
  <c r="H133" i="15" s="1"/>
  <c r="M91" i="9" s="1"/>
  <c r="N91" i="9" s="1"/>
  <c r="F123" i="15"/>
  <c r="H123" i="15" s="1"/>
  <c r="M81" i="9" s="1"/>
  <c r="N81" i="9" s="1"/>
  <c r="F143" i="15"/>
  <c r="H143" i="15" s="1"/>
  <c r="M101" i="9" s="1"/>
  <c r="N101" i="9" s="1"/>
  <c r="F152" i="15"/>
  <c r="H152" i="15" s="1"/>
  <c r="M110" i="9" s="1"/>
  <c r="N110" i="9" s="1"/>
  <c r="F132" i="15"/>
  <c r="H132" i="15" s="1"/>
  <c r="M90" i="9" s="1"/>
  <c r="N90" i="9" s="1"/>
  <c r="H70" i="15"/>
  <c r="M28" i="9" s="1"/>
  <c r="N28" i="9" s="1"/>
  <c r="F87" i="15"/>
  <c r="H87" i="15" s="1"/>
  <c r="M45" i="9" s="1"/>
  <c r="N45" i="9" s="1"/>
  <c r="F126" i="15"/>
  <c r="H126" i="15" s="1"/>
  <c r="M84" i="9" s="1"/>
  <c r="N84" i="9" s="1"/>
  <c r="F93" i="15"/>
  <c r="H93" i="15" s="1"/>
  <c r="M51" i="9" s="1"/>
  <c r="N51" i="9" s="1"/>
  <c r="F127" i="15"/>
  <c r="H127" i="15" s="1"/>
  <c r="M85" i="9" s="1"/>
  <c r="N85" i="9" s="1"/>
  <c r="F121" i="15"/>
  <c r="H121" i="15" s="1"/>
  <c r="M79" i="9" s="1"/>
  <c r="N79" i="9" s="1"/>
  <c r="F94" i="15"/>
  <c r="H94" i="15" s="1"/>
  <c r="M52" i="9" s="1"/>
  <c r="N52" i="9" s="1"/>
  <c r="F119" i="15"/>
  <c r="H119" i="15" s="1"/>
  <c r="M77" i="9" s="1"/>
  <c r="N77" i="9" s="1"/>
  <c r="F92" i="15"/>
  <c r="H92" i="15" s="1"/>
  <c r="M50" i="9" s="1"/>
  <c r="N50" i="9" s="1"/>
  <c r="F98" i="15"/>
  <c r="H98" i="15" s="1"/>
  <c r="M56" i="9" s="1"/>
  <c r="N56" i="9" s="1"/>
  <c r="D46" i="15"/>
  <c r="E46" i="15" s="1"/>
  <c r="F85" i="15" s="1"/>
  <c r="D45" i="15"/>
  <c r="E45" i="15" s="1"/>
  <c r="F81" i="15" s="1"/>
  <c r="H81" i="15" s="1"/>
  <c r="M39" i="9" s="1"/>
  <c r="N39" i="9" s="1"/>
  <c r="C179" i="15"/>
  <c r="D44" i="15"/>
  <c r="E44" i="15" s="1"/>
  <c r="F79" i="15" s="1"/>
  <c r="D48" i="15"/>
  <c r="E48" i="15" s="1"/>
  <c r="D42" i="15"/>
  <c r="E42" i="15" s="1"/>
  <c r="B177" i="15"/>
  <c r="Q50" i="9" l="1"/>
  <c r="P50" i="9"/>
  <c r="O50" i="9"/>
  <c r="R50" i="9"/>
  <c r="V50" i="9"/>
  <c r="S50" i="9"/>
  <c r="Q72" i="9"/>
  <c r="O72" i="9"/>
  <c r="R72" i="9"/>
  <c r="S72" i="9"/>
  <c r="V72" i="9"/>
  <c r="P72" i="9"/>
  <c r="Q100" i="9"/>
  <c r="S100" i="9"/>
  <c r="P100" i="9"/>
  <c r="V100" i="9"/>
  <c r="R100" i="9"/>
  <c r="O100" i="9"/>
  <c r="Q78" i="9"/>
  <c r="S78" i="9"/>
  <c r="P78" i="9"/>
  <c r="O78" i="9"/>
  <c r="R78" i="9"/>
  <c r="V78" i="9"/>
  <c r="Q77" i="9"/>
  <c r="R77" i="9"/>
  <c r="P77" i="9"/>
  <c r="O77" i="9"/>
  <c r="V77" i="9"/>
  <c r="S77" i="9"/>
  <c r="P90" i="9"/>
  <c r="O90" i="9"/>
  <c r="R90" i="9"/>
  <c r="V90" i="9"/>
  <c r="Q90" i="9"/>
  <c r="S90" i="9"/>
  <c r="S70" i="9"/>
  <c r="P70" i="9"/>
  <c r="R70" i="9"/>
  <c r="O70" i="9"/>
  <c r="V70" i="9"/>
  <c r="Q70" i="9"/>
  <c r="V80" i="9"/>
  <c r="R80" i="9"/>
  <c r="O80" i="9"/>
  <c r="P80" i="9"/>
  <c r="S80" i="9"/>
  <c r="Q80" i="9"/>
  <c r="O83" i="9"/>
  <c r="S83" i="9"/>
  <c r="P83" i="9"/>
  <c r="Q83" i="9"/>
  <c r="R83" i="9"/>
  <c r="V83" i="9"/>
  <c r="V52" i="9"/>
  <c r="S52" i="9"/>
  <c r="P52" i="9"/>
  <c r="Q52" i="9"/>
  <c r="R52" i="9"/>
  <c r="O52" i="9"/>
  <c r="Q84" i="9"/>
  <c r="S84" i="9"/>
  <c r="O84" i="9"/>
  <c r="P84" i="9"/>
  <c r="R84" i="9"/>
  <c r="V84" i="9"/>
  <c r="P110" i="9"/>
  <c r="R110" i="9"/>
  <c r="V110" i="9"/>
  <c r="O110" i="9"/>
  <c r="Q110" i="9"/>
  <c r="S110" i="9"/>
  <c r="R58" i="9"/>
  <c r="O58" i="9"/>
  <c r="Q58" i="9"/>
  <c r="V58" i="9"/>
  <c r="P58" i="9"/>
  <c r="S58" i="9"/>
  <c r="V103" i="9"/>
  <c r="O103" i="9"/>
  <c r="Q103" i="9"/>
  <c r="S103" i="9"/>
  <c r="P103" i="9"/>
  <c r="R103" i="9"/>
  <c r="V76" i="9"/>
  <c r="S76" i="9"/>
  <c r="P76" i="9"/>
  <c r="R76" i="9"/>
  <c r="O76" i="9"/>
  <c r="Q76" i="9"/>
  <c r="P88" i="9"/>
  <c r="R88" i="9"/>
  <c r="Q88" i="9"/>
  <c r="V88" i="9"/>
  <c r="S88" i="9"/>
  <c r="O88" i="9"/>
  <c r="Q108" i="9"/>
  <c r="V108" i="9"/>
  <c r="O108" i="9"/>
  <c r="S108" i="9"/>
  <c r="P108" i="9"/>
  <c r="R108" i="9"/>
  <c r="Q86" i="9"/>
  <c r="O86" i="9"/>
  <c r="R86" i="9"/>
  <c r="S86" i="9"/>
  <c r="V86" i="9"/>
  <c r="P86" i="9"/>
  <c r="O85" i="9"/>
  <c r="V85" i="9"/>
  <c r="R85" i="9"/>
  <c r="S85" i="9"/>
  <c r="P85" i="9"/>
  <c r="Q85" i="9"/>
  <c r="Q81" i="9"/>
  <c r="P81" i="9"/>
  <c r="S81" i="9"/>
  <c r="R81" i="9"/>
  <c r="V81" i="9"/>
  <c r="O81" i="9"/>
  <c r="Q98" i="9"/>
  <c r="O98" i="9"/>
  <c r="S98" i="9"/>
  <c r="V98" i="9"/>
  <c r="P98" i="9"/>
  <c r="R98" i="9"/>
  <c r="V92" i="9"/>
  <c r="O92" i="9"/>
  <c r="P92" i="9"/>
  <c r="Q92" i="9"/>
  <c r="R92" i="9"/>
  <c r="S92" i="9"/>
  <c r="Q63" i="9"/>
  <c r="S63" i="9"/>
  <c r="R63" i="9"/>
  <c r="P63" i="9"/>
  <c r="V63" i="9"/>
  <c r="O63" i="9"/>
  <c r="O39" i="9"/>
  <c r="P39" i="9"/>
  <c r="S39" i="9"/>
  <c r="V39" i="9"/>
  <c r="R39" i="9"/>
  <c r="Q39" i="9"/>
  <c r="O51" i="9"/>
  <c r="R51" i="9"/>
  <c r="Q51" i="9"/>
  <c r="P51" i="9"/>
  <c r="V51" i="9"/>
  <c r="S51" i="9"/>
  <c r="S91" i="9"/>
  <c r="O91" i="9"/>
  <c r="R91" i="9"/>
  <c r="V91" i="9"/>
  <c r="Q91" i="9"/>
  <c r="P91" i="9"/>
  <c r="R82" i="9"/>
  <c r="V82" i="9"/>
  <c r="Q82" i="9"/>
  <c r="P82" i="9"/>
  <c r="S82" i="9"/>
  <c r="O82" i="9"/>
  <c r="O93" i="9"/>
  <c r="P93" i="9"/>
  <c r="Q93" i="9"/>
  <c r="R93" i="9"/>
  <c r="V93" i="9"/>
  <c r="S93" i="9"/>
  <c r="P53" i="9"/>
  <c r="V53" i="9"/>
  <c r="R53" i="9"/>
  <c r="S53" i="9"/>
  <c r="Q53" i="9"/>
  <c r="O53" i="9"/>
  <c r="R56" i="9"/>
  <c r="V56" i="9"/>
  <c r="Q56" i="9"/>
  <c r="P56" i="9"/>
  <c r="O56" i="9"/>
  <c r="S56" i="9"/>
  <c r="P79" i="9"/>
  <c r="O79" i="9"/>
  <c r="Q79" i="9"/>
  <c r="R79" i="9"/>
  <c r="V79" i="9"/>
  <c r="S79" i="9"/>
  <c r="O45" i="9"/>
  <c r="R45" i="9"/>
  <c r="P45" i="9"/>
  <c r="Q45" i="9"/>
  <c r="S45" i="9"/>
  <c r="V45" i="9"/>
  <c r="P101" i="9"/>
  <c r="Q101" i="9"/>
  <c r="V101" i="9"/>
  <c r="R101" i="9"/>
  <c r="O101" i="9"/>
  <c r="S101" i="9"/>
  <c r="S96" i="9"/>
  <c r="Q96" i="9"/>
  <c r="R96" i="9"/>
  <c r="P96" i="9"/>
  <c r="O96" i="9"/>
  <c r="V96" i="9"/>
  <c r="S102" i="9"/>
  <c r="O102" i="9"/>
  <c r="R102" i="9"/>
  <c r="Q102" i="9"/>
  <c r="V102" i="9"/>
  <c r="P102" i="9"/>
  <c r="Q71" i="9"/>
  <c r="V71" i="9"/>
  <c r="P71" i="9"/>
  <c r="S71" i="9"/>
  <c r="O71" i="9"/>
  <c r="R71" i="9"/>
  <c r="Q106" i="9"/>
  <c r="P106" i="9"/>
  <c r="O106" i="9"/>
  <c r="R106" i="9"/>
  <c r="V106" i="9"/>
  <c r="S106" i="9"/>
  <c r="Q73" i="9"/>
  <c r="V73" i="9"/>
  <c r="O73" i="9"/>
  <c r="R73" i="9"/>
  <c r="P73" i="9"/>
  <c r="S73" i="9"/>
  <c r="P68" i="9"/>
  <c r="O68" i="9"/>
  <c r="Q68" i="9"/>
  <c r="R68" i="9"/>
  <c r="S68" i="9"/>
  <c r="V68" i="9"/>
  <c r="Q28" i="9"/>
  <c r="P28" i="9"/>
  <c r="S28" i="9"/>
  <c r="V28" i="9"/>
  <c r="O28" i="9"/>
  <c r="R28" i="9"/>
  <c r="F86" i="15"/>
  <c r="H86" i="15" s="1"/>
  <c r="M44" i="9" s="1"/>
  <c r="N44" i="9" s="1"/>
  <c r="F162" i="15"/>
  <c r="H162" i="15" s="1"/>
  <c r="M120" i="9" s="1"/>
  <c r="N120" i="9" s="1"/>
  <c r="F154" i="15"/>
  <c r="H154" i="15" s="1"/>
  <c r="M112" i="9" s="1"/>
  <c r="N112" i="9" s="1"/>
  <c r="F158" i="15"/>
  <c r="H158" i="15" s="1"/>
  <c r="M116" i="9" s="1"/>
  <c r="N116" i="9" s="1"/>
  <c r="F153" i="15"/>
  <c r="H153" i="15" s="1"/>
  <c r="M111" i="9" s="1"/>
  <c r="N111" i="9" s="1"/>
  <c r="F163" i="15"/>
  <c r="H163" i="15" s="1"/>
  <c r="M121" i="9" s="1"/>
  <c r="N121" i="9" s="1"/>
  <c r="F155" i="15"/>
  <c r="H155" i="15" s="1"/>
  <c r="M113" i="9" s="1"/>
  <c r="N113" i="9" s="1"/>
  <c r="F160" i="15"/>
  <c r="H160" i="15" s="1"/>
  <c r="M118" i="9" s="1"/>
  <c r="N118" i="9" s="1"/>
  <c r="F101" i="15"/>
  <c r="H101" i="15" s="1"/>
  <c r="M59" i="9" s="1"/>
  <c r="N59" i="9" s="1"/>
  <c r="F107" i="15"/>
  <c r="H107" i="15" s="1"/>
  <c r="M65" i="9" s="1"/>
  <c r="N65" i="9" s="1"/>
  <c r="F106" i="15"/>
  <c r="H106" i="15" s="1"/>
  <c r="M64" i="9" s="1"/>
  <c r="N64" i="9" s="1"/>
  <c r="F74" i="15"/>
  <c r="H74" i="15" s="1"/>
  <c r="M32" i="9" s="1"/>
  <c r="N32" i="9" s="1"/>
  <c r="F72" i="15"/>
  <c r="F75" i="15"/>
  <c r="H75" i="15" s="1"/>
  <c r="M33" i="9" s="1"/>
  <c r="N33" i="9" s="1"/>
  <c r="F78" i="15"/>
  <c r="H78" i="15" s="1"/>
  <c r="M36" i="9" s="1"/>
  <c r="N36" i="9" s="1"/>
  <c r="F73" i="15"/>
  <c r="H73" i="15" s="1"/>
  <c r="M31" i="9" s="1"/>
  <c r="N31" i="9" s="1"/>
  <c r="F99" i="15"/>
  <c r="H99" i="15" s="1"/>
  <c r="M57" i="9" s="1"/>
  <c r="N57" i="9" s="1"/>
  <c r="H79" i="15"/>
  <c r="M37" i="9" s="1"/>
  <c r="N37" i="9" s="1"/>
  <c r="F82" i="15"/>
  <c r="H82" i="15" s="1"/>
  <c r="M40" i="9" s="1"/>
  <c r="N40" i="9" s="1"/>
  <c r="F116" i="15"/>
  <c r="H116" i="15" s="1"/>
  <c r="M74" i="9" s="1"/>
  <c r="N74" i="9" s="1"/>
  <c r="F88" i="15"/>
  <c r="H88" i="15" s="1"/>
  <c r="M46" i="9" s="1"/>
  <c r="N46" i="9" s="1"/>
  <c r="F117" i="15"/>
  <c r="H117" i="15" s="1"/>
  <c r="M75" i="9" s="1"/>
  <c r="N75" i="9" s="1"/>
  <c r="F109" i="15"/>
  <c r="H109" i="15" s="1"/>
  <c r="M67" i="9" s="1"/>
  <c r="N67" i="9" s="1"/>
  <c r="F111" i="15"/>
  <c r="H111" i="15" s="1"/>
  <c r="M69" i="9" s="1"/>
  <c r="N69" i="9" s="1"/>
  <c r="F84" i="15"/>
  <c r="H84" i="15" s="1"/>
  <c r="M42" i="9" s="1"/>
  <c r="N42" i="9" s="1"/>
  <c r="F80" i="15"/>
  <c r="F83" i="15"/>
  <c r="H83" i="15" s="1"/>
  <c r="M41" i="9" s="1"/>
  <c r="N41" i="9" s="1"/>
  <c r="F76" i="15"/>
  <c r="H76" i="15" s="1"/>
  <c r="M34" i="9" s="1"/>
  <c r="N34" i="9" s="1"/>
  <c r="F71" i="15"/>
  <c r="H71" i="15" s="1"/>
  <c r="M29" i="9" s="1"/>
  <c r="N29" i="9" s="1"/>
  <c r="F69" i="15"/>
  <c r="F77" i="15"/>
  <c r="H77" i="15" s="1"/>
  <c r="M35" i="9" s="1"/>
  <c r="N35" i="9" s="1"/>
  <c r="H85" i="15"/>
  <c r="M43" i="9" s="1"/>
  <c r="N43" i="9" s="1"/>
  <c r="F129" i="15"/>
  <c r="H129" i="15" s="1"/>
  <c r="M87" i="9" s="1"/>
  <c r="N87" i="9" s="1"/>
  <c r="F108" i="15"/>
  <c r="H108" i="15" s="1"/>
  <c r="M66" i="9" s="1"/>
  <c r="N66" i="9" s="1"/>
  <c r="F137" i="15"/>
  <c r="H137" i="15" s="1"/>
  <c r="M95" i="9" s="1"/>
  <c r="N95" i="9" s="1"/>
  <c r="F102" i="15"/>
  <c r="H102" i="15" s="1"/>
  <c r="M60" i="9" s="1"/>
  <c r="N60" i="9" s="1"/>
  <c r="F90" i="15"/>
  <c r="F139" i="15"/>
  <c r="H139" i="15" s="1"/>
  <c r="M97" i="9" s="1"/>
  <c r="N97" i="9" s="1"/>
  <c r="F156" i="15"/>
  <c r="H156" i="15" s="1"/>
  <c r="M114" i="9" s="1"/>
  <c r="N114" i="9" s="1"/>
  <c r="F103" i="15"/>
  <c r="H103" i="15" s="1"/>
  <c r="M61" i="9" s="1"/>
  <c r="N61" i="9" s="1"/>
  <c r="F104" i="15"/>
  <c r="H104" i="15" s="1"/>
  <c r="M62" i="9" s="1"/>
  <c r="N62" i="9" s="1"/>
  <c r="F141" i="15"/>
  <c r="H141" i="15" s="1"/>
  <c r="M99" i="9" s="1"/>
  <c r="N99" i="9" s="1"/>
  <c r="F136" i="15"/>
  <c r="H136" i="15" s="1"/>
  <c r="M94" i="9" s="1"/>
  <c r="N94" i="9" s="1"/>
  <c r="F131" i="15"/>
  <c r="H131" i="15" s="1"/>
  <c r="M89" i="9" s="1"/>
  <c r="N89" i="9" s="1"/>
  <c r="F147" i="15"/>
  <c r="H147" i="15" s="1"/>
  <c r="M105" i="9" s="1"/>
  <c r="N105" i="9" s="1"/>
  <c r="F151" i="15"/>
  <c r="H151" i="15" s="1"/>
  <c r="M109" i="9" s="1"/>
  <c r="N109" i="9" s="1"/>
  <c r="F149" i="15"/>
  <c r="H149" i="15" s="1"/>
  <c r="M107" i="9" s="1"/>
  <c r="N107" i="9" s="1"/>
  <c r="F159" i="15"/>
  <c r="H159" i="15" s="1"/>
  <c r="M117" i="9" s="1"/>
  <c r="N117" i="9" s="1"/>
  <c r="F161" i="15"/>
  <c r="H161" i="15" s="1"/>
  <c r="M119" i="9" s="1"/>
  <c r="N119" i="9" s="1"/>
  <c r="F157" i="15"/>
  <c r="H157" i="15" s="1"/>
  <c r="M115" i="9" s="1"/>
  <c r="N115" i="9" s="1"/>
  <c r="F146" i="15"/>
  <c r="H146" i="15" s="1"/>
  <c r="M104" i="9" s="1"/>
  <c r="N104" i="9" s="1"/>
  <c r="F97" i="15"/>
  <c r="H97" i="15" s="1"/>
  <c r="M55" i="9" s="1"/>
  <c r="N55" i="9" s="1"/>
  <c r="F89" i="15"/>
  <c r="F96" i="15"/>
  <c r="H96" i="15" s="1"/>
  <c r="M54" i="9" s="1"/>
  <c r="N54" i="9" s="1"/>
  <c r="F91" i="15"/>
  <c r="H91" i="15" s="1"/>
  <c r="M49" i="9" s="1"/>
  <c r="N49" i="9" s="1"/>
  <c r="D177" i="15" l="1"/>
  <c r="E177" i="15" s="1"/>
  <c r="F177" i="15" s="1"/>
  <c r="T81" i="9"/>
  <c r="T88" i="9"/>
  <c r="T52" i="9"/>
  <c r="T70" i="9"/>
  <c r="T77" i="9"/>
  <c r="T106" i="9"/>
  <c r="T71" i="9"/>
  <c r="T50" i="9"/>
  <c r="V117" i="9"/>
  <c r="O117" i="9"/>
  <c r="S117" i="9"/>
  <c r="P117" i="9"/>
  <c r="Q117" i="9"/>
  <c r="R117" i="9"/>
  <c r="P89" i="9"/>
  <c r="V89" i="9"/>
  <c r="S89" i="9"/>
  <c r="R89" i="9"/>
  <c r="Q89" i="9"/>
  <c r="O89" i="9"/>
  <c r="Q61" i="9"/>
  <c r="S61" i="9"/>
  <c r="P61" i="9"/>
  <c r="V61" i="9"/>
  <c r="R61" i="9"/>
  <c r="O61" i="9"/>
  <c r="S60" i="9"/>
  <c r="O60" i="9"/>
  <c r="R60" i="9"/>
  <c r="V60" i="9"/>
  <c r="Q60" i="9"/>
  <c r="P60" i="9"/>
  <c r="P43" i="9"/>
  <c r="R43" i="9"/>
  <c r="S43" i="9"/>
  <c r="Q43" i="9"/>
  <c r="O43" i="9"/>
  <c r="V43" i="9"/>
  <c r="Q34" i="9"/>
  <c r="R34" i="9"/>
  <c r="P34" i="9"/>
  <c r="O34" i="9"/>
  <c r="S34" i="9"/>
  <c r="V34" i="9"/>
  <c r="O69" i="9"/>
  <c r="P69" i="9"/>
  <c r="S69" i="9"/>
  <c r="V69" i="9"/>
  <c r="R69" i="9"/>
  <c r="Q69" i="9"/>
  <c r="O74" i="9"/>
  <c r="P74" i="9"/>
  <c r="S74" i="9"/>
  <c r="R74" i="9"/>
  <c r="V74" i="9"/>
  <c r="Q74" i="9"/>
  <c r="P31" i="9"/>
  <c r="V31" i="9"/>
  <c r="R31" i="9"/>
  <c r="Q31" i="9"/>
  <c r="O31" i="9"/>
  <c r="S31" i="9"/>
  <c r="S32" i="9"/>
  <c r="P32" i="9"/>
  <c r="R32" i="9"/>
  <c r="Q32" i="9"/>
  <c r="O32" i="9"/>
  <c r="V32" i="9"/>
  <c r="Q118" i="9"/>
  <c r="S118" i="9"/>
  <c r="R118" i="9"/>
  <c r="O118" i="9"/>
  <c r="V118" i="9"/>
  <c r="P118" i="9"/>
  <c r="P116" i="9"/>
  <c r="Q116" i="9"/>
  <c r="R116" i="9"/>
  <c r="S116" i="9"/>
  <c r="O116" i="9"/>
  <c r="V116" i="9"/>
  <c r="T91" i="9"/>
  <c r="T92" i="9"/>
  <c r="T86" i="9"/>
  <c r="T103" i="9"/>
  <c r="T90" i="9"/>
  <c r="T72" i="9"/>
  <c r="O55" i="9"/>
  <c r="P55" i="9"/>
  <c r="V55" i="9"/>
  <c r="Q55" i="9"/>
  <c r="S55" i="9"/>
  <c r="R55" i="9"/>
  <c r="V104" i="9"/>
  <c r="S104" i="9"/>
  <c r="P104" i="9"/>
  <c r="Q104" i="9"/>
  <c r="O104" i="9"/>
  <c r="R104" i="9"/>
  <c r="S94" i="9"/>
  <c r="O94" i="9"/>
  <c r="P94" i="9"/>
  <c r="R94" i="9"/>
  <c r="V94" i="9"/>
  <c r="Q94" i="9"/>
  <c r="R95" i="9"/>
  <c r="S95" i="9"/>
  <c r="Q95" i="9"/>
  <c r="O95" i="9"/>
  <c r="V95" i="9"/>
  <c r="P95" i="9"/>
  <c r="Q41" i="9"/>
  <c r="S41" i="9"/>
  <c r="P41" i="9"/>
  <c r="V41" i="9"/>
  <c r="O41" i="9"/>
  <c r="R41" i="9"/>
  <c r="Q67" i="9"/>
  <c r="P67" i="9"/>
  <c r="R67" i="9"/>
  <c r="S67" i="9"/>
  <c r="O67" i="9"/>
  <c r="V67" i="9"/>
  <c r="V40" i="9"/>
  <c r="R40" i="9"/>
  <c r="O40" i="9"/>
  <c r="S40" i="9"/>
  <c r="Q40" i="9"/>
  <c r="P40" i="9"/>
  <c r="P36" i="9"/>
  <c r="S36" i="9"/>
  <c r="V36" i="9"/>
  <c r="O36" i="9"/>
  <c r="Q36" i="9"/>
  <c r="R36" i="9"/>
  <c r="S64" i="9"/>
  <c r="R64" i="9"/>
  <c r="O64" i="9"/>
  <c r="V64" i="9"/>
  <c r="P64" i="9"/>
  <c r="Q64" i="9"/>
  <c r="V113" i="9"/>
  <c r="S113" i="9"/>
  <c r="P113" i="9"/>
  <c r="R113" i="9"/>
  <c r="O113" i="9"/>
  <c r="Q113" i="9"/>
  <c r="P112" i="9"/>
  <c r="S112" i="9"/>
  <c r="R112" i="9"/>
  <c r="V112" i="9"/>
  <c r="Q112" i="9"/>
  <c r="O112" i="9"/>
  <c r="T96" i="9"/>
  <c r="T45" i="9"/>
  <c r="T56" i="9"/>
  <c r="T93" i="9"/>
  <c r="T39" i="9"/>
  <c r="T108" i="9"/>
  <c r="T84" i="9"/>
  <c r="R49" i="9"/>
  <c r="P49" i="9"/>
  <c r="Q49" i="9"/>
  <c r="V49" i="9"/>
  <c r="S49" i="9"/>
  <c r="O49" i="9"/>
  <c r="P107" i="9"/>
  <c r="O107" i="9"/>
  <c r="V107" i="9"/>
  <c r="S107" i="9"/>
  <c r="Q107" i="9"/>
  <c r="R107" i="9"/>
  <c r="S114" i="9"/>
  <c r="Q114" i="9"/>
  <c r="V114" i="9"/>
  <c r="R114" i="9"/>
  <c r="O114" i="9"/>
  <c r="P114" i="9"/>
  <c r="S35" i="9"/>
  <c r="P35" i="9"/>
  <c r="R35" i="9"/>
  <c r="O35" i="9"/>
  <c r="V35" i="9"/>
  <c r="Q35" i="9"/>
  <c r="R54" i="9"/>
  <c r="V54" i="9"/>
  <c r="Q54" i="9"/>
  <c r="P54" i="9"/>
  <c r="S54" i="9"/>
  <c r="O54" i="9"/>
  <c r="V115" i="9"/>
  <c r="S115" i="9"/>
  <c r="O115" i="9"/>
  <c r="R115" i="9"/>
  <c r="P115" i="9"/>
  <c r="Q115" i="9"/>
  <c r="V109" i="9"/>
  <c r="S109" i="9"/>
  <c r="Q109" i="9"/>
  <c r="R109" i="9"/>
  <c r="O109" i="9"/>
  <c r="P109" i="9"/>
  <c r="V99" i="9"/>
  <c r="R99" i="9"/>
  <c r="S99" i="9"/>
  <c r="P99" i="9"/>
  <c r="Q99" i="9"/>
  <c r="O99" i="9"/>
  <c r="P97" i="9"/>
  <c r="R97" i="9"/>
  <c r="O97" i="9"/>
  <c r="V97" i="9"/>
  <c r="Q97" i="9"/>
  <c r="S97" i="9"/>
  <c r="O66" i="9"/>
  <c r="S66" i="9"/>
  <c r="R66" i="9"/>
  <c r="Q66" i="9"/>
  <c r="V66" i="9"/>
  <c r="P66" i="9"/>
  <c r="V75" i="9"/>
  <c r="Q75" i="9"/>
  <c r="S75" i="9"/>
  <c r="P75" i="9"/>
  <c r="R75" i="9"/>
  <c r="O75" i="9"/>
  <c r="R37" i="9"/>
  <c r="O37" i="9"/>
  <c r="S37" i="9"/>
  <c r="P37" i="9"/>
  <c r="Q37" i="9"/>
  <c r="V37" i="9"/>
  <c r="P33" i="9"/>
  <c r="R33" i="9"/>
  <c r="O33" i="9"/>
  <c r="V33" i="9"/>
  <c r="S33" i="9"/>
  <c r="Q33" i="9"/>
  <c r="P65" i="9"/>
  <c r="Q65" i="9"/>
  <c r="O65" i="9"/>
  <c r="V65" i="9"/>
  <c r="S65" i="9"/>
  <c r="R65" i="9"/>
  <c r="T68" i="9"/>
  <c r="T102" i="9"/>
  <c r="T79" i="9"/>
  <c r="T53" i="9"/>
  <c r="T82" i="9"/>
  <c r="T63" i="9"/>
  <c r="T98" i="9"/>
  <c r="T58" i="9"/>
  <c r="T110" i="9"/>
  <c r="T78" i="9"/>
  <c r="T100" i="9"/>
  <c r="V119" i="9"/>
  <c r="R119" i="9"/>
  <c r="Q119" i="9"/>
  <c r="O119" i="9"/>
  <c r="S119" i="9"/>
  <c r="P119" i="9"/>
  <c r="Q105" i="9"/>
  <c r="V105" i="9"/>
  <c r="P105" i="9"/>
  <c r="S105" i="9"/>
  <c r="O105" i="9"/>
  <c r="R105" i="9"/>
  <c r="Q62" i="9"/>
  <c r="O62" i="9"/>
  <c r="V62" i="9"/>
  <c r="R62" i="9"/>
  <c r="S62" i="9"/>
  <c r="P62" i="9"/>
  <c r="R87" i="9"/>
  <c r="V87" i="9"/>
  <c r="S87" i="9"/>
  <c r="O87" i="9"/>
  <c r="P87" i="9"/>
  <c r="Q87" i="9"/>
  <c r="O42" i="9"/>
  <c r="Q42" i="9"/>
  <c r="R42" i="9"/>
  <c r="S42" i="9"/>
  <c r="P42" i="9"/>
  <c r="V42" i="9"/>
  <c r="Q46" i="9"/>
  <c r="P46" i="9"/>
  <c r="V46" i="9"/>
  <c r="O46" i="9"/>
  <c r="S46" i="9"/>
  <c r="R46" i="9"/>
  <c r="Q57" i="9"/>
  <c r="V57" i="9"/>
  <c r="S57" i="9"/>
  <c r="O57" i="9"/>
  <c r="P57" i="9"/>
  <c r="R57" i="9"/>
  <c r="Q59" i="9"/>
  <c r="S59" i="9"/>
  <c r="P59" i="9"/>
  <c r="O59" i="9"/>
  <c r="V59" i="9"/>
  <c r="R59" i="9"/>
  <c r="P111" i="9"/>
  <c r="Q111" i="9"/>
  <c r="R111" i="9"/>
  <c r="V111" i="9"/>
  <c r="S111" i="9"/>
  <c r="O111" i="9"/>
  <c r="O44" i="9"/>
  <c r="V44" i="9"/>
  <c r="P44" i="9"/>
  <c r="Q44" i="9"/>
  <c r="S44" i="9"/>
  <c r="R44" i="9"/>
  <c r="T73" i="9"/>
  <c r="T101" i="9"/>
  <c r="T51" i="9"/>
  <c r="T85" i="9"/>
  <c r="T76" i="9"/>
  <c r="T83" i="9"/>
  <c r="T80" i="9"/>
  <c r="O29" i="9"/>
  <c r="R29" i="9"/>
  <c r="V29" i="9"/>
  <c r="Q29" i="9"/>
  <c r="S29" i="9"/>
  <c r="P29" i="9"/>
  <c r="T28" i="9"/>
  <c r="Q120" i="9"/>
  <c r="R120" i="9"/>
  <c r="V120" i="9"/>
  <c r="O120" i="9"/>
  <c r="S120" i="9"/>
  <c r="P120" i="9"/>
  <c r="V121" i="9"/>
  <c r="S121" i="9"/>
  <c r="R121" i="9"/>
  <c r="Q121" i="9"/>
  <c r="P121" i="9"/>
  <c r="O121" i="9"/>
  <c r="D171" i="15"/>
  <c r="E171" i="15" s="1"/>
  <c r="F171" i="15" s="1"/>
  <c r="D173" i="15"/>
  <c r="E173" i="15" s="1"/>
  <c r="F173" i="15" s="1"/>
  <c r="H89" i="15"/>
  <c r="M47" i="9" s="1"/>
  <c r="N47" i="9" s="1"/>
  <c r="D174" i="15"/>
  <c r="E174" i="15" s="1"/>
  <c r="F174" i="15" s="1"/>
  <c r="D172" i="15"/>
  <c r="H69" i="15"/>
  <c r="M27" i="9" s="1"/>
  <c r="N27" i="9" s="1"/>
  <c r="D178" i="15"/>
  <c r="E178" i="15" s="1"/>
  <c r="F178" i="15" s="1"/>
  <c r="H90" i="15"/>
  <c r="M48" i="9" s="1"/>
  <c r="N48" i="9" s="1"/>
  <c r="H80" i="15"/>
  <c r="M38" i="9" s="1"/>
  <c r="N38" i="9" s="1"/>
  <c r="D176" i="15"/>
  <c r="E176" i="15" s="1"/>
  <c r="F176" i="15" s="1"/>
  <c r="H72" i="15"/>
  <c r="M30" i="9" s="1"/>
  <c r="N30" i="9" s="1"/>
  <c r="D175" i="15"/>
  <c r="E175" i="15" s="1"/>
  <c r="F175" i="15" s="1"/>
  <c r="Q27" i="9" l="1"/>
  <c r="P27" i="9"/>
  <c r="V27" i="9"/>
  <c r="R27" i="9"/>
  <c r="O27" i="9"/>
  <c r="S27" i="9"/>
  <c r="T111" i="9"/>
  <c r="T59" i="9"/>
  <c r="T46" i="9"/>
  <c r="T87" i="9"/>
  <c r="T62" i="9"/>
  <c r="T65" i="9"/>
  <c r="T109" i="9"/>
  <c r="T115" i="9"/>
  <c r="T114" i="9"/>
  <c r="T112" i="9"/>
  <c r="T36" i="9"/>
  <c r="T95" i="9"/>
  <c r="T94" i="9"/>
  <c r="T118" i="9"/>
  <c r="T89" i="9"/>
  <c r="T61" i="9"/>
  <c r="S48" i="9"/>
  <c r="O48" i="9"/>
  <c r="V48" i="9"/>
  <c r="Q48" i="9"/>
  <c r="P48" i="9"/>
  <c r="R48" i="9"/>
  <c r="T60" i="9"/>
  <c r="O47" i="9"/>
  <c r="R47" i="9"/>
  <c r="V47" i="9"/>
  <c r="S47" i="9"/>
  <c r="Q47" i="9"/>
  <c r="P47" i="9"/>
  <c r="T42" i="9"/>
  <c r="T37" i="9"/>
  <c r="T99" i="9"/>
  <c r="T107" i="9"/>
  <c r="T41" i="9"/>
  <c r="T55" i="9"/>
  <c r="T116" i="9"/>
  <c r="T32" i="9"/>
  <c r="T74" i="9"/>
  <c r="T57" i="9"/>
  <c r="T119" i="9"/>
  <c r="T33" i="9"/>
  <c r="T66" i="9"/>
  <c r="T97" i="9"/>
  <c r="T34" i="9"/>
  <c r="T117" i="9"/>
  <c r="O38" i="9"/>
  <c r="R38" i="9"/>
  <c r="Q38" i="9"/>
  <c r="S38" i="9"/>
  <c r="P38" i="9"/>
  <c r="V38" i="9"/>
  <c r="T44" i="9"/>
  <c r="T105" i="9"/>
  <c r="T75" i="9"/>
  <c r="T54" i="9"/>
  <c r="T35" i="9"/>
  <c r="T49" i="9"/>
  <c r="T113" i="9"/>
  <c r="T64" i="9"/>
  <c r="T40" i="9"/>
  <c r="T67" i="9"/>
  <c r="T104" i="9"/>
  <c r="T31" i="9"/>
  <c r="T69" i="9"/>
  <c r="T43" i="9"/>
  <c r="P30" i="9"/>
  <c r="Q30" i="9"/>
  <c r="S30" i="9"/>
  <c r="V30" i="9"/>
  <c r="O30" i="9"/>
  <c r="R30" i="9"/>
  <c r="T29" i="9"/>
  <c r="T121" i="9"/>
  <c r="T120" i="9"/>
  <c r="E172" i="15"/>
  <c r="F172" i="15" s="1"/>
  <c r="D179" i="15"/>
  <c r="T27" i="9" l="1"/>
  <c r="T47" i="9"/>
  <c r="T38" i="9"/>
  <c r="T48" i="9"/>
  <c r="T3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B631FD-B6A1-4DBC-A36A-9F3214F31C15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<sst xmlns="http://schemas.openxmlformats.org/spreadsheetml/2006/main" count="714" uniqueCount="402">
  <si>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</si>
  <si>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</si>
  <si>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</si>
  <si>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</si>
  <si>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</si>
  <si>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</si>
  <si>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</si>
  <si>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</si>
  <si>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</si>
  <si>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</si>
  <si>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</si>
  <si>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</si>
  <si>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</si>
  <si>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</si>
  <si>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</si>
  <si>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</si>
  <si>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</si>
  <si>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</si>
  <si>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</si>
  <si>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</si>
  <si>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</si>
  <si>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</si>
  <si>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</si>
  <si>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</si>
  <si>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</si>
  <si>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</si>
  <si>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</si>
  <si>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</si>
  <si>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</si>
  <si>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</si>
  <si>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</si>
  <si>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</si>
  <si>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</si>
  <si>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</si>
  <si>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</si>
  <si>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</si>
  <si>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</si>
  <si>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</si>
  <si>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 xml:space="preserve"> </t>
  </si>
  <si>
    <t xml:space="preserve">TABELA ATMOS  JULHO 2023 - ENTREGA: OUTUBRO 2025 </t>
  </si>
  <si>
    <t>As parcelas serão corrigidas pelo INCC até o habite-se, após o habite-se será IGPM + 1%</t>
  </si>
  <si>
    <t>Datas</t>
  </si>
  <si>
    <t>Ano</t>
  </si>
  <si>
    <t>Mês</t>
  </si>
  <si>
    <t>Frequnecia</t>
  </si>
  <si>
    <t>Mês tabela</t>
  </si>
  <si>
    <t>Pós Venda</t>
  </si>
  <si>
    <t>Pós Entrega</t>
  </si>
  <si>
    <t>Inicio da Serie (PV ou PE)</t>
  </si>
  <si>
    <t>Mês de Entrega</t>
  </si>
  <si>
    <t>Inicio da Serie (Meses)</t>
  </si>
  <si>
    <t>Data Inicio da Série</t>
  </si>
  <si>
    <t>ENTREGA</t>
  </si>
  <si>
    <t>MÊS DA TABELA</t>
  </si>
  <si>
    <t>LCTO</t>
  </si>
  <si>
    <t>ATÉ A ENTREGA DAS CHAVES</t>
  </si>
  <si>
    <t>APÓS CHAVES</t>
  </si>
  <si>
    <t>TIPO</t>
  </si>
  <si>
    <t>Unidade</t>
  </si>
  <si>
    <t>Área Privativa Total (m2)</t>
  </si>
  <si>
    <t>Área Apart. (m2)</t>
  </si>
  <si>
    <t>Área descoberta (m2)</t>
  </si>
  <si>
    <t>Vagas de Garagem</t>
  </si>
  <si>
    <t>PVTO VAGAS</t>
  </si>
  <si>
    <t>ESC. GAR.</t>
  </si>
  <si>
    <t>Área ESC.</t>
  </si>
  <si>
    <t>ESC. PAV.</t>
  </si>
  <si>
    <t>Área ESC. PAV.</t>
  </si>
  <si>
    <t>PREÇO BASE</t>
  </si>
  <si>
    <t>Valor Total</t>
  </si>
  <si>
    <t>Sinal</t>
  </si>
  <si>
    <t>Sinal 3 parcelas</t>
  </si>
  <si>
    <t>Mensais</t>
  </si>
  <si>
    <t>Semestrais</t>
  </si>
  <si>
    <t>Anuais</t>
  </si>
  <si>
    <t>SUBTOTAL</t>
  </si>
  <si>
    <t>FINANCIAMENTO BANCÁRIO</t>
  </si>
  <si>
    <t>Contrato</t>
  </si>
  <si>
    <t>30 /60 /90</t>
  </si>
  <si>
    <t>57/57A/97</t>
  </si>
  <si>
    <t>SS1/SS1/TER</t>
  </si>
  <si>
    <t>E55</t>
  </si>
  <si>
    <t>P</t>
  </si>
  <si>
    <t>78/94/94A</t>
  </si>
  <si>
    <t>TER/TER/TER</t>
  </si>
  <si>
    <t>E59</t>
  </si>
  <si>
    <t>M</t>
  </si>
  <si>
    <t>101/106</t>
  </si>
  <si>
    <t>TER/TER</t>
  </si>
  <si>
    <t>E51</t>
  </si>
  <si>
    <t>93/93A/152</t>
  </si>
  <si>
    <t>TER/TER/PG1</t>
  </si>
  <si>
    <t>E75</t>
  </si>
  <si>
    <t>P GARDEN</t>
  </si>
  <si>
    <t>114/114A/154</t>
  </si>
  <si>
    <t>PG1/PG1/PG1</t>
  </si>
  <si>
    <t>E80</t>
  </si>
  <si>
    <t>150/151</t>
  </si>
  <si>
    <t>PG1/PG1</t>
  </si>
  <si>
    <t>E72</t>
  </si>
  <si>
    <t>137/148/148A</t>
  </si>
  <si>
    <t>E70</t>
  </si>
  <si>
    <t>127/155/155A</t>
  </si>
  <si>
    <t>PG1/PG2/PG2</t>
  </si>
  <si>
    <t>E78</t>
  </si>
  <si>
    <t>G</t>
  </si>
  <si>
    <t>75/76</t>
  </si>
  <si>
    <t>SS1/SS1</t>
  </si>
  <si>
    <t>E37</t>
  </si>
  <si>
    <t>63/63A/144</t>
  </si>
  <si>
    <t>SS1/SS1/PG1</t>
  </si>
  <si>
    <t>E74</t>
  </si>
  <si>
    <t>130/156/156A</t>
  </si>
  <si>
    <t>E79</t>
  </si>
  <si>
    <t>65/66</t>
  </si>
  <si>
    <t>E25</t>
  </si>
  <si>
    <t>9/09A/196</t>
  </si>
  <si>
    <t>SS2/SS2/PG2</t>
  </si>
  <si>
    <t>E07</t>
  </si>
  <si>
    <t>29/29A/169</t>
  </si>
  <si>
    <t>E91</t>
  </si>
  <si>
    <t>12/13</t>
  </si>
  <si>
    <t>SS2/SS2</t>
  </si>
  <si>
    <t>E14</t>
  </si>
  <si>
    <t>34/34A/182</t>
  </si>
  <si>
    <t>E10</t>
  </si>
  <si>
    <t>39/39A/165</t>
  </si>
  <si>
    <t>E93</t>
  </si>
  <si>
    <t>31/32</t>
  </si>
  <si>
    <t>E15</t>
  </si>
  <si>
    <t>41/41A/192</t>
  </si>
  <si>
    <t>E87</t>
  </si>
  <si>
    <t>27/27A/159</t>
  </si>
  <si>
    <t>E95</t>
  </si>
  <si>
    <t>6/7</t>
  </si>
  <si>
    <t>E04</t>
  </si>
  <si>
    <t>17/17A/183</t>
  </si>
  <si>
    <t>E09</t>
  </si>
  <si>
    <t>23/23A/166</t>
  </si>
  <si>
    <t>E19</t>
  </si>
  <si>
    <t>133/134</t>
  </si>
  <si>
    <t>E68</t>
  </si>
  <si>
    <t>193/193A/195</t>
  </si>
  <si>
    <t>PG2/PG2/PG2</t>
  </si>
  <si>
    <t>E88</t>
  </si>
  <si>
    <t>15/21/21A</t>
  </si>
  <si>
    <t>SS2/SS2/SS2</t>
  </si>
  <si>
    <t>E21</t>
  </si>
  <si>
    <t>184/185</t>
  </si>
  <si>
    <t>PG2/PG2</t>
  </si>
  <si>
    <t>E49</t>
  </si>
  <si>
    <t>186/188/188A</t>
  </si>
  <si>
    <t>E48</t>
  </si>
  <si>
    <t>26/26A/160</t>
  </si>
  <si>
    <t>E96</t>
  </si>
  <si>
    <t>178/179</t>
  </si>
  <si>
    <t>E26</t>
  </si>
  <si>
    <t>11/11A/172</t>
  </si>
  <si>
    <t>E06</t>
  </si>
  <si>
    <t>30/30A/162</t>
  </si>
  <si>
    <t>E16</t>
  </si>
  <si>
    <t>123/124</t>
  </si>
  <si>
    <t>E81</t>
  </si>
  <si>
    <t>38/38A/190</t>
  </si>
  <si>
    <t>E85</t>
  </si>
  <si>
    <t>24/24A/167</t>
  </si>
  <si>
    <t>E18</t>
  </si>
  <si>
    <t>4/5</t>
  </si>
  <si>
    <t>E05</t>
  </si>
  <si>
    <t>157/157A/197</t>
  </si>
  <si>
    <t>E27</t>
  </si>
  <si>
    <t>36/36A/170</t>
  </si>
  <si>
    <t>E90</t>
  </si>
  <si>
    <t>176/177</t>
  </si>
  <si>
    <t>E50</t>
  </si>
  <si>
    <t>163/181/181A</t>
  </si>
  <si>
    <t>E89</t>
  </si>
  <si>
    <t>28/28A/161</t>
  </si>
  <si>
    <t>E94</t>
  </si>
  <si>
    <t>116/117</t>
  </si>
  <si>
    <t>E39</t>
  </si>
  <si>
    <t>14/40/40A</t>
  </si>
  <si>
    <t>E13</t>
  </si>
  <si>
    <t>25/25A/164</t>
  </si>
  <si>
    <t>E17</t>
  </si>
  <si>
    <t>158/198</t>
  </si>
  <si>
    <t>E66</t>
  </si>
  <si>
    <t>191/194/194A</t>
  </si>
  <si>
    <t>E86</t>
  </si>
  <si>
    <t>22/22A/168</t>
  </si>
  <si>
    <t>E20</t>
  </si>
  <si>
    <t>2/3</t>
  </si>
  <si>
    <t>E02</t>
  </si>
  <si>
    <t>175/189/189A</t>
  </si>
  <si>
    <t>E84</t>
  </si>
  <si>
    <t>16/20/20A</t>
  </si>
  <si>
    <t>E23</t>
  </si>
  <si>
    <t>142/174</t>
  </si>
  <si>
    <t>PG1/PG2</t>
  </si>
  <si>
    <t>E67</t>
  </si>
  <si>
    <t>37/37A/82</t>
  </si>
  <si>
    <t>SS2/SS2/TER</t>
  </si>
  <si>
    <t>E12</t>
  </si>
  <si>
    <t>33/33A/171</t>
  </si>
  <si>
    <t>E92</t>
  </si>
  <si>
    <t>45/46</t>
  </si>
  <si>
    <t>E45</t>
  </si>
  <si>
    <t>95/187/187A</t>
  </si>
  <si>
    <t>TER/PG2/PG2</t>
  </si>
  <si>
    <t>E57</t>
  </si>
  <si>
    <t>18/19/19A</t>
  </si>
  <si>
    <t>E22</t>
  </si>
  <si>
    <t>131/132</t>
  </si>
  <si>
    <t>E76</t>
  </si>
  <si>
    <t>55/55A/180</t>
  </si>
  <si>
    <t>SS1/SS1/PG2</t>
  </si>
  <si>
    <t>E33</t>
  </si>
  <si>
    <t>52/115/115A</t>
  </si>
  <si>
    <t>SS1/PG1/PG1</t>
  </si>
  <si>
    <t>E38</t>
  </si>
  <si>
    <t>119/120</t>
  </si>
  <si>
    <t>E43</t>
  </si>
  <si>
    <t>58/58A/173</t>
  </si>
  <si>
    <t>E32</t>
  </si>
  <si>
    <t>35/35A/48</t>
  </si>
  <si>
    <t>SS2/SS2/SS1</t>
  </si>
  <si>
    <t>E11</t>
  </si>
  <si>
    <t>53/128</t>
  </si>
  <si>
    <t>SS1/PG1</t>
  </si>
  <si>
    <t>E77</t>
  </si>
  <si>
    <t>56/56A/70</t>
  </si>
  <si>
    <t>SS1/SS1/SS1</t>
  </si>
  <si>
    <t>E29</t>
  </si>
  <si>
    <t>72/72A/121</t>
  </si>
  <si>
    <t>E30</t>
  </si>
  <si>
    <t>8/92</t>
  </si>
  <si>
    <t>SS2/TER</t>
  </si>
  <si>
    <t>E03</t>
  </si>
  <si>
    <t>10/10A/143</t>
  </si>
  <si>
    <t>SS2/SS2/PG1</t>
  </si>
  <si>
    <t>E08</t>
  </si>
  <si>
    <t>1/01A/51</t>
  </si>
  <si>
    <t>E01</t>
  </si>
  <si>
    <t>68/69</t>
  </si>
  <si>
    <t>E28</t>
  </si>
  <si>
    <t>74/74A/140</t>
  </si>
  <si>
    <t>E65</t>
  </si>
  <si>
    <t>47/60/60A</t>
  </si>
  <si>
    <t>E44</t>
  </si>
  <si>
    <t>125/126</t>
  </si>
  <si>
    <t>E82</t>
  </si>
  <si>
    <t>129/145/145A</t>
  </si>
  <si>
    <t>E71</t>
  </si>
  <si>
    <t>54/64/64A</t>
  </si>
  <si>
    <t>E24</t>
  </si>
  <si>
    <t>135/136</t>
  </si>
  <si>
    <t>E73</t>
  </si>
  <si>
    <t>59/59A/77</t>
  </si>
  <si>
    <t>E36</t>
  </si>
  <si>
    <t>44/62/62A</t>
  </si>
  <si>
    <t>E34</t>
  </si>
  <si>
    <t>49/50</t>
  </si>
  <si>
    <t>E40</t>
  </si>
  <si>
    <t>67/73/73A</t>
  </si>
  <si>
    <t>E31</t>
  </si>
  <si>
    <t>61/61A/118</t>
  </si>
  <si>
    <t>E41</t>
  </si>
  <si>
    <t>108/153</t>
  </si>
  <si>
    <t>TER/PG1</t>
  </si>
  <si>
    <t>E35</t>
  </si>
  <si>
    <t>71/139/139A</t>
  </si>
  <si>
    <t>E63</t>
  </si>
  <si>
    <t>113/113A/122</t>
  </si>
  <si>
    <t>E83</t>
  </si>
  <si>
    <t>138/141</t>
  </si>
  <si>
    <t>E64</t>
  </si>
  <si>
    <t>98/146/146A</t>
  </si>
  <si>
    <t>TER/PG1/PG1</t>
  </si>
  <si>
    <t>E54</t>
  </si>
  <si>
    <t>79/87/87A</t>
  </si>
  <si>
    <t>E60</t>
  </si>
  <si>
    <t>110/111</t>
  </si>
  <si>
    <t>E47</t>
  </si>
  <si>
    <t>96/105/149/149A</t>
  </si>
  <si>
    <t>TER/TER/PG1/PG1</t>
  </si>
  <si>
    <t>E56</t>
  </si>
  <si>
    <t>42/43/43A/81</t>
  </si>
  <si>
    <t>SS1/SS1/SS1/TER</t>
  </si>
  <si>
    <t>E42</t>
  </si>
  <si>
    <t>99/107/147/147A</t>
  </si>
  <si>
    <t>E53</t>
  </si>
  <si>
    <t>80/86/86A/91</t>
  </si>
  <si>
    <t>TER/TER/TER/TER</t>
  </si>
  <si>
    <t>E58</t>
  </si>
  <si>
    <t>102/102A/103/104</t>
  </si>
  <si>
    <t>E46</t>
  </si>
  <si>
    <t>88/88A/89/90</t>
  </si>
  <si>
    <t>E62</t>
  </si>
  <si>
    <t>100/109/112/112A</t>
  </si>
  <si>
    <t>E52</t>
  </si>
  <si>
    <t>83/84/85/85A</t>
  </si>
  <si>
    <t>E61</t>
  </si>
  <si>
    <t>Infomações sobre o empreendimento</t>
  </si>
  <si>
    <t>Meses para Entrega</t>
  </si>
  <si>
    <t>Meses para tabela</t>
  </si>
  <si>
    <t>Lançamento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</si>
  <si>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</si>
  <si>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</si>
  <si>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</si>
  <si>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</si>
  <si>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</si>
  <si>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</si>
  <si>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</si>
  <si>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</si>
  <si>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</si>
  <si>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</si>
  <si>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</si>
  <si>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</si>
  <si>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</si>
  <si>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</si>
  <si>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</si>
  <si>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</si>
  <si>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</si>
  <si>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</si>
  <si>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</si>
  <si>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</si>
  <si>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</si>
  <si>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</si>
  <si>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</si>
  <si>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</si>
  <si>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</si>
  <si>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</si>
  <si>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13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</si>
  <si>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</si>
  <si>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</si>
  <si>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</si>
  <si>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</si>
  <si>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</si>
  <si>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</si>
  <si>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</si>
  <si>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</si>
  <si>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</si>
  <si>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</si>
  <si>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</si>
  <si>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</si>
  <si>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</si>
  <si>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</si>
  <si>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</si>
  <si>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</si>
  <si>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</si>
  <si>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</si>
  <si>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</si>
  <si>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</si>
  <si>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</si>
  <si>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</si>
  <si>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</si>
  <si>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</si>
  <si>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</si>
  <si>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</si>
  <si>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</si>
  <si>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ATO</t>
  </si>
  <si>
    <t>30 / 60 /90</t>
  </si>
  <si>
    <t>MENSAIS</t>
  </si>
  <si>
    <t>SEMESTRAIS</t>
  </si>
  <si>
    <t>ÚNICA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</si>
  <si>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</si>
  <si>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</si>
  <si>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</si>
  <si>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</si>
  <si>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</si>
  <si>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</si>
  <si>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</si>
  <si>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</si>
  <si>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</si>
  <si>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</si>
  <si>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</si>
  <si>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</si>
  <si>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</si>
  <si>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</si>
  <si>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Disponível</t>
  </si>
  <si>
    <t>CONTRATO</t>
  </si>
  <si>
    <t>Fora de Venda</t>
  </si>
  <si>
    <t>PERMUTA JG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</si>
  <si>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</si>
  <si>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</si>
  <si>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</si>
  <si>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</si>
  <si>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</si>
  <si>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</si>
  <si>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</si>
  <si>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</si>
  <si>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</si>
  <si>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</si>
  <si>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</si>
  <si>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</si>
  <si>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</si>
  <si>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</si>
  <si>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JUNHO</t>
  </si>
  <si>
    <t xml:space="preserve">Julho </t>
  </si>
  <si>
    <t>Agosto</t>
  </si>
  <si>
    <t>set</t>
  </si>
  <si>
    <t>Inserir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</si>
</sst>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(* #,##0.00_);_(* \(#,##0.00\);_(* \-??_);_(@_)"/>
    <numFmt numFmtId="166" formatCode="_(* #,##0.00_);_(* \(#,##0.00\);_(* &quot;-&quot;??_);_(@_)"/>
    <numFmt numFmtId="167" formatCode="d/m/yy;@"/>
    <numFmt numFmtId="168" formatCode="dd/mm/yy;@"/>
    <numFmt numFmtId="169" formatCode="_(* #,##0_);_(* \(#,##0\);_(* &quot;-&quot;??_);_(@_)"/>
    <numFmt numFmtId="170" formatCode="_(&quot;R$ &quot;* #,##0_);_(&quot;R$ &quot;* \(#,##0\);_(&quot;R$ &quot;* &quot;-&quot;??_);_(@_)"/>
    <numFmt numFmtId="171" formatCode="0.0%"/>
    <numFmt numFmtId="172" formatCode="0.000"/>
    <numFmt numFmtId="173" formatCode="_(&quot;R$ &quot;* #,##0.00_);_(&quot;R$ &quot;* \(#,##0.00\);_(&quot;R$ &quot;* &quot;-&quot;??_);_(@_)"/>
    <numFmt numFmtId="174" formatCode="_(&quot;R$ &quot;* #,##0.00000_);_(&quot;R$ &quot;* \(#,##0.00000\);_(&quot;R$ &quot;* &quot;-&quot;??_);_(@_)"/>
    <numFmt numFmtId="175" formatCode="0.000%"/>
    <numFmt numFmtId="176" formatCode="0.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color indexed="8"/>
      <name val="Calibri"/>
      <family val="2"/>
    </font>
    <font>
      <b/>
      <sz val="18"/>
      <name val="Arial"/>
      <family val="2"/>
    </font>
    <font>
      <sz val="18"/>
      <color indexed="8"/>
      <name val="Calibri"/>
      <family val="2"/>
    </font>
    <font>
      <sz val="18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b/>
      <sz val="14"/>
      <color theme="0"/>
      <name val="Arial"/>
      <family val="2"/>
    </font>
    <font>
      <b/>
      <sz val="14"/>
      <name val="Calibri"/>
      <family val="2"/>
      <scheme val="minor"/>
    </font>
    <font>
      <b/>
      <sz val="10"/>
      <name val="Arial"/>
      <family val="2"/>
    </font>
    <font>
      <sz val="10"/>
      <name val="MS Sans Serif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13" fillId="0" borderId="0" applyFill="0" applyBorder="0" applyAlignment="0" applyProtection="0"/>
    <xf numFmtId="9" fontId="13" fillId="0" borderId="0" applyFill="0" applyBorder="0" applyAlignment="0" applyProtection="0"/>
    <xf numFmtId="44" fontId="13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6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164" fontId="9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left"/>
    </xf>
    <xf numFmtId="0" fontId="12" fillId="2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3" borderId="13" xfId="0" applyFont="1" applyFill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167" fontId="0" fillId="0" borderId="11" xfId="0" applyNumberForma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10" fontId="3" fillId="0" borderId="11" xfId="7" applyNumberFormat="1" applyFont="1" applyBorder="1" applyAlignment="1">
      <alignment horizontal="center" vertical="center"/>
    </xf>
    <xf numFmtId="10" fontId="3" fillId="0" borderId="15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horizontal="center" vertical="center"/>
    </xf>
    <xf numFmtId="10" fontId="3" fillId="0" borderId="16" xfId="7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3" fontId="3" fillId="0" borderId="20" xfId="0" applyNumberFormat="1" applyFont="1" applyBorder="1" applyAlignment="1" applyProtection="1">
      <alignment horizontal="center" vertical="center"/>
      <protection hidden="1"/>
    </xf>
    <xf numFmtId="3" fontId="4" fillId="0" borderId="0" xfId="0" applyNumberFormat="1" applyFont="1" applyAlignment="1" applyProtection="1">
      <alignment horizontal="center" vertical="center"/>
      <protection hidden="1"/>
    </xf>
    <xf numFmtId="3" fontId="4" fillId="0" borderId="2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4" fillId="0" borderId="28" xfId="1" applyNumberFormat="1" applyFont="1" applyFill="1" applyBorder="1" applyAlignment="1" applyProtection="1">
      <alignment horizontal="center" vertical="center"/>
      <protection hidden="1"/>
    </xf>
    <xf numFmtId="3" fontId="4" fillId="0" borderId="24" xfId="0" applyNumberFormat="1" applyFont="1" applyBorder="1" applyAlignment="1" applyProtection="1">
      <alignment horizontal="center" vertical="center"/>
      <protection hidden="1"/>
    </xf>
    <xf numFmtId="0" fontId="4" fillId="0" borderId="32" xfId="1" applyNumberFormat="1" applyFont="1" applyFill="1" applyBorder="1" applyAlignment="1" applyProtection="1">
      <alignment horizontal="center" vertical="center"/>
      <protection hidden="1"/>
    </xf>
    <xf numFmtId="3" fontId="4" fillId="0" borderId="39" xfId="0" applyNumberFormat="1" applyFont="1" applyBorder="1" applyAlignment="1" applyProtection="1">
      <alignment horizontal="center" vertical="center"/>
      <protection hidden="1"/>
    </xf>
    <xf numFmtId="3" fontId="3" fillId="0" borderId="11" xfId="0" applyNumberFormat="1" applyFont="1" applyBorder="1" applyAlignment="1" applyProtection="1">
      <alignment horizontal="center" vertical="center"/>
      <protection hidden="1"/>
    </xf>
    <xf numFmtId="3" fontId="4" fillId="0" borderId="40" xfId="0" applyNumberFormat="1" applyFont="1" applyBorder="1" applyAlignment="1" applyProtection="1">
      <alignment horizontal="center" vertical="center"/>
      <protection hidden="1"/>
    </xf>
    <xf numFmtId="3" fontId="4" fillId="0" borderId="41" xfId="0" applyNumberFormat="1" applyFont="1" applyBorder="1" applyAlignment="1" applyProtection="1">
      <alignment horizontal="center" vertical="center"/>
      <protection hidden="1"/>
    </xf>
    <xf numFmtId="3" fontId="3" fillId="0" borderId="42" xfId="0" applyNumberFormat="1" applyFont="1" applyBorder="1" applyAlignment="1" applyProtection="1">
      <alignment horizontal="center" vertical="center"/>
      <protection hidden="1"/>
    </xf>
    <xf numFmtId="3" fontId="4" fillId="0" borderId="43" xfId="0" applyNumberFormat="1" applyFont="1" applyBorder="1" applyAlignment="1" applyProtection="1">
      <alignment horizontal="center" vertical="center"/>
      <protection hidden="1"/>
    </xf>
    <xf numFmtId="2" fontId="4" fillId="0" borderId="22" xfId="0" applyNumberFormat="1" applyFont="1" applyBorder="1" applyAlignment="1" applyProtection="1">
      <alignment horizontal="center" vertical="center"/>
      <protection hidden="1"/>
    </xf>
    <xf numFmtId="0" fontId="3" fillId="0" borderId="22" xfId="0" applyFont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/>
      <protection hidden="1"/>
    </xf>
    <xf numFmtId="1" fontId="3" fillId="0" borderId="22" xfId="0" applyNumberFormat="1" applyFont="1" applyBorder="1" applyAlignment="1" applyProtection="1">
      <alignment horizontal="center" vertical="center"/>
      <protection hidden="1"/>
    </xf>
    <xf numFmtId="1" fontId="3" fillId="0" borderId="31" xfId="0" applyNumberFormat="1" applyFont="1" applyBorder="1" applyAlignment="1" applyProtection="1">
      <alignment horizontal="center" vertical="center"/>
      <protection hidden="1"/>
    </xf>
    <xf numFmtId="2" fontId="3" fillId="0" borderId="44" xfId="0" applyNumberFormat="1" applyFont="1" applyBorder="1" applyAlignment="1" applyProtection="1">
      <alignment horizontal="center" vertical="center"/>
      <protection hidden="1"/>
    </xf>
    <xf numFmtId="2" fontId="3" fillId="0" borderId="45" xfId="0" applyNumberFormat="1" applyFont="1" applyBorder="1" applyAlignment="1" applyProtection="1">
      <alignment horizontal="center" vertical="center"/>
      <protection hidden="1"/>
    </xf>
    <xf numFmtId="2" fontId="3" fillId="0" borderId="30" xfId="0" applyNumberFormat="1" applyFont="1" applyBorder="1" applyAlignment="1" applyProtection="1">
      <alignment horizontal="center" vertical="center"/>
      <protection hidden="1"/>
    </xf>
    <xf numFmtId="2" fontId="4" fillId="0" borderId="34" xfId="0" applyNumberFormat="1" applyFont="1" applyBorder="1" applyAlignment="1" applyProtection="1">
      <alignment horizontal="center" vertical="center"/>
      <protection hidden="1"/>
    </xf>
    <xf numFmtId="2" fontId="3" fillId="0" borderId="35" xfId="0" applyNumberFormat="1" applyFont="1" applyBorder="1" applyAlignment="1" applyProtection="1">
      <alignment horizontal="center" vertical="center"/>
      <protection hidden="1"/>
    </xf>
    <xf numFmtId="1" fontId="3" fillId="0" borderId="34" xfId="0" applyNumberFormat="1" applyFont="1" applyBorder="1" applyAlignment="1" applyProtection="1">
      <alignment horizontal="center" vertical="center"/>
      <protection hidden="1"/>
    </xf>
    <xf numFmtId="2" fontId="3" fillId="0" borderId="46" xfId="0" applyNumberFormat="1" applyFont="1" applyBorder="1" applyAlignment="1" applyProtection="1">
      <alignment horizontal="center" vertical="center"/>
      <protection hidden="1"/>
    </xf>
    <xf numFmtId="2" fontId="3" fillId="0" borderId="29" xfId="0" applyNumberFormat="1" applyFont="1" applyBorder="1" applyAlignment="1" applyProtection="1">
      <alignment horizontal="center" vertical="center"/>
      <protection hidden="1"/>
    </xf>
    <xf numFmtId="0" fontId="3" fillId="0" borderId="21" xfId="0" applyFont="1" applyBorder="1" applyAlignment="1">
      <alignment horizontal="center" vertical="center"/>
    </xf>
    <xf numFmtId="2" fontId="4" fillId="0" borderId="24" xfId="0" applyNumberFormat="1" applyFont="1" applyBorder="1" applyAlignment="1" applyProtection="1">
      <alignment horizontal="center" vertical="center"/>
      <protection hidden="1"/>
    </xf>
    <xf numFmtId="0" fontId="3" fillId="0" borderId="24" xfId="0" applyFont="1" applyBorder="1" applyAlignment="1">
      <alignment horizontal="center" vertical="center"/>
    </xf>
    <xf numFmtId="2" fontId="3" fillId="0" borderId="32" xfId="0" applyNumberFormat="1" applyFont="1" applyBorder="1" applyAlignment="1" applyProtection="1">
      <alignment horizontal="center" vertical="center"/>
      <protection hidden="1"/>
    </xf>
    <xf numFmtId="1" fontId="3" fillId="0" borderId="24" xfId="0" applyNumberFormat="1" applyFont="1" applyBorder="1" applyAlignment="1" applyProtection="1">
      <alignment horizontal="center" vertical="center"/>
      <protection hidden="1"/>
    </xf>
    <xf numFmtId="2" fontId="3" fillId="0" borderId="47" xfId="0" applyNumberFormat="1" applyFont="1" applyBorder="1" applyAlignment="1" applyProtection="1">
      <alignment horizontal="center" vertical="center"/>
      <protection hidden="1"/>
    </xf>
    <xf numFmtId="2" fontId="3" fillId="0" borderId="33" xfId="0" applyNumberFormat="1" applyFont="1" applyBorder="1" applyAlignment="1" applyProtection="1">
      <alignment horizontal="center" vertical="center"/>
      <protection hidden="1"/>
    </xf>
    <xf numFmtId="22" fontId="0" fillId="0" borderId="0" xfId="0" applyNumberFormat="1"/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0" fillId="6" borderId="0" xfId="0" applyFill="1"/>
    <xf numFmtId="0" fontId="19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4" borderId="45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/>
    <xf numFmtId="0" fontId="20" fillId="3" borderId="11" xfId="0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horizontal="center" vertical="center"/>
    </xf>
    <xf numFmtId="1" fontId="20" fillId="4" borderId="0" xfId="0" applyNumberFormat="1" applyFont="1" applyFill="1" applyAlignment="1">
      <alignment vertical="center"/>
    </xf>
    <xf numFmtId="164" fontId="9" fillId="7" borderId="11" xfId="0" applyNumberFormat="1" applyFont="1" applyFill="1" applyBorder="1" applyAlignment="1">
      <alignment horizontal="center" vertical="center"/>
    </xf>
    <xf numFmtId="169" fontId="12" fillId="4" borderId="11" xfId="1" applyNumberFormat="1" applyFont="1" applyFill="1" applyBorder="1" applyAlignment="1" applyProtection="1">
      <alignment horizontal="center"/>
    </xf>
    <xf numFmtId="1" fontId="20" fillId="2" borderId="0" xfId="0" applyNumberFormat="1" applyFont="1" applyFill="1" applyAlignment="1">
      <alignment vertical="center"/>
    </xf>
    <xf numFmtId="1" fontId="21" fillId="2" borderId="0" xfId="0" applyNumberFormat="1" applyFont="1" applyFill="1" applyAlignment="1">
      <alignment vertical="center"/>
    </xf>
    <xf numFmtId="0" fontId="9" fillId="3" borderId="11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wrapText="1"/>
    </xf>
    <xf numFmtId="0" fontId="17" fillId="3" borderId="11" xfId="0" applyFont="1" applyFill="1" applyBorder="1" applyAlignment="1">
      <alignment horizontal="center"/>
    </xf>
    <xf numFmtId="0" fontId="0" fillId="2" borderId="0" xfId="0" applyFill="1"/>
    <xf numFmtId="0" fontId="20" fillId="7" borderId="11" xfId="0" applyFont="1" applyFill="1" applyBorder="1" applyAlignment="1">
      <alignment vertical="center"/>
    </xf>
    <xf numFmtId="170" fontId="20" fillId="7" borderId="11" xfId="8" applyNumberFormat="1" applyFont="1" applyFill="1" applyBorder="1" applyAlignment="1" applyProtection="1">
      <alignment vertical="center"/>
    </xf>
    <xf numFmtId="170" fontId="20" fillId="4" borderId="11" xfId="8" applyNumberFormat="1" applyFont="1" applyFill="1" applyBorder="1" applyAlignment="1" applyProtection="1">
      <alignment vertic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11" xfId="0" applyFont="1" applyFill="1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1" fontId="0" fillId="4" borderId="0" xfId="0" applyNumberFormat="1" applyFill="1"/>
    <xf numFmtId="164" fontId="2" fillId="4" borderId="0" xfId="0" applyNumberFormat="1" applyFont="1" applyFill="1"/>
    <xf numFmtId="17" fontId="0" fillId="2" borderId="0" xfId="0" applyNumberFormat="1" applyFill="1"/>
    <xf numFmtId="0" fontId="17" fillId="3" borderId="49" xfId="0" applyFont="1" applyFill="1" applyBorder="1" applyAlignment="1">
      <alignment horizontal="center"/>
    </xf>
    <xf numFmtId="0" fontId="17" fillId="3" borderId="49" xfId="0" applyFont="1" applyFill="1" applyBorder="1" applyAlignment="1">
      <alignment horizontal="center" wrapText="1"/>
    </xf>
    <xf numFmtId="171" fontId="0" fillId="7" borderId="12" xfId="7" applyNumberFormat="1" applyFont="1" applyFill="1" applyBorder="1" applyAlignment="1" applyProtection="1">
      <alignment horizontal="center"/>
    </xf>
    <xf numFmtId="171" fontId="0" fillId="7" borderId="11" xfId="7" applyNumberFormat="1" applyFont="1" applyFill="1" applyBorder="1" applyAlignment="1" applyProtection="1">
      <alignment horizontal="center"/>
    </xf>
    <xf numFmtId="171" fontId="0" fillId="8" borderId="49" xfId="7" applyNumberFormat="1" applyFont="1" applyFill="1" applyBorder="1" applyAlignment="1" applyProtection="1">
      <alignment horizontal="center"/>
    </xf>
    <xf numFmtId="10" fontId="0" fillId="4" borderId="11" xfId="7" applyNumberFormat="1" applyFont="1" applyFill="1" applyBorder="1" applyAlignment="1" applyProtection="1">
      <alignment horizontal="center"/>
    </xf>
    <xf numFmtId="0" fontId="2" fillId="3" borderId="11" xfId="0" applyFont="1" applyFill="1" applyBorder="1" applyAlignment="1">
      <alignment wrapText="1"/>
    </xf>
    <xf numFmtId="10" fontId="1" fillId="4" borderId="11" xfId="7" applyNumberForma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10" fontId="0" fillId="4" borderId="11" xfId="7" applyNumberFormat="1" applyFont="1" applyFill="1" applyBorder="1" applyAlignment="1">
      <alignment horizontal="center"/>
    </xf>
    <xf numFmtId="1" fontId="2" fillId="4" borderId="0" xfId="0" applyNumberFormat="1" applyFont="1" applyFill="1"/>
    <xf numFmtId="168" fontId="0" fillId="4" borderId="11" xfId="0" applyNumberFormat="1" applyFill="1" applyBorder="1" applyAlignment="1">
      <alignment horizontal="center" wrapText="1"/>
    </xf>
    <xf numFmtId="0" fontId="2" fillId="4" borderId="11" xfId="0" applyFont="1" applyFill="1" applyBorder="1" applyAlignment="1">
      <alignment horizontal="left" wrapText="1"/>
    </xf>
    <xf numFmtId="0" fontId="2" fillId="3" borderId="11" xfId="0" applyFont="1" applyFill="1" applyBorder="1" applyAlignment="1">
      <alignment vertical="center" wrapText="1"/>
    </xf>
    <xf numFmtId="166" fontId="2" fillId="4" borderId="11" xfId="0" applyNumberFormat="1" applyFont="1" applyFill="1" applyBorder="1" applyAlignment="1">
      <alignment horizontal="center" wrapText="1"/>
    </xf>
    <xf numFmtId="0" fontId="0" fillId="4" borderId="0" xfId="0" applyFill="1" applyAlignment="1">
      <alignment horizontal="left" wrapText="1"/>
    </xf>
    <xf numFmtId="44" fontId="0" fillId="2" borderId="0" xfId="8" applyFont="1" applyFill="1" applyBorder="1" applyProtection="1"/>
    <xf numFmtId="0" fontId="0" fillId="3" borderId="11" xfId="0" applyFill="1" applyBorder="1" applyAlignment="1">
      <alignment wrapText="1"/>
    </xf>
    <xf numFmtId="0" fontId="2" fillId="2" borderId="0" xfId="0" applyFont="1" applyFill="1"/>
    <xf numFmtId="9" fontId="1" fillId="2" borderId="0" xfId="7" applyFill="1" applyBorder="1" applyAlignment="1" applyProtection="1"/>
    <xf numFmtId="9" fontId="22" fillId="2" borderId="0" xfId="7" quotePrefix="1" applyFont="1" applyFill="1" applyBorder="1" applyAlignment="1" applyProtection="1">
      <alignment wrapText="1"/>
      <protection hidden="1"/>
    </xf>
    <xf numFmtId="171" fontId="0" fillId="4" borderId="11" xfId="7" applyNumberFormat="1" applyFont="1" applyFill="1" applyBorder="1" applyAlignment="1" applyProtection="1">
      <alignment horizontal="center"/>
    </xf>
    <xf numFmtId="0" fontId="2" fillId="4" borderId="0" xfId="0" applyFont="1" applyFill="1" applyAlignment="1">
      <alignment horizontal="center" wrapText="1"/>
    </xf>
    <xf numFmtId="10" fontId="1" fillId="4" borderId="0" xfId="7" applyNumberFormat="1" applyFill="1" applyBorder="1" applyAlignment="1" applyProtection="1">
      <alignment horizontal="center"/>
    </xf>
    <xf numFmtId="170" fontId="2" fillId="4" borderId="0" xfId="8" applyNumberFormat="1" applyFont="1" applyFill="1" applyBorder="1" applyAlignment="1" applyProtection="1">
      <alignment horizontal="center"/>
    </xf>
    <xf numFmtId="171" fontId="17" fillId="4" borderId="0" xfId="7" applyNumberFormat="1" applyFont="1" applyFill="1" applyBorder="1" applyAlignment="1" applyProtection="1">
      <alignment horizontal="center"/>
    </xf>
    <xf numFmtId="17" fontId="2" fillId="4" borderId="0" xfId="0" applyNumberFormat="1" applyFont="1" applyFill="1" applyAlignment="1">
      <alignment horizontal="center"/>
    </xf>
    <xf numFmtId="172" fontId="0" fillId="4" borderId="0" xfId="0" applyNumberFormat="1" applyFill="1" applyAlignment="1">
      <alignment horizontal="center"/>
    </xf>
    <xf numFmtId="44" fontId="2" fillId="4" borderId="0" xfId="8" applyFont="1" applyFill="1" applyBorder="1" applyAlignment="1" applyProtection="1">
      <alignment horizontal="center"/>
    </xf>
    <xf numFmtId="10" fontId="1" fillId="2" borderId="0" xfId="7" applyNumberFormat="1" applyFill="1" applyBorder="1" applyAlignment="1" applyProtection="1">
      <alignment horizontal="center"/>
    </xf>
    <xf numFmtId="43" fontId="1" fillId="2" borderId="0" xfId="1" applyFill="1" applyBorder="1" applyAlignment="1" applyProtection="1">
      <alignment horizontal="center"/>
    </xf>
    <xf numFmtId="170" fontId="0" fillId="2" borderId="0" xfId="0" applyNumberFormat="1" applyFill="1"/>
    <xf numFmtId="0" fontId="0" fillId="3" borderId="11" xfId="0" applyFill="1" applyBorder="1" applyAlignment="1">
      <alignment horizontal="center"/>
    </xf>
    <xf numFmtId="10" fontId="1" fillId="3" borderId="11" xfId="7" applyNumberFormat="1" applyFill="1" applyBorder="1" applyAlignment="1" applyProtection="1">
      <alignment horizontal="center"/>
    </xf>
    <xf numFmtId="10" fontId="0" fillId="2" borderId="0" xfId="7" applyNumberFormat="1" applyFont="1" applyFill="1" applyProtection="1"/>
    <xf numFmtId="169" fontId="1" fillId="4" borderId="0" xfId="1" applyNumberFormat="1" applyFill="1" applyBorder="1" applyAlignment="1" applyProtection="1">
      <alignment horizontal="right"/>
    </xf>
    <xf numFmtId="0" fontId="0" fillId="0" borderId="12" xfId="0" applyBorder="1"/>
    <xf numFmtId="2" fontId="0" fillId="0" borderId="12" xfId="0" applyNumberFormat="1" applyBorder="1" applyAlignment="1">
      <alignment horizontal="center"/>
    </xf>
    <xf numFmtId="170" fontId="0" fillId="0" borderId="12" xfId="0" applyNumberFormat="1" applyBorder="1"/>
    <xf numFmtId="170" fontId="2" fillId="4" borderId="11" xfId="8" applyNumberFormat="1" applyFont="1" applyFill="1" applyBorder="1" applyAlignment="1" applyProtection="1">
      <alignment horizontal="center"/>
    </xf>
    <xf numFmtId="170" fontId="2" fillId="2" borderId="0" xfId="8" applyNumberFormat="1" applyFont="1" applyFill="1" applyBorder="1" applyAlignment="1" applyProtection="1">
      <alignment horizontal="center"/>
    </xf>
    <xf numFmtId="10" fontId="1" fillId="2" borderId="0" xfId="7" applyNumberFormat="1" applyFill="1" applyBorder="1" applyAlignment="1" applyProtection="1"/>
    <xf numFmtId="10" fontId="1" fillId="4" borderId="0" xfId="7" applyNumberFormat="1" applyFill="1" applyBorder="1" applyAlignment="1" applyProtection="1"/>
    <xf numFmtId="9" fontId="1" fillId="4" borderId="0" xfId="7" applyFill="1" applyProtection="1"/>
    <xf numFmtId="39" fontId="9" fillId="0" borderId="0" xfId="0" applyNumberFormat="1" applyFont="1" applyAlignment="1">
      <alignment horizontal="center" vertical="center"/>
    </xf>
    <xf numFmtId="0" fontId="23" fillId="6" borderId="0" xfId="0" applyFont="1" applyFill="1"/>
    <xf numFmtId="0" fontId="23" fillId="6" borderId="0" xfId="0" applyFont="1" applyFill="1" applyAlignment="1">
      <alignment horizontal="center"/>
    </xf>
    <xf numFmtId="0" fontId="17" fillId="4" borderId="0" xfId="0" applyFont="1" applyFill="1"/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170" fontId="0" fillId="0" borderId="0" xfId="0" applyNumberFormat="1"/>
    <xf numFmtId="0" fontId="0" fillId="3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0" fontId="1" fillId="0" borderId="11" xfId="7" applyNumberFormat="1" applyBorder="1" applyAlignment="1" applyProtection="1">
      <alignment horizontal="center"/>
    </xf>
    <xf numFmtId="10" fontId="0" fillId="8" borderId="11" xfId="7" applyNumberFormat="1" applyFont="1" applyFill="1" applyBorder="1" applyAlignment="1" applyProtection="1">
      <alignment horizontal="center"/>
    </xf>
    <xf numFmtId="43" fontId="0" fillId="0" borderId="12" xfId="1" applyFont="1" applyBorder="1" applyAlignment="1" applyProtection="1">
      <alignment horizontal="center"/>
    </xf>
    <xf numFmtId="0" fontId="2" fillId="0" borderId="11" xfId="0" applyFont="1" applyBorder="1" applyAlignment="1">
      <alignment horizontal="center"/>
    </xf>
    <xf numFmtId="17" fontId="0" fillId="8" borderId="11" xfId="0" applyNumberFormat="1" applyFill="1" applyBorder="1" applyAlignment="1">
      <alignment horizontal="center"/>
    </xf>
    <xf numFmtId="17" fontId="0" fillId="2" borderId="11" xfId="0" applyNumberFormat="1" applyFill="1" applyBorder="1" applyAlignment="1">
      <alignment horizontal="center"/>
    </xf>
    <xf numFmtId="10" fontId="0" fillId="4" borderId="0" xfId="7" applyNumberFormat="1" applyFont="1" applyFill="1" applyProtection="1"/>
    <xf numFmtId="43" fontId="0" fillId="0" borderId="11" xfId="1" applyFont="1" applyBorder="1" applyAlignment="1" applyProtection="1">
      <alignment horizontal="center"/>
    </xf>
    <xf numFmtId="2" fontId="0" fillId="4" borderId="0" xfId="7" applyNumberFormat="1" applyFont="1" applyFill="1" applyProtection="1"/>
    <xf numFmtId="0" fontId="0" fillId="10" borderId="11" xfId="0" applyFill="1" applyBorder="1" applyAlignment="1">
      <alignment horizontal="center"/>
    </xf>
    <xf numFmtId="10" fontId="17" fillId="10" borderId="11" xfId="7" applyNumberFormat="1" applyFont="1" applyFill="1" applyBorder="1" applyAlignment="1" applyProtection="1">
      <alignment horizontal="center"/>
    </xf>
    <xf numFmtId="10" fontId="0" fillId="10" borderId="13" xfId="7" applyNumberFormat="1" applyFont="1" applyFill="1" applyBorder="1" applyAlignment="1" applyProtection="1"/>
    <xf numFmtId="10" fontId="0" fillId="10" borderId="14" xfId="7" applyNumberFormat="1" applyFont="1" applyFill="1" applyBorder="1" applyAlignment="1" applyProtection="1"/>
    <xf numFmtId="10" fontId="0" fillId="10" borderId="49" xfId="7" applyNumberFormat="1" applyFont="1" applyFill="1" applyBorder="1" applyAlignment="1" applyProtection="1"/>
    <xf numFmtId="10" fontId="0" fillId="4" borderId="0" xfId="7" applyNumberFormat="1" applyFont="1" applyFill="1" applyBorder="1" applyAlignment="1" applyProtection="1"/>
    <xf numFmtId="173" fontId="17" fillId="4" borderId="0" xfId="0" applyNumberFormat="1" applyFont="1" applyFill="1" applyAlignment="1">
      <alignment horizontal="center"/>
    </xf>
    <xf numFmtId="10" fontId="17" fillId="4" borderId="0" xfId="7" applyNumberFormat="1" applyFont="1" applyFill="1" applyBorder="1" applyAlignment="1" applyProtection="1">
      <alignment horizontal="center"/>
    </xf>
    <xf numFmtId="10" fontId="0" fillId="4" borderId="0" xfId="7" applyNumberFormat="1" applyFont="1" applyFill="1" applyBorder="1" applyAlignment="1" applyProtection="1">
      <alignment horizontal="center"/>
    </xf>
    <xf numFmtId="0" fontId="17" fillId="4" borderId="0" xfId="0" applyFont="1" applyFill="1" applyAlignment="1">
      <alignment horizontal="center"/>
    </xf>
    <xf numFmtId="0" fontId="23" fillId="4" borderId="0" xfId="0" applyFont="1" applyFill="1"/>
    <xf numFmtId="0" fontId="23" fillId="4" borderId="0" xfId="0" applyFont="1" applyFill="1" applyAlignment="1">
      <alignment horizontal="center"/>
    </xf>
    <xf numFmtId="171" fontId="0" fillId="4" borderId="0" xfId="7" applyNumberFormat="1" applyFont="1" applyFill="1" applyBorder="1" applyAlignment="1" applyProtection="1">
      <alignment horizontal="center"/>
    </xf>
    <xf numFmtId="43" fontId="17" fillId="4" borderId="0" xfId="1" applyFont="1" applyFill="1" applyBorder="1" applyAlignment="1" applyProtection="1">
      <alignment horizontal="center"/>
    </xf>
    <xf numFmtId="43" fontId="17" fillId="4" borderId="0" xfId="1" applyFont="1" applyFill="1" applyBorder="1" applyAlignment="1" applyProtection="1">
      <alignment horizontal="center" wrapText="1"/>
    </xf>
    <xf numFmtId="0" fontId="2" fillId="4" borderId="0" xfId="0" applyFont="1" applyFill="1"/>
    <xf numFmtId="10" fontId="17" fillId="4" borderId="0" xfId="7" applyNumberFormat="1" applyFont="1" applyFill="1" applyBorder="1" applyAlignment="1" applyProtection="1">
      <alignment horizontal="center" wrapText="1"/>
    </xf>
    <xf numFmtId="0" fontId="17" fillId="0" borderId="0" xfId="0" applyFont="1" applyAlignment="1">
      <alignment horizontal="center"/>
    </xf>
    <xf numFmtId="10" fontId="0" fillId="8" borderId="12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37" fontId="0" fillId="8" borderId="11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10" fontId="0" fillId="0" borderId="0" xfId="7" applyNumberFormat="1" applyFont="1" applyProtection="1"/>
    <xf numFmtId="10" fontId="0" fillId="0" borderId="0" xfId="1" applyNumberFormat="1" applyFont="1" applyBorder="1" applyProtection="1">
      <protection hidden="1"/>
    </xf>
    <xf numFmtId="171" fontId="0" fillId="0" borderId="0" xfId="7" applyNumberFormat="1" applyFont="1" applyAlignment="1" applyProtection="1">
      <alignment horizontal="center"/>
    </xf>
    <xf numFmtId="43" fontId="0" fillId="0" borderId="0" xfId="1" applyFont="1" applyProtection="1"/>
    <xf numFmtId="43" fontId="1" fillId="0" borderId="0" xfId="1" applyProtection="1"/>
    <xf numFmtId="43" fontId="0" fillId="0" borderId="0" xfId="0" applyNumberFormat="1"/>
    <xf numFmtId="166" fontId="0" fillId="0" borderId="0" xfId="0" applyNumberFormat="1"/>
    <xf numFmtId="10" fontId="0" fillId="8" borderId="11" xfId="0" applyNumberForma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70" fontId="0" fillId="4" borderId="0" xfId="8" applyNumberFormat="1" applyFont="1" applyFill="1" applyBorder="1" applyAlignment="1" applyProtection="1">
      <alignment horizontal="center"/>
    </xf>
    <xf numFmtId="0" fontId="0" fillId="10" borderId="50" xfId="0" applyFill="1" applyBorder="1" applyAlignment="1">
      <alignment horizontal="center"/>
    </xf>
    <xf numFmtId="0" fontId="0" fillId="10" borderId="11" xfId="0" applyFill="1" applyBorder="1" applyAlignment="1">
      <alignment horizontal="center" wrapText="1"/>
    </xf>
    <xf numFmtId="0" fontId="0" fillId="10" borderId="50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1" xfId="0" applyBorder="1"/>
    <xf numFmtId="2" fontId="0" fillId="0" borderId="11" xfId="0" applyNumberFormat="1" applyBorder="1" applyAlignment="1">
      <alignment horizontal="center"/>
    </xf>
    <xf numFmtId="170" fontId="0" fillId="0" borderId="11" xfId="8" applyNumberFormat="1" applyFont="1" applyBorder="1" applyAlignment="1" applyProtection="1">
      <alignment horizontal="center"/>
    </xf>
    <xf numFmtId="170" fontId="0" fillId="0" borderId="13" xfId="8" applyNumberFormat="1" applyFont="1" applyBorder="1" applyProtection="1"/>
    <xf numFmtId="170" fontId="0" fillId="0" borderId="11" xfId="8" applyNumberFormat="1" applyFont="1" applyBorder="1" applyProtection="1"/>
    <xf numFmtId="170" fontId="0" fillId="2" borderId="0" xfId="8" applyNumberFormat="1" applyFont="1" applyFill="1" applyBorder="1" applyProtection="1"/>
    <xf numFmtId="0" fontId="17" fillId="0" borderId="11" xfId="0" applyFont="1" applyBorder="1" applyAlignment="1">
      <alignment horizontal="center"/>
    </xf>
    <xf numFmtId="2" fontId="17" fillId="0" borderId="11" xfId="0" applyNumberFormat="1" applyFont="1" applyBorder="1" applyAlignment="1">
      <alignment horizontal="center"/>
    </xf>
    <xf numFmtId="170" fontId="17" fillId="0" borderId="11" xfId="0" applyNumberFormat="1" applyFont="1" applyBorder="1" applyAlignment="1">
      <alignment horizontal="center"/>
    </xf>
    <xf numFmtId="170" fontId="17" fillId="0" borderId="13" xfId="8" applyNumberFormat="1" applyFont="1" applyBorder="1" applyAlignment="1" applyProtection="1">
      <alignment horizontal="center"/>
    </xf>
    <xf numFmtId="170" fontId="17" fillId="2" borderId="0" xfId="8" applyNumberFormat="1" applyFont="1" applyFill="1" applyBorder="1" applyAlignment="1" applyProtection="1">
      <alignment horizontal="center"/>
    </xf>
    <xf numFmtId="174" fontId="0" fillId="2" borderId="0" xfId="0" applyNumberFormat="1" applyFill="1"/>
    <xf numFmtId="175" fontId="0" fillId="4" borderId="0" xfId="7" applyNumberFormat="1" applyFont="1" applyFill="1" applyProtection="1"/>
    <xf numFmtId="9" fontId="0" fillId="4" borderId="0" xfId="7" applyFont="1" applyFill="1" applyProtection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17" fontId="2" fillId="0" borderId="11" xfId="0" applyNumberFormat="1" applyFont="1" applyBorder="1" applyAlignment="1">
      <alignment horizontal="center"/>
    </xf>
    <xf numFmtId="10" fontId="0" fillId="0" borderId="12" xfId="7" applyNumberFormat="1" applyFont="1" applyBorder="1" applyAlignment="1" applyProtection="1">
      <alignment horizontal="center"/>
    </xf>
    <xf numFmtId="170" fontId="2" fillId="8" borderId="11" xfId="8" applyNumberFormat="1" applyFont="1" applyFill="1" applyBorder="1" applyAlignment="1" applyProtection="1">
      <alignment horizontal="center"/>
    </xf>
    <xf numFmtId="170" fontId="2" fillId="0" borderId="11" xfId="8" applyNumberFormat="1" applyFont="1" applyFill="1" applyBorder="1" applyAlignment="1" applyProtection="1">
      <alignment horizontal="center"/>
    </xf>
    <xf numFmtId="176" fontId="0" fillId="8" borderId="12" xfId="0" applyNumberFormat="1" applyFill="1" applyBorder="1" applyAlignment="1">
      <alignment horizontal="center"/>
    </xf>
    <xf numFmtId="17" fontId="24" fillId="0" borderId="11" xfId="0" applyNumberFormat="1" applyFont="1" applyBorder="1" applyAlignment="1">
      <alignment horizontal="center"/>
    </xf>
    <xf numFmtId="10" fontId="0" fillId="0" borderId="11" xfId="7" applyNumberFormat="1" applyFont="1" applyBorder="1" applyAlignment="1" applyProtection="1">
      <alignment horizontal="center"/>
    </xf>
    <xf numFmtId="17" fontId="17" fillId="3" borderId="13" xfId="0" applyNumberFormat="1" applyFont="1" applyFill="1" applyBorder="1" applyAlignment="1">
      <alignment horizontal="center"/>
    </xf>
    <xf numFmtId="10" fontId="17" fillId="3" borderId="11" xfId="7" applyNumberFormat="1" applyFont="1" applyFill="1" applyBorder="1" applyAlignment="1" applyProtection="1">
      <alignment horizontal="center"/>
    </xf>
    <xf numFmtId="171" fontId="17" fillId="3" borderId="11" xfId="7" applyNumberFormat="1" applyFont="1" applyFill="1" applyBorder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6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25" xfId="1" applyNumberFormat="1" applyFont="1" applyFill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>
      <alignment horizontal="center" vertical="center"/>
    </xf>
    <xf numFmtId="2" fontId="8" fillId="0" borderId="26" xfId="0" applyNumberFormat="1" applyFont="1" applyBorder="1" applyAlignment="1" applyProtection="1">
      <alignment horizontal="center" vertical="center"/>
      <protection hidden="1"/>
    </xf>
    <xf numFmtId="1" fontId="8" fillId="0" borderId="20" xfId="0" applyNumberFormat="1" applyFont="1" applyBorder="1" applyAlignment="1" applyProtection="1">
      <alignment horizontal="center" vertical="center"/>
      <protection hidden="1"/>
    </xf>
    <xf numFmtId="2" fontId="8" fillId="0" borderId="27" xfId="0" applyNumberFormat="1" applyFont="1" applyBorder="1" applyAlignment="1" applyProtection="1">
      <alignment horizontal="center" vertical="center"/>
      <protection hidden="1"/>
    </xf>
    <xf numFmtId="0" fontId="6" fillId="0" borderId="28" xfId="1" applyNumberFormat="1" applyFont="1" applyFill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>
      <alignment horizontal="center" vertical="center"/>
    </xf>
    <xf numFmtId="2" fontId="8" fillId="0" borderId="14" xfId="0" applyNumberFormat="1" applyFont="1" applyBorder="1" applyAlignment="1" applyProtection="1">
      <alignment horizontal="center" vertical="center"/>
      <protection hidden="1"/>
    </xf>
    <xf numFmtId="1" fontId="8" fillId="0" borderId="22" xfId="0" applyNumberFormat="1" applyFont="1" applyBorder="1" applyAlignment="1" applyProtection="1">
      <alignment horizontal="center" vertical="center"/>
      <protection hidden="1"/>
    </xf>
    <xf numFmtId="1" fontId="8" fillId="0" borderId="31" xfId="0" applyNumberFormat="1" applyFont="1" applyBorder="1" applyAlignment="1" applyProtection="1">
      <alignment horizontal="center" vertical="center"/>
      <protection hidden="1"/>
    </xf>
    <xf numFmtId="2" fontId="8" fillId="0" borderId="44" xfId="0" applyNumberFormat="1" applyFont="1" applyBorder="1" applyAlignment="1" applyProtection="1">
      <alignment horizontal="center" vertical="center"/>
      <protection hidden="1"/>
    </xf>
    <xf numFmtId="10" fontId="8" fillId="0" borderId="0" xfId="7" applyNumberFormat="1" applyFont="1" applyAlignment="1">
      <alignment horizontal="center" vertical="center"/>
    </xf>
    <xf numFmtId="10" fontId="28" fillId="5" borderId="18" xfId="7" applyNumberFormat="1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166" fontId="29" fillId="0" borderId="19" xfId="1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3" fontId="27" fillId="0" borderId="21" xfId="0" applyNumberFormat="1" applyFont="1" applyBorder="1" applyAlignment="1">
      <alignment horizontal="center" vertical="center" wrapText="1"/>
    </xf>
    <xf numFmtId="3" fontId="29" fillId="0" borderId="21" xfId="1" applyNumberFormat="1" applyFont="1" applyBorder="1" applyAlignment="1">
      <alignment horizontal="center" vertical="center" wrapText="1"/>
    </xf>
    <xf numFmtId="3" fontId="27" fillId="0" borderId="5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66" fontId="29" fillId="0" borderId="23" xfId="1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23" xfId="0" applyNumberFormat="1" applyFont="1" applyBorder="1" applyAlignment="1">
      <alignment horizontal="center" vertical="center" wrapText="1"/>
    </xf>
    <xf numFmtId="3" fontId="6" fillId="0" borderId="36" xfId="0" applyNumberFormat="1" applyFont="1" applyBorder="1" applyAlignment="1" applyProtection="1">
      <alignment horizontal="center" vertical="center"/>
      <protection hidden="1"/>
    </xf>
    <xf numFmtId="3" fontId="8" fillId="0" borderId="37" xfId="0" applyNumberFormat="1" applyFont="1" applyBorder="1" applyAlignment="1" applyProtection="1">
      <alignment horizontal="center" vertical="center"/>
      <protection hidden="1"/>
    </xf>
    <xf numFmtId="3" fontId="6" fillId="0" borderId="38" xfId="0" applyNumberFormat="1" applyFont="1" applyBorder="1" applyAlignment="1" applyProtection="1">
      <alignment horizontal="center" vertical="center"/>
      <protection hidden="1"/>
    </xf>
    <xf numFmtId="3" fontId="6" fillId="0" borderId="0" xfId="0" applyNumberFormat="1" applyFont="1" applyAlignment="1" applyProtection="1">
      <alignment horizontal="center" vertical="center"/>
      <protection hidden="1"/>
    </xf>
    <xf numFmtId="3" fontId="6" fillId="0" borderId="22" xfId="0" applyNumberFormat="1" applyFont="1" applyBorder="1" applyAlignment="1" applyProtection="1">
      <alignment horizontal="center" vertical="center"/>
      <protection hidden="1"/>
    </xf>
    <xf numFmtId="0" fontId="8" fillId="0" borderId="0" xfId="0" applyFont="1"/>
    <xf numFmtId="3" fontId="6" fillId="0" borderId="39" xfId="0" applyNumberFormat="1" applyFont="1" applyBorder="1" applyAlignment="1" applyProtection="1">
      <alignment horizontal="center" vertical="center"/>
      <protection hidden="1"/>
    </xf>
    <xf numFmtId="3" fontId="8" fillId="0" borderId="11" xfId="0" applyNumberFormat="1" applyFont="1" applyBorder="1" applyAlignment="1" applyProtection="1">
      <alignment horizontal="center" vertical="center"/>
      <protection hidden="1"/>
    </xf>
    <xf numFmtId="3" fontId="6" fillId="0" borderId="40" xfId="0" applyNumberFormat="1" applyFont="1" applyBorder="1" applyAlignment="1" applyProtection="1">
      <alignment horizontal="center" vertical="center"/>
      <protection hidden="1"/>
    </xf>
    <xf numFmtId="14" fontId="26" fillId="0" borderId="0" xfId="0" applyNumberFormat="1" applyFont="1"/>
    <xf numFmtId="0" fontId="6" fillId="0" borderId="22" xfId="1" applyNumberFormat="1" applyFont="1" applyFill="1" applyBorder="1" applyAlignment="1" applyProtection="1">
      <alignment horizontal="center" vertical="center"/>
      <protection hidden="1"/>
    </xf>
    <xf numFmtId="0" fontId="6" fillId="0" borderId="23" xfId="1" applyNumberFormat="1" applyFont="1" applyFill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8" fillId="0" borderId="45" xfId="0" applyNumberFormat="1" applyFont="1" applyBorder="1" applyAlignment="1" applyProtection="1">
      <alignment horizontal="center" vertical="center"/>
      <protection hidden="1"/>
    </xf>
    <xf numFmtId="2" fontId="8" fillId="0" borderId="30" xfId="0" applyNumberFormat="1" applyFont="1" applyBorder="1" applyAlignment="1" applyProtection="1">
      <alignment horizontal="center" vertical="center"/>
      <protection hidden="1"/>
    </xf>
    <xf numFmtId="2" fontId="6" fillId="0" borderId="34" xfId="0" applyNumberFormat="1" applyFont="1" applyBorder="1" applyAlignment="1" applyProtection="1">
      <alignment horizontal="center" vertical="center"/>
      <protection hidden="1"/>
    </xf>
    <xf numFmtId="0" fontId="8" fillId="0" borderId="34" xfId="0" applyFont="1" applyBorder="1" applyAlignment="1">
      <alignment horizontal="center" vertical="center"/>
    </xf>
    <xf numFmtId="2" fontId="8" fillId="0" borderId="35" xfId="0" applyNumberFormat="1" applyFont="1" applyBorder="1" applyAlignment="1" applyProtection="1">
      <alignment horizontal="center" vertical="center"/>
      <protection hidden="1"/>
    </xf>
    <xf numFmtId="1" fontId="8" fillId="0" borderId="34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6" fillId="0" borderId="29" xfId="1" applyNumberFormat="1" applyFont="1" applyFill="1" applyBorder="1" applyAlignment="1" applyProtection="1">
      <alignment horizontal="center" vertical="center"/>
      <protection hidden="1"/>
    </xf>
    <xf numFmtId="2" fontId="8" fillId="0" borderId="29" xfId="0" applyNumberFormat="1" applyFont="1" applyBorder="1" applyAlignment="1" applyProtection="1">
      <alignment horizontal="center" vertical="center"/>
      <protection hidden="1"/>
    </xf>
    <xf numFmtId="0" fontId="8" fillId="0" borderId="21" xfId="0" applyFont="1" applyBorder="1" applyAlignment="1">
      <alignment horizontal="center" vertical="center"/>
    </xf>
    <xf numFmtId="10" fontId="0" fillId="7" borderId="0" xfId="7" applyNumberFormat="1" applyFont="1" applyFill="1" applyProtection="1"/>
    <xf numFmtId="43" fontId="1" fillId="7" borderId="0" xfId="1" applyFill="1" applyBorder="1" applyAlignment="1" applyProtection="1">
      <alignment horizontal="center"/>
    </xf>
    <xf numFmtId="0" fontId="17" fillId="10" borderId="10" xfId="0" applyFont="1" applyFill="1" applyBorder="1" applyAlignment="1">
      <alignment horizontal="center"/>
    </xf>
    <xf numFmtId="3" fontId="27" fillId="0" borderId="19" xfId="0" applyNumberFormat="1" applyFont="1" applyBorder="1" applyAlignment="1">
      <alignment horizontal="center" vertical="center" wrapText="1"/>
    </xf>
    <xf numFmtId="3" fontId="27" fillId="0" borderId="21" xfId="0" applyNumberFormat="1" applyFont="1" applyBorder="1" applyAlignment="1">
      <alignment horizontal="center" vertical="center" wrapText="1"/>
    </xf>
    <xf numFmtId="3" fontId="27" fillId="0" borderId="23" xfId="0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49" fontId="28" fillId="5" borderId="3" xfId="1" applyNumberFormat="1" applyFont="1" applyFill="1" applyBorder="1" applyAlignment="1" applyProtection="1">
      <alignment horizontal="center" vertical="center" textRotation="90"/>
      <protection hidden="1"/>
    </xf>
    <xf numFmtId="49" fontId="28" fillId="5" borderId="5" xfId="1" applyNumberFormat="1" applyFont="1" applyFill="1" applyBorder="1" applyAlignment="1" applyProtection="1">
      <alignment horizontal="center" vertical="center" textRotation="90"/>
      <protection hidden="1"/>
    </xf>
    <xf numFmtId="49" fontId="15" fillId="5" borderId="5" xfId="1" applyNumberFormat="1" applyFont="1" applyFill="1" applyBorder="1" applyAlignment="1" applyProtection="1">
      <alignment horizontal="center" vertical="center" textRotation="90"/>
      <protection hidden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0" fontId="28" fillId="5" borderId="9" xfId="7" applyNumberFormat="1" applyFont="1" applyFill="1" applyBorder="1" applyAlignment="1">
      <alignment horizontal="center" vertical="center"/>
    </xf>
    <xf numFmtId="10" fontId="28" fillId="5" borderId="10" xfId="7" applyNumberFormat="1" applyFont="1" applyFill="1" applyBorder="1" applyAlignment="1">
      <alignment horizontal="center" vertical="center"/>
    </xf>
    <xf numFmtId="10" fontId="28" fillId="5" borderId="17" xfId="7" applyNumberFormat="1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10" fillId="3" borderId="15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/>
    </xf>
    <xf numFmtId="172" fontId="0" fillId="3" borderId="11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8" borderId="51" xfId="0" applyFont="1" applyFill="1" applyBorder="1" applyAlignment="1">
      <alignment horizontal="center"/>
    </xf>
    <xf numFmtId="0" fontId="2" fillId="8" borderId="49" xfId="0" applyFont="1" applyFill="1" applyBorder="1" applyAlignment="1">
      <alignment horizontal="center"/>
    </xf>
    <xf numFmtId="170" fontId="0" fillId="11" borderId="50" xfId="8" applyNumberFormat="1" applyFont="1" applyFill="1" applyBorder="1" applyAlignment="1" applyProtection="1">
      <alignment horizontal="center"/>
    </xf>
    <xf numFmtId="170" fontId="0" fillId="11" borderId="13" xfId="8" applyNumberFormat="1" applyFont="1" applyFill="1" applyBorder="1" applyAlignment="1" applyProtection="1">
      <alignment horizontal="center"/>
    </xf>
    <xf numFmtId="0" fontId="17" fillId="3" borderId="52" xfId="0" applyFont="1" applyFill="1" applyBorder="1" applyAlignment="1">
      <alignment horizontal="center" wrapText="1"/>
    </xf>
    <xf numFmtId="0" fontId="17" fillId="3" borderId="53" xfId="0" applyFont="1" applyFill="1" applyBorder="1" applyAlignment="1">
      <alignment horizontal="center" wrapText="1"/>
    </xf>
    <xf numFmtId="10" fontId="17" fillId="3" borderId="53" xfId="7" applyNumberFormat="1" applyFont="1" applyFill="1" applyBorder="1" applyAlignment="1" applyProtection="1">
      <alignment horizontal="center" wrapText="1"/>
    </xf>
    <xf numFmtId="0" fontId="17" fillId="3" borderId="54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/>
    </xf>
    <xf numFmtId="10" fontId="0" fillId="8" borderId="48" xfId="0" applyNumberForma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37" fontId="0" fillId="8" borderId="15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170" fontId="0" fillId="11" borderId="56" xfId="8" applyNumberFormat="1" applyFont="1" applyFill="1" applyBorder="1" applyAlignment="1" applyProtection="1">
      <alignment horizontal="center"/>
    </xf>
  </cellXfs>
  <cellStyles count="9">
    <cellStyle name="Moeda" xfId="8" builtinId="4"/>
    <cellStyle name="Moeda 2" xfId="5" xr:uid="{00000000-0005-0000-0000-000001000000}"/>
    <cellStyle name="Normal" xfId="0" builtinId="0"/>
    <cellStyle name="Normal 2" xfId="2" xr:uid="{00000000-0005-0000-0000-000003000000}"/>
    <cellStyle name="Normal 3" xfId="6" xr:uid="{00000000-0005-0000-0000-000004000000}"/>
    <cellStyle name="Porcentagem" xfId="7" builtinId="5"/>
    <cellStyle name="Porcentagem 2" xfId="4" xr:uid="{00000000-0005-0000-0000-000008000000}"/>
    <cellStyle name="Vírgula" xfId="1" builtinId="3"/>
    <cellStyle name="Vírgula 2" xfId="3" xr:uid="{00000000-0005-0000-0000-00000A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auto="1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245573</xdr:colOff>
      <xdr:row>5</xdr:row>
      <xdr:rowOff>18142</xdr:rowOff>
    </xdr:from>
    <xdr:to>
      <xdr:col>16</xdr:col>
      <xdr:colOff>856478</xdr:colOff>
      <xdr:row>10</xdr:row>
      <xdr:rowOff>258160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1D865BD-EE0D-4B46-AD4C-632C0F67A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8373" y="246742"/>
          <a:ext cx="4123090" cy="1764653"/>
        </a:xfrm>
        <a:prstGeom prst="rect">
          <a:avLst/>
        </a:prstGeom>
      </xdr:spPr>
    </xdr:pic>
    <xdr:clientData/>
  </xdr:twoCellAnchor>
  <xdr:twoCellAnchor editAs="oneCell">
    <xdr:from>
      <xdr:col>13</xdr:col>
      <xdr:colOff>245573</xdr:colOff>
      <xdr:row>5</xdr:row>
      <xdr:rowOff>18142</xdr:rowOff>
    </xdr:from>
    <xdr:to>
      <xdr:col>16</xdr:col>
      <xdr:colOff>820283</xdr:colOff>
      <xdr:row>10</xdr:row>
      <xdr:rowOff>258160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F1B4302-D7E2-4CA6-A4B0-F6EDE314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2345" y="247224"/>
          <a:ext cx="4131515" cy="1759035"/>
        </a:xfrm>
        <a:prstGeom prst="rect">
          <a:avLst/>
        </a:prstGeom>
      </xdr:spPr>
    </xdr:pic>
    <xdr:clientData/>
  </xdr:twoCellAnchor>
  <xdr:twoCellAnchor editAs="oneCell">
    <xdr:from>
      <xdr:col>3</xdr:col>
      <xdr:colOff>939800</xdr:colOff>
      <xdr:row>4</xdr:row>
      <xdr:rowOff>99738</xdr:rowOff>
    </xdr:from>
    <xdr:to>
      <xdr:col>9</xdr:col>
      <xdr:colOff>658015</xdr:colOff>
      <xdr:row>12</xdr:row>
      <xdr:rowOff>54429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1EFCA62-9EAD-92F8-3C32-0A28057F8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229" y="1351595"/>
          <a:ext cx="9352072" cy="2512834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1143001</xdr:colOff>
      <xdr:row>4</xdr:row>
      <xdr:rowOff>108857</xdr:rowOff>
    </xdr:from>
    <xdr:to>
      <xdr:col>21</xdr:col>
      <xdr:colOff>1401522</xdr:colOff>
      <xdr:row>11</xdr:row>
      <xdr:rowOff>234041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F3EFF7-395B-549C-C0D1-80F0F10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45715" y="1360714"/>
          <a:ext cx="4413236" cy="22841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duto\EMPREENDIMENTOS\CITY%2005%20EPIC%20CITY%20HOME%20-%20VACA%20BRAVA\INCORPORA&#199;&#195;O\NBR\NBR%20-%20EPIC%20CITY%20HOME%20-%20R03%20vinculac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ções preliminares"/>
      <sheetName val="NB1"/>
      <sheetName val="NB2"/>
      <sheetName val="NB3"/>
      <sheetName val="NB4-A"/>
      <sheetName val="NB4-B"/>
      <sheetName val="NB5"/>
      <sheetName val="NB6"/>
      <sheetName val="NB7"/>
      <sheetName val="NB8"/>
      <sheetName val="NBRES"/>
      <sheetName val="NBMC"/>
      <sheetName val="Dados gerais"/>
      <sheetName val="pavimentos"/>
      <sheetName val="Vagas de garagem"/>
      <sheetName val="Escaninhos"/>
      <sheetName val="Plan1"/>
      <sheetName val="áreas privativas"/>
      <sheetName val=" ÁREAS SEPARADAS POR GRUPOS"/>
      <sheetName val="vinculação de vagas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DFF0D45-7EBA-46A7-8F47-FA30ED7816B4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7D30F-F107-4B90-B504-9992948FE163}" name="Consulta1" displayName="Consulta1" ref="A1:AL2" tableType="queryTable" totalsRowShown="0">
  <autoFilter ref="A1:AL2" xr:uid="{D437D30F-F107-4B90-B504-9992948FE163}"/>
  <tableColumns count="38">
    <tableColumn id="1" xr3:uid="{60B8EA3F-F1A3-4368-BF26-DC3961F325AF}" uniqueName="1" name="anexos_unid" queryTableFieldId="1"/>
    <tableColumn id="2" xr3:uid="{9DAA30C2-84CF-4D6A-B6A1-0A595002D4BC}" uniqueName="2" name="Prod_unid" queryTableFieldId="2"/>
    <tableColumn id="3" xr3:uid="{8D7AE64E-DA56-4218-948A-A3CD52B1E213}" uniqueName="3" name="Empresa_unid" queryTableFieldId="3"/>
    <tableColumn id="4" xr3:uid="{C43BDC07-E8C2-474A-827C-FA35D8A863CF}" uniqueName="4" name="NumPer_unid" queryTableFieldId="4"/>
    <tableColumn id="5" xr3:uid="{C8B0F788-855C-42D3-9C0D-C3418BDA1F0E}" uniqueName="5" name="Obra_unid" queryTableFieldId="5" dataDxfId="36"/>
    <tableColumn id="6" xr3:uid="{0FF4FCF7-3E9F-450B-A0D3-A9BD2F114776}" uniqueName="6" name="NumObe_unid" queryTableFieldId="6"/>
    <tableColumn id="7" xr3:uid="{6F4642FB-22C8-4933-85FD-224635C236C5}" uniqueName="7" name="Cod_obe" queryTableFieldId="7" dataDxfId="35"/>
    <tableColumn id="8" xr3:uid="{08664641-35D1-4F10-8B55-97B4DFD82ACB}" uniqueName="8" name="FracaoIdeal_unid" queryTableFieldId="8"/>
    <tableColumn id="9" xr3:uid="{463D3300-B900-4590-8405-69B9483793BF}" uniqueName="9" name="FracaoIdealDecimal_unid" queryTableFieldId="9"/>
    <tableColumn id="10" xr3:uid="{0A9640F0-FBF9-4D3D-83F4-9050F0DBCD45}" uniqueName="10" name="Identificador_unid" queryTableFieldId="10"/>
    <tableColumn id="11" xr3:uid="{EC0898F2-AE5D-4CF7-9A92-8EBEF966FC8D}" uniqueName="11" name="Qtde_unid" queryTableFieldId="11"/>
    <tableColumn id="12" xr3:uid="{B649D6F2-1B26-47FE-A3CE-F15A496D96A8}" uniqueName="12" name="Codigo_Unid" queryTableFieldId="12" dataDxfId="34"/>
    <tableColumn id="13" xr3:uid="{92533612-C7B6-4B99-A382-A5F16C607565}" uniqueName="13" name="PorcentPr_Unid" queryTableFieldId="13"/>
    <tableColumn id="14" xr3:uid="{0A4645C7-717E-469D-B5C1-B53709263958}" uniqueName="14" name="Vendido_unid" queryTableFieldId="14"/>
    <tableColumn id="15" xr3:uid="{CDB48612-FD60-44F0-904E-1F5F89BAC533}" uniqueName="15" name="TipoContrato_udt" queryTableFieldId="15"/>
    <tableColumn id="16" xr3:uid="{4468F1D0-D7BF-4272-A79F-11FAEF24C178}" uniqueName="16" name="NumCategStatus_unid" queryTableFieldId="16"/>
    <tableColumn id="17" xr3:uid="{89196809-BAEF-4714-931A-FABB0AC81D98}" uniqueName="17" name="Desc_csup" queryTableFieldId="17" dataDxfId="33"/>
    <tableColumn id="18" xr3:uid="{D9145D1D-EF53-4E52-B015-22EA5057C060}" uniqueName="18" name="CodTipProd_unid" queryTableFieldId="18" dataDxfId="32"/>
    <tableColumn id="19" xr3:uid="{ED6371C2-6B5B-410B-87AB-1B48A855EC8C}" uniqueName="19" name="Descricao_tipprod" queryTableFieldId="19" dataDxfId="31"/>
    <tableColumn id="20" xr3:uid="{97CA64C2-91B0-4F52-902A-DABC37B86D9D}" uniqueName="20" name="ReterPrimAluguel_udt" queryTableFieldId="20"/>
    <tableColumn id="21" xr3:uid="{25471C8F-0198-4A76-856B-6A16EF0D8737}" uniqueName="21" name="PorcentComissao_unid" queryTableFieldId="21"/>
    <tableColumn id="22" xr3:uid="{4558E2AE-9755-4DB1-B73F-F0F506B920FF}" uniqueName="22" name="DataReconhecimentoReceitaMapa_unid" queryTableFieldId="22" dataDxfId="30"/>
    <tableColumn id="23" xr3:uid="{2A28EEFC-C7B9-46AB-8E97-A02FD39F7750}" uniqueName="23" name="DataEntregaChaves_unid" queryTableFieldId="23" dataDxfId="29"/>
    <tableColumn id="24" xr3:uid="{16D0F53F-610A-4A92-9B37-F23FE63A0281}" uniqueName="24" name="DataCad_unid" queryTableFieldId="24" dataDxfId="28"/>
    <tableColumn id="25" xr3:uid="{9E207161-A648-452A-A4EA-7100B6124668}" uniqueName="25" name="UsrCad_unid" queryTableFieldId="25" dataDxfId="27"/>
    <tableColumn id="26" xr3:uid="{4F23CF22-313D-41C3-96BA-195661F212EA}" uniqueName="26" name="C1_unid" queryTableFieldId="26" dataDxfId="26"/>
    <tableColumn id="27" xr3:uid="{49AC6BEA-5BC7-41BE-9715-F2F05C1493FB}" uniqueName="27" name="C2_unid" queryTableFieldId="27" dataDxfId="25"/>
    <tableColumn id="28" xr3:uid="{7950CFBC-0F74-4F78-939A-474AAAF705AA}" uniqueName="28" name="C3_unid" queryTableFieldId="28" dataDxfId="24"/>
    <tableColumn id="29" xr3:uid="{51B023CD-6320-4E35-8FAC-D8570FDCE72C}" uniqueName="29" name="C4_unid" queryTableFieldId="29" dataDxfId="23"/>
    <tableColumn id="30" xr3:uid="{D3D0C4E5-D093-4493-99B6-EEF381D51147}" uniqueName="30" name="C5_unid" queryTableFieldId="30" dataDxfId="22"/>
    <tableColumn id="31" xr3:uid="{00AC5520-395C-4F7D-B659-A1F56E4EAF01}" uniqueName="31" name="C6_unid" queryTableFieldId="31" dataDxfId="21"/>
    <tableColumn id="32" xr3:uid="{F2953F95-D461-4B84-9061-817CE533FF0D}" uniqueName="32" name="C7_unid" queryTableFieldId="32" dataDxfId="20"/>
    <tableColumn id="33" xr3:uid="{0FF048D0-2C2A-4805-8FE4-0CC4F4E24BFF}" uniqueName="33" name="C8_unid" queryTableFieldId="33" dataDxfId="19"/>
    <tableColumn id="34" xr3:uid="{3DD8E70F-A71B-4786-A99B-E1D744B78E01}" uniqueName="34" name="C9_unid" queryTableFieldId="34" dataDxfId="18"/>
    <tableColumn id="35" xr3:uid="{5CC03AC7-DEA0-4F4C-88AE-0603306F6502}" uniqueName="35" name="PrecoMin" queryTableFieldId="35"/>
    <tableColumn id="36" xr3:uid="{B84F03A0-FFF4-4C7E-A49A-6A1775E6E1D7}" uniqueName="36" name="Descr_status" queryTableFieldId="36" dataDxfId="17"/>
    <tableColumn id="37" xr3:uid="{D5286218-3A94-4482-A225-012F6048F611}" uniqueName="37" name="ObjEspelhoTop_unid" queryTableFieldId="37"/>
    <tableColumn id="38" xr3:uid="{9324388E-8342-4949-A3C6-816AA2A74A76}" uniqueName="38" name="ObjEspelhoLeft_unid" queryTableField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F3C7C-243E-4705-B2AE-379AC67F01F0}" name="TV_Atmos" displayName="TV_Atmos" ref="B67:H163" totalsRowShown="0" headerRowDxfId="9" headerRowBorderDxfId="7" tableBorderDxfId="8">
  <autoFilter ref="B67:H163" xr:uid="{0AAF3C7C-243E-4705-B2AE-379AC67F01F0}">
    <filterColumn colId="3">
      <filters>
        <filter val="Disponível"/>
      </filters>
    </filterColumn>
  </autoFilter>
  <tableColumns count="7">
    <tableColumn id="1" xr3:uid="{64F4A444-490E-4AF8-8D72-3B7905CD214C}" name="UNIDADE" dataDxfId="6"/>
    <tableColumn id="2" xr3:uid="{704302F7-D914-44E6-B34A-E62A57D847DC}" name="Peso %" dataDxfId="5">
      <calculatedColumnFormula>L68</calculatedColumnFormula>
    </tableColumn>
    <tableColumn id="3" xr3:uid="{60DB1FB8-C086-4EE9-A2FB-A78E665C2B47}" name="Descrição" dataDxfId="4"/>
    <tableColumn id="4" xr3:uid="{659E686E-FF2A-469B-AB9E-3E2A72F69F6E}" name="Status" dataDxfId="3"/>
    <tableColumn id="5" xr3:uid="{DE04AD1D-5741-4E89-AF21-CFCB172A4AFD}" name="VGV Tabela" dataDxfId="2">
      <calculatedColumnFormula>ROUND((VLOOKUP(D68,$B$41:$E$48,4,FALSE)*G68)*C68,0)</calculatedColumnFormula>
    </tableColumn>
    <tableColumn id="6" xr3:uid="{4B81DF63-29D5-4DAA-AD2F-83E1AFE6BAE8}" name="Area Privativa" dataDxfId="1"/>
    <tableColumn id="7" xr3:uid="{F62B926E-467E-431D-AE6E-30E224F7A58E}" name="Preço/m2 Tabela" dataDxfId="0" dataCellStyle="Moeda">
      <calculatedColumnFormula>F68/G68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CE85-32F3-44E2-B914-37EE69DD7F1D}">
  <dimension ref="A1:AL2"/>
  <sheetViews>
    <sheetView workbookViewId="0"/>
  </sheetViews>
  <sheetFormatPr defaultColWidth="8.85546875" defaultRowHeight="15"/>
  <cols>
    <col min="1" max="1" width="14.42578125" bestFit="1" customWidth="1"/>
    <col min="2" max="2" width="12.42578125" bestFit="1" customWidth="1"/>
    <col min="3" max="3" width="16" bestFit="1" customWidth="1"/>
    <col min="4" max="4" width="15.7109375" bestFit="1" customWidth="1"/>
    <col min="5" max="5" width="12.42578125" bestFit="1" customWidth="1"/>
    <col min="6" max="6" width="16.42578125" bestFit="1" customWidth="1"/>
    <col min="7" max="7" width="11.140625" bestFit="1" customWidth="1"/>
    <col min="8" max="8" width="18.42578125" bestFit="1" customWidth="1"/>
    <col min="9" max="9" width="26" bestFit="1" customWidth="1"/>
    <col min="10" max="10" width="20" bestFit="1" customWidth="1"/>
    <col min="11" max="11" width="12.7109375" bestFit="1" customWidth="1"/>
    <col min="12" max="12" width="14.71093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28515625" bestFit="1" customWidth="1"/>
    <col min="17" max="17" width="12.42578125" bestFit="1" customWidth="1"/>
    <col min="18" max="18" width="18.7109375" bestFit="1" customWidth="1"/>
    <col min="19" max="19" width="19.42578125" bestFit="1" customWidth="1"/>
    <col min="20" max="20" width="23.42578125" bestFit="1" customWidth="1"/>
    <col min="21" max="21" width="24" bestFit="1" customWidth="1"/>
    <col min="22" max="22" width="39.7109375" bestFit="1" customWidth="1"/>
    <col min="23" max="23" width="25.7109375" bestFit="1" customWidth="1"/>
    <col min="24" max="24" width="15.7109375" bestFit="1" customWidth="1"/>
    <col min="25" max="25" width="14.42578125" bestFit="1" customWidth="1"/>
    <col min="26" max="34" width="10.42578125" bestFit="1" customWidth="1"/>
    <col min="35" max="35" width="11.85546875" bestFit="1" customWidth="1"/>
    <col min="36" max="36" width="14.42578125" bestFit="1" customWidth="1"/>
    <col min="37" max="37" width="22" bestFit="1" customWidth="1"/>
    <col min="38" max="38" width="22.1406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V2" s="73"/>
      <c r="W2" s="73"/>
      <c r="X2" s="7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3" tint="0.39997558519241921"/>
    <pageSetUpPr fitToPage="1"/>
  </sheetPr>
  <dimension ref="B4:AB121"/>
  <sheetViews>
    <sheetView showGridLines="0" topLeftCell="H15" zoomScale="90" zoomScaleNormal="90" zoomScalePageLayoutView="90" workbookViewId="0">
      <selection activeCell="M1" sqref="M1:M1048576"/>
    </sheetView>
  </sheetViews>
  <sheetFormatPr defaultColWidth="8.7109375" defaultRowHeight="24"/>
  <cols>
    <col min="1" max="1" width="8.7109375" style="235"/>
    <col min="2" max="2" width="6.7109375" style="235" customWidth="1"/>
    <col min="3" max="3" width="15.42578125" style="236" customWidth="1"/>
    <col min="4" max="4" width="18" style="236" customWidth="1"/>
    <col min="5" max="6" width="13.7109375" style="236" customWidth="1"/>
    <col min="7" max="7" width="33.7109375" style="235" customWidth="1"/>
    <col min="8" max="8" width="35.85546875" style="235" customWidth="1"/>
    <col min="9" max="9" width="11.7109375" style="235" customWidth="1"/>
    <col min="10" max="11" width="10.85546875" style="235" customWidth="1"/>
    <col min="12" max="12" width="12.42578125" style="235" customWidth="1"/>
    <col min="13" max="13" width="10.7109375" hidden="1" customWidth="1"/>
    <col min="14" max="14" width="16.7109375" style="235" customWidth="1"/>
    <col min="15" max="15" width="15.85546875" style="235" customWidth="1"/>
    <col min="16" max="16" width="20.85546875" style="235" customWidth="1"/>
    <col min="17" max="19" width="15.85546875" style="235" customWidth="1"/>
    <col min="20" max="20" width="20.85546875" style="235" customWidth="1"/>
    <col min="21" max="21" width="1.7109375" style="235" customWidth="1"/>
    <col min="22" max="22" width="27.140625" style="235" customWidth="1"/>
    <col min="23" max="23" width="14.7109375" style="235" customWidth="1"/>
    <col min="24" max="24" width="8.7109375" style="235" customWidth="1"/>
    <col min="25" max="27" width="8.7109375" style="235"/>
    <col min="28" max="28" width="10.7109375" style="235" bestFit="1" customWidth="1"/>
    <col min="29" max="16384" width="8.7109375" style="235"/>
  </cols>
  <sheetData>
    <row r="4" spans="2:23" ht="24.95" thickBot="1"/>
    <row r="5" spans="2:23">
      <c r="B5" s="237"/>
      <c r="C5" s="238"/>
      <c r="D5" s="238"/>
      <c r="E5" s="238"/>
      <c r="F5" s="238"/>
      <c r="G5" s="239"/>
      <c r="H5" s="239"/>
      <c r="I5" s="239"/>
      <c r="J5" s="239"/>
      <c r="K5" s="239"/>
      <c r="L5" s="239"/>
      <c r="M5" s="1"/>
      <c r="N5" s="245"/>
      <c r="O5" s="239"/>
      <c r="P5" s="239"/>
      <c r="Q5" s="239"/>
      <c r="R5" s="239"/>
      <c r="S5" s="239"/>
      <c r="T5" s="239"/>
      <c r="U5" s="239"/>
      <c r="V5" s="246"/>
    </row>
    <row r="6" spans="2:23">
      <c r="B6" s="240"/>
      <c r="C6" s="241"/>
      <c r="D6" s="241"/>
      <c r="E6" s="241"/>
      <c r="F6" s="241"/>
      <c r="G6" s="242"/>
      <c r="H6" s="242"/>
      <c r="I6" s="242"/>
      <c r="J6" s="242"/>
      <c r="K6" s="242"/>
      <c r="L6" s="242"/>
      <c r="M6" s="2"/>
      <c r="N6" s="247"/>
      <c r="O6" s="242"/>
      <c r="P6" s="242"/>
      <c r="Q6" s="242"/>
      <c r="R6" s="242"/>
      <c r="S6" s="242"/>
      <c r="T6" s="242"/>
      <c r="U6" s="242"/>
      <c r="V6" s="234"/>
    </row>
    <row r="7" spans="2:23">
      <c r="B7" s="240"/>
      <c r="C7" s="241"/>
      <c r="D7" s="241"/>
      <c r="E7" s="241"/>
      <c r="F7" s="241"/>
      <c r="G7" s="242"/>
      <c r="H7" s="242"/>
      <c r="I7" s="242"/>
      <c r="J7" s="242"/>
      <c r="K7" s="242"/>
      <c r="L7" s="242"/>
      <c r="M7" s="2"/>
      <c r="N7" s="247"/>
      <c r="O7" s="242"/>
      <c r="P7" s="242"/>
      <c r="Q7" s="242"/>
      <c r="R7" s="242"/>
      <c r="S7" s="242"/>
      <c r="T7" s="242"/>
      <c r="U7" s="242"/>
      <c r="V7" s="234"/>
    </row>
    <row r="8" spans="2:23">
      <c r="B8" s="240"/>
      <c r="C8" s="241"/>
      <c r="D8" s="241"/>
      <c r="E8" s="241"/>
      <c r="F8" s="241"/>
      <c r="G8" s="242"/>
      <c r="H8" s="242"/>
      <c r="I8" s="242"/>
      <c r="J8" s="242"/>
      <c r="K8" s="242"/>
      <c r="L8" s="242"/>
      <c r="M8" s="2"/>
      <c r="N8" s="247"/>
      <c r="O8" s="242"/>
      <c r="P8" s="242"/>
      <c r="Q8" s="242"/>
      <c r="R8" s="242"/>
      <c r="S8" s="242"/>
      <c r="T8" s="242" t="s">
        <v>38</v>
      </c>
      <c r="U8" s="242"/>
      <c r="V8" s="234"/>
    </row>
    <row r="9" spans="2:23">
      <c r="B9" s="240"/>
      <c r="C9" s="241"/>
      <c r="D9" s="241"/>
      <c r="E9" s="241"/>
      <c r="F9" s="241"/>
      <c r="G9" s="242"/>
      <c r="H9" s="242"/>
      <c r="I9" s="242"/>
      <c r="J9" s="242"/>
      <c r="K9" s="242"/>
      <c r="L9" s="242"/>
      <c r="M9" s="2"/>
      <c r="N9" s="247"/>
      <c r="O9" s="242"/>
      <c r="P9" s="242"/>
      <c r="Q9" s="242"/>
      <c r="R9" s="242"/>
      <c r="S9" s="242"/>
      <c r="T9" s="242"/>
      <c r="U9" s="242"/>
      <c r="V9" s="234"/>
    </row>
    <row r="10" spans="2:23">
      <c r="B10" s="240"/>
      <c r="C10" s="241"/>
      <c r="D10" s="241"/>
      <c r="E10" s="241"/>
      <c r="F10" s="241"/>
      <c r="G10" s="242"/>
      <c r="H10" s="242"/>
      <c r="I10" s="242"/>
      <c r="J10" s="242"/>
      <c r="K10" s="242"/>
      <c r="L10" s="242"/>
      <c r="M10" s="2"/>
      <c r="N10" s="247"/>
      <c r="O10" s="242"/>
      <c r="P10" s="242"/>
      <c r="Q10" s="242"/>
      <c r="R10" s="242"/>
      <c r="S10" s="242"/>
      <c r="T10" s="242"/>
      <c r="U10" s="242"/>
      <c r="V10" s="234"/>
    </row>
    <row r="11" spans="2:23">
      <c r="B11" s="240"/>
      <c r="C11" s="241"/>
      <c r="D11" s="241"/>
      <c r="E11" s="241"/>
      <c r="F11" s="241"/>
      <c r="G11" s="242"/>
      <c r="H11" s="242"/>
      <c r="I11" s="242"/>
      <c r="J11" s="242"/>
      <c r="K11" s="242"/>
      <c r="L11" s="242"/>
      <c r="M11" s="2"/>
      <c r="N11" s="247"/>
      <c r="O11" s="242"/>
      <c r="P11" s="242"/>
      <c r="Q11" s="242"/>
      <c r="R11" s="242"/>
      <c r="S11" s="242"/>
      <c r="T11" s="242"/>
      <c r="U11" s="242"/>
      <c r="V11" s="234"/>
    </row>
    <row r="12" spans="2:23" ht="31.35" customHeight="1">
      <c r="B12" s="240"/>
      <c r="C12" s="241"/>
      <c r="D12" s="241"/>
      <c r="E12" s="241"/>
      <c r="F12" s="241"/>
      <c r="G12" s="242"/>
      <c r="H12" s="242"/>
      <c r="I12" s="242"/>
      <c r="J12" s="242"/>
      <c r="K12" s="242"/>
      <c r="L12" s="242"/>
      <c r="M12" s="2"/>
      <c r="N12" s="247"/>
      <c r="O12" s="242"/>
      <c r="P12" s="242"/>
      <c r="Q12" s="242"/>
      <c r="R12" s="242"/>
      <c r="S12" s="242"/>
      <c r="T12" s="242"/>
      <c r="U12" s="242"/>
      <c r="V12" s="234"/>
    </row>
    <row r="13" spans="2:23" ht="24.95" thickBot="1">
      <c r="B13" s="243"/>
      <c r="C13" s="233"/>
      <c r="D13" s="233"/>
      <c r="E13" s="233"/>
      <c r="F13" s="233"/>
      <c r="G13" s="244"/>
      <c r="H13" s="244"/>
      <c r="I13" s="244"/>
      <c r="J13" s="244"/>
      <c r="K13" s="244"/>
      <c r="L13" s="244"/>
      <c r="M13" s="4"/>
      <c r="N13" s="248"/>
      <c r="O13" s="244"/>
      <c r="P13" s="244"/>
      <c r="Q13" s="244"/>
      <c r="R13" s="244"/>
      <c r="S13" s="244"/>
      <c r="T13" s="244"/>
      <c r="U13" s="244"/>
      <c r="V13" s="249"/>
    </row>
    <row r="14" spans="2:23" ht="24.95" thickBot="1">
      <c r="B14" s="324" t="s">
        <v>39</v>
      </c>
      <c r="C14" s="325"/>
      <c r="D14" s="325"/>
      <c r="E14" s="325"/>
      <c r="F14" s="325"/>
      <c r="G14" s="325"/>
      <c r="H14" s="325"/>
      <c r="I14" s="325"/>
      <c r="J14" s="325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7"/>
    </row>
    <row r="15" spans="2:23" ht="24.95" thickBot="1">
      <c r="B15" s="328" t="s">
        <v>40</v>
      </c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330"/>
    </row>
    <row r="16" spans="2:23" customFormat="1" hidden="1">
      <c r="B16" s="5"/>
      <c r="C16" s="331" t="s">
        <v>41</v>
      </c>
      <c r="D16" s="331"/>
      <c r="E16" s="6" t="s">
        <v>42</v>
      </c>
      <c r="F16" s="7"/>
      <c r="G16" s="8" t="s">
        <v>43</v>
      </c>
      <c r="H16" s="8"/>
      <c r="I16" s="8"/>
      <c r="J16" s="8"/>
      <c r="K16" s="8"/>
      <c r="L16" s="8"/>
      <c r="M16" s="9"/>
      <c r="N16" s="8"/>
      <c r="O16" s="10">
        <f>O20</f>
        <v>1</v>
      </c>
      <c r="P16" s="10">
        <f>P20</f>
        <v>3</v>
      </c>
      <c r="Q16" s="10">
        <f t="shared" ref="Q16:S16" si="0">Q20</f>
        <v>24</v>
      </c>
      <c r="R16" s="10">
        <f t="shared" si="0"/>
        <v>4</v>
      </c>
      <c r="S16" s="10">
        <f t="shared" si="0"/>
        <v>1</v>
      </c>
      <c r="T16" s="10"/>
      <c r="V16" s="10">
        <v>1</v>
      </c>
      <c r="W16" t="s">
        <v>44</v>
      </c>
    </row>
    <row r="17" spans="2:28" customFormat="1" hidden="1">
      <c r="B17" s="5"/>
      <c r="C17" s="12" t="s">
        <v>45</v>
      </c>
      <c r="D17" s="13">
        <f>Piloto!C5</f>
        <v>45108</v>
      </c>
      <c r="E17" s="14">
        <f>Piloto!D5</f>
        <v>2023</v>
      </c>
      <c r="F17" s="14"/>
      <c r="G17" s="15">
        <f>Piloto!E5</f>
        <v>7</v>
      </c>
      <c r="H17" s="16"/>
      <c r="I17" s="16"/>
      <c r="J17" s="16"/>
      <c r="K17" s="16"/>
      <c r="L17" s="16"/>
      <c r="M17" s="17"/>
      <c r="N17" s="16"/>
      <c r="O17" s="18" t="s">
        <v>46</v>
      </c>
      <c r="P17" s="18" t="s">
        <v>46</v>
      </c>
      <c r="Q17" s="18" t="s">
        <v>46</v>
      </c>
      <c r="R17" s="18" t="s">
        <v>46</v>
      </c>
      <c r="S17" s="18" t="s">
        <v>46</v>
      </c>
      <c r="T17" s="18"/>
      <c r="V17" s="18" t="s">
        <v>47</v>
      </c>
      <c r="W17" s="19" t="s">
        <v>48</v>
      </c>
    </row>
    <row r="18" spans="2:28" customFormat="1" hidden="1">
      <c r="B18" s="5"/>
      <c r="C18" s="12" t="s">
        <v>49</v>
      </c>
      <c r="D18" s="13">
        <f>Piloto!C6</f>
        <v>45931</v>
      </c>
      <c r="E18" s="14">
        <f>Piloto!D6</f>
        <v>2025</v>
      </c>
      <c r="F18" s="14"/>
      <c r="G18" s="15">
        <f>Piloto!E6</f>
        <v>10</v>
      </c>
      <c r="H18" s="15"/>
      <c r="I18" s="15"/>
      <c r="J18" s="15"/>
      <c r="K18" s="15"/>
      <c r="L18" s="15"/>
      <c r="M18" s="20"/>
      <c r="N18" s="15"/>
      <c r="O18" s="10">
        <v>0</v>
      </c>
      <c r="P18" s="10">
        <v>1</v>
      </c>
      <c r="Q18" s="10">
        <v>6</v>
      </c>
      <c r="R18" s="11">
        <v>7</v>
      </c>
      <c r="S18" s="11">
        <v>16</v>
      </c>
      <c r="T18" s="11"/>
      <c r="V18" s="10">
        <v>3</v>
      </c>
      <c r="W18" s="21" t="s">
        <v>50</v>
      </c>
    </row>
    <row r="19" spans="2:28" customFormat="1" hidden="1">
      <c r="B19" s="5"/>
      <c r="C19" s="22"/>
      <c r="D19" s="23"/>
      <c r="E19" s="24"/>
      <c r="F19" s="24"/>
      <c r="G19" s="25"/>
      <c r="H19" s="25"/>
      <c r="I19" s="25"/>
      <c r="J19" s="25"/>
      <c r="K19" s="25"/>
      <c r="L19" s="25"/>
      <c r="M19" s="26"/>
      <c r="N19" s="25"/>
      <c r="O19" s="27">
        <v>44722</v>
      </c>
      <c r="P19" s="27">
        <v>44691</v>
      </c>
      <c r="Q19" s="27">
        <f>Piloto!H57</f>
        <v>45231</v>
      </c>
      <c r="R19" s="27">
        <v>44936</v>
      </c>
      <c r="S19" s="27">
        <v>45087</v>
      </c>
      <c r="T19" s="27"/>
      <c r="V19" s="27">
        <v>45200</v>
      </c>
      <c r="W19" s="21" t="s">
        <v>51</v>
      </c>
    </row>
    <row r="20" spans="2:28" customFormat="1" ht="18.95" hidden="1">
      <c r="B20" s="28"/>
      <c r="C20" s="322" t="s">
        <v>52</v>
      </c>
      <c r="D20" s="323"/>
      <c r="E20" s="323"/>
      <c r="F20" s="29"/>
      <c r="G20" s="29"/>
      <c r="H20" s="29"/>
      <c r="I20" s="29"/>
      <c r="J20" s="29"/>
      <c r="K20" s="29"/>
      <c r="L20" s="29"/>
      <c r="M20" s="30"/>
      <c r="N20" s="31">
        <v>45960</v>
      </c>
      <c r="O20" s="32">
        <f>Piloto!A55</f>
        <v>1</v>
      </c>
      <c r="P20" s="32">
        <f>Piloto!A56</f>
        <v>3</v>
      </c>
      <c r="Q20" s="33">
        <f>Piloto!A57</f>
        <v>24</v>
      </c>
      <c r="R20" s="33">
        <f>Piloto!A58</f>
        <v>4</v>
      </c>
      <c r="S20" s="32">
        <f>Piloto!A59</f>
        <v>1</v>
      </c>
      <c r="T20" s="32"/>
      <c r="U20" s="3"/>
      <c r="V20" s="2">
        <v>1</v>
      </c>
    </row>
    <row r="21" spans="2:28" customFormat="1" ht="18.95" hidden="1">
      <c r="B21" s="28"/>
      <c r="C21" s="322" t="s">
        <v>53</v>
      </c>
      <c r="D21" s="323"/>
      <c r="E21" s="323"/>
      <c r="F21" s="29"/>
      <c r="G21" s="29"/>
      <c r="H21" s="29"/>
      <c r="I21" s="29"/>
      <c r="J21" s="29"/>
      <c r="K21" s="29"/>
      <c r="L21" s="29"/>
      <c r="M21" s="31"/>
      <c r="N21" s="31">
        <f>Piloto!C5</f>
        <v>45108</v>
      </c>
      <c r="O21" s="34">
        <f>O22*O20</f>
        <v>0.04</v>
      </c>
      <c r="P21" s="35">
        <f>P22*P20</f>
        <v>0.06</v>
      </c>
      <c r="Q21" s="35">
        <f>Q22*Q20</f>
        <v>0.13999200000000001</v>
      </c>
      <c r="R21" s="35">
        <f>R22*R20</f>
        <v>0.13650000000000001</v>
      </c>
      <c r="S21" s="35">
        <f>S22*S20</f>
        <v>0.03</v>
      </c>
      <c r="T21" s="35"/>
      <c r="U21" s="3"/>
      <c r="V21" s="2"/>
    </row>
    <row r="22" spans="2:28" customFormat="1" ht="20.100000000000001" hidden="1" thickBot="1">
      <c r="B22" s="28"/>
      <c r="C22" s="322" t="s">
        <v>54</v>
      </c>
      <c r="D22" s="323"/>
      <c r="E22" s="323"/>
      <c r="F22" s="29"/>
      <c r="G22" s="29"/>
      <c r="H22" s="29"/>
      <c r="I22" s="29"/>
      <c r="J22" s="29"/>
      <c r="K22" s="29"/>
      <c r="L22" s="29"/>
      <c r="M22" s="31"/>
      <c r="N22" s="30"/>
      <c r="O22" s="36">
        <f>Piloto!C55</f>
        <v>0.04</v>
      </c>
      <c r="P22" s="36">
        <f>Piloto!C56</f>
        <v>0.02</v>
      </c>
      <c r="Q22" s="36">
        <f>Piloto!C57</f>
        <v>5.8329999999999996E-3</v>
      </c>
      <c r="R22" s="36">
        <f>Piloto!C58</f>
        <v>3.4125000000000003E-2</v>
      </c>
      <c r="S22" s="36">
        <f>Piloto!C59</f>
        <v>0.03</v>
      </c>
      <c r="T22" s="36">
        <f>SUM(O21:S21)</f>
        <v>0.40649200000000008</v>
      </c>
      <c r="U22" s="37"/>
      <c r="V22" s="38">
        <f>100%-SUM(O21:S21)</f>
        <v>0.59350799999999992</v>
      </c>
    </row>
    <row r="23" spans="2:28" ht="24.95" thickBot="1">
      <c r="B23" s="250"/>
      <c r="C23" s="241"/>
      <c r="D23" s="241"/>
      <c r="E23" s="251"/>
      <c r="F23" s="251"/>
      <c r="G23" s="241"/>
      <c r="H23" s="241"/>
      <c r="I23" s="241"/>
      <c r="J23" s="241"/>
      <c r="K23" s="241"/>
      <c r="L23" s="241"/>
      <c r="M23" s="39"/>
      <c r="N23" s="241"/>
      <c r="O23" s="335" t="s">
        <v>55</v>
      </c>
      <c r="P23" s="336"/>
      <c r="Q23" s="336"/>
      <c r="R23" s="336"/>
      <c r="S23" s="336"/>
      <c r="T23" s="337"/>
      <c r="U23" s="265"/>
      <c r="V23" s="266" t="s">
        <v>56</v>
      </c>
    </row>
    <row r="24" spans="2:28" ht="50.1" customHeight="1">
      <c r="B24" s="338" t="s">
        <v>57</v>
      </c>
      <c r="C24" s="332" t="s">
        <v>58</v>
      </c>
      <c r="D24" s="313" t="s">
        <v>59</v>
      </c>
      <c r="E24" s="341" t="s">
        <v>60</v>
      </c>
      <c r="F24" s="341" t="s">
        <v>61</v>
      </c>
      <c r="G24" s="332" t="s">
        <v>62</v>
      </c>
      <c r="H24" s="313" t="s">
        <v>63</v>
      </c>
      <c r="I24" s="304" t="s">
        <v>64</v>
      </c>
      <c r="J24" s="307" t="s">
        <v>65</v>
      </c>
      <c r="K24" s="304" t="s">
        <v>66</v>
      </c>
      <c r="L24" s="307" t="s">
        <v>67</v>
      </c>
      <c r="M24" s="310" t="s">
        <v>68</v>
      </c>
      <c r="N24" s="313" t="s">
        <v>69</v>
      </c>
      <c r="O24" s="267" t="s">
        <v>70</v>
      </c>
      <c r="P24" s="268" t="s">
        <v>71</v>
      </c>
      <c r="Q24" s="269" t="s">
        <v>72</v>
      </c>
      <c r="R24" s="267" t="s">
        <v>73</v>
      </c>
      <c r="S24" s="267" t="s">
        <v>74</v>
      </c>
      <c r="T24" s="316" t="s">
        <v>75</v>
      </c>
      <c r="U24" s="270"/>
      <c r="V24" s="332" t="s">
        <v>76</v>
      </c>
    </row>
    <row r="25" spans="2:28" ht="24" customHeight="1">
      <c r="B25" s="339"/>
      <c r="C25" s="333"/>
      <c r="D25" s="314"/>
      <c r="E25" s="342"/>
      <c r="F25" s="342"/>
      <c r="G25" s="333"/>
      <c r="H25" s="314"/>
      <c r="I25" s="305"/>
      <c r="J25" s="308"/>
      <c r="K25" s="305"/>
      <c r="L25" s="308"/>
      <c r="M25" s="311"/>
      <c r="N25" s="314"/>
      <c r="O25" s="271">
        <v>1</v>
      </c>
      <c r="P25" s="272">
        <v>3</v>
      </c>
      <c r="Q25" s="273">
        <f>Q20</f>
        <v>24</v>
      </c>
      <c r="R25" s="271">
        <f>R20</f>
        <v>4</v>
      </c>
      <c r="S25" s="271">
        <v>2</v>
      </c>
      <c r="T25" s="317"/>
      <c r="U25" s="270"/>
      <c r="V25" s="333"/>
    </row>
    <row r="26" spans="2:28" ht="35.1" customHeight="1" thickBot="1">
      <c r="B26" s="340"/>
      <c r="C26" s="334"/>
      <c r="D26" s="315"/>
      <c r="E26" s="343"/>
      <c r="F26" s="343"/>
      <c r="G26" s="334"/>
      <c r="H26" s="315"/>
      <c r="I26" s="306"/>
      <c r="J26" s="309"/>
      <c r="K26" s="306"/>
      <c r="L26" s="309"/>
      <c r="M26" s="312"/>
      <c r="N26" s="315"/>
      <c r="O26" s="274" t="s">
        <v>77</v>
      </c>
      <c r="P26" s="275" t="s">
        <v>78</v>
      </c>
      <c r="Q26" s="276">
        <f>Q19</f>
        <v>45231</v>
      </c>
      <c r="R26" s="277">
        <f>Piloto!H58</f>
        <v>45292</v>
      </c>
      <c r="S26" s="276">
        <f>Piloto!H59</f>
        <v>45689</v>
      </c>
      <c r="T26" s="318"/>
      <c r="U26" s="270"/>
      <c r="V26" s="334"/>
    </row>
    <row r="27" spans="2:28" ht="24.95" thickBot="1">
      <c r="B27" s="319"/>
      <c r="C27" s="252">
        <v>401</v>
      </c>
      <c r="D27" s="253">
        <f>VLOOKUP($C27,Piloto!$B$67:$H$163,6,0)</f>
        <v>366.67999999999995</v>
      </c>
      <c r="E27" s="253">
        <v>356.02</v>
      </c>
      <c r="F27" s="253">
        <v>0</v>
      </c>
      <c r="G27" s="254" t="s">
        <v>79</v>
      </c>
      <c r="H27" s="255" t="s">
        <v>80</v>
      </c>
      <c r="I27" s="256" t="s">
        <v>81</v>
      </c>
      <c r="J27" s="255">
        <v>5.08</v>
      </c>
      <c r="K27" s="256">
        <v>1</v>
      </c>
      <c r="L27" s="257">
        <v>5.58</v>
      </c>
      <c r="M27" s="40">
        <f>VLOOKUP($C27,Piloto!$B$67:$H$163,7,0)</f>
        <v>9497.6000872695549</v>
      </c>
      <c r="N27" s="278">
        <f t="shared" ref="N27:N58" si="1">ROUND(((D27*M27)),0)</f>
        <v>3482580</v>
      </c>
      <c r="O27" s="279">
        <f t="shared" ref="O27:O90" si="2">$O$22*N27</f>
        <v>139303.20000000001</v>
      </c>
      <c r="P27" s="279">
        <f t="shared" ref="P27:P90" si="3">$P$22*N27</f>
        <v>69651.600000000006</v>
      </c>
      <c r="Q27" s="279">
        <f>$Q$22*N27</f>
        <v>20313.889139999999</v>
      </c>
      <c r="R27" s="279">
        <f t="shared" ref="R27:R90" si="4">$R$22*N27</f>
        <v>118843.04250000001</v>
      </c>
      <c r="S27" s="279">
        <f t="shared" ref="S27:S90" si="5">$S$22*N27</f>
        <v>104477.4</v>
      </c>
      <c r="T27" s="280">
        <f t="shared" ref="T27:T58" si="6">O27*$O$20+P27*$P$20+R27*$R$20+S27*$S$20+Q27*$Q$20</f>
        <v>1415640.9093599999</v>
      </c>
      <c r="U27" s="281"/>
      <c r="V27" s="282">
        <f t="shared" ref="V27:V58" si="7">$V$22*N27</f>
        <v>2066939.0906399998</v>
      </c>
      <c r="W27" s="235" t="str">
        <f>VLOOKUP($C27,Piloto!$B$69:$E$163,4,0)</f>
        <v>Disponível</v>
      </c>
      <c r="X27" s="283" t="s">
        <v>82</v>
      </c>
    </row>
    <row r="28" spans="2:28" ht="24.95" thickBot="1">
      <c r="B28" s="320"/>
      <c r="C28" s="258">
        <v>402</v>
      </c>
      <c r="D28" s="259">
        <f>VLOOKUP($C28,Piloto!$B$67:$H$163,6,0)</f>
        <v>237.41</v>
      </c>
      <c r="E28" s="259">
        <v>227.07</v>
      </c>
      <c r="F28" s="259">
        <v>0</v>
      </c>
      <c r="G28" s="260" t="s">
        <v>83</v>
      </c>
      <c r="H28" s="261" t="s">
        <v>84</v>
      </c>
      <c r="I28" s="262" t="s">
        <v>85</v>
      </c>
      <c r="J28" s="261">
        <v>5.72</v>
      </c>
      <c r="K28" s="263">
        <v>2</v>
      </c>
      <c r="L28" s="264">
        <v>4.62</v>
      </c>
      <c r="M28" s="40">
        <f>VLOOKUP($C28,Piloto!$B$67:$H$163,7,0)</f>
        <v>9497.5990901815421</v>
      </c>
      <c r="N28" s="284">
        <f t="shared" si="1"/>
        <v>2254825</v>
      </c>
      <c r="O28" s="285">
        <f t="shared" si="2"/>
        <v>90193</v>
      </c>
      <c r="P28" s="285">
        <f t="shared" si="3"/>
        <v>45096.5</v>
      </c>
      <c r="Q28" s="285">
        <f t="shared" ref="Q28:Q90" si="8">$Q$22*N28</f>
        <v>13152.394225</v>
      </c>
      <c r="R28" s="285">
        <f t="shared" si="4"/>
        <v>76945.903125000012</v>
      </c>
      <c r="S28" s="285">
        <f t="shared" si="5"/>
        <v>67644.75</v>
      </c>
      <c r="T28" s="286">
        <f t="shared" si="6"/>
        <v>916568.32390000008</v>
      </c>
      <c r="U28" s="281"/>
      <c r="V28" s="282">
        <f t="shared" si="7"/>
        <v>1338256.6760999998</v>
      </c>
      <c r="W28" s="235" t="str">
        <f>VLOOKUP($C28,Piloto!$B$69:$E$163,4,0)</f>
        <v>Disponível</v>
      </c>
      <c r="X28" s="283" t="s">
        <v>86</v>
      </c>
      <c r="AB28" s="287"/>
    </row>
    <row r="29" spans="2:28" ht="24.95" thickBot="1">
      <c r="B29" s="320"/>
      <c r="C29" s="258">
        <v>403</v>
      </c>
      <c r="D29" s="259">
        <f>VLOOKUP($C29,Piloto!$B$67:$H$163,6,0)</f>
        <v>177.95</v>
      </c>
      <c r="E29" s="259">
        <v>172.94</v>
      </c>
      <c r="F29" s="259">
        <v>0</v>
      </c>
      <c r="G29" s="260" t="s">
        <v>87</v>
      </c>
      <c r="H29" s="261" t="s">
        <v>88</v>
      </c>
      <c r="I29" s="262" t="s">
        <v>89</v>
      </c>
      <c r="J29" s="261">
        <v>5.01</v>
      </c>
      <c r="K29" s="263">
        <v>0</v>
      </c>
      <c r="L29" s="264">
        <v>0</v>
      </c>
      <c r="M29" s="40">
        <f>VLOOKUP($C29,Piloto!$B$67:$H$163,7,0)</f>
        <v>9497.6004495644847</v>
      </c>
      <c r="N29" s="284">
        <f t="shared" si="1"/>
        <v>1690098</v>
      </c>
      <c r="O29" s="285">
        <f t="shared" si="2"/>
        <v>67603.92</v>
      </c>
      <c r="P29" s="285">
        <f t="shared" si="3"/>
        <v>33801.96</v>
      </c>
      <c r="Q29" s="285">
        <f t="shared" si="8"/>
        <v>9858.3416339999985</v>
      </c>
      <c r="R29" s="285">
        <f t="shared" si="4"/>
        <v>57674.594250000002</v>
      </c>
      <c r="S29" s="285">
        <f t="shared" si="5"/>
        <v>50702.939999999995</v>
      </c>
      <c r="T29" s="286">
        <f t="shared" si="6"/>
        <v>687011.31621600001</v>
      </c>
      <c r="U29" s="281"/>
      <c r="V29" s="282">
        <f t="shared" si="7"/>
        <v>1003086.6837839999</v>
      </c>
      <c r="W29" s="235" t="str">
        <f>VLOOKUP($C29,Piloto!$B$69:$E$163,4,0)</f>
        <v>Disponível</v>
      </c>
      <c r="X29" s="283" t="s">
        <v>86</v>
      </c>
    </row>
    <row r="30" spans="2:28" ht="24.95" thickBot="1">
      <c r="B30" s="320"/>
      <c r="C30" s="258">
        <v>501</v>
      </c>
      <c r="D30" s="259">
        <f>VLOOKUP($C30,Piloto!$B$67:$H$163,6,0)</f>
        <v>248.03</v>
      </c>
      <c r="E30" s="259">
        <v>237.67</v>
      </c>
      <c r="F30" s="259">
        <v>0</v>
      </c>
      <c r="G30" s="260" t="s">
        <v>90</v>
      </c>
      <c r="H30" s="261" t="s">
        <v>91</v>
      </c>
      <c r="I30" s="262" t="s">
        <v>92</v>
      </c>
      <c r="J30" s="261">
        <v>4.78</v>
      </c>
      <c r="K30" s="263">
        <v>1</v>
      </c>
      <c r="L30" s="264">
        <v>5.58</v>
      </c>
      <c r="M30" s="40">
        <f>VLOOKUP($C30,Piloto!$B$67:$H$163,7,0)</f>
        <v>9556.9608515098971</v>
      </c>
      <c r="N30" s="284">
        <f t="shared" si="1"/>
        <v>2370413</v>
      </c>
      <c r="O30" s="285">
        <f t="shared" si="2"/>
        <v>94816.52</v>
      </c>
      <c r="P30" s="285">
        <f t="shared" si="3"/>
        <v>47408.26</v>
      </c>
      <c r="Q30" s="285">
        <f t="shared" si="8"/>
        <v>13826.619029</v>
      </c>
      <c r="R30" s="285">
        <f t="shared" si="4"/>
        <v>80890.343625000009</v>
      </c>
      <c r="S30" s="285">
        <f t="shared" si="5"/>
        <v>71112.39</v>
      </c>
      <c r="T30" s="286">
        <f t="shared" si="6"/>
        <v>963553.92119599995</v>
      </c>
      <c r="U30" s="281"/>
      <c r="V30" s="282">
        <f t="shared" si="7"/>
        <v>1406859.0788039998</v>
      </c>
      <c r="W30" s="235" t="str">
        <f>VLOOKUP($C30,Piloto!$B$69:$E$163,4,0)</f>
        <v>Disponível</v>
      </c>
      <c r="X30" s="235" t="s">
        <v>93</v>
      </c>
    </row>
    <row r="31" spans="2:28" ht="24.95" thickBot="1">
      <c r="B31" s="320"/>
      <c r="C31" s="258">
        <v>502</v>
      </c>
      <c r="D31" s="259">
        <f>VLOOKUP($C31,Piloto!$B$67:$H$163,6,0)</f>
        <v>215.3</v>
      </c>
      <c r="E31" s="259">
        <v>205.99</v>
      </c>
      <c r="F31" s="259">
        <v>0</v>
      </c>
      <c r="G31" s="260" t="s">
        <v>94</v>
      </c>
      <c r="H31" s="261" t="s">
        <v>95</v>
      </c>
      <c r="I31" s="262" t="s">
        <v>96</v>
      </c>
      <c r="J31" s="261">
        <v>4.6900000000000004</v>
      </c>
      <c r="K31" s="263">
        <v>2</v>
      </c>
      <c r="L31" s="264">
        <v>4.62</v>
      </c>
      <c r="M31" s="40">
        <f>VLOOKUP($C31,Piloto!$B$67:$H$163,7,0)</f>
        <v>9556.957733395262</v>
      </c>
      <c r="N31" s="284">
        <f t="shared" si="1"/>
        <v>2057613</v>
      </c>
      <c r="O31" s="285">
        <f t="shared" si="2"/>
        <v>82304.52</v>
      </c>
      <c r="P31" s="285">
        <f t="shared" si="3"/>
        <v>41152.26</v>
      </c>
      <c r="Q31" s="285">
        <f t="shared" si="8"/>
        <v>12002.056628999999</v>
      </c>
      <c r="R31" s="285">
        <f t="shared" si="4"/>
        <v>70216.043625000006</v>
      </c>
      <c r="S31" s="285">
        <f t="shared" si="5"/>
        <v>61728.39</v>
      </c>
      <c r="T31" s="286">
        <f t="shared" si="6"/>
        <v>836403.223596</v>
      </c>
      <c r="U31" s="281"/>
      <c r="V31" s="282">
        <f t="shared" si="7"/>
        <v>1221209.7764039999</v>
      </c>
      <c r="W31" s="235" t="str">
        <f>VLOOKUP($C31,Piloto!$B$69:$E$163,4,0)</f>
        <v>Disponível</v>
      </c>
      <c r="X31" s="235" t="s">
        <v>93</v>
      </c>
    </row>
    <row r="32" spans="2:28" customFormat="1" ht="23.1" customHeight="1" thickBot="1">
      <c r="B32" s="321"/>
      <c r="C32" s="258">
        <v>503</v>
      </c>
      <c r="D32" s="259">
        <f>VLOOKUP($C32,Piloto!$B$67:$H$163,6,0)</f>
        <v>172.96</v>
      </c>
      <c r="E32" s="259">
        <v>167.83</v>
      </c>
      <c r="F32" s="259">
        <v>0</v>
      </c>
      <c r="G32" s="260" t="s">
        <v>97</v>
      </c>
      <c r="H32" s="261" t="s">
        <v>98</v>
      </c>
      <c r="I32" s="262" t="s">
        <v>99</v>
      </c>
      <c r="J32" s="261">
        <v>5.13</v>
      </c>
      <c r="K32" s="263">
        <v>0</v>
      </c>
      <c r="L32" s="264">
        <v>0</v>
      </c>
      <c r="M32" s="40">
        <f>VLOOKUP($C32,Piloto!$B$67:$H$163,7,0)</f>
        <v>9556.9611470860309</v>
      </c>
      <c r="N32" s="284">
        <f t="shared" si="1"/>
        <v>1652972</v>
      </c>
      <c r="O32" s="285">
        <f t="shared" si="2"/>
        <v>66118.880000000005</v>
      </c>
      <c r="P32" s="285">
        <f t="shared" si="3"/>
        <v>33059.440000000002</v>
      </c>
      <c r="Q32" s="285">
        <f t="shared" si="8"/>
        <v>9641.7856759999995</v>
      </c>
      <c r="R32" s="285">
        <f t="shared" si="4"/>
        <v>56407.669500000004</v>
      </c>
      <c r="S32" s="285">
        <f t="shared" si="5"/>
        <v>49589.159999999996</v>
      </c>
      <c r="T32" s="286">
        <f t="shared" si="6"/>
        <v>671919.89422399993</v>
      </c>
      <c r="U32" s="281"/>
      <c r="V32" s="282">
        <f t="shared" si="7"/>
        <v>981052.10577599984</v>
      </c>
      <c r="W32" t="str">
        <f>VLOOKUP($C32,Piloto!$B$69:$E$163,4,0)</f>
        <v>Disponível</v>
      </c>
      <c r="X32" s="43" t="s">
        <v>86</v>
      </c>
    </row>
    <row r="33" spans="2:24" ht="24.95" thickBot="1">
      <c r="B33" s="320"/>
      <c r="C33" s="258">
        <v>601</v>
      </c>
      <c r="D33" s="259">
        <f>VLOOKUP($C33,Piloto!$B$67:$H$163,6,0)</f>
        <v>247.58</v>
      </c>
      <c r="E33" s="259">
        <v>235.67</v>
      </c>
      <c r="F33" s="259">
        <v>0</v>
      </c>
      <c r="G33" s="260" t="s">
        <v>100</v>
      </c>
      <c r="H33" s="261" t="s">
        <v>95</v>
      </c>
      <c r="I33" s="262" t="s">
        <v>101</v>
      </c>
      <c r="J33" s="261">
        <v>6.33</v>
      </c>
      <c r="K33" s="263">
        <v>1</v>
      </c>
      <c r="L33" s="264">
        <v>5.58</v>
      </c>
      <c r="M33" s="40">
        <f>VLOOKUP($C33,Piloto!$B$67:$H$163,7,0)</f>
        <v>9616.3219969302845</v>
      </c>
      <c r="N33" s="284">
        <f t="shared" si="1"/>
        <v>2380809</v>
      </c>
      <c r="O33" s="285">
        <f t="shared" si="2"/>
        <v>95232.36</v>
      </c>
      <c r="P33" s="285">
        <f t="shared" si="3"/>
        <v>47616.18</v>
      </c>
      <c r="Q33" s="285">
        <f t="shared" si="8"/>
        <v>13887.258897</v>
      </c>
      <c r="R33" s="285">
        <f t="shared" si="4"/>
        <v>81245.10712500001</v>
      </c>
      <c r="S33" s="285">
        <f t="shared" si="5"/>
        <v>71424.27</v>
      </c>
      <c r="T33" s="286">
        <f t="shared" si="6"/>
        <v>967779.81202800013</v>
      </c>
      <c r="U33" s="281"/>
      <c r="V33" s="282">
        <f t="shared" si="7"/>
        <v>1413029.1879719999</v>
      </c>
      <c r="W33" s="235" t="str">
        <f>VLOOKUP($C33,Piloto!$B$69:$E$163,4,0)</f>
        <v>Disponível</v>
      </c>
      <c r="X33" s="283" t="s">
        <v>82</v>
      </c>
    </row>
    <row r="34" spans="2:24" ht="24.95" thickBot="1">
      <c r="B34" s="320"/>
      <c r="C34" s="258">
        <v>602</v>
      </c>
      <c r="D34" s="259">
        <f>VLOOKUP($C34,Piloto!$B$67:$H$163,6,0)</f>
        <v>221.89000000000001</v>
      </c>
      <c r="E34" s="259">
        <v>204.15</v>
      </c>
      <c r="F34" s="259">
        <v>0</v>
      </c>
      <c r="G34" s="260" t="s">
        <v>102</v>
      </c>
      <c r="H34" s="261" t="s">
        <v>103</v>
      </c>
      <c r="I34" s="262" t="s">
        <v>104</v>
      </c>
      <c r="J34" s="261">
        <v>13.12</v>
      </c>
      <c r="K34" s="263">
        <v>2</v>
      </c>
      <c r="L34" s="264">
        <v>4.62</v>
      </c>
      <c r="M34" s="40">
        <f>VLOOKUP($C34,Piloto!$B$67:$H$163,7,0)</f>
        <v>9616.3188967506412</v>
      </c>
      <c r="N34" s="284">
        <f t="shared" si="1"/>
        <v>2133765</v>
      </c>
      <c r="O34" s="285">
        <f t="shared" si="2"/>
        <v>85350.6</v>
      </c>
      <c r="P34" s="285">
        <f t="shared" si="3"/>
        <v>42675.3</v>
      </c>
      <c r="Q34" s="285">
        <f t="shared" si="8"/>
        <v>12446.251244999999</v>
      </c>
      <c r="R34" s="285">
        <f t="shared" si="4"/>
        <v>72814.730625000011</v>
      </c>
      <c r="S34" s="285">
        <f t="shared" si="5"/>
        <v>64012.95</v>
      </c>
      <c r="T34" s="286">
        <f t="shared" si="6"/>
        <v>867358.4023800001</v>
      </c>
      <c r="U34" s="281"/>
      <c r="V34" s="282">
        <f t="shared" si="7"/>
        <v>1266406.5976199999</v>
      </c>
      <c r="W34" s="235" t="str">
        <f>VLOOKUP($C34,Piloto!$B$69:$E$163,4,0)</f>
        <v>Disponível</v>
      </c>
      <c r="X34" s="283" t="s">
        <v>105</v>
      </c>
    </row>
    <row r="35" spans="2:24" ht="24.95" hidden="1" thickBot="1">
      <c r="B35" s="320"/>
      <c r="C35" s="258">
        <v>603</v>
      </c>
      <c r="D35" s="259">
        <f>VLOOKUP($C35,Piloto!$B$67:$H$163,6,0)</f>
        <v>169.96</v>
      </c>
      <c r="E35" s="259">
        <v>165.19</v>
      </c>
      <c r="F35" s="259">
        <v>0</v>
      </c>
      <c r="G35" s="260" t="s">
        <v>106</v>
      </c>
      <c r="H35" s="261" t="s">
        <v>107</v>
      </c>
      <c r="I35" s="262" t="s">
        <v>108</v>
      </c>
      <c r="J35" s="261">
        <v>4.7699999999999996</v>
      </c>
      <c r="K35" s="263">
        <v>0</v>
      </c>
      <c r="L35" s="264">
        <v>0</v>
      </c>
      <c r="M35" s="40">
        <f>VLOOKUP($C35,Piloto!$B$67:$H$163,7,0)</f>
        <v>9230.7601788656157</v>
      </c>
      <c r="N35" s="284">
        <f t="shared" si="1"/>
        <v>1568860</v>
      </c>
      <c r="O35" s="285">
        <f t="shared" si="2"/>
        <v>62754.400000000001</v>
      </c>
      <c r="P35" s="285">
        <f t="shared" si="3"/>
        <v>31377.200000000001</v>
      </c>
      <c r="Q35" s="285">
        <f t="shared" si="8"/>
        <v>9151.1603799999993</v>
      </c>
      <c r="R35" s="285">
        <f t="shared" si="4"/>
        <v>53537.347500000003</v>
      </c>
      <c r="S35" s="285">
        <f t="shared" si="5"/>
        <v>47065.799999999996</v>
      </c>
      <c r="T35" s="286">
        <f t="shared" si="6"/>
        <v>637729.03911999997</v>
      </c>
      <c r="U35" s="281"/>
      <c r="V35" s="282">
        <f t="shared" si="7"/>
        <v>931130.96087999991</v>
      </c>
      <c r="W35" s="235" t="str">
        <f>VLOOKUP($C35,Piloto!$B$69:$E$163,4,0)</f>
        <v>CONTRATO</v>
      </c>
      <c r="X35" s="283" t="s">
        <v>82</v>
      </c>
    </row>
    <row r="36" spans="2:24" ht="24.95" thickBot="1">
      <c r="B36" s="320"/>
      <c r="C36" s="258">
        <v>701</v>
      </c>
      <c r="D36" s="259">
        <f>VLOOKUP($C36,Piloto!$B$67:$H$163,6,0)</f>
        <v>247.69</v>
      </c>
      <c r="E36" s="259">
        <v>237.67</v>
      </c>
      <c r="F36" s="259">
        <v>0</v>
      </c>
      <c r="G36" s="260" t="s">
        <v>109</v>
      </c>
      <c r="H36" s="261" t="s">
        <v>110</v>
      </c>
      <c r="I36" s="262" t="s">
        <v>111</v>
      </c>
      <c r="J36" s="261">
        <v>4.4400000000000004</v>
      </c>
      <c r="K36" s="263">
        <v>1</v>
      </c>
      <c r="L36" s="264">
        <v>5.58</v>
      </c>
      <c r="M36" s="40">
        <f>VLOOKUP($C36,Piloto!$B$67:$H$163,7,0)</f>
        <v>9675.6792765149985</v>
      </c>
      <c r="N36" s="284">
        <f t="shared" si="1"/>
        <v>2396569</v>
      </c>
      <c r="O36" s="285">
        <f t="shared" si="2"/>
        <v>95862.76</v>
      </c>
      <c r="P36" s="285">
        <f t="shared" si="3"/>
        <v>47931.38</v>
      </c>
      <c r="Q36" s="285">
        <f t="shared" si="8"/>
        <v>13979.186976999999</v>
      </c>
      <c r="R36" s="285">
        <f t="shared" si="4"/>
        <v>81782.917125000007</v>
      </c>
      <c r="S36" s="285">
        <f t="shared" si="5"/>
        <v>71897.069999999992</v>
      </c>
      <c r="T36" s="286">
        <f t="shared" si="6"/>
        <v>974186.125948</v>
      </c>
      <c r="U36" s="281"/>
      <c r="V36" s="282">
        <f t="shared" si="7"/>
        <v>1422382.8740519998</v>
      </c>
      <c r="W36" s="235" t="str">
        <f>VLOOKUP($C36,Piloto!$B$69:$E$163,4,0)</f>
        <v>Disponível</v>
      </c>
      <c r="X36" s="283" t="s">
        <v>86</v>
      </c>
    </row>
    <row r="37" spans="2:24" ht="24.95" thickBot="1">
      <c r="B37" s="320"/>
      <c r="C37" s="258">
        <v>702</v>
      </c>
      <c r="D37" s="259">
        <f>VLOOKUP($C37,Piloto!$B$67:$H$163,6,0)</f>
        <v>215.42000000000002</v>
      </c>
      <c r="E37" s="259">
        <v>205.99</v>
      </c>
      <c r="F37" s="259">
        <v>0</v>
      </c>
      <c r="G37" s="260" t="s">
        <v>112</v>
      </c>
      <c r="H37" s="261" t="s">
        <v>103</v>
      </c>
      <c r="I37" s="262" t="s">
        <v>113</v>
      </c>
      <c r="J37" s="261">
        <v>4.8099999999999996</v>
      </c>
      <c r="K37" s="263">
        <v>2</v>
      </c>
      <c r="L37" s="264">
        <v>4.62</v>
      </c>
      <c r="M37" s="40">
        <f>VLOOKUP($C37,Piloto!$B$67:$H$163,7,0)</f>
        <v>9675.6800668461601</v>
      </c>
      <c r="N37" s="284">
        <f t="shared" si="1"/>
        <v>2084335</v>
      </c>
      <c r="O37" s="285">
        <f t="shared" si="2"/>
        <v>83373.400000000009</v>
      </c>
      <c r="P37" s="285">
        <f t="shared" si="3"/>
        <v>41686.700000000004</v>
      </c>
      <c r="Q37" s="285">
        <f t="shared" si="8"/>
        <v>12157.926055</v>
      </c>
      <c r="R37" s="285">
        <f t="shared" si="4"/>
        <v>71127.931875000009</v>
      </c>
      <c r="S37" s="285">
        <f t="shared" si="5"/>
        <v>62530.049999999996</v>
      </c>
      <c r="T37" s="286">
        <f t="shared" si="6"/>
        <v>847265.50282000005</v>
      </c>
      <c r="U37" s="281"/>
      <c r="V37" s="282">
        <f t="shared" si="7"/>
        <v>1237069.4971799999</v>
      </c>
      <c r="W37" s="235" t="str">
        <f>VLOOKUP($C37,Piloto!$B$69:$E$163,4,0)</f>
        <v>Disponível</v>
      </c>
      <c r="X37" s="283" t="s">
        <v>82</v>
      </c>
    </row>
    <row r="38" spans="2:24" customFormat="1" ht="18.95" hidden="1" thickBot="1">
      <c r="B38" s="321"/>
      <c r="C38" s="44">
        <v>703</v>
      </c>
      <c r="D38" s="53">
        <f>VLOOKUP($C38,Piloto!$B$67:$H$163,6,0)</f>
        <v>173.37</v>
      </c>
      <c r="E38" s="53">
        <v>167.83</v>
      </c>
      <c r="F38" s="53">
        <v>0</v>
      </c>
      <c r="G38" s="54" t="s">
        <v>114</v>
      </c>
      <c r="H38" s="55" t="s">
        <v>107</v>
      </c>
      <c r="I38" s="56" t="s">
        <v>115</v>
      </c>
      <c r="J38" s="55">
        <v>5.54</v>
      </c>
      <c r="K38" s="57">
        <v>0</v>
      </c>
      <c r="L38" s="58">
        <v>0</v>
      </c>
      <c r="M38" s="40">
        <f>VLOOKUP($C38,Piloto!$B$67:$H$163,7,0)</f>
        <v>9202.9820614869932</v>
      </c>
      <c r="N38" s="47">
        <f t="shared" si="1"/>
        <v>1595521</v>
      </c>
      <c r="O38" s="48">
        <f t="shared" si="2"/>
        <v>63820.840000000004</v>
      </c>
      <c r="P38" s="48">
        <f t="shared" si="3"/>
        <v>31910.420000000002</v>
      </c>
      <c r="Q38" s="48">
        <f t="shared" si="8"/>
        <v>9306.6739930000003</v>
      </c>
      <c r="R38" s="48">
        <f t="shared" si="4"/>
        <v>54447.154125000001</v>
      </c>
      <c r="S38" s="48">
        <f t="shared" si="5"/>
        <v>47865.63</v>
      </c>
      <c r="T38" s="49">
        <f t="shared" si="6"/>
        <v>648566.52233199996</v>
      </c>
      <c r="U38" s="41"/>
      <c r="V38" s="42">
        <f t="shared" si="7"/>
        <v>946954.47766799992</v>
      </c>
      <c r="W38" t="str">
        <f>VLOOKUP($C38,Piloto!$B$69:$E$163,4,0)</f>
        <v>CONTRATO</v>
      </c>
      <c r="X38" s="43" t="s">
        <v>86</v>
      </c>
    </row>
    <row r="39" spans="2:24" ht="24.95" thickBot="1">
      <c r="B39" s="320"/>
      <c r="C39" s="258">
        <v>801</v>
      </c>
      <c r="D39" s="259">
        <f>VLOOKUP($C39,Piloto!$B$67:$H$163,6,0)</f>
        <v>248.54</v>
      </c>
      <c r="E39" s="259">
        <v>235.67</v>
      </c>
      <c r="F39" s="259">
        <v>0</v>
      </c>
      <c r="G39" s="260" t="s">
        <v>116</v>
      </c>
      <c r="H39" s="261" t="s">
        <v>117</v>
      </c>
      <c r="I39" s="262" t="s">
        <v>118</v>
      </c>
      <c r="J39" s="261">
        <v>7.29</v>
      </c>
      <c r="K39" s="263">
        <v>1</v>
      </c>
      <c r="L39" s="264">
        <v>5.58</v>
      </c>
      <c r="M39" s="40">
        <f>VLOOKUP($C39,Piloto!$B$67:$H$163,7,0)</f>
        <v>9735.0406373219612</v>
      </c>
      <c r="N39" s="284">
        <f t="shared" si="1"/>
        <v>2419547</v>
      </c>
      <c r="O39" s="285">
        <f t="shared" si="2"/>
        <v>96781.88</v>
      </c>
      <c r="P39" s="285">
        <f t="shared" si="3"/>
        <v>48390.94</v>
      </c>
      <c r="Q39" s="285">
        <f t="shared" si="8"/>
        <v>14113.217650999999</v>
      </c>
      <c r="R39" s="285">
        <f t="shared" si="4"/>
        <v>82567.041375000001</v>
      </c>
      <c r="S39" s="285">
        <f t="shared" si="5"/>
        <v>72586.41</v>
      </c>
      <c r="T39" s="286">
        <f t="shared" si="6"/>
        <v>983526.49912400008</v>
      </c>
      <c r="U39" s="281"/>
      <c r="V39" s="282">
        <f t="shared" si="7"/>
        <v>1436020.5008759999</v>
      </c>
      <c r="W39" s="235" t="str">
        <f>VLOOKUP($C39,Piloto!$B$69:$E$163,4,0)</f>
        <v>Disponível</v>
      </c>
      <c r="X39" s="283" t="s">
        <v>86</v>
      </c>
    </row>
    <row r="40" spans="2:24" ht="24.95" thickBot="1">
      <c r="B40" s="320"/>
      <c r="C40" s="258">
        <v>802</v>
      </c>
      <c r="D40" s="259">
        <f>VLOOKUP($C40,Piloto!$B$67:$H$163,6,0)</f>
        <v>221.89000000000001</v>
      </c>
      <c r="E40" s="259">
        <v>204.15</v>
      </c>
      <c r="F40" s="259">
        <v>0</v>
      </c>
      <c r="G40" s="260" t="s">
        <v>119</v>
      </c>
      <c r="H40" s="261" t="s">
        <v>117</v>
      </c>
      <c r="I40" s="262" t="s">
        <v>120</v>
      </c>
      <c r="J40" s="261">
        <v>13.12</v>
      </c>
      <c r="K40" s="263">
        <v>2</v>
      </c>
      <c r="L40" s="264">
        <v>4.62</v>
      </c>
      <c r="M40" s="40">
        <f>VLOOKUP($C40,Piloto!$B$67:$H$163,7,0)</f>
        <v>9735.0398846275166</v>
      </c>
      <c r="N40" s="284">
        <f t="shared" si="1"/>
        <v>2160108</v>
      </c>
      <c r="O40" s="285">
        <f t="shared" si="2"/>
        <v>86404.32</v>
      </c>
      <c r="P40" s="285">
        <f t="shared" si="3"/>
        <v>43202.16</v>
      </c>
      <c r="Q40" s="285">
        <f t="shared" si="8"/>
        <v>12599.909963999999</v>
      </c>
      <c r="R40" s="285">
        <f t="shared" si="4"/>
        <v>73713.685500000007</v>
      </c>
      <c r="S40" s="285">
        <f t="shared" si="5"/>
        <v>64803.24</v>
      </c>
      <c r="T40" s="286">
        <f t="shared" si="6"/>
        <v>878066.62113599991</v>
      </c>
      <c r="U40" s="281"/>
      <c r="V40" s="282">
        <f t="shared" si="7"/>
        <v>1282041.3788639999</v>
      </c>
      <c r="W40" s="235" t="str">
        <f>VLOOKUP($C40,Piloto!$B$69:$E$163,4,0)</f>
        <v>Disponível</v>
      </c>
      <c r="X40" s="235" t="s">
        <v>93</v>
      </c>
    </row>
    <row r="41" spans="2:24" ht="24.95" thickBot="1">
      <c r="B41" s="320"/>
      <c r="C41" s="258">
        <v>803</v>
      </c>
      <c r="D41" s="259">
        <f>VLOOKUP($C41,Piloto!$B$67:$H$163,6,0)</f>
        <v>169.96</v>
      </c>
      <c r="E41" s="259">
        <v>165.19</v>
      </c>
      <c r="F41" s="259">
        <v>0</v>
      </c>
      <c r="G41" s="260" t="s">
        <v>121</v>
      </c>
      <c r="H41" s="261" t="s">
        <v>122</v>
      </c>
      <c r="I41" s="262" t="s">
        <v>123</v>
      </c>
      <c r="J41" s="261">
        <v>4.7699999999999996</v>
      </c>
      <c r="K41" s="263">
        <v>0</v>
      </c>
      <c r="L41" s="264">
        <v>0</v>
      </c>
      <c r="M41" s="40">
        <f>VLOOKUP($C41,Piloto!$B$67:$H$163,7,0)</f>
        <v>9735.037655919039</v>
      </c>
      <c r="N41" s="284">
        <f>ROUND(((D41*M41)),0)</f>
        <v>1654567</v>
      </c>
      <c r="O41" s="285">
        <f t="shared" si="2"/>
        <v>66182.680000000008</v>
      </c>
      <c r="P41" s="285">
        <f t="shared" si="3"/>
        <v>33091.340000000004</v>
      </c>
      <c r="Q41" s="285">
        <f t="shared" si="8"/>
        <v>9651.0893109999997</v>
      </c>
      <c r="R41" s="285">
        <f t="shared" si="4"/>
        <v>56462.098875000003</v>
      </c>
      <c r="S41" s="285">
        <f t="shared" si="5"/>
        <v>49637.009999999995</v>
      </c>
      <c r="T41" s="286">
        <f t="shared" si="6"/>
        <v>672568.24896400003</v>
      </c>
      <c r="U41" s="281"/>
      <c r="V41" s="282">
        <f t="shared" si="7"/>
        <v>981998.75103599986</v>
      </c>
      <c r="W41" s="235" t="str">
        <f>VLOOKUP($C41,Piloto!$B$69:$E$163,4,0)</f>
        <v>Disponível</v>
      </c>
      <c r="X41" s="235" t="s">
        <v>93</v>
      </c>
    </row>
    <row r="42" spans="2:24" ht="24.95" thickBot="1">
      <c r="B42" s="320"/>
      <c r="C42" s="258">
        <v>901</v>
      </c>
      <c r="D42" s="259">
        <f>VLOOKUP($C42,Piloto!$B$67:$H$163,6,0)</f>
        <v>248.35</v>
      </c>
      <c r="E42" s="259">
        <v>237.67</v>
      </c>
      <c r="F42" s="259">
        <v>0</v>
      </c>
      <c r="G42" s="260" t="s">
        <v>124</v>
      </c>
      <c r="H42" s="261" t="s">
        <v>117</v>
      </c>
      <c r="I42" s="262" t="s">
        <v>125</v>
      </c>
      <c r="J42" s="261">
        <v>5.0999999999999996</v>
      </c>
      <c r="K42" s="263">
        <v>1</v>
      </c>
      <c r="L42" s="264">
        <v>5.58</v>
      </c>
      <c r="M42" s="40">
        <f>VLOOKUP($C42,Piloto!$B$67:$H$163,7,0)</f>
        <v>9794.3990336219049</v>
      </c>
      <c r="N42" s="284">
        <f t="shared" si="1"/>
        <v>2432439</v>
      </c>
      <c r="O42" s="285">
        <f t="shared" si="2"/>
        <v>97297.56</v>
      </c>
      <c r="P42" s="285">
        <f t="shared" si="3"/>
        <v>48648.78</v>
      </c>
      <c r="Q42" s="285">
        <f t="shared" si="8"/>
        <v>14188.416686999999</v>
      </c>
      <c r="R42" s="285">
        <f t="shared" si="4"/>
        <v>83006.980875000008</v>
      </c>
      <c r="S42" s="285">
        <f t="shared" si="5"/>
        <v>72973.17</v>
      </c>
      <c r="T42" s="286">
        <f t="shared" si="6"/>
        <v>988766.99398800009</v>
      </c>
      <c r="U42" s="281"/>
      <c r="V42" s="282">
        <f t="shared" si="7"/>
        <v>1443672.0060119999</v>
      </c>
      <c r="W42" s="235" t="str">
        <f>VLOOKUP($C42,Piloto!$B$69:$E$163,4,0)</f>
        <v>Disponível</v>
      </c>
      <c r="X42" s="283" t="s">
        <v>82</v>
      </c>
    </row>
    <row r="43" spans="2:24" ht="24.95" thickBot="1">
      <c r="B43" s="320"/>
      <c r="C43" s="258">
        <v>902</v>
      </c>
      <c r="D43" s="259">
        <f>VLOOKUP($C43,Piloto!$B$67:$H$163,6,0)</f>
        <v>215.13000000000002</v>
      </c>
      <c r="E43" s="259">
        <v>205.99</v>
      </c>
      <c r="F43" s="259">
        <v>0</v>
      </c>
      <c r="G43" s="260" t="s">
        <v>126</v>
      </c>
      <c r="H43" s="261" t="s">
        <v>117</v>
      </c>
      <c r="I43" s="262" t="s">
        <v>127</v>
      </c>
      <c r="J43" s="261">
        <v>4.5199999999999996</v>
      </c>
      <c r="K43" s="263">
        <v>2</v>
      </c>
      <c r="L43" s="264">
        <v>4.62</v>
      </c>
      <c r="M43" s="40">
        <f>VLOOKUP($C43,Piloto!$B$67:$H$163,7,0)</f>
        <v>9794.3987356482121</v>
      </c>
      <c r="N43" s="284">
        <f t="shared" si="1"/>
        <v>2107069</v>
      </c>
      <c r="O43" s="285">
        <f t="shared" si="2"/>
        <v>84282.76</v>
      </c>
      <c r="P43" s="285">
        <f t="shared" si="3"/>
        <v>42141.38</v>
      </c>
      <c r="Q43" s="285">
        <f t="shared" si="8"/>
        <v>12290.533476999999</v>
      </c>
      <c r="R43" s="285">
        <f t="shared" si="4"/>
        <v>71903.729625000007</v>
      </c>
      <c r="S43" s="285">
        <f t="shared" si="5"/>
        <v>63212.07</v>
      </c>
      <c r="T43" s="286">
        <f t="shared" si="6"/>
        <v>856506.69194799999</v>
      </c>
      <c r="U43" s="281"/>
      <c r="V43" s="282">
        <f t="shared" si="7"/>
        <v>1250562.3080519999</v>
      </c>
      <c r="W43" s="235" t="str">
        <f>VLOOKUP($C43,Piloto!$B$69:$E$163,4,0)</f>
        <v>Disponível</v>
      </c>
      <c r="X43" s="283" t="s">
        <v>105</v>
      </c>
    </row>
    <row r="44" spans="2:24" ht="24.95" hidden="1" thickBot="1">
      <c r="B44" s="320"/>
      <c r="C44" s="258">
        <v>903</v>
      </c>
      <c r="D44" s="259">
        <f>VLOOKUP($C44,Piloto!$B$67:$H$163,6,0)</f>
        <v>176.32000000000002</v>
      </c>
      <c r="E44" s="259">
        <v>167.83</v>
      </c>
      <c r="F44" s="259">
        <v>0</v>
      </c>
      <c r="G44" s="260" t="s">
        <v>128</v>
      </c>
      <c r="H44" s="261" t="s">
        <v>122</v>
      </c>
      <c r="I44" s="262" t="s">
        <v>129</v>
      </c>
      <c r="J44" s="261">
        <v>8.49</v>
      </c>
      <c r="K44" s="263">
        <v>0</v>
      </c>
      <c r="L44" s="264">
        <v>0</v>
      </c>
      <c r="M44" s="40">
        <f>VLOOKUP($C44,Piloto!$B$67:$H$163,7,0)</f>
        <v>9659.102767695098</v>
      </c>
      <c r="N44" s="284">
        <f t="shared" si="1"/>
        <v>1703093</v>
      </c>
      <c r="O44" s="285">
        <f t="shared" si="2"/>
        <v>68123.72</v>
      </c>
      <c r="P44" s="285">
        <f t="shared" si="3"/>
        <v>34061.86</v>
      </c>
      <c r="Q44" s="285">
        <f t="shared" si="8"/>
        <v>9934.1414690000001</v>
      </c>
      <c r="R44" s="285">
        <f t="shared" si="4"/>
        <v>58118.048625000003</v>
      </c>
      <c r="S44" s="285">
        <f t="shared" si="5"/>
        <v>51092.79</v>
      </c>
      <c r="T44" s="286">
        <f t="shared" si="6"/>
        <v>692293.67975599994</v>
      </c>
      <c r="U44" s="281"/>
      <c r="V44" s="282">
        <f t="shared" si="7"/>
        <v>1010799.3202439998</v>
      </c>
      <c r="W44" s="235" t="str">
        <f>VLOOKUP($C44,Piloto!$B$69:$E$163,4,0)</f>
        <v>CONTRATO</v>
      </c>
      <c r="X44" s="283" t="s">
        <v>82</v>
      </c>
    </row>
    <row r="45" spans="2:24" ht="24.95" thickBot="1">
      <c r="B45" s="320"/>
      <c r="C45" s="258">
        <v>1001</v>
      </c>
      <c r="D45" s="259">
        <f>VLOOKUP($C45,Piloto!$B$67:$H$163,6,0)</f>
        <v>246.39</v>
      </c>
      <c r="E45" s="259">
        <v>235.67</v>
      </c>
      <c r="F45" s="259">
        <v>0</v>
      </c>
      <c r="G45" s="260" t="s">
        <v>130</v>
      </c>
      <c r="H45" s="261" t="s">
        <v>117</v>
      </c>
      <c r="I45" s="262" t="s">
        <v>131</v>
      </c>
      <c r="J45" s="261">
        <v>5.14</v>
      </c>
      <c r="K45" s="263">
        <v>1</v>
      </c>
      <c r="L45" s="264">
        <v>5.58</v>
      </c>
      <c r="M45" s="40">
        <f>VLOOKUP($C45,Piloto!$B$67:$H$163,7,0)</f>
        <v>9852.5711270749634</v>
      </c>
      <c r="N45" s="284">
        <f t="shared" si="1"/>
        <v>2427575</v>
      </c>
      <c r="O45" s="285">
        <f t="shared" si="2"/>
        <v>97103</v>
      </c>
      <c r="P45" s="285">
        <f t="shared" si="3"/>
        <v>48551.5</v>
      </c>
      <c r="Q45" s="285">
        <f t="shared" si="8"/>
        <v>14160.044974999999</v>
      </c>
      <c r="R45" s="285">
        <f t="shared" si="4"/>
        <v>82840.996875000012</v>
      </c>
      <c r="S45" s="285">
        <f t="shared" si="5"/>
        <v>72827.25</v>
      </c>
      <c r="T45" s="286">
        <f t="shared" si="6"/>
        <v>986789.81689999998</v>
      </c>
      <c r="U45" s="281"/>
      <c r="V45" s="282">
        <f t="shared" si="7"/>
        <v>1440785.1830999998</v>
      </c>
      <c r="W45" s="235" t="str">
        <f>VLOOKUP($C45,Piloto!$B$69:$E$163,4,0)</f>
        <v>Disponível</v>
      </c>
      <c r="X45" s="283" t="s">
        <v>82</v>
      </c>
    </row>
    <row r="46" spans="2:24" customFormat="1" ht="18.95" hidden="1" thickBot="1">
      <c r="B46" s="321"/>
      <c r="C46" s="44">
        <v>1002</v>
      </c>
      <c r="D46" s="53">
        <f>VLOOKUP($C46,Piloto!$B$67:$H$163,6,0)</f>
        <v>213.78</v>
      </c>
      <c r="E46" s="53">
        <v>204.15</v>
      </c>
      <c r="F46" s="53">
        <v>0</v>
      </c>
      <c r="G46" s="54" t="s">
        <v>132</v>
      </c>
      <c r="H46" s="55" t="s">
        <v>117</v>
      </c>
      <c r="I46" s="56" t="s">
        <v>133</v>
      </c>
      <c r="J46" s="55">
        <v>5.01</v>
      </c>
      <c r="K46" s="57">
        <v>2</v>
      </c>
      <c r="L46" s="58">
        <v>4.62</v>
      </c>
      <c r="M46" s="40">
        <f>VLOOKUP($C46,Piloto!$B$67:$H$163,7,0)</f>
        <v>9371.2321077743472</v>
      </c>
      <c r="N46" s="47">
        <f t="shared" si="1"/>
        <v>2003382</v>
      </c>
      <c r="O46" s="48">
        <f t="shared" si="2"/>
        <v>80135.28</v>
      </c>
      <c r="P46" s="48">
        <f t="shared" si="3"/>
        <v>40067.64</v>
      </c>
      <c r="Q46" s="48">
        <f t="shared" si="8"/>
        <v>11685.727206</v>
      </c>
      <c r="R46" s="48">
        <f t="shared" si="4"/>
        <v>68365.41075000001</v>
      </c>
      <c r="S46" s="48">
        <f t="shared" si="5"/>
        <v>60101.46</v>
      </c>
      <c r="T46" s="49">
        <f t="shared" si="6"/>
        <v>814358.75594400009</v>
      </c>
      <c r="U46" s="41"/>
      <c r="V46" s="42">
        <f t="shared" si="7"/>
        <v>1189023.2440559999</v>
      </c>
      <c r="W46" t="str">
        <f>VLOOKUP($C46,Piloto!$B$69:$E$163,4,0)</f>
        <v>Fora de Venda</v>
      </c>
      <c r="X46" s="43" t="s">
        <v>86</v>
      </c>
    </row>
    <row r="47" spans="2:24" ht="24.95" thickBot="1">
      <c r="B47" s="320"/>
      <c r="C47" s="258">
        <v>1003</v>
      </c>
      <c r="D47" s="259">
        <f>VLOOKUP($C47,Piloto!$B$67:$H$163,6,0)</f>
        <v>170.76</v>
      </c>
      <c r="E47" s="259">
        <v>165.19</v>
      </c>
      <c r="F47" s="259">
        <v>0</v>
      </c>
      <c r="G47" s="260" t="s">
        <v>134</v>
      </c>
      <c r="H47" s="261" t="s">
        <v>122</v>
      </c>
      <c r="I47" s="262" t="s">
        <v>135</v>
      </c>
      <c r="J47" s="261">
        <v>5.57</v>
      </c>
      <c r="K47" s="263">
        <v>0</v>
      </c>
      <c r="L47" s="264">
        <v>0</v>
      </c>
      <c r="M47" s="40">
        <f>VLOOKUP($C47,Piloto!$B$67:$H$163,7,0)</f>
        <v>9852.5708596861095</v>
      </c>
      <c r="N47" s="284">
        <f t="shared" si="1"/>
        <v>1682425</v>
      </c>
      <c r="O47" s="285">
        <f t="shared" si="2"/>
        <v>67297</v>
      </c>
      <c r="P47" s="285">
        <f t="shared" si="3"/>
        <v>33648.5</v>
      </c>
      <c r="Q47" s="285">
        <f t="shared" si="8"/>
        <v>9813.5850249999985</v>
      </c>
      <c r="R47" s="285">
        <f t="shared" si="4"/>
        <v>57412.753125000003</v>
      </c>
      <c r="S47" s="285">
        <f t="shared" si="5"/>
        <v>50472.75</v>
      </c>
      <c r="T47" s="286">
        <f t="shared" si="6"/>
        <v>683892.3030999999</v>
      </c>
      <c r="U47" s="281"/>
      <c r="V47" s="282">
        <f t="shared" si="7"/>
        <v>998532.69689999986</v>
      </c>
      <c r="W47" s="235" t="str">
        <f>VLOOKUP($C47,Piloto!$B$69:$E$163,4,0)</f>
        <v>Disponível</v>
      </c>
      <c r="X47" s="283" t="s">
        <v>86</v>
      </c>
    </row>
    <row r="48" spans="2:24" ht="24.95" hidden="1" thickBot="1">
      <c r="B48" s="320"/>
      <c r="C48" s="258">
        <v>1101</v>
      </c>
      <c r="D48" s="259">
        <f>VLOOKUP($C48,Piloto!$B$67:$H$163,6,0)</f>
        <v>251.49</v>
      </c>
      <c r="E48" s="259">
        <v>237.67</v>
      </c>
      <c r="F48" s="259">
        <v>0</v>
      </c>
      <c r="G48" s="260" t="s">
        <v>136</v>
      </c>
      <c r="H48" s="261" t="s">
        <v>117</v>
      </c>
      <c r="I48" s="262" t="s">
        <v>137</v>
      </c>
      <c r="J48" s="261">
        <v>8.24</v>
      </c>
      <c r="K48" s="263">
        <v>1</v>
      </c>
      <c r="L48" s="264">
        <v>5.58</v>
      </c>
      <c r="M48" s="40">
        <f>VLOOKUP($C48,Piloto!$B$67:$H$163,7,0)</f>
        <v>9799.4592230307371</v>
      </c>
      <c r="N48" s="284">
        <f t="shared" si="1"/>
        <v>2464466</v>
      </c>
      <c r="O48" s="285">
        <f t="shared" si="2"/>
        <v>98578.64</v>
      </c>
      <c r="P48" s="285">
        <f t="shared" si="3"/>
        <v>49289.32</v>
      </c>
      <c r="Q48" s="285">
        <f t="shared" si="8"/>
        <v>14375.230178</v>
      </c>
      <c r="R48" s="285">
        <f t="shared" si="4"/>
        <v>84099.902249999999</v>
      </c>
      <c r="S48" s="285">
        <f t="shared" si="5"/>
        <v>73933.98</v>
      </c>
      <c r="T48" s="286">
        <f t="shared" si="6"/>
        <v>1001785.713272</v>
      </c>
      <c r="U48" s="281"/>
      <c r="V48" s="282">
        <f t="shared" si="7"/>
        <v>1462680.2867279998</v>
      </c>
      <c r="W48" s="235" t="str">
        <f>VLOOKUP($C48,Piloto!$B$69:$E$163,4,0)</f>
        <v>CONTRATO</v>
      </c>
      <c r="X48" s="235" t="s">
        <v>93</v>
      </c>
    </row>
    <row r="49" spans="2:24" ht="24.95" thickBot="1">
      <c r="B49" s="320"/>
      <c r="C49" s="258">
        <v>1102</v>
      </c>
      <c r="D49" s="259">
        <f>VLOOKUP($C49,Piloto!$B$67:$H$163,6,0)</f>
        <v>215.20000000000002</v>
      </c>
      <c r="E49" s="259">
        <v>205.99</v>
      </c>
      <c r="F49" s="259">
        <v>0</v>
      </c>
      <c r="G49" s="260" t="s">
        <v>138</v>
      </c>
      <c r="H49" s="261" t="s">
        <v>117</v>
      </c>
      <c r="I49" s="262" t="s">
        <v>139</v>
      </c>
      <c r="J49" s="261">
        <v>4.59</v>
      </c>
      <c r="K49" s="263">
        <v>2</v>
      </c>
      <c r="L49" s="264">
        <v>4.62</v>
      </c>
      <c r="M49" s="40">
        <f>VLOOKUP($C49,Piloto!$B$67:$H$163,7,0)</f>
        <v>9852.5743494423787</v>
      </c>
      <c r="N49" s="284">
        <f t="shared" si="1"/>
        <v>2120274</v>
      </c>
      <c r="O49" s="285">
        <f t="shared" si="2"/>
        <v>84810.96</v>
      </c>
      <c r="P49" s="285">
        <f t="shared" si="3"/>
        <v>42405.48</v>
      </c>
      <c r="Q49" s="285">
        <f t="shared" si="8"/>
        <v>12367.558241999999</v>
      </c>
      <c r="R49" s="285">
        <f t="shared" si="4"/>
        <v>72354.350250000003</v>
      </c>
      <c r="S49" s="285">
        <f t="shared" si="5"/>
        <v>63608.22</v>
      </c>
      <c r="T49" s="286">
        <f t="shared" si="6"/>
        <v>861874.41880800005</v>
      </c>
      <c r="U49" s="281"/>
      <c r="V49" s="282">
        <f t="shared" si="7"/>
        <v>1258399.5811919998</v>
      </c>
      <c r="W49" s="235" t="str">
        <f>VLOOKUP($C49,Piloto!$B$69:$E$163,4,0)</f>
        <v>Disponível</v>
      </c>
      <c r="X49" s="283" t="s">
        <v>86</v>
      </c>
    </row>
    <row r="50" spans="2:24" ht="24.95" thickBot="1">
      <c r="B50" s="320"/>
      <c r="C50" s="258">
        <v>1103</v>
      </c>
      <c r="D50" s="259">
        <f>VLOOKUP($C50,Piloto!$B$67:$H$163,6,0)</f>
        <v>173.31</v>
      </c>
      <c r="E50" s="259">
        <v>167.83</v>
      </c>
      <c r="F50" s="259">
        <v>0</v>
      </c>
      <c r="G50" s="260" t="s">
        <v>140</v>
      </c>
      <c r="H50" s="261" t="s">
        <v>98</v>
      </c>
      <c r="I50" s="262" t="s">
        <v>141</v>
      </c>
      <c r="J50" s="261">
        <v>5.48</v>
      </c>
      <c r="K50" s="263">
        <v>0</v>
      </c>
      <c r="L50" s="264">
        <v>0</v>
      </c>
      <c r="M50" s="40">
        <f>VLOOKUP($C50,Piloto!$B$67:$H$163,7,0)</f>
        <v>9852.5705383416989</v>
      </c>
      <c r="N50" s="284">
        <f t="shared" si="1"/>
        <v>1707549</v>
      </c>
      <c r="O50" s="285">
        <f t="shared" si="2"/>
        <v>68301.960000000006</v>
      </c>
      <c r="P50" s="285">
        <f t="shared" si="3"/>
        <v>34150.980000000003</v>
      </c>
      <c r="Q50" s="285">
        <f t="shared" si="8"/>
        <v>9960.1333169999998</v>
      </c>
      <c r="R50" s="285">
        <f t="shared" si="4"/>
        <v>58270.109625000005</v>
      </c>
      <c r="S50" s="285">
        <f t="shared" si="5"/>
        <v>51226.47</v>
      </c>
      <c r="T50" s="286">
        <f t="shared" si="6"/>
        <v>694105.00810800004</v>
      </c>
      <c r="U50" s="281"/>
      <c r="V50" s="282">
        <f t="shared" si="7"/>
        <v>1013443.9918919998</v>
      </c>
      <c r="W50" s="235" t="str">
        <f>VLOOKUP($C50,Piloto!$B$69:$E$163,4,0)</f>
        <v>Disponível</v>
      </c>
      <c r="X50" s="283" t="s">
        <v>105</v>
      </c>
    </row>
    <row r="51" spans="2:24" ht="24.95" thickBot="1">
      <c r="B51" s="320"/>
      <c r="C51" s="258">
        <v>1201</v>
      </c>
      <c r="D51" s="259">
        <f>VLOOKUP($C51,Piloto!$B$67:$H$163,6,0)</f>
        <v>247.72</v>
      </c>
      <c r="E51" s="259">
        <v>235.67</v>
      </c>
      <c r="F51" s="259">
        <v>0</v>
      </c>
      <c r="G51" s="260" t="s">
        <v>142</v>
      </c>
      <c r="H51" s="261" t="s">
        <v>143</v>
      </c>
      <c r="I51" s="262" t="s">
        <v>144</v>
      </c>
      <c r="J51" s="261">
        <v>6.47</v>
      </c>
      <c r="K51" s="263">
        <v>1</v>
      </c>
      <c r="L51" s="264">
        <v>5.58</v>
      </c>
      <c r="M51" s="40">
        <f>VLOOKUP($C51,Piloto!$B$67:$H$163,7,0)</f>
        <v>9852.5714516389471</v>
      </c>
      <c r="N51" s="284">
        <f t="shared" si="1"/>
        <v>2440679</v>
      </c>
      <c r="O51" s="285">
        <f t="shared" si="2"/>
        <v>97627.16</v>
      </c>
      <c r="P51" s="285">
        <f t="shared" si="3"/>
        <v>48813.58</v>
      </c>
      <c r="Q51" s="285">
        <f t="shared" si="8"/>
        <v>14236.480607</v>
      </c>
      <c r="R51" s="285">
        <f t="shared" si="4"/>
        <v>83288.170875000011</v>
      </c>
      <c r="S51" s="285">
        <f t="shared" si="5"/>
        <v>73220.37</v>
      </c>
      <c r="T51" s="286">
        <f t="shared" si="6"/>
        <v>992116.48806800006</v>
      </c>
      <c r="U51" s="281"/>
      <c r="V51" s="282">
        <f t="shared" si="7"/>
        <v>1448562.5119319998</v>
      </c>
      <c r="W51" s="235" t="str">
        <f>VLOOKUP($C51,Piloto!$B$69:$E$163,4,0)</f>
        <v>Disponível</v>
      </c>
      <c r="X51" s="283" t="s">
        <v>82</v>
      </c>
    </row>
    <row r="52" spans="2:24" ht="24.95" thickBot="1">
      <c r="B52" s="320"/>
      <c r="C52" s="258">
        <v>1202</v>
      </c>
      <c r="D52" s="259">
        <f>VLOOKUP($C52,Piloto!$B$67:$H$163,6,0)</f>
        <v>216.52</v>
      </c>
      <c r="E52" s="259">
        <v>204.15</v>
      </c>
      <c r="F52" s="259">
        <v>0</v>
      </c>
      <c r="G52" s="260" t="s">
        <v>145</v>
      </c>
      <c r="H52" s="261" t="s">
        <v>146</v>
      </c>
      <c r="I52" s="262" t="s">
        <v>147</v>
      </c>
      <c r="J52" s="261">
        <v>7.75</v>
      </c>
      <c r="K52" s="263">
        <v>2</v>
      </c>
      <c r="L52" s="264">
        <v>4.62</v>
      </c>
      <c r="M52" s="40">
        <f>VLOOKUP($C52,Piloto!$B$67:$H$163,7,0)</f>
        <v>9852.5725106225746</v>
      </c>
      <c r="N52" s="284">
        <f t="shared" si="1"/>
        <v>2133279</v>
      </c>
      <c r="O52" s="285">
        <f t="shared" si="2"/>
        <v>85331.16</v>
      </c>
      <c r="P52" s="285">
        <f t="shared" si="3"/>
        <v>42665.58</v>
      </c>
      <c r="Q52" s="285">
        <f t="shared" si="8"/>
        <v>12443.416406999999</v>
      </c>
      <c r="R52" s="285">
        <f t="shared" si="4"/>
        <v>72798.145875000002</v>
      </c>
      <c r="S52" s="285">
        <f t="shared" si="5"/>
        <v>63998.369999999995</v>
      </c>
      <c r="T52" s="286">
        <f t="shared" si="6"/>
        <v>867160.84726800001</v>
      </c>
      <c r="U52" s="281"/>
      <c r="V52" s="282">
        <f t="shared" si="7"/>
        <v>1266118.1527319998</v>
      </c>
      <c r="W52" s="235" t="str">
        <f>VLOOKUP($C52,Piloto!$B$69:$E$163,4,0)</f>
        <v>Disponível</v>
      </c>
      <c r="X52" s="283" t="s">
        <v>82</v>
      </c>
    </row>
    <row r="53" spans="2:24" ht="24.95" thickBot="1">
      <c r="B53" s="320"/>
      <c r="C53" s="258">
        <v>1203</v>
      </c>
      <c r="D53" s="259">
        <f>VLOOKUP($C53,Piloto!$B$67:$H$163,6,0)</f>
        <v>169.94</v>
      </c>
      <c r="E53" s="259">
        <v>165.19</v>
      </c>
      <c r="F53" s="259">
        <v>0</v>
      </c>
      <c r="G53" s="260" t="s">
        <v>148</v>
      </c>
      <c r="H53" s="261" t="s">
        <v>149</v>
      </c>
      <c r="I53" s="262" t="s">
        <v>150</v>
      </c>
      <c r="J53" s="261">
        <v>4.75</v>
      </c>
      <c r="K53" s="263">
        <v>0</v>
      </c>
      <c r="L53" s="264">
        <v>0</v>
      </c>
      <c r="M53" s="40">
        <f>VLOOKUP($C53,Piloto!$B$67:$H$163,7,0)</f>
        <v>9852.5714958220542</v>
      </c>
      <c r="N53" s="284">
        <f t="shared" si="1"/>
        <v>1674346</v>
      </c>
      <c r="O53" s="285">
        <f t="shared" si="2"/>
        <v>66973.84</v>
      </c>
      <c r="P53" s="285">
        <f t="shared" si="3"/>
        <v>33486.92</v>
      </c>
      <c r="Q53" s="285">
        <f t="shared" si="8"/>
        <v>9766.4602180000002</v>
      </c>
      <c r="R53" s="285">
        <f t="shared" si="4"/>
        <v>57137.057250000005</v>
      </c>
      <c r="S53" s="285">
        <f t="shared" si="5"/>
        <v>50230.38</v>
      </c>
      <c r="T53" s="286">
        <f t="shared" si="6"/>
        <v>680608.25423200009</v>
      </c>
      <c r="U53" s="281"/>
      <c r="V53" s="282">
        <f t="shared" si="7"/>
        <v>993737.74576799991</v>
      </c>
      <c r="W53" s="235" t="str">
        <f>VLOOKUP($C53,Piloto!$B$69:$E$163,4,0)</f>
        <v>Disponível</v>
      </c>
      <c r="X53" s="283" t="s">
        <v>86</v>
      </c>
    </row>
    <row r="54" spans="2:24" ht="24.95" hidden="1" thickBot="1">
      <c r="B54" s="320"/>
      <c r="C54" s="258">
        <v>1301</v>
      </c>
      <c r="D54" s="259">
        <f>VLOOKUP($C54,Piloto!$B$67:$H$163,6,0)</f>
        <v>248.23</v>
      </c>
      <c r="E54" s="259">
        <v>237.67</v>
      </c>
      <c r="F54" s="259">
        <v>0</v>
      </c>
      <c r="G54" s="260" t="s">
        <v>151</v>
      </c>
      <c r="H54" s="261" t="s">
        <v>143</v>
      </c>
      <c r="I54" s="262" t="s">
        <v>152</v>
      </c>
      <c r="J54" s="261">
        <v>4.9800000000000004</v>
      </c>
      <c r="K54" s="263">
        <v>1</v>
      </c>
      <c r="L54" s="264">
        <v>5.58</v>
      </c>
      <c r="M54" s="40">
        <f>VLOOKUP($C54,Piloto!$B$67:$H$163,7,0)</f>
        <v>9457.5393788019173</v>
      </c>
      <c r="N54" s="284">
        <f t="shared" si="1"/>
        <v>2347645</v>
      </c>
      <c r="O54" s="285">
        <f t="shared" si="2"/>
        <v>93905.8</v>
      </c>
      <c r="P54" s="285">
        <f t="shared" si="3"/>
        <v>46952.9</v>
      </c>
      <c r="Q54" s="285">
        <f t="shared" si="8"/>
        <v>13693.813284999998</v>
      </c>
      <c r="R54" s="285">
        <f t="shared" si="4"/>
        <v>80113.38562500001</v>
      </c>
      <c r="S54" s="285">
        <f t="shared" si="5"/>
        <v>70429.349999999991</v>
      </c>
      <c r="T54" s="286">
        <f t="shared" si="6"/>
        <v>954298.91133999988</v>
      </c>
      <c r="U54" s="281"/>
      <c r="V54" s="282">
        <f t="shared" si="7"/>
        <v>1393346.0886599999</v>
      </c>
      <c r="W54" s="235" t="str">
        <f>VLOOKUP($C54,Piloto!$B$69:$E$163,4,0)</f>
        <v>CONTRATO</v>
      </c>
      <c r="X54" s="283" t="s">
        <v>86</v>
      </c>
    </row>
    <row r="55" spans="2:24" ht="24.95" thickBot="1">
      <c r="B55" s="320"/>
      <c r="C55" s="258">
        <v>1302</v>
      </c>
      <c r="D55" s="259">
        <f>VLOOKUP($C55,Piloto!$B$67:$H$163,6,0)</f>
        <v>216.16000000000003</v>
      </c>
      <c r="E55" s="259">
        <v>205.99</v>
      </c>
      <c r="F55" s="259">
        <v>0</v>
      </c>
      <c r="G55" s="260" t="s">
        <v>153</v>
      </c>
      <c r="H55" s="261" t="s">
        <v>117</v>
      </c>
      <c r="I55" s="262" t="s">
        <v>154</v>
      </c>
      <c r="J55" s="261">
        <v>5.55</v>
      </c>
      <c r="K55" s="263">
        <v>2</v>
      </c>
      <c r="L55" s="264">
        <v>4.62</v>
      </c>
      <c r="M55" s="40">
        <f>VLOOKUP($C55,Piloto!$B$67:$H$163,7,0)</f>
        <v>9852.5721687638779</v>
      </c>
      <c r="N55" s="284">
        <f t="shared" si="1"/>
        <v>2129732</v>
      </c>
      <c r="O55" s="285">
        <f t="shared" si="2"/>
        <v>85189.28</v>
      </c>
      <c r="P55" s="285">
        <f t="shared" si="3"/>
        <v>42594.64</v>
      </c>
      <c r="Q55" s="285">
        <f t="shared" si="8"/>
        <v>12422.726756</v>
      </c>
      <c r="R55" s="285">
        <f t="shared" si="4"/>
        <v>72677.104500000001</v>
      </c>
      <c r="S55" s="285">
        <f t="shared" si="5"/>
        <v>63891.96</v>
      </c>
      <c r="T55" s="286">
        <f t="shared" si="6"/>
        <v>865719.02014399995</v>
      </c>
      <c r="U55" s="281"/>
      <c r="V55" s="282">
        <f t="shared" si="7"/>
        <v>1264012.9798559998</v>
      </c>
      <c r="W55" s="235" t="str">
        <f>VLOOKUP($C55,Piloto!$B$69:$E$163,4,0)</f>
        <v>Disponível</v>
      </c>
      <c r="X55" s="235" t="s">
        <v>93</v>
      </c>
    </row>
    <row r="56" spans="2:24" customFormat="1" hidden="1" thickBot="1">
      <c r="B56" s="321"/>
      <c r="C56" s="258">
        <v>1303</v>
      </c>
      <c r="D56" s="259">
        <f>VLOOKUP($C56,Piloto!$B$67:$H$163,6,0)</f>
        <v>173.46</v>
      </c>
      <c r="E56" s="259">
        <v>167.83</v>
      </c>
      <c r="F56" s="259">
        <v>0</v>
      </c>
      <c r="G56" s="260" t="s">
        <v>155</v>
      </c>
      <c r="H56" s="261" t="s">
        <v>149</v>
      </c>
      <c r="I56" s="262" t="s">
        <v>156</v>
      </c>
      <c r="J56" s="261">
        <v>5.63</v>
      </c>
      <c r="K56" s="263">
        <v>0</v>
      </c>
      <c r="L56" s="264">
        <v>0</v>
      </c>
      <c r="M56" s="40">
        <f>VLOOKUP($C56,Piloto!$B$67:$H$163,7,0)</f>
        <v>9633.4774587801221</v>
      </c>
      <c r="N56" s="284">
        <f t="shared" si="1"/>
        <v>1671023</v>
      </c>
      <c r="O56" s="285">
        <f t="shared" si="2"/>
        <v>66840.92</v>
      </c>
      <c r="P56" s="285">
        <f t="shared" si="3"/>
        <v>33420.46</v>
      </c>
      <c r="Q56" s="285">
        <f t="shared" si="8"/>
        <v>9747.0771589999986</v>
      </c>
      <c r="R56" s="285">
        <f t="shared" si="4"/>
        <v>57023.659875000005</v>
      </c>
      <c r="S56" s="285">
        <f t="shared" si="5"/>
        <v>50130.689999999995</v>
      </c>
      <c r="T56" s="286">
        <f t="shared" si="6"/>
        <v>679257.48131599999</v>
      </c>
      <c r="U56" s="281"/>
      <c r="V56" s="282">
        <f t="shared" si="7"/>
        <v>991765.51868399989</v>
      </c>
      <c r="W56" t="str">
        <f>VLOOKUP($C56,Piloto!$B$69:$E$163,4,0)</f>
        <v>CONTRATO</v>
      </c>
      <c r="X56" s="43" t="s">
        <v>86</v>
      </c>
    </row>
    <row r="57" spans="2:24" ht="24.95" thickBot="1">
      <c r="B57" s="320"/>
      <c r="C57" s="258">
        <v>1401</v>
      </c>
      <c r="D57" s="259">
        <f>VLOOKUP($C57,Piloto!$B$67:$H$163,6,0)</f>
        <v>246.73</v>
      </c>
      <c r="E57" s="259">
        <v>235.67</v>
      </c>
      <c r="F57" s="259">
        <v>0</v>
      </c>
      <c r="G57" s="260" t="s">
        <v>157</v>
      </c>
      <c r="H57" s="261" t="s">
        <v>117</v>
      </c>
      <c r="I57" s="262" t="s">
        <v>158</v>
      </c>
      <c r="J57" s="261">
        <v>5.48</v>
      </c>
      <c r="K57" s="263">
        <v>1</v>
      </c>
      <c r="L57" s="264">
        <v>5.58</v>
      </c>
      <c r="M57" s="40">
        <f>VLOOKUP($C57,Piloto!$B$67:$H$163,7,0)</f>
        <v>9852.571637012119</v>
      </c>
      <c r="N57" s="284">
        <f t="shared" si="1"/>
        <v>2430925</v>
      </c>
      <c r="O57" s="285">
        <f t="shared" si="2"/>
        <v>97237</v>
      </c>
      <c r="P57" s="285">
        <f t="shared" si="3"/>
        <v>48618.5</v>
      </c>
      <c r="Q57" s="285">
        <f t="shared" si="8"/>
        <v>14179.585524999999</v>
      </c>
      <c r="R57" s="285">
        <f t="shared" si="4"/>
        <v>82955.315625000003</v>
      </c>
      <c r="S57" s="285">
        <f t="shared" si="5"/>
        <v>72927.75</v>
      </c>
      <c r="T57" s="286">
        <f t="shared" si="6"/>
        <v>988151.56509999989</v>
      </c>
      <c r="U57" s="281"/>
      <c r="V57" s="282">
        <f t="shared" si="7"/>
        <v>1442773.4348999998</v>
      </c>
      <c r="W57" s="235" t="str">
        <f>VLOOKUP($C57,Piloto!$B$69:$E$163,4,0)</f>
        <v>Disponível</v>
      </c>
      <c r="X57" s="283" t="s">
        <v>105</v>
      </c>
    </row>
    <row r="58" spans="2:24" ht="24.95" hidden="1" thickBot="1">
      <c r="B58" s="320"/>
      <c r="C58" s="258">
        <v>1402</v>
      </c>
      <c r="D58" s="259">
        <f>VLOOKUP($C58,Piloto!$B$67:$H$163,6,0)</f>
        <v>217.26000000000002</v>
      </c>
      <c r="E58" s="259">
        <v>204.15</v>
      </c>
      <c r="F58" s="259">
        <v>0</v>
      </c>
      <c r="G58" s="260" t="s">
        <v>159</v>
      </c>
      <c r="H58" s="261" t="s">
        <v>117</v>
      </c>
      <c r="I58" s="262" t="s">
        <v>160</v>
      </c>
      <c r="J58" s="261">
        <v>8.49</v>
      </c>
      <c r="K58" s="263">
        <v>2</v>
      </c>
      <c r="L58" s="264">
        <v>4.62</v>
      </c>
      <c r="M58" s="40">
        <f>VLOOKUP($C58,Piloto!$B$67:$H$163,7,0)</f>
        <v>9799.4614747307369</v>
      </c>
      <c r="N58" s="284">
        <f t="shared" si="1"/>
        <v>2129031</v>
      </c>
      <c r="O58" s="285">
        <f t="shared" si="2"/>
        <v>85161.24</v>
      </c>
      <c r="P58" s="285">
        <f t="shared" si="3"/>
        <v>42580.62</v>
      </c>
      <c r="Q58" s="285">
        <f t="shared" si="8"/>
        <v>12418.637822999999</v>
      </c>
      <c r="R58" s="285">
        <f t="shared" si="4"/>
        <v>72653.182874999999</v>
      </c>
      <c r="S58" s="285">
        <f t="shared" si="5"/>
        <v>63870.93</v>
      </c>
      <c r="T58" s="286">
        <f t="shared" si="6"/>
        <v>865434.06925199996</v>
      </c>
      <c r="U58" s="281"/>
      <c r="V58" s="282">
        <f t="shared" si="7"/>
        <v>1263596.9307479998</v>
      </c>
      <c r="W58" s="235" t="str">
        <f>VLOOKUP($C58,Piloto!$B$69:$E$163,4,0)</f>
        <v>CONTRATO</v>
      </c>
      <c r="X58" s="283" t="s">
        <v>86</v>
      </c>
    </row>
    <row r="59" spans="2:24" ht="24.95" thickBot="1">
      <c r="B59" s="320"/>
      <c r="C59" s="258">
        <v>1403</v>
      </c>
      <c r="D59" s="259">
        <f>VLOOKUP($C59,Piloto!$B$67:$H$163,6,0)</f>
        <v>169.28</v>
      </c>
      <c r="E59" s="259">
        <v>165.19</v>
      </c>
      <c r="F59" s="259">
        <v>0</v>
      </c>
      <c r="G59" s="260" t="s">
        <v>161</v>
      </c>
      <c r="H59" s="261" t="s">
        <v>98</v>
      </c>
      <c r="I59" s="262" t="s">
        <v>162</v>
      </c>
      <c r="J59" s="261">
        <v>4.09</v>
      </c>
      <c r="K59" s="263">
        <v>0</v>
      </c>
      <c r="L59" s="264">
        <v>0</v>
      </c>
      <c r="M59" s="40">
        <f>VLOOKUP($C59,Piloto!$B$67:$H$163,7,0)</f>
        <v>9852.5756143667295</v>
      </c>
      <c r="N59" s="284">
        <f t="shared" ref="N59:N90" si="9">ROUND(((D59*M59)),0)</f>
        <v>1667844</v>
      </c>
      <c r="O59" s="285">
        <f t="shared" si="2"/>
        <v>66713.759999999995</v>
      </c>
      <c r="P59" s="285">
        <f t="shared" si="3"/>
        <v>33356.879999999997</v>
      </c>
      <c r="Q59" s="285">
        <f t="shared" si="8"/>
        <v>9728.5340519999991</v>
      </c>
      <c r="R59" s="285">
        <f t="shared" si="4"/>
        <v>56915.176500000001</v>
      </c>
      <c r="S59" s="285">
        <f t="shared" si="5"/>
        <v>50035.32</v>
      </c>
      <c r="T59" s="286">
        <f t="shared" ref="T59:T90" si="10">O59*$O$20+P59*$P$20+R59*$R$20+S59*$S$20+Q59*$Q$20</f>
        <v>677965.24324799993</v>
      </c>
      <c r="U59" s="281"/>
      <c r="V59" s="282">
        <f t="shared" ref="V59:V90" si="11">$V$22*N59</f>
        <v>989878.75675199984</v>
      </c>
      <c r="W59" s="235" t="str">
        <f>VLOOKUP($C59,Piloto!$B$69:$E$163,4,0)</f>
        <v>Disponível</v>
      </c>
      <c r="X59" s="283" t="s">
        <v>82</v>
      </c>
    </row>
    <row r="60" spans="2:24" customFormat="1" ht="18.95" hidden="1" thickBot="1">
      <c r="B60" s="321"/>
      <c r="C60" s="44">
        <v>1501</v>
      </c>
      <c r="D60" s="53">
        <f>VLOOKUP($C60,Piloto!$B$67:$H$163,6,0)</f>
        <v>248.68</v>
      </c>
      <c r="E60" s="53">
        <v>237.67</v>
      </c>
      <c r="F60" s="53">
        <v>0</v>
      </c>
      <c r="G60" s="54" t="s">
        <v>163</v>
      </c>
      <c r="H60" s="55" t="s">
        <v>117</v>
      </c>
      <c r="I60" s="56" t="s">
        <v>164</v>
      </c>
      <c r="J60" s="55">
        <v>5.43</v>
      </c>
      <c r="K60" s="57">
        <v>1</v>
      </c>
      <c r="L60" s="58">
        <v>5.58</v>
      </c>
      <c r="M60" s="40">
        <f>VLOOKUP($C60,Piloto!$B$67:$H$163,7,0)</f>
        <v>9371.2321055171305</v>
      </c>
      <c r="N60" s="47">
        <f t="shared" si="9"/>
        <v>2330438</v>
      </c>
      <c r="O60" s="48">
        <f t="shared" si="2"/>
        <v>93217.52</v>
      </c>
      <c r="P60" s="48">
        <f t="shared" si="3"/>
        <v>46608.76</v>
      </c>
      <c r="Q60" s="48">
        <f t="shared" si="8"/>
        <v>13593.444853999999</v>
      </c>
      <c r="R60" s="48">
        <f t="shared" si="4"/>
        <v>79526.196750000003</v>
      </c>
      <c r="S60" s="48">
        <f t="shared" si="5"/>
        <v>69913.14</v>
      </c>
      <c r="T60" s="49">
        <f t="shared" si="10"/>
        <v>947304.40349599998</v>
      </c>
      <c r="U60" s="41"/>
      <c r="V60" s="42">
        <f t="shared" si="11"/>
        <v>1383133.5965039998</v>
      </c>
      <c r="W60" t="str">
        <f>VLOOKUP($C60,Piloto!$B$69:$E$163,4,0)</f>
        <v>CONTRATO</v>
      </c>
      <c r="X60" t="s">
        <v>93</v>
      </c>
    </row>
    <row r="61" spans="2:24" ht="24.95" thickBot="1">
      <c r="B61" s="320"/>
      <c r="C61" s="258">
        <v>1502</v>
      </c>
      <c r="D61" s="259">
        <f>VLOOKUP($C61,Piloto!$B$67:$H$163,6,0)</f>
        <v>215.17000000000002</v>
      </c>
      <c r="E61" s="259">
        <v>205.99</v>
      </c>
      <c r="F61" s="259">
        <v>0</v>
      </c>
      <c r="G61" s="260" t="s">
        <v>165</v>
      </c>
      <c r="H61" s="261" t="s">
        <v>117</v>
      </c>
      <c r="I61" s="262" t="s">
        <v>166</v>
      </c>
      <c r="J61" s="261">
        <v>4.5599999999999996</v>
      </c>
      <c r="K61" s="263">
        <v>2</v>
      </c>
      <c r="L61" s="264">
        <v>4.62</v>
      </c>
      <c r="M61" s="40">
        <f>VLOOKUP($C61,Piloto!$B$67:$H$163,7,0)</f>
        <v>9852.572384626108</v>
      </c>
      <c r="N61" s="284">
        <f t="shared" si="9"/>
        <v>2119978</v>
      </c>
      <c r="O61" s="285">
        <f t="shared" si="2"/>
        <v>84799.12</v>
      </c>
      <c r="P61" s="285">
        <f t="shared" si="3"/>
        <v>42399.56</v>
      </c>
      <c r="Q61" s="285">
        <f t="shared" si="8"/>
        <v>12365.831673999999</v>
      </c>
      <c r="R61" s="285">
        <f t="shared" si="4"/>
        <v>72344.249250000008</v>
      </c>
      <c r="S61" s="285">
        <f t="shared" si="5"/>
        <v>63599.34</v>
      </c>
      <c r="T61" s="286">
        <f t="shared" si="10"/>
        <v>861754.09717600001</v>
      </c>
      <c r="U61" s="281"/>
      <c r="V61" s="282">
        <f t="shared" si="11"/>
        <v>1258223.9028239998</v>
      </c>
      <c r="W61" s="235" t="str">
        <f>VLOOKUP($C61,Piloto!$B$69:$E$163,4,0)</f>
        <v>Disponível</v>
      </c>
      <c r="X61" s="283" t="s">
        <v>86</v>
      </c>
    </row>
    <row r="62" spans="2:24" customFormat="1" ht="18.95" hidden="1" thickBot="1">
      <c r="B62" s="321"/>
      <c r="C62" s="44">
        <v>1503</v>
      </c>
      <c r="D62" s="53">
        <f>VLOOKUP($C62,Piloto!$B$67:$H$163,6,0)</f>
        <v>173.56</v>
      </c>
      <c r="E62" s="53">
        <v>167.83</v>
      </c>
      <c r="F62" s="53">
        <v>0</v>
      </c>
      <c r="G62" s="54" t="s">
        <v>167</v>
      </c>
      <c r="H62" s="55" t="s">
        <v>122</v>
      </c>
      <c r="I62" s="56" t="s">
        <v>168</v>
      </c>
      <c r="J62" s="55">
        <v>5.73</v>
      </c>
      <c r="K62" s="57">
        <v>0</v>
      </c>
      <c r="L62" s="58">
        <v>0</v>
      </c>
      <c r="M62" s="40">
        <f>VLOOKUP($C62,Piloto!$B$67:$H$163,7,0)</f>
        <v>9371.2318506568336</v>
      </c>
      <c r="N62" s="47">
        <f t="shared" si="9"/>
        <v>1626471</v>
      </c>
      <c r="O62" s="48">
        <f t="shared" si="2"/>
        <v>65058.840000000004</v>
      </c>
      <c r="P62" s="48">
        <f t="shared" si="3"/>
        <v>32529.420000000002</v>
      </c>
      <c r="Q62" s="48">
        <f t="shared" si="8"/>
        <v>9487.2053429999996</v>
      </c>
      <c r="R62" s="48">
        <f t="shared" si="4"/>
        <v>55503.322875000005</v>
      </c>
      <c r="S62" s="48">
        <f t="shared" si="5"/>
        <v>48794.13</v>
      </c>
      <c r="T62" s="49">
        <f t="shared" si="10"/>
        <v>661147.44973200001</v>
      </c>
      <c r="U62" s="41"/>
      <c r="V62" s="42">
        <f t="shared" si="11"/>
        <v>965323.55026799988</v>
      </c>
      <c r="W62" t="str">
        <f>VLOOKUP($C62,Piloto!$B$69:$E$163,4,0)</f>
        <v>Fora de Venda</v>
      </c>
      <c r="X62" s="43" t="s">
        <v>105</v>
      </c>
    </row>
    <row r="63" spans="2:24" ht="24.95" thickBot="1">
      <c r="B63" s="320"/>
      <c r="C63" s="258">
        <v>1601</v>
      </c>
      <c r="D63" s="259">
        <f>VLOOKUP($C63,Piloto!$B$67:$H$163,6,0)</f>
        <v>246.82</v>
      </c>
      <c r="E63" s="259">
        <v>235.67</v>
      </c>
      <c r="F63" s="259">
        <v>0</v>
      </c>
      <c r="G63" s="260" t="s">
        <v>169</v>
      </c>
      <c r="H63" s="261" t="s">
        <v>143</v>
      </c>
      <c r="I63" s="262" t="s">
        <v>170</v>
      </c>
      <c r="J63" s="261">
        <v>5.57</v>
      </c>
      <c r="K63" s="263">
        <v>1</v>
      </c>
      <c r="L63" s="264">
        <v>5.58</v>
      </c>
      <c r="M63" s="40">
        <f>VLOOKUP($C63,Piloto!$B$67:$H$163,7,0)</f>
        <v>9852.5727250627988</v>
      </c>
      <c r="N63" s="284">
        <f t="shared" si="9"/>
        <v>2431812</v>
      </c>
      <c r="O63" s="285">
        <f t="shared" si="2"/>
        <v>97272.48</v>
      </c>
      <c r="P63" s="285">
        <f t="shared" si="3"/>
        <v>48636.24</v>
      </c>
      <c r="Q63" s="285">
        <f t="shared" si="8"/>
        <v>14184.759395999999</v>
      </c>
      <c r="R63" s="285">
        <f t="shared" si="4"/>
        <v>82985.584500000012</v>
      </c>
      <c r="S63" s="285">
        <f t="shared" si="5"/>
        <v>72954.36</v>
      </c>
      <c r="T63" s="286">
        <f t="shared" si="10"/>
        <v>988512.12350400002</v>
      </c>
      <c r="U63" s="281"/>
      <c r="V63" s="282">
        <f t="shared" si="11"/>
        <v>1443299.8764959997</v>
      </c>
      <c r="W63" s="235" t="str">
        <f>VLOOKUP($C63,Piloto!$B$69:$E$163,4,0)</f>
        <v>Disponível</v>
      </c>
      <c r="X63" s="283" t="s">
        <v>86</v>
      </c>
    </row>
    <row r="64" spans="2:24" ht="24.95" hidden="1" thickBot="1">
      <c r="B64" s="320"/>
      <c r="C64" s="258">
        <v>1602</v>
      </c>
      <c r="D64" s="259">
        <f>VLOOKUP($C64,Piloto!$B$67:$H$163,6,0)</f>
        <v>221.19</v>
      </c>
      <c r="E64" s="259">
        <v>204.15</v>
      </c>
      <c r="F64" s="259">
        <v>0</v>
      </c>
      <c r="G64" s="260" t="s">
        <v>171</v>
      </c>
      <c r="H64" s="261" t="s">
        <v>117</v>
      </c>
      <c r="I64" s="262" t="s">
        <v>172</v>
      </c>
      <c r="J64" s="261">
        <v>12.42</v>
      </c>
      <c r="K64" s="263">
        <v>2</v>
      </c>
      <c r="L64" s="264">
        <v>4.62</v>
      </c>
      <c r="M64" s="40">
        <f>VLOOKUP($C64,Piloto!$B$67:$H$163,7,0)</f>
        <v>9799.4574799945749</v>
      </c>
      <c r="N64" s="284">
        <f t="shared" si="9"/>
        <v>2167542</v>
      </c>
      <c r="O64" s="285">
        <f t="shared" si="2"/>
        <v>86701.680000000008</v>
      </c>
      <c r="P64" s="285">
        <f t="shared" si="3"/>
        <v>43350.840000000004</v>
      </c>
      <c r="Q64" s="285">
        <f t="shared" si="8"/>
        <v>12643.272486</v>
      </c>
      <c r="R64" s="285">
        <f t="shared" si="4"/>
        <v>73967.370750000002</v>
      </c>
      <c r="S64" s="285">
        <f t="shared" si="5"/>
        <v>65026.259999999995</v>
      </c>
      <c r="T64" s="286">
        <f t="shared" si="10"/>
        <v>881088.48266400001</v>
      </c>
      <c r="U64" s="281"/>
      <c r="V64" s="282">
        <f t="shared" si="11"/>
        <v>1286453.5173359998</v>
      </c>
      <c r="W64" s="235" t="str">
        <f>VLOOKUP($C64,Piloto!$B$69:$E$163,4,0)</f>
        <v>CONTRATO</v>
      </c>
      <c r="X64" s="283" t="s">
        <v>82</v>
      </c>
    </row>
    <row r="65" spans="2:24" ht="24.95" thickBot="1">
      <c r="B65" s="320"/>
      <c r="C65" s="258">
        <v>1603</v>
      </c>
      <c r="D65" s="259">
        <f>VLOOKUP($C65,Piloto!$B$67:$H$163,6,0)</f>
        <v>169.67</v>
      </c>
      <c r="E65" s="259">
        <v>165.19</v>
      </c>
      <c r="F65" s="259">
        <v>0</v>
      </c>
      <c r="G65" s="260" t="s">
        <v>173</v>
      </c>
      <c r="H65" s="261" t="s">
        <v>149</v>
      </c>
      <c r="I65" s="262" t="s">
        <v>174</v>
      </c>
      <c r="J65" s="261">
        <v>4.4800000000000004</v>
      </c>
      <c r="K65" s="263">
        <v>0</v>
      </c>
      <c r="L65" s="264">
        <v>0</v>
      </c>
      <c r="M65" s="40">
        <f>VLOOKUP($C65,Piloto!$B$67:$H$163,7,0)</f>
        <v>9852.5726410090174</v>
      </c>
      <c r="N65" s="284">
        <f t="shared" si="9"/>
        <v>1671686</v>
      </c>
      <c r="O65" s="285">
        <f t="shared" si="2"/>
        <v>66867.44</v>
      </c>
      <c r="P65" s="285">
        <f t="shared" si="3"/>
        <v>33433.72</v>
      </c>
      <c r="Q65" s="285">
        <f t="shared" si="8"/>
        <v>9750.9444379999986</v>
      </c>
      <c r="R65" s="285">
        <f t="shared" si="4"/>
        <v>57046.284750000006</v>
      </c>
      <c r="S65" s="285">
        <f t="shared" si="5"/>
        <v>50150.58</v>
      </c>
      <c r="T65" s="286">
        <f t="shared" si="10"/>
        <v>679526.98551200004</v>
      </c>
      <c r="U65" s="281"/>
      <c r="V65" s="282">
        <f t="shared" si="11"/>
        <v>992159.01448799984</v>
      </c>
      <c r="W65" s="235" t="str">
        <f>VLOOKUP($C65,Piloto!$B$69:$E$163,4,0)</f>
        <v>Disponível</v>
      </c>
      <c r="X65" s="235" t="s">
        <v>93</v>
      </c>
    </row>
    <row r="66" spans="2:24" customFormat="1" ht="18.95" hidden="1" thickBot="1">
      <c r="B66" s="321"/>
      <c r="C66" s="44">
        <v>1701</v>
      </c>
      <c r="D66" s="53">
        <f>VLOOKUP($C66,Piloto!$B$67:$H$163,6,0)</f>
        <v>248.53</v>
      </c>
      <c r="E66" s="53">
        <v>237.67</v>
      </c>
      <c r="F66" s="53">
        <v>0</v>
      </c>
      <c r="G66" s="54" t="s">
        <v>175</v>
      </c>
      <c r="H66" s="55" t="s">
        <v>143</v>
      </c>
      <c r="I66" s="56" t="s">
        <v>176</v>
      </c>
      <c r="J66" s="55">
        <v>5.28</v>
      </c>
      <c r="K66" s="57">
        <v>1</v>
      </c>
      <c r="L66" s="58">
        <v>5.58</v>
      </c>
      <c r="M66" s="40">
        <f>VLOOKUP($C66,Piloto!$B$67:$H$163,7,0)</f>
        <v>9371.2308373234628</v>
      </c>
      <c r="N66" s="47">
        <f t="shared" si="9"/>
        <v>2329032</v>
      </c>
      <c r="O66" s="48">
        <f t="shared" si="2"/>
        <v>93161.279999999999</v>
      </c>
      <c r="P66" s="48">
        <f t="shared" si="3"/>
        <v>46580.639999999999</v>
      </c>
      <c r="Q66" s="48">
        <f t="shared" si="8"/>
        <v>13585.243655999999</v>
      </c>
      <c r="R66" s="48">
        <f t="shared" si="4"/>
        <v>79478.217000000004</v>
      </c>
      <c r="S66" s="48">
        <f t="shared" si="5"/>
        <v>69870.959999999992</v>
      </c>
      <c r="T66" s="49">
        <f t="shared" si="10"/>
        <v>946732.87574399984</v>
      </c>
      <c r="U66" s="41"/>
      <c r="V66" s="42">
        <f t="shared" si="11"/>
        <v>1382299.1242559999</v>
      </c>
      <c r="W66" t="str">
        <f>VLOOKUP($C66,Piloto!$B$69:$E$163,4,0)</f>
        <v>CONTRATO</v>
      </c>
      <c r="X66" s="43" t="s">
        <v>86</v>
      </c>
    </row>
    <row r="67" spans="2:24" ht="24.95" thickBot="1">
      <c r="B67" s="320"/>
      <c r="C67" s="258">
        <v>1702</v>
      </c>
      <c r="D67" s="259">
        <f>VLOOKUP($C67,Piloto!$B$67:$H$163,6,0)</f>
        <v>215.32000000000002</v>
      </c>
      <c r="E67" s="259">
        <v>205.99</v>
      </c>
      <c r="F67" s="259">
        <v>0</v>
      </c>
      <c r="G67" s="260" t="s">
        <v>177</v>
      </c>
      <c r="H67" s="261" t="s">
        <v>117</v>
      </c>
      <c r="I67" s="262" t="s">
        <v>178</v>
      </c>
      <c r="J67" s="261">
        <v>4.71</v>
      </c>
      <c r="K67" s="263">
        <v>2</v>
      </c>
      <c r="L67" s="264">
        <v>4.62</v>
      </c>
      <c r="M67" s="40">
        <f>VLOOKUP($C67,Piloto!$B$67:$H$163,7,0)</f>
        <v>9852.5729147315615</v>
      </c>
      <c r="N67" s="284">
        <f t="shared" si="9"/>
        <v>2121456</v>
      </c>
      <c r="O67" s="285">
        <f t="shared" si="2"/>
        <v>84858.240000000005</v>
      </c>
      <c r="P67" s="285">
        <f t="shared" si="3"/>
        <v>42429.120000000003</v>
      </c>
      <c r="Q67" s="285">
        <f t="shared" si="8"/>
        <v>12374.452847999999</v>
      </c>
      <c r="R67" s="285">
        <f t="shared" si="4"/>
        <v>72394.686000000002</v>
      </c>
      <c r="S67" s="285">
        <f t="shared" si="5"/>
        <v>63643.68</v>
      </c>
      <c r="T67" s="286">
        <f t="shared" si="10"/>
        <v>862354.89235200011</v>
      </c>
      <c r="U67" s="281"/>
      <c r="V67" s="282">
        <f t="shared" si="11"/>
        <v>1259101.1076479999</v>
      </c>
      <c r="W67" s="235" t="str">
        <f>VLOOKUP($C67,Piloto!$B$69:$E$163,4,0)</f>
        <v>Disponível</v>
      </c>
      <c r="X67" s="283" t="s">
        <v>86</v>
      </c>
    </row>
    <row r="68" spans="2:24" ht="24.95" hidden="1" thickBot="1">
      <c r="B68" s="320"/>
      <c r="C68" s="258">
        <v>1703</v>
      </c>
      <c r="D68" s="259">
        <f>VLOOKUP($C68,Piloto!$B$67:$H$163,6,0)</f>
        <v>172.33</v>
      </c>
      <c r="E68" s="259">
        <v>167.83</v>
      </c>
      <c r="F68" s="259">
        <v>0</v>
      </c>
      <c r="G68" s="260" t="s">
        <v>179</v>
      </c>
      <c r="H68" s="261" t="s">
        <v>98</v>
      </c>
      <c r="I68" s="262" t="s">
        <v>180</v>
      </c>
      <c r="J68" s="261">
        <v>4.5</v>
      </c>
      <c r="K68" s="263">
        <v>0</v>
      </c>
      <c r="L68" s="264">
        <v>0</v>
      </c>
      <c r="M68" s="40">
        <f>VLOOKUP($C68,Piloto!$B$67:$H$163,7,0)</f>
        <v>9371.2296175941501</v>
      </c>
      <c r="N68" s="284">
        <f t="shared" si="9"/>
        <v>1614944</v>
      </c>
      <c r="O68" s="285">
        <f t="shared" si="2"/>
        <v>64597.760000000002</v>
      </c>
      <c r="P68" s="285">
        <f t="shared" si="3"/>
        <v>32298.880000000001</v>
      </c>
      <c r="Q68" s="285">
        <f t="shared" si="8"/>
        <v>9419.9683519999999</v>
      </c>
      <c r="R68" s="285">
        <f t="shared" si="4"/>
        <v>55109.964000000007</v>
      </c>
      <c r="S68" s="285">
        <f t="shared" si="5"/>
        <v>48448.32</v>
      </c>
      <c r="T68" s="286">
        <f t="shared" si="10"/>
        <v>656461.81644800003</v>
      </c>
      <c r="U68" s="281"/>
      <c r="V68" s="282">
        <f t="shared" si="11"/>
        <v>958482.18355199986</v>
      </c>
      <c r="W68" s="235" t="str">
        <f>VLOOKUP($C68,Piloto!$B$69:$E$163,4,0)</f>
        <v>CONTRATO</v>
      </c>
      <c r="X68" s="283" t="s">
        <v>86</v>
      </c>
    </row>
    <row r="69" spans="2:24" ht="24.95" thickBot="1">
      <c r="B69" s="320"/>
      <c r="C69" s="258">
        <v>1801</v>
      </c>
      <c r="D69" s="259">
        <f>VLOOKUP($C69,Piloto!$B$67:$H$163,6,0)</f>
        <v>246.03</v>
      </c>
      <c r="E69" s="259">
        <v>235.67</v>
      </c>
      <c r="F69" s="259">
        <v>0</v>
      </c>
      <c r="G69" s="260" t="s">
        <v>181</v>
      </c>
      <c r="H69" s="261" t="s">
        <v>146</v>
      </c>
      <c r="I69" s="262" t="s">
        <v>182</v>
      </c>
      <c r="J69" s="261">
        <v>4.78</v>
      </c>
      <c r="K69" s="263">
        <v>1</v>
      </c>
      <c r="L69" s="264">
        <v>5.58</v>
      </c>
      <c r="M69" s="40">
        <f>VLOOKUP($C69,Piloto!$B$67:$H$163,7,0)</f>
        <v>9852.5708246961749</v>
      </c>
      <c r="N69" s="284">
        <f t="shared" si="9"/>
        <v>2424028</v>
      </c>
      <c r="O69" s="285">
        <f t="shared" si="2"/>
        <v>96961.12</v>
      </c>
      <c r="P69" s="285">
        <f t="shared" si="3"/>
        <v>48480.56</v>
      </c>
      <c r="Q69" s="285">
        <f t="shared" si="8"/>
        <v>14139.355323999998</v>
      </c>
      <c r="R69" s="285">
        <f t="shared" si="4"/>
        <v>82719.955500000011</v>
      </c>
      <c r="S69" s="285">
        <f t="shared" si="5"/>
        <v>72720.84</v>
      </c>
      <c r="T69" s="286">
        <f t="shared" si="10"/>
        <v>985347.98977599991</v>
      </c>
      <c r="U69" s="281"/>
      <c r="V69" s="282">
        <f t="shared" si="11"/>
        <v>1438680.0102239999</v>
      </c>
      <c r="W69" s="235" t="str">
        <f>VLOOKUP($C69,Piloto!$B$69:$E$163,4,0)</f>
        <v>Disponível</v>
      </c>
      <c r="X69" s="235" t="s">
        <v>93</v>
      </c>
    </row>
    <row r="70" spans="2:24" customFormat="1" ht="18.95" hidden="1" thickBot="1">
      <c r="B70" s="321"/>
      <c r="C70" s="44">
        <v>1802</v>
      </c>
      <c r="D70" s="53">
        <f>VLOOKUP($C70,Piloto!$B$67:$H$163,6,0)</f>
        <v>213.24</v>
      </c>
      <c r="E70" s="53">
        <v>204.15</v>
      </c>
      <c r="F70" s="53">
        <v>0</v>
      </c>
      <c r="G70" s="54" t="s">
        <v>183</v>
      </c>
      <c r="H70" s="55" t="s">
        <v>117</v>
      </c>
      <c r="I70" s="56" t="s">
        <v>184</v>
      </c>
      <c r="J70" s="55">
        <v>4.47</v>
      </c>
      <c r="K70" s="57">
        <v>2</v>
      </c>
      <c r="L70" s="58">
        <v>4.62</v>
      </c>
      <c r="M70" s="40">
        <f>VLOOKUP($C70,Piloto!$B$67:$H$163,7,0)</f>
        <v>9371.2296004501968</v>
      </c>
      <c r="N70" s="47">
        <f t="shared" si="9"/>
        <v>1998321</v>
      </c>
      <c r="O70" s="48">
        <f t="shared" si="2"/>
        <v>79932.84</v>
      </c>
      <c r="P70" s="48">
        <f t="shared" si="3"/>
        <v>39966.42</v>
      </c>
      <c r="Q70" s="48">
        <f t="shared" si="8"/>
        <v>11656.206392999999</v>
      </c>
      <c r="R70" s="48">
        <f t="shared" si="4"/>
        <v>68192.704125000004</v>
      </c>
      <c r="S70" s="48">
        <f t="shared" si="5"/>
        <v>59949.63</v>
      </c>
      <c r="T70" s="49">
        <f t="shared" si="10"/>
        <v>812301.49993199995</v>
      </c>
      <c r="U70" s="41"/>
      <c r="V70" s="42">
        <f t="shared" si="11"/>
        <v>1186019.5000679998</v>
      </c>
      <c r="W70" t="str">
        <f>VLOOKUP($C70,Piloto!$B$69:$E$163,4,0)</f>
        <v>Fora de Venda</v>
      </c>
      <c r="X70" t="s">
        <v>93</v>
      </c>
    </row>
    <row r="71" spans="2:24" ht="24.95" thickBot="1">
      <c r="B71" s="320"/>
      <c r="C71" s="258">
        <v>1803</v>
      </c>
      <c r="D71" s="259">
        <f>VLOOKUP($C71,Piloto!$B$67:$H$163,6,0)</f>
        <v>171.54</v>
      </c>
      <c r="E71" s="259">
        <v>165.19</v>
      </c>
      <c r="F71" s="259">
        <v>0</v>
      </c>
      <c r="G71" s="260" t="s">
        <v>185</v>
      </c>
      <c r="H71" s="261" t="s">
        <v>149</v>
      </c>
      <c r="I71" s="262" t="s">
        <v>186</v>
      </c>
      <c r="J71" s="261">
        <v>6.35</v>
      </c>
      <c r="K71" s="263">
        <v>0</v>
      </c>
      <c r="L71" s="264">
        <v>0</v>
      </c>
      <c r="M71" s="40">
        <f>VLOOKUP($C71,Piloto!$B$67:$H$163,7,0)</f>
        <v>9852.5708289611757</v>
      </c>
      <c r="N71" s="284">
        <f t="shared" si="9"/>
        <v>1690110</v>
      </c>
      <c r="O71" s="285">
        <f t="shared" si="2"/>
        <v>67604.399999999994</v>
      </c>
      <c r="P71" s="285">
        <f t="shared" si="3"/>
        <v>33802.199999999997</v>
      </c>
      <c r="Q71" s="285">
        <f t="shared" si="8"/>
        <v>9858.4116299999987</v>
      </c>
      <c r="R71" s="285">
        <f t="shared" si="4"/>
        <v>57675.003750000003</v>
      </c>
      <c r="S71" s="285">
        <f t="shared" si="5"/>
        <v>50703.299999999996</v>
      </c>
      <c r="T71" s="286">
        <f t="shared" si="10"/>
        <v>687016.19412</v>
      </c>
      <c r="U71" s="281"/>
      <c r="V71" s="282">
        <f t="shared" si="11"/>
        <v>1003093.8058799999</v>
      </c>
      <c r="W71" s="235" t="str">
        <f>VLOOKUP($C71,Piloto!$B$69:$E$163,4,0)</f>
        <v>Disponível</v>
      </c>
      <c r="X71" s="283" t="s">
        <v>105</v>
      </c>
    </row>
    <row r="72" spans="2:24" customFormat="1" ht="18.95" hidden="1" thickBot="1">
      <c r="B72" s="321"/>
      <c r="C72" s="44">
        <v>1901</v>
      </c>
      <c r="D72" s="53">
        <f>VLOOKUP($C72,Piloto!$B$67:$H$163,6,0)</f>
        <v>248.68</v>
      </c>
      <c r="E72" s="53">
        <v>237.67</v>
      </c>
      <c r="F72" s="53">
        <v>0</v>
      </c>
      <c r="G72" s="54" t="s">
        <v>187</v>
      </c>
      <c r="H72" s="55" t="s">
        <v>143</v>
      </c>
      <c r="I72" s="56" t="s">
        <v>188</v>
      </c>
      <c r="J72" s="55">
        <v>5.43</v>
      </c>
      <c r="K72" s="57">
        <v>1</v>
      </c>
      <c r="L72" s="58">
        <v>5.58</v>
      </c>
      <c r="M72" s="40">
        <f>VLOOKUP($C72,Piloto!$B$67:$H$163,7,0)</f>
        <v>9371.2321055171305</v>
      </c>
      <c r="N72" s="47">
        <f t="shared" si="9"/>
        <v>2330438</v>
      </c>
      <c r="O72" s="48">
        <f t="shared" si="2"/>
        <v>93217.52</v>
      </c>
      <c r="P72" s="48">
        <f t="shared" si="3"/>
        <v>46608.76</v>
      </c>
      <c r="Q72" s="48">
        <f t="shared" si="8"/>
        <v>13593.444853999999</v>
      </c>
      <c r="R72" s="48">
        <f t="shared" si="4"/>
        <v>79526.196750000003</v>
      </c>
      <c r="S72" s="48">
        <f t="shared" si="5"/>
        <v>69913.14</v>
      </c>
      <c r="T72" s="49">
        <f t="shared" si="10"/>
        <v>947304.40349599998</v>
      </c>
      <c r="U72" s="41"/>
      <c r="V72" s="42">
        <f t="shared" si="11"/>
        <v>1383133.5965039998</v>
      </c>
      <c r="W72" t="str">
        <f>VLOOKUP($C72,Piloto!$B$69:$E$163,4,0)</f>
        <v>CONTRATO</v>
      </c>
      <c r="X72" s="43" t="s">
        <v>86</v>
      </c>
    </row>
    <row r="73" spans="2:24" ht="24.95" thickBot="1">
      <c r="B73" s="320"/>
      <c r="C73" s="258">
        <v>1902</v>
      </c>
      <c r="D73" s="259">
        <f>VLOOKUP($C73,Piloto!$B$67:$H$163,6,0)</f>
        <v>218.34</v>
      </c>
      <c r="E73" s="259">
        <v>205.99</v>
      </c>
      <c r="F73" s="259">
        <v>0</v>
      </c>
      <c r="G73" s="260" t="s">
        <v>189</v>
      </c>
      <c r="H73" s="261" t="s">
        <v>117</v>
      </c>
      <c r="I73" s="262" t="s">
        <v>190</v>
      </c>
      <c r="J73" s="261">
        <v>7.73</v>
      </c>
      <c r="K73" s="263">
        <v>2</v>
      </c>
      <c r="L73" s="264">
        <v>4.62</v>
      </c>
      <c r="M73" s="40">
        <f>VLOOKUP($C73,Piloto!$B$67:$H$163,7,0)</f>
        <v>9852.5739672071086</v>
      </c>
      <c r="N73" s="284">
        <f t="shared" si="9"/>
        <v>2151211</v>
      </c>
      <c r="O73" s="285">
        <f t="shared" si="2"/>
        <v>86048.44</v>
      </c>
      <c r="P73" s="285">
        <f t="shared" si="3"/>
        <v>43024.22</v>
      </c>
      <c r="Q73" s="285">
        <f t="shared" si="8"/>
        <v>12548.013762999999</v>
      </c>
      <c r="R73" s="285">
        <f t="shared" si="4"/>
        <v>73410.075375</v>
      </c>
      <c r="S73" s="285">
        <f t="shared" si="5"/>
        <v>64536.329999999994</v>
      </c>
      <c r="T73" s="286">
        <f t="shared" si="10"/>
        <v>874450.061812</v>
      </c>
      <c r="U73" s="281"/>
      <c r="V73" s="282">
        <f t="shared" si="11"/>
        <v>1276760.9381879999</v>
      </c>
      <c r="W73" s="235" t="str">
        <f>VLOOKUP($C73,Piloto!$B$69:$E$163,4,0)</f>
        <v>Disponível</v>
      </c>
      <c r="X73" s="283" t="s">
        <v>82</v>
      </c>
    </row>
    <row r="74" spans="2:24" customFormat="1" ht="18.95" hidden="1" thickBot="1">
      <c r="B74" s="321"/>
      <c r="C74" s="44">
        <v>1903</v>
      </c>
      <c r="D74" s="53">
        <f>VLOOKUP($C74,Piloto!$B$67:$H$163,6,0)</f>
        <v>173.37</v>
      </c>
      <c r="E74" s="53">
        <v>167.83</v>
      </c>
      <c r="F74" s="53">
        <v>0</v>
      </c>
      <c r="G74" s="54" t="s">
        <v>191</v>
      </c>
      <c r="H74" s="55" t="s">
        <v>122</v>
      </c>
      <c r="I74" s="56" t="s">
        <v>192</v>
      </c>
      <c r="J74" s="55">
        <v>5.54</v>
      </c>
      <c r="K74" s="57">
        <v>0</v>
      </c>
      <c r="L74" s="58">
        <v>0</v>
      </c>
      <c r="M74" s="40">
        <f>VLOOKUP($C74,Piloto!$B$67:$H$163,7,0)</f>
        <v>9371.2291630616601</v>
      </c>
      <c r="N74" s="47">
        <f t="shared" si="9"/>
        <v>1624690</v>
      </c>
      <c r="O74" s="48">
        <f t="shared" si="2"/>
        <v>64987.6</v>
      </c>
      <c r="P74" s="48">
        <f t="shared" si="3"/>
        <v>32493.8</v>
      </c>
      <c r="Q74" s="48">
        <f t="shared" si="8"/>
        <v>9476.8167699999995</v>
      </c>
      <c r="R74" s="48">
        <f t="shared" si="4"/>
        <v>55442.546250000007</v>
      </c>
      <c r="S74" s="48">
        <f t="shared" si="5"/>
        <v>48740.7</v>
      </c>
      <c r="T74" s="49">
        <f t="shared" si="10"/>
        <v>660423.48748000013</v>
      </c>
      <c r="U74" s="41"/>
      <c r="V74" s="42">
        <f t="shared" si="11"/>
        <v>964266.51251999987</v>
      </c>
      <c r="W74" t="str">
        <f>VLOOKUP($C74,Piloto!$B$69:$E$163,4,0)</f>
        <v>Fora de Venda</v>
      </c>
      <c r="X74" t="s">
        <v>93</v>
      </c>
    </row>
    <row r="75" spans="2:24" ht="24.95" thickBot="1">
      <c r="B75" s="320"/>
      <c r="C75" s="258">
        <v>2001</v>
      </c>
      <c r="D75" s="259">
        <f>VLOOKUP($C75,Piloto!$B$67:$H$163,6,0)</f>
        <v>245.77</v>
      </c>
      <c r="E75" s="259">
        <v>235.67</v>
      </c>
      <c r="F75" s="259">
        <v>0</v>
      </c>
      <c r="G75" s="260" t="s">
        <v>193</v>
      </c>
      <c r="H75" s="261" t="s">
        <v>143</v>
      </c>
      <c r="I75" s="262" t="s">
        <v>194</v>
      </c>
      <c r="J75" s="261">
        <v>4.5199999999999996</v>
      </c>
      <c r="K75" s="263">
        <v>1</v>
      </c>
      <c r="L75" s="264">
        <v>5.58</v>
      </c>
      <c r="M75" s="40">
        <f>VLOOKUP($C75,Piloto!$B$67:$H$163,7,0)</f>
        <v>9852.5735443707526</v>
      </c>
      <c r="N75" s="284">
        <f t="shared" si="9"/>
        <v>2421467</v>
      </c>
      <c r="O75" s="285">
        <f t="shared" si="2"/>
        <v>96858.680000000008</v>
      </c>
      <c r="P75" s="285">
        <f t="shared" si="3"/>
        <v>48429.340000000004</v>
      </c>
      <c r="Q75" s="285">
        <f t="shared" si="8"/>
        <v>14124.417011</v>
      </c>
      <c r="R75" s="285">
        <f t="shared" si="4"/>
        <v>82632.561375000005</v>
      </c>
      <c r="S75" s="285">
        <f t="shared" si="5"/>
        <v>72644.009999999995</v>
      </c>
      <c r="T75" s="286">
        <f t="shared" si="10"/>
        <v>984306.96376399999</v>
      </c>
      <c r="U75" s="281"/>
      <c r="V75" s="282">
        <f t="shared" si="11"/>
        <v>1437160.0362359998</v>
      </c>
      <c r="W75" s="235" t="str">
        <f>VLOOKUP($C75,Piloto!$B$69:$E$163,4,0)</f>
        <v>Disponível</v>
      </c>
      <c r="X75" s="283" t="s">
        <v>86</v>
      </c>
    </row>
    <row r="76" spans="2:24" customFormat="1" ht="18.95" hidden="1" thickBot="1">
      <c r="B76" s="321"/>
      <c r="C76" s="44">
        <v>2002</v>
      </c>
      <c r="D76" s="53">
        <f>VLOOKUP($C76,Piloto!$B$67:$H$163,6,0)</f>
        <v>214.79000000000002</v>
      </c>
      <c r="E76" s="53">
        <v>204.15</v>
      </c>
      <c r="F76" s="53">
        <v>0</v>
      </c>
      <c r="G76" s="54" t="s">
        <v>195</v>
      </c>
      <c r="H76" s="55" t="s">
        <v>146</v>
      </c>
      <c r="I76" s="56" t="s">
        <v>196</v>
      </c>
      <c r="J76" s="55">
        <v>6.02</v>
      </c>
      <c r="K76" s="57">
        <v>2</v>
      </c>
      <c r="L76" s="59">
        <v>4.62</v>
      </c>
      <c r="M76" s="40">
        <f>VLOOKUP($C76,Piloto!$B$67:$H$163,7,0)</f>
        <v>9412.7240560547507</v>
      </c>
      <c r="N76" s="47">
        <f t="shared" si="9"/>
        <v>2021759</v>
      </c>
      <c r="O76" s="48">
        <f t="shared" si="2"/>
        <v>80870.36</v>
      </c>
      <c r="P76" s="48">
        <f t="shared" si="3"/>
        <v>40435.18</v>
      </c>
      <c r="Q76" s="48">
        <f t="shared" si="8"/>
        <v>11792.920247</v>
      </c>
      <c r="R76" s="48">
        <f t="shared" si="4"/>
        <v>68992.525875000007</v>
      </c>
      <c r="S76" s="48">
        <f t="shared" si="5"/>
        <v>60652.77</v>
      </c>
      <c r="T76" s="49">
        <f t="shared" si="10"/>
        <v>821828.85942799994</v>
      </c>
      <c r="U76" s="41"/>
      <c r="V76" s="42">
        <f t="shared" si="11"/>
        <v>1199930.1405719998</v>
      </c>
      <c r="W76" t="str">
        <f>VLOOKUP($C76,Piloto!$B$69:$E$163,4,0)</f>
        <v>Fora de Venda</v>
      </c>
      <c r="X76" s="43" t="s">
        <v>86</v>
      </c>
    </row>
    <row r="77" spans="2:24" ht="24.95" thickBot="1">
      <c r="B77" s="320"/>
      <c r="C77" s="258">
        <v>2003</v>
      </c>
      <c r="D77" s="259">
        <f>VLOOKUP($C77,Piloto!$B$67:$H$163,6,0)</f>
        <v>171.21</v>
      </c>
      <c r="E77" s="259">
        <v>165.19</v>
      </c>
      <c r="F77" s="259">
        <v>0</v>
      </c>
      <c r="G77" s="260" t="s">
        <v>197</v>
      </c>
      <c r="H77" s="261" t="s">
        <v>198</v>
      </c>
      <c r="I77" s="262" t="s">
        <v>199</v>
      </c>
      <c r="J77" s="261">
        <v>6.02</v>
      </c>
      <c r="K77" s="263">
        <v>0</v>
      </c>
      <c r="L77" s="264">
        <v>0</v>
      </c>
      <c r="M77" s="40">
        <f>VLOOKUP($C77,Piloto!$B$67:$H$163,7,0)</f>
        <v>9894.0657671864956</v>
      </c>
      <c r="N77" s="284">
        <f t="shared" si="9"/>
        <v>1693963</v>
      </c>
      <c r="O77" s="285">
        <f t="shared" si="2"/>
        <v>67758.52</v>
      </c>
      <c r="P77" s="285">
        <f t="shared" si="3"/>
        <v>33879.26</v>
      </c>
      <c r="Q77" s="285">
        <f t="shared" si="8"/>
        <v>9880.8861789999992</v>
      </c>
      <c r="R77" s="285">
        <f t="shared" si="4"/>
        <v>57806.487375000004</v>
      </c>
      <c r="S77" s="285">
        <f t="shared" si="5"/>
        <v>50818.89</v>
      </c>
      <c r="T77" s="286">
        <f t="shared" si="10"/>
        <v>688582.40779600001</v>
      </c>
      <c r="U77" s="281"/>
      <c r="V77" s="282">
        <f t="shared" si="11"/>
        <v>1005380.5922039999</v>
      </c>
      <c r="W77" s="235" t="str">
        <f>VLOOKUP($C77,Piloto!$B$69:$E$163,4,0)</f>
        <v>Disponível</v>
      </c>
      <c r="X77" s="235" t="s">
        <v>93</v>
      </c>
    </row>
    <row r="78" spans="2:24" customFormat="1" ht="18.95" hidden="1" thickBot="1">
      <c r="B78" s="321"/>
      <c r="C78" s="44">
        <v>2101</v>
      </c>
      <c r="D78" s="53">
        <f>VLOOKUP($C78,Piloto!$B$67:$H$163,6,0)</f>
        <v>247.85</v>
      </c>
      <c r="E78" s="53">
        <v>237.67</v>
      </c>
      <c r="F78" s="53">
        <v>0</v>
      </c>
      <c r="G78" s="54" t="s">
        <v>200</v>
      </c>
      <c r="H78" s="55" t="s">
        <v>201</v>
      </c>
      <c r="I78" s="56" t="s">
        <v>202</v>
      </c>
      <c r="J78" s="55">
        <v>4.5999999999999996</v>
      </c>
      <c r="K78" s="57">
        <v>1</v>
      </c>
      <c r="L78" s="58">
        <v>5.58</v>
      </c>
      <c r="M78" s="40">
        <f>VLOOKUP($C78,Piloto!$B$67:$H$163,7,0)</f>
        <v>9412.725438773452</v>
      </c>
      <c r="N78" s="47">
        <f t="shared" si="9"/>
        <v>2332944</v>
      </c>
      <c r="O78" s="48">
        <f t="shared" si="2"/>
        <v>93317.759999999995</v>
      </c>
      <c r="P78" s="48">
        <f t="shared" si="3"/>
        <v>46658.879999999997</v>
      </c>
      <c r="Q78" s="48">
        <f t="shared" si="8"/>
        <v>13608.062351999999</v>
      </c>
      <c r="R78" s="48">
        <f t="shared" si="4"/>
        <v>79611.714000000007</v>
      </c>
      <c r="S78" s="48">
        <f t="shared" si="5"/>
        <v>69988.319999999992</v>
      </c>
      <c r="T78" s="49">
        <f t="shared" si="10"/>
        <v>948323.07244799996</v>
      </c>
      <c r="U78" s="41"/>
      <c r="V78" s="42">
        <f t="shared" si="11"/>
        <v>1384620.9275519999</v>
      </c>
      <c r="W78" t="str">
        <f>VLOOKUP($C78,Piloto!$B$69:$E$163,4,0)</f>
        <v>Fora de Venda</v>
      </c>
      <c r="X78" s="43" t="s">
        <v>105</v>
      </c>
    </row>
    <row r="79" spans="2:24" ht="24.95" thickBot="1">
      <c r="B79" s="320"/>
      <c r="C79" s="258">
        <v>2102</v>
      </c>
      <c r="D79" s="259">
        <f>VLOOKUP($C79,Piloto!$B$67:$H$163,6,0)</f>
        <v>215.08</v>
      </c>
      <c r="E79" s="259">
        <v>205.99</v>
      </c>
      <c r="F79" s="259">
        <v>0</v>
      </c>
      <c r="G79" s="260" t="s">
        <v>203</v>
      </c>
      <c r="H79" s="261" t="s">
        <v>117</v>
      </c>
      <c r="I79" s="262" t="s">
        <v>204</v>
      </c>
      <c r="J79" s="261">
        <v>4.47</v>
      </c>
      <c r="K79" s="263">
        <v>2</v>
      </c>
      <c r="L79" s="264">
        <v>4.62</v>
      </c>
      <c r="M79" s="40">
        <f>VLOOKUP($C79,Piloto!$B$67:$H$163,7,0)</f>
        <v>9894.0673237864976</v>
      </c>
      <c r="N79" s="284">
        <f t="shared" si="9"/>
        <v>2128016</v>
      </c>
      <c r="O79" s="285">
        <f t="shared" si="2"/>
        <v>85120.639999999999</v>
      </c>
      <c r="P79" s="285">
        <f t="shared" si="3"/>
        <v>42560.32</v>
      </c>
      <c r="Q79" s="285">
        <f t="shared" si="8"/>
        <v>12412.717327999999</v>
      </c>
      <c r="R79" s="285">
        <f t="shared" si="4"/>
        <v>72618.546000000002</v>
      </c>
      <c r="S79" s="285">
        <f t="shared" si="5"/>
        <v>63840.479999999996</v>
      </c>
      <c r="T79" s="286">
        <f t="shared" si="10"/>
        <v>865021.47987199994</v>
      </c>
      <c r="U79" s="281"/>
      <c r="V79" s="282">
        <f t="shared" si="11"/>
        <v>1262994.5201279998</v>
      </c>
      <c r="W79" s="235" t="str">
        <f>VLOOKUP($C79,Piloto!$B$69:$E$163,4,0)</f>
        <v>Disponível</v>
      </c>
      <c r="X79" s="283" t="s">
        <v>82</v>
      </c>
    </row>
    <row r="80" spans="2:24" ht="24.95" hidden="1" thickBot="1">
      <c r="B80" s="320"/>
      <c r="C80" s="288">
        <v>2103</v>
      </c>
      <c r="D80" s="259">
        <f>VLOOKUP($C80,Piloto!$B$67:$H$163,6,0)</f>
        <v>172.52</v>
      </c>
      <c r="E80" s="259">
        <v>167.83</v>
      </c>
      <c r="F80" s="259">
        <v>0</v>
      </c>
      <c r="G80" s="260" t="s">
        <v>205</v>
      </c>
      <c r="H80" s="261" t="s">
        <v>107</v>
      </c>
      <c r="I80" s="262" t="s">
        <v>206</v>
      </c>
      <c r="J80" s="261">
        <v>4.6900000000000004</v>
      </c>
      <c r="K80" s="263">
        <v>0</v>
      </c>
      <c r="L80" s="264">
        <v>0</v>
      </c>
      <c r="M80" s="40">
        <f>VLOOKUP($C80,Piloto!$B$67:$H$163,7,0)</f>
        <v>9757.964293994899</v>
      </c>
      <c r="N80" s="284">
        <f t="shared" si="9"/>
        <v>1683444</v>
      </c>
      <c r="O80" s="285">
        <f t="shared" si="2"/>
        <v>67337.759999999995</v>
      </c>
      <c r="P80" s="285">
        <f t="shared" si="3"/>
        <v>33668.879999999997</v>
      </c>
      <c r="Q80" s="285">
        <f t="shared" si="8"/>
        <v>9819.5288519999995</v>
      </c>
      <c r="R80" s="285">
        <f t="shared" si="4"/>
        <v>57447.526500000007</v>
      </c>
      <c r="S80" s="285">
        <f t="shared" si="5"/>
        <v>50503.32</v>
      </c>
      <c r="T80" s="286">
        <f t="shared" si="10"/>
        <v>684306.51844799996</v>
      </c>
      <c r="U80" s="281"/>
      <c r="V80" s="282">
        <f t="shared" si="11"/>
        <v>999137.48155199992</v>
      </c>
      <c r="W80" s="235" t="str">
        <f>VLOOKUP($C80,Piloto!$B$69:$E$163,4,0)</f>
        <v>CONTRATO</v>
      </c>
      <c r="X80" s="283" t="s">
        <v>82</v>
      </c>
    </row>
    <row r="81" spans="2:24" ht="24.95" hidden="1" thickBot="1">
      <c r="B81" s="320"/>
      <c r="C81" s="289">
        <v>2201</v>
      </c>
      <c r="D81" s="290">
        <f>VLOOKUP($C81,Piloto!$B$67:$H$163,6,0)</f>
        <v>246.33</v>
      </c>
      <c r="E81" s="259">
        <v>235.67</v>
      </c>
      <c r="F81" s="259">
        <v>0</v>
      </c>
      <c r="G81" s="260" t="s">
        <v>207</v>
      </c>
      <c r="H81" s="261" t="s">
        <v>208</v>
      </c>
      <c r="I81" s="262" t="s">
        <v>209</v>
      </c>
      <c r="J81" s="261">
        <v>5.08</v>
      </c>
      <c r="K81" s="263">
        <v>1</v>
      </c>
      <c r="L81" s="291">
        <v>5.58</v>
      </c>
      <c r="M81" s="40">
        <f>VLOOKUP($C81,Piloto!$B$67:$H$163,7,0)</f>
        <v>9674.9725977347462</v>
      </c>
      <c r="N81" s="284">
        <f t="shared" si="9"/>
        <v>2383236</v>
      </c>
      <c r="O81" s="285">
        <f t="shared" si="2"/>
        <v>95329.44</v>
      </c>
      <c r="P81" s="285">
        <f t="shared" si="3"/>
        <v>47664.72</v>
      </c>
      <c r="Q81" s="285">
        <f t="shared" si="8"/>
        <v>13901.415588</v>
      </c>
      <c r="R81" s="285">
        <f t="shared" si="4"/>
        <v>81327.928500000009</v>
      </c>
      <c r="S81" s="285">
        <f t="shared" si="5"/>
        <v>71497.08</v>
      </c>
      <c r="T81" s="286">
        <f t="shared" si="10"/>
        <v>968766.36811199994</v>
      </c>
      <c r="U81" s="281"/>
      <c r="V81" s="282">
        <f t="shared" si="11"/>
        <v>1414469.6318879998</v>
      </c>
      <c r="W81" s="235" t="str">
        <f>VLOOKUP($C81,Piloto!$B$69:$E$163,4,0)</f>
        <v>CONTRATO</v>
      </c>
      <c r="X81" s="283" t="s">
        <v>86</v>
      </c>
    </row>
    <row r="82" spans="2:24" customFormat="1" ht="18.95" hidden="1" thickBot="1">
      <c r="B82" s="321"/>
      <c r="C82" s="44">
        <v>2202</v>
      </c>
      <c r="D82" s="53">
        <f>VLOOKUP($C82,Piloto!$B$67:$H$163,6,0)</f>
        <v>214.25</v>
      </c>
      <c r="E82" s="53">
        <v>204.15</v>
      </c>
      <c r="F82" s="53">
        <v>0</v>
      </c>
      <c r="G82" s="54" t="s">
        <v>210</v>
      </c>
      <c r="H82" s="55" t="s">
        <v>146</v>
      </c>
      <c r="I82" s="56" t="s">
        <v>211</v>
      </c>
      <c r="J82" s="55">
        <v>5.48</v>
      </c>
      <c r="K82" s="57">
        <v>2</v>
      </c>
      <c r="L82" s="58">
        <v>4.62</v>
      </c>
      <c r="M82" s="40">
        <f>VLOOKUP($C82,Piloto!$B$67:$H$163,7,0)</f>
        <v>9412.7281213535589</v>
      </c>
      <c r="N82" s="47">
        <f t="shared" si="9"/>
        <v>2016677</v>
      </c>
      <c r="O82" s="48">
        <f t="shared" si="2"/>
        <v>80667.08</v>
      </c>
      <c r="P82" s="48">
        <f t="shared" si="3"/>
        <v>40333.54</v>
      </c>
      <c r="Q82" s="48">
        <f t="shared" si="8"/>
        <v>11763.276941</v>
      </c>
      <c r="R82" s="48">
        <f t="shared" si="4"/>
        <v>68819.102625</v>
      </c>
      <c r="S82" s="48">
        <f t="shared" si="5"/>
        <v>60500.31</v>
      </c>
      <c r="T82" s="49">
        <f t="shared" si="10"/>
        <v>819763.06708399998</v>
      </c>
      <c r="U82" s="41"/>
      <c r="V82" s="42">
        <f t="shared" si="11"/>
        <v>1196913.9329159998</v>
      </c>
      <c r="W82" t="str">
        <f>VLOOKUP($C82,Piloto!$B$69:$E$163,4,0)</f>
        <v>CONTRATO</v>
      </c>
      <c r="X82" s="43" t="s">
        <v>86</v>
      </c>
    </row>
    <row r="83" spans="2:24" ht="24.95" thickBot="1">
      <c r="B83" s="320"/>
      <c r="C83" s="258">
        <v>2203</v>
      </c>
      <c r="D83" s="259">
        <f>VLOOKUP($C83,Piloto!$B$67:$H$163,6,0)</f>
        <v>169.96</v>
      </c>
      <c r="E83" s="259">
        <v>165.19</v>
      </c>
      <c r="F83" s="259">
        <v>0</v>
      </c>
      <c r="G83" s="260" t="s">
        <v>212</v>
      </c>
      <c r="H83" s="261" t="s">
        <v>98</v>
      </c>
      <c r="I83" s="262" t="s">
        <v>213</v>
      </c>
      <c r="J83" s="261">
        <v>4.7699999999999996</v>
      </c>
      <c r="K83" s="263">
        <v>0</v>
      </c>
      <c r="L83" s="264">
        <v>0</v>
      </c>
      <c r="M83" s="40">
        <f>VLOOKUP($C83,Piloto!$B$67:$H$163,7,0)</f>
        <v>9894.0691927512344</v>
      </c>
      <c r="N83" s="284">
        <f t="shared" si="9"/>
        <v>1681596</v>
      </c>
      <c r="O83" s="285">
        <f t="shared" si="2"/>
        <v>67263.839999999997</v>
      </c>
      <c r="P83" s="285">
        <f t="shared" si="3"/>
        <v>33631.919999999998</v>
      </c>
      <c r="Q83" s="285">
        <f t="shared" si="8"/>
        <v>9808.749468</v>
      </c>
      <c r="R83" s="285">
        <f t="shared" si="4"/>
        <v>57384.463500000005</v>
      </c>
      <c r="S83" s="285">
        <f t="shared" si="5"/>
        <v>50447.88</v>
      </c>
      <c r="T83" s="286">
        <f t="shared" si="10"/>
        <v>683555.32123200002</v>
      </c>
      <c r="U83" s="281"/>
      <c r="V83" s="282">
        <f t="shared" si="11"/>
        <v>998040.67876799987</v>
      </c>
      <c r="W83" s="235" t="str">
        <f>VLOOKUP($C83,Piloto!$B$69:$E$163,4,0)</f>
        <v>Disponível</v>
      </c>
      <c r="X83" s="283" t="s">
        <v>105</v>
      </c>
    </row>
    <row r="84" spans="2:24" customFormat="1" ht="18.95" hidden="1" thickBot="1">
      <c r="B84" s="321"/>
      <c r="C84" s="44">
        <v>2301</v>
      </c>
      <c r="D84" s="53">
        <f>VLOOKUP($C84,Piloto!$B$67:$H$163,6,0)</f>
        <v>248.39</v>
      </c>
      <c r="E84" s="53">
        <v>237.67</v>
      </c>
      <c r="F84" s="53">
        <v>0</v>
      </c>
      <c r="G84" s="54" t="s">
        <v>214</v>
      </c>
      <c r="H84" s="55" t="s">
        <v>215</v>
      </c>
      <c r="I84" s="56" t="s">
        <v>216</v>
      </c>
      <c r="J84" s="55">
        <v>5.14</v>
      </c>
      <c r="K84" s="57">
        <v>1</v>
      </c>
      <c r="L84" s="58">
        <v>5.58</v>
      </c>
      <c r="M84" s="40">
        <f>VLOOKUP($C84,Piloto!$B$67:$H$163,7,0)</f>
        <v>9412.7259551511743</v>
      </c>
      <c r="N84" s="47">
        <f t="shared" si="9"/>
        <v>2338027</v>
      </c>
      <c r="O84" s="48">
        <f t="shared" si="2"/>
        <v>93521.08</v>
      </c>
      <c r="P84" s="48">
        <f t="shared" si="3"/>
        <v>46760.54</v>
      </c>
      <c r="Q84" s="48">
        <f t="shared" si="8"/>
        <v>13637.711491</v>
      </c>
      <c r="R84" s="48">
        <f t="shared" si="4"/>
        <v>79785.171375000005</v>
      </c>
      <c r="S84" s="48">
        <f t="shared" si="5"/>
        <v>70140.81</v>
      </c>
      <c r="T84" s="49">
        <f t="shared" si="10"/>
        <v>950389.27128400013</v>
      </c>
      <c r="U84" s="41"/>
      <c r="V84" s="42">
        <f t="shared" si="11"/>
        <v>1387637.7287159998</v>
      </c>
      <c r="W84" t="str">
        <f>VLOOKUP($C84,Piloto!$B$69:$E$163,4,0)</f>
        <v>CONTRATO</v>
      </c>
      <c r="X84" s="43" t="s">
        <v>86</v>
      </c>
    </row>
    <row r="85" spans="2:24" ht="24.95" hidden="1" thickBot="1">
      <c r="B85" s="320"/>
      <c r="C85" s="258">
        <v>2302</v>
      </c>
      <c r="D85" s="259">
        <f>VLOOKUP($C85,Piloto!$B$67:$H$163,6,0)</f>
        <v>215.11</v>
      </c>
      <c r="E85" s="259">
        <v>205.99</v>
      </c>
      <c r="F85" s="259">
        <v>0</v>
      </c>
      <c r="G85" s="260" t="s">
        <v>217</v>
      </c>
      <c r="H85" s="261" t="s">
        <v>218</v>
      </c>
      <c r="I85" s="262" t="s">
        <v>219</v>
      </c>
      <c r="J85" s="261">
        <v>4.5</v>
      </c>
      <c r="K85" s="263">
        <v>2</v>
      </c>
      <c r="L85" s="264">
        <v>4.62</v>
      </c>
      <c r="M85" s="40">
        <f>VLOOKUP($C85,Piloto!$B$67:$H$163,7,0)</f>
        <v>9757.9656919715489</v>
      </c>
      <c r="N85" s="284">
        <f t="shared" si="9"/>
        <v>2099036</v>
      </c>
      <c r="O85" s="285">
        <f t="shared" si="2"/>
        <v>83961.44</v>
      </c>
      <c r="P85" s="285">
        <f t="shared" si="3"/>
        <v>41980.72</v>
      </c>
      <c r="Q85" s="285">
        <f t="shared" si="8"/>
        <v>12243.676987999999</v>
      </c>
      <c r="R85" s="285">
        <f t="shared" si="4"/>
        <v>71629.603500000012</v>
      </c>
      <c r="S85" s="285">
        <f t="shared" si="5"/>
        <v>62971.079999999994</v>
      </c>
      <c r="T85" s="286">
        <f t="shared" si="10"/>
        <v>853241.34171200008</v>
      </c>
      <c r="U85" s="281"/>
      <c r="V85" s="282">
        <f t="shared" si="11"/>
        <v>1245794.6582879999</v>
      </c>
      <c r="W85" s="235" t="str">
        <f>VLOOKUP($C85,Piloto!$B$69:$E$163,4,0)</f>
        <v>CONTRATO</v>
      </c>
      <c r="X85" s="283" t="s">
        <v>82</v>
      </c>
    </row>
    <row r="86" spans="2:24" ht="24.95" hidden="1" thickBot="1">
      <c r="B86" s="320"/>
      <c r="C86" s="258">
        <v>2303</v>
      </c>
      <c r="D86" s="259">
        <f>VLOOKUP($C86,Piloto!$B$67:$H$163,6,0)</f>
        <v>173.97</v>
      </c>
      <c r="E86" s="259">
        <v>167.83</v>
      </c>
      <c r="F86" s="259">
        <v>0</v>
      </c>
      <c r="G86" s="260" t="s">
        <v>220</v>
      </c>
      <c r="H86" s="261" t="s">
        <v>98</v>
      </c>
      <c r="I86" s="262" t="s">
        <v>221</v>
      </c>
      <c r="J86" s="261">
        <v>6.14</v>
      </c>
      <c r="K86" s="263">
        <v>0</v>
      </c>
      <c r="L86" s="264">
        <v>0</v>
      </c>
      <c r="M86" s="40">
        <f>VLOOKUP($C86,Piloto!$B$67:$H$163,7,0)</f>
        <v>9412.726332126229</v>
      </c>
      <c r="N86" s="284">
        <f t="shared" si="9"/>
        <v>1637532</v>
      </c>
      <c r="O86" s="285">
        <f t="shared" si="2"/>
        <v>65501.279999999999</v>
      </c>
      <c r="P86" s="285">
        <f t="shared" si="3"/>
        <v>32750.639999999999</v>
      </c>
      <c r="Q86" s="285">
        <f t="shared" si="8"/>
        <v>9551.7241560000002</v>
      </c>
      <c r="R86" s="285">
        <f t="shared" si="4"/>
        <v>55880.779500000004</v>
      </c>
      <c r="S86" s="285">
        <f t="shared" si="5"/>
        <v>49125.96</v>
      </c>
      <c r="T86" s="286">
        <f t="shared" si="10"/>
        <v>665643.65774400008</v>
      </c>
      <c r="U86" s="281"/>
      <c r="V86" s="282">
        <f t="shared" si="11"/>
        <v>971888.34225599992</v>
      </c>
      <c r="W86" s="235" t="str">
        <f>VLOOKUP($C86,Piloto!$B$69:$E$163,4,0)</f>
        <v>CONTRATO</v>
      </c>
      <c r="X86" s="283" t="s">
        <v>86</v>
      </c>
    </row>
    <row r="87" spans="2:24" ht="24.95" hidden="1" thickBot="1">
      <c r="B87" s="320"/>
      <c r="C87" s="258">
        <v>2401</v>
      </c>
      <c r="D87" s="259">
        <f>VLOOKUP($C87,Piloto!$B$67:$H$163,6,0)</f>
        <v>249.49</v>
      </c>
      <c r="E87" s="259">
        <v>235.67</v>
      </c>
      <c r="F87" s="259">
        <v>0</v>
      </c>
      <c r="G87" s="260" t="s">
        <v>222</v>
      </c>
      <c r="H87" s="261" t="s">
        <v>215</v>
      </c>
      <c r="I87" s="262" t="s">
        <v>223</v>
      </c>
      <c r="J87" s="261">
        <v>8.24</v>
      </c>
      <c r="K87" s="263">
        <v>1</v>
      </c>
      <c r="L87" s="264">
        <v>5.58</v>
      </c>
      <c r="M87" s="40">
        <f>VLOOKUP($C87,Piloto!$B$67:$H$163,7,0)</f>
        <v>9484.0955549320606</v>
      </c>
      <c r="N87" s="284">
        <f t="shared" si="9"/>
        <v>2366187</v>
      </c>
      <c r="O87" s="285">
        <f t="shared" si="2"/>
        <v>94647.48</v>
      </c>
      <c r="P87" s="285">
        <f t="shared" si="3"/>
        <v>47323.74</v>
      </c>
      <c r="Q87" s="285">
        <f t="shared" si="8"/>
        <v>13801.968771</v>
      </c>
      <c r="R87" s="285">
        <f t="shared" si="4"/>
        <v>80746.131375000012</v>
      </c>
      <c r="S87" s="285">
        <f t="shared" si="5"/>
        <v>70985.61</v>
      </c>
      <c r="T87" s="286">
        <f t="shared" si="10"/>
        <v>961836.08600400004</v>
      </c>
      <c r="U87" s="281"/>
      <c r="V87" s="282">
        <f t="shared" si="11"/>
        <v>1404350.9139959998</v>
      </c>
      <c r="W87" s="235" t="str">
        <f>VLOOKUP($C87,Piloto!$B$69:$E$163,4,0)</f>
        <v>CONTRATO</v>
      </c>
      <c r="X87" s="283" t="s">
        <v>86</v>
      </c>
    </row>
    <row r="88" spans="2:24" customFormat="1" ht="18.95" hidden="1" thickBot="1">
      <c r="B88" s="321"/>
      <c r="C88" s="44">
        <v>2402</v>
      </c>
      <c r="D88" s="53">
        <f>VLOOKUP($C88,Piloto!$B$67:$H$163,6,0)</f>
        <v>213.35000000000002</v>
      </c>
      <c r="E88" s="53">
        <v>204.15</v>
      </c>
      <c r="F88" s="53">
        <v>0</v>
      </c>
      <c r="G88" s="54" t="s">
        <v>224</v>
      </c>
      <c r="H88" s="55" t="s">
        <v>225</v>
      </c>
      <c r="I88" s="56" t="s">
        <v>226</v>
      </c>
      <c r="J88" s="55">
        <v>4.58</v>
      </c>
      <c r="K88" s="57">
        <v>2</v>
      </c>
      <c r="L88" s="58">
        <v>4.62</v>
      </c>
      <c r="M88" s="40">
        <f>VLOOKUP($C88,Piloto!$B$67:$H$163,7,0)</f>
        <v>9412.7255683149742</v>
      </c>
      <c r="N88" s="47">
        <f t="shared" si="9"/>
        <v>2008205</v>
      </c>
      <c r="O88" s="48">
        <f t="shared" si="2"/>
        <v>80328.2</v>
      </c>
      <c r="P88" s="48">
        <f t="shared" si="3"/>
        <v>40164.1</v>
      </c>
      <c r="Q88" s="48">
        <f t="shared" si="8"/>
        <v>11713.859764999999</v>
      </c>
      <c r="R88" s="48">
        <f t="shared" si="4"/>
        <v>68529.99562500001</v>
      </c>
      <c r="S88" s="48">
        <f t="shared" si="5"/>
        <v>60246.149999999994</v>
      </c>
      <c r="T88" s="49">
        <f t="shared" si="10"/>
        <v>816319.26686000009</v>
      </c>
      <c r="U88" s="41"/>
      <c r="V88" s="42">
        <f t="shared" si="11"/>
        <v>1191885.7331399999</v>
      </c>
      <c r="W88" t="str">
        <f>VLOOKUP($C88,Piloto!$B$69:$E$163,4,0)</f>
        <v>Fora de Venda</v>
      </c>
      <c r="X88" s="43" t="s">
        <v>105</v>
      </c>
    </row>
    <row r="89" spans="2:24" ht="24.95" thickBot="1">
      <c r="B89" s="320"/>
      <c r="C89" s="258">
        <v>2403</v>
      </c>
      <c r="D89" s="259">
        <f>VLOOKUP($C89,Piloto!$B$67:$H$163,6,0)</f>
        <v>177.60999999999999</v>
      </c>
      <c r="E89" s="259">
        <v>165.19</v>
      </c>
      <c r="F89" s="259">
        <v>0</v>
      </c>
      <c r="G89" s="260" t="s">
        <v>227</v>
      </c>
      <c r="H89" s="261" t="s">
        <v>228</v>
      </c>
      <c r="I89" s="262" t="s">
        <v>229</v>
      </c>
      <c r="J89" s="261">
        <v>12.42</v>
      </c>
      <c r="K89" s="263">
        <v>0</v>
      </c>
      <c r="L89" s="264">
        <v>0</v>
      </c>
      <c r="M89" s="40">
        <f>VLOOKUP($C89,Piloto!$B$67:$H$163,7,0)</f>
        <v>9894.0656494566756</v>
      </c>
      <c r="N89" s="284">
        <f t="shared" si="9"/>
        <v>1757285</v>
      </c>
      <c r="O89" s="285">
        <f t="shared" si="2"/>
        <v>70291.400000000009</v>
      </c>
      <c r="P89" s="285">
        <f t="shared" si="3"/>
        <v>35145.700000000004</v>
      </c>
      <c r="Q89" s="285">
        <f t="shared" si="8"/>
        <v>10250.243404999999</v>
      </c>
      <c r="R89" s="285">
        <f t="shared" si="4"/>
        <v>59967.350625000006</v>
      </c>
      <c r="S89" s="285">
        <f t="shared" si="5"/>
        <v>52718.549999999996</v>
      </c>
      <c r="T89" s="286">
        <f t="shared" si="10"/>
        <v>714322.29422000004</v>
      </c>
      <c r="U89" s="281"/>
      <c r="V89" s="282">
        <f t="shared" si="11"/>
        <v>1042962.7057799998</v>
      </c>
      <c r="W89" s="235" t="str">
        <f>VLOOKUP($C89,Piloto!$B$69:$E$163,4,0)</f>
        <v>Disponível</v>
      </c>
      <c r="X89" s="283" t="s">
        <v>86</v>
      </c>
    </row>
    <row r="90" spans="2:24" customFormat="1" ht="18.95" hidden="1" thickBot="1">
      <c r="B90" s="321"/>
      <c r="C90" s="44">
        <v>2501</v>
      </c>
      <c r="D90" s="53">
        <f>VLOOKUP($C90,Piloto!$B$67:$H$163,6,0)</f>
        <v>248.73</v>
      </c>
      <c r="E90" s="53">
        <v>237.67</v>
      </c>
      <c r="F90" s="53">
        <v>0</v>
      </c>
      <c r="G90" s="54" t="s">
        <v>230</v>
      </c>
      <c r="H90" s="55" t="s">
        <v>231</v>
      </c>
      <c r="I90" s="56" t="s">
        <v>232</v>
      </c>
      <c r="J90" s="55">
        <v>5.48</v>
      </c>
      <c r="K90" s="57">
        <v>1</v>
      </c>
      <c r="L90" s="58">
        <v>5.58</v>
      </c>
      <c r="M90" s="40">
        <f>VLOOKUP($C90,Piloto!$B$67:$H$163,7,0)</f>
        <v>9412.7246411771812</v>
      </c>
      <c r="N90" s="47">
        <f t="shared" si="9"/>
        <v>2341227</v>
      </c>
      <c r="O90" s="48">
        <f t="shared" si="2"/>
        <v>93649.08</v>
      </c>
      <c r="P90" s="48">
        <f t="shared" si="3"/>
        <v>46824.54</v>
      </c>
      <c r="Q90" s="48">
        <f t="shared" si="8"/>
        <v>13656.377090999998</v>
      </c>
      <c r="R90" s="48">
        <f t="shared" si="4"/>
        <v>79894.371375000002</v>
      </c>
      <c r="S90" s="48">
        <f t="shared" si="5"/>
        <v>70236.81</v>
      </c>
      <c r="T90" s="49">
        <f t="shared" si="10"/>
        <v>951690.0456839999</v>
      </c>
      <c r="U90" s="41"/>
      <c r="V90" s="42">
        <f t="shared" si="11"/>
        <v>1389536.9543159998</v>
      </c>
      <c r="W90" t="str">
        <f>VLOOKUP($C90,Piloto!$B$69:$E$163,4,0)</f>
        <v>CONTRATO</v>
      </c>
      <c r="X90" s="43" t="s">
        <v>82</v>
      </c>
    </row>
    <row r="91" spans="2:24" ht="24.95" thickBot="1">
      <c r="B91" s="320"/>
      <c r="C91" s="258">
        <v>2502</v>
      </c>
      <c r="D91" s="259">
        <f>VLOOKUP($C91,Piloto!$B$67:$H$163,6,0)</f>
        <v>217.9</v>
      </c>
      <c r="E91" s="259">
        <v>205.99</v>
      </c>
      <c r="F91" s="259">
        <v>0</v>
      </c>
      <c r="G91" s="260" t="s">
        <v>233</v>
      </c>
      <c r="H91" s="261" t="s">
        <v>110</v>
      </c>
      <c r="I91" s="262" t="s">
        <v>234</v>
      </c>
      <c r="J91" s="261">
        <v>7.29</v>
      </c>
      <c r="K91" s="262">
        <v>2</v>
      </c>
      <c r="L91" s="292">
        <v>4.62</v>
      </c>
      <c r="M91" s="40">
        <f>VLOOKUP($C91,Piloto!$B$67:$H$163,7,0)</f>
        <v>9894.0660853602567</v>
      </c>
      <c r="N91" s="284">
        <f t="shared" ref="N91:N121" si="12">ROUND(((D91*M91)),0)</f>
        <v>2155917</v>
      </c>
      <c r="O91" s="285">
        <f t="shared" ref="O91:O121" si="13">$O$22*N91</f>
        <v>86236.680000000008</v>
      </c>
      <c r="P91" s="285">
        <f t="shared" ref="P91:P121" si="14">$P$22*N91</f>
        <v>43118.340000000004</v>
      </c>
      <c r="Q91" s="285">
        <f t="shared" ref="Q91:Q121" si="15">$Q$22*N91</f>
        <v>12575.463860999998</v>
      </c>
      <c r="R91" s="285">
        <f t="shared" ref="R91:R121" si="16">$R$22*N91</f>
        <v>73570.667625000002</v>
      </c>
      <c r="S91" s="285">
        <f t="shared" ref="S91:S121" si="17">$S$22*N91</f>
        <v>64677.509999999995</v>
      </c>
      <c r="T91" s="286">
        <f t="shared" ref="T91:T121" si="18">O91*$O$20+P91*$P$20+R91*$R$20+S91*$S$20+Q91*$Q$20</f>
        <v>876363.01316399989</v>
      </c>
      <c r="U91" s="281"/>
      <c r="V91" s="282">
        <f t="shared" ref="V91:V121" si="19">$V$22*N91</f>
        <v>1279553.9868359999</v>
      </c>
      <c r="W91" s="235" t="str">
        <f>VLOOKUP($C91,Piloto!$B$69:$E$163,4,0)</f>
        <v>Disponível</v>
      </c>
      <c r="X91" s="283" t="s">
        <v>86</v>
      </c>
    </row>
    <row r="92" spans="2:24" ht="24.95" thickBot="1">
      <c r="B92" s="320"/>
      <c r="C92" s="288">
        <v>2503</v>
      </c>
      <c r="D92" s="293">
        <f>VLOOKUP($C92,Piloto!$B$67:$H$163,6,0)</f>
        <v>173.46</v>
      </c>
      <c r="E92" s="293">
        <v>167.83</v>
      </c>
      <c r="F92" s="293">
        <v>0</v>
      </c>
      <c r="G92" s="294" t="s">
        <v>235</v>
      </c>
      <c r="H92" s="295" t="s">
        <v>236</v>
      </c>
      <c r="I92" s="296" t="s">
        <v>237</v>
      </c>
      <c r="J92" s="297">
        <v>5.63</v>
      </c>
      <c r="K92" s="262">
        <v>0</v>
      </c>
      <c r="L92" s="292">
        <v>0</v>
      </c>
      <c r="M92" s="40">
        <f>VLOOKUP($C92,Piloto!$B$67:$H$163,7,0)</f>
        <v>9894.0677966101684</v>
      </c>
      <c r="N92" s="284">
        <f t="shared" si="12"/>
        <v>1716225</v>
      </c>
      <c r="O92" s="285">
        <f t="shared" si="13"/>
        <v>68649</v>
      </c>
      <c r="P92" s="285">
        <f t="shared" si="14"/>
        <v>34324.5</v>
      </c>
      <c r="Q92" s="285">
        <f t="shared" si="15"/>
        <v>10010.740425</v>
      </c>
      <c r="R92" s="285">
        <f t="shared" si="16"/>
        <v>58566.178125000006</v>
      </c>
      <c r="S92" s="285">
        <f t="shared" si="17"/>
        <v>51486.75</v>
      </c>
      <c r="T92" s="286">
        <f t="shared" si="18"/>
        <v>697631.73270000005</v>
      </c>
      <c r="U92" s="281"/>
      <c r="V92" s="282">
        <f t="shared" si="19"/>
        <v>1018593.2672999998</v>
      </c>
      <c r="W92" s="235" t="str">
        <f>VLOOKUP($C92,Piloto!$B$69:$E$163,4,0)</f>
        <v>Disponível</v>
      </c>
      <c r="X92" s="283" t="s">
        <v>86</v>
      </c>
    </row>
    <row r="93" spans="2:24" ht="24.95" hidden="1" thickBot="1">
      <c r="B93" s="320"/>
      <c r="C93" s="298">
        <v>2601</v>
      </c>
      <c r="D93" s="259">
        <f>VLOOKUP($C93,Piloto!$B$67:$H$163,6,0)</f>
        <v>247.58</v>
      </c>
      <c r="E93" s="259">
        <v>235.67</v>
      </c>
      <c r="F93" s="259">
        <v>0</v>
      </c>
      <c r="G93" s="260" t="s">
        <v>238</v>
      </c>
      <c r="H93" s="299" t="s">
        <v>239</v>
      </c>
      <c r="I93" s="262" t="s">
        <v>240</v>
      </c>
      <c r="J93" s="261">
        <v>6.33</v>
      </c>
      <c r="K93" s="262">
        <v>1</v>
      </c>
      <c r="L93" s="292">
        <v>5.58</v>
      </c>
      <c r="M93" s="40">
        <f>VLOOKUP($C93,Piloto!$B$67:$H$163,7,0)</f>
        <v>9412.7271992891183</v>
      </c>
      <c r="N93" s="284">
        <f t="shared" si="12"/>
        <v>2330403</v>
      </c>
      <c r="O93" s="285">
        <f t="shared" si="13"/>
        <v>93216.12</v>
      </c>
      <c r="P93" s="285">
        <f t="shared" si="14"/>
        <v>46608.06</v>
      </c>
      <c r="Q93" s="285">
        <f t="shared" si="15"/>
        <v>13593.240699</v>
      </c>
      <c r="R93" s="285">
        <f t="shared" si="16"/>
        <v>79525.002375000011</v>
      </c>
      <c r="S93" s="285">
        <f t="shared" si="17"/>
        <v>69912.09</v>
      </c>
      <c r="T93" s="286">
        <f t="shared" si="18"/>
        <v>947290.17627599998</v>
      </c>
      <c r="U93" s="281"/>
      <c r="V93" s="282">
        <f t="shared" si="19"/>
        <v>1383112.8237239998</v>
      </c>
      <c r="W93" s="235" t="str">
        <f>VLOOKUP($C93,Piloto!$B$69:$E$163,4,0)</f>
        <v>CONTRATO</v>
      </c>
    </row>
    <row r="94" spans="2:24" customFormat="1" ht="18.95" hidden="1" thickBot="1">
      <c r="B94" s="321"/>
      <c r="C94" s="44">
        <v>2602</v>
      </c>
      <c r="D94" s="61">
        <f>VLOOKUP($C94,Piloto!$B$67:$H$163,6,0)</f>
        <v>215.75</v>
      </c>
      <c r="E94" s="61">
        <v>204.15</v>
      </c>
      <c r="F94" s="61">
        <v>0</v>
      </c>
      <c r="G94" s="66" t="s">
        <v>241</v>
      </c>
      <c r="H94" s="62" t="s">
        <v>225</v>
      </c>
      <c r="I94" s="63" t="s">
        <v>242</v>
      </c>
      <c r="J94" s="64">
        <v>6.98</v>
      </c>
      <c r="K94" s="56">
        <v>2</v>
      </c>
      <c r="L94" s="60">
        <v>4.62</v>
      </c>
      <c r="M94" s="40">
        <f>VLOOKUP($C94,Piloto!$B$67:$H$163,7,0)</f>
        <v>9412.727694090383</v>
      </c>
      <c r="N94" s="47">
        <f t="shared" si="12"/>
        <v>2030796</v>
      </c>
      <c r="O94" s="48">
        <f t="shared" si="13"/>
        <v>81231.839999999997</v>
      </c>
      <c r="P94" s="48">
        <f t="shared" si="14"/>
        <v>40615.919999999998</v>
      </c>
      <c r="Q94" s="48">
        <f t="shared" si="15"/>
        <v>11845.633067999999</v>
      </c>
      <c r="R94" s="48">
        <f t="shared" si="16"/>
        <v>69300.91350000001</v>
      </c>
      <c r="S94" s="48">
        <f t="shared" si="17"/>
        <v>60923.88</v>
      </c>
      <c r="T94" s="49">
        <f t="shared" si="18"/>
        <v>825502.32763199997</v>
      </c>
      <c r="U94" s="41"/>
      <c r="V94" s="42">
        <f t="shared" si="19"/>
        <v>1205293.6723679998</v>
      </c>
      <c r="W94" t="str">
        <f>VLOOKUP($C94,Piloto!$B$69:$E$163,4,0)</f>
        <v>CONTRATO</v>
      </c>
      <c r="X94" s="43"/>
    </row>
    <row r="95" spans="2:24" ht="24.95" thickBot="1">
      <c r="B95" s="320"/>
      <c r="C95" s="258">
        <v>2603</v>
      </c>
      <c r="D95" s="259">
        <f>VLOOKUP($C95,Piloto!$B$67:$H$163,6,0)</f>
        <v>170.92</v>
      </c>
      <c r="E95" s="259">
        <v>165.19</v>
      </c>
      <c r="F95" s="259">
        <v>0</v>
      </c>
      <c r="G95" s="260" t="s">
        <v>243</v>
      </c>
      <c r="H95" s="299" t="s">
        <v>107</v>
      </c>
      <c r="I95" s="262" t="s">
        <v>244</v>
      </c>
      <c r="J95" s="261">
        <v>5.73</v>
      </c>
      <c r="K95" s="262">
        <v>0</v>
      </c>
      <c r="L95" s="292">
        <v>0</v>
      </c>
      <c r="M95" s="40">
        <f>VLOOKUP($C95,Piloto!$B$67:$H$163,7,0)</f>
        <v>9894.0673999531955</v>
      </c>
      <c r="N95" s="284">
        <f t="shared" si="12"/>
        <v>1691094</v>
      </c>
      <c r="O95" s="285">
        <f t="shared" si="13"/>
        <v>67643.759999999995</v>
      </c>
      <c r="P95" s="285">
        <f t="shared" si="14"/>
        <v>33821.879999999997</v>
      </c>
      <c r="Q95" s="285">
        <f t="shared" si="15"/>
        <v>9864.1513020000002</v>
      </c>
      <c r="R95" s="285">
        <f t="shared" si="16"/>
        <v>57708.582750000001</v>
      </c>
      <c r="S95" s="285">
        <f t="shared" si="17"/>
        <v>50732.82</v>
      </c>
      <c r="T95" s="286">
        <f t="shared" si="18"/>
        <v>687416.18224800006</v>
      </c>
      <c r="U95" s="281"/>
      <c r="V95" s="282">
        <f t="shared" si="19"/>
        <v>1003677.8177519998</v>
      </c>
      <c r="W95" s="235" t="str">
        <f>VLOOKUP($C95,Piloto!$B$69:$E$163,4,0)</f>
        <v>Disponível</v>
      </c>
      <c r="X95" s="283"/>
    </row>
    <row r="96" spans="2:24" customFormat="1" ht="18.95" hidden="1" thickBot="1">
      <c r="B96" s="321"/>
      <c r="C96" s="44">
        <v>2701</v>
      </c>
      <c r="D96" s="61">
        <f>VLOOKUP($C96,Piloto!$B$67:$H$163,6,0)</f>
        <v>249.63</v>
      </c>
      <c r="E96" s="61">
        <v>237.67</v>
      </c>
      <c r="F96" s="61">
        <v>0</v>
      </c>
      <c r="G96" s="66" t="s">
        <v>245</v>
      </c>
      <c r="H96" s="62" t="s">
        <v>110</v>
      </c>
      <c r="I96" s="63" t="s">
        <v>246</v>
      </c>
      <c r="J96" s="64">
        <v>6.38</v>
      </c>
      <c r="K96" s="56">
        <v>1</v>
      </c>
      <c r="L96" s="60">
        <v>5.58</v>
      </c>
      <c r="M96" s="40">
        <f>VLOOKUP($C96,Piloto!$B$67:$H$163,7,0)</f>
        <v>9412.7268357168614</v>
      </c>
      <c r="N96" s="47">
        <f t="shared" si="12"/>
        <v>2349699</v>
      </c>
      <c r="O96" s="48">
        <f t="shared" si="13"/>
        <v>93987.96</v>
      </c>
      <c r="P96" s="48">
        <f t="shared" si="14"/>
        <v>46993.98</v>
      </c>
      <c r="Q96" s="48">
        <f t="shared" si="15"/>
        <v>13705.794266999999</v>
      </c>
      <c r="R96" s="48">
        <f t="shared" si="16"/>
        <v>80183.478375000006</v>
      </c>
      <c r="S96" s="48">
        <f t="shared" si="17"/>
        <v>70490.97</v>
      </c>
      <c r="T96" s="49">
        <f t="shared" si="18"/>
        <v>955133.84590800002</v>
      </c>
      <c r="U96" s="41"/>
      <c r="V96" s="42">
        <f t="shared" si="19"/>
        <v>1394565.1540919999</v>
      </c>
      <c r="W96" t="str">
        <f>VLOOKUP($C96,Piloto!$B$69:$E$163,4,0)</f>
        <v>Fora de Venda</v>
      </c>
      <c r="X96" s="43"/>
    </row>
    <row r="97" spans="2:24" ht="24.95" thickBot="1">
      <c r="B97" s="320"/>
      <c r="C97" s="258">
        <v>2702</v>
      </c>
      <c r="D97" s="259">
        <f>VLOOKUP($C97,Piloto!$B$67:$H$163,6,0)</f>
        <v>215.3</v>
      </c>
      <c r="E97" s="259">
        <v>205.99</v>
      </c>
      <c r="F97" s="259">
        <v>0</v>
      </c>
      <c r="G97" s="260" t="s">
        <v>247</v>
      </c>
      <c r="H97" s="299" t="s">
        <v>231</v>
      </c>
      <c r="I97" s="262" t="s">
        <v>248</v>
      </c>
      <c r="J97" s="261">
        <v>4.6900000000000004</v>
      </c>
      <c r="K97" s="262">
        <v>2</v>
      </c>
      <c r="L97" s="292">
        <v>4.62</v>
      </c>
      <c r="M97" s="40">
        <f>VLOOKUP($C97,Piloto!$B$67:$H$163,7,0)</f>
        <v>9894.0687412912212</v>
      </c>
      <c r="N97" s="284">
        <f t="shared" si="12"/>
        <v>2130193</v>
      </c>
      <c r="O97" s="285">
        <f t="shared" si="13"/>
        <v>85207.72</v>
      </c>
      <c r="P97" s="285">
        <f t="shared" si="14"/>
        <v>42603.86</v>
      </c>
      <c r="Q97" s="285">
        <f t="shared" si="15"/>
        <v>12425.415768999999</v>
      </c>
      <c r="R97" s="285">
        <f t="shared" si="16"/>
        <v>72692.836125000002</v>
      </c>
      <c r="S97" s="285">
        <f t="shared" si="17"/>
        <v>63905.79</v>
      </c>
      <c r="T97" s="286">
        <f t="shared" si="18"/>
        <v>865906.41295599996</v>
      </c>
      <c r="U97" s="281"/>
      <c r="V97" s="282">
        <f t="shared" si="19"/>
        <v>1264286.5870439999</v>
      </c>
      <c r="W97" s="235" t="str">
        <f>VLOOKUP($C97,Piloto!$B$69:$E$163,4,0)</f>
        <v>Disponível</v>
      </c>
      <c r="X97" s="283"/>
    </row>
    <row r="98" spans="2:24" ht="24.95" hidden="1" thickBot="1">
      <c r="B98" s="320"/>
      <c r="C98" s="258">
        <v>2703</v>
      </c>
      <c r="D98" s="293">
        <f>VLOOKUP($C98,Piloto!$B$67:$H$163,6,0)</f>
        <v>172.39000000000001</v>
      </c>
      <c r="E98" s="293">
        <v>167.83</v>
      </c>
      <c r="F98" s="293">
        <v>0</v>
      </c>
      <c r="G98" s="300" t="s">
        <v>249</v>
      </c>
      <c r="H98" s="295" t="s">
        <v>98</v>
      </c>
      <c r="I98" s="296" t="s">
        <v>250</v>
      </c>
      <c r="J98" s="297">
        <v>4.5599999999999996</v>
      </c>
      <c r="K98" s="262">
        <v>0</v>
      </c>
      <c r="L98" s="292">
        <v>0</v>
      </c>
      <c r="M98" s="40">
        <f>VLOOKUP($C98,Piloto!$B$67:$H$163,7,0)</f>
        <v>9484.1000058007994</v>
      </c>
      <c r="N98" s="284">
        <f t="shared" si="12"/>
        <v>1634964</v>
      </c>
      <c r="O98" s="285">
        <f t="shared" si="13"/>
        <v>65398.560000000005</v>
      </c>
      <c r="P98" s="285">
        <f t="shared" si="14"/>
        <v>32699.280000000002</v>
      </c>
      <c r="Q98" s="285">
        <f t="shared" si="15"/>
        <v>9536.7450119999994</v>
      </c>
      <c r="R98" s="285">
        <f t="shared" si="16"/>
        <v>55793.146500000003</v>
      </c>
      <c r="S98" s="285">
        <f t="shared" si="17"/>
        <v>49048.92</v>
      </c>
      <c r="T98" s="286">
        <f t="shared" si="18"/>
        <v>664599.78628799994</v>
      </c>
      <c r="U98" s="281"/>
      <c r="V98" s="282">
        <f t="shared" si="19"/>
        <v>970364.21371199982</v>
      </c>
      <c r="W98" s="235" t="str">
        <f>VLOOKUP($C98,Piloto!$B$69:$E$163,4,0)</f>
        <v>CONTRATO</v>
      </c>
      <c r="X98" s="283"/>
    </row>
    <row r="99" spans="2:24" ht="24.95" hidden="1" thickBot="1">
      <c r="B99" s="320"/>
      <c r="C99" s="258">
        <v>2801</v>
      </c>
      <c r="D99" s="259">
        <f>VLOOKUP($C99,Piloto!$B$67:$H$163,6,0)</f>
        <v>249.49</v>
      </c>
      <c r="E99" s="259">
        <v>235.67</v>
      </c>
      <c r="F99" s="259">
        <v>0</v>
      </c>
      <c r="G99" s="260" t="s">
        <v>251</v>
      </c>
      <c r="H99" s="299" t="s">
        <v>95</v>
      </c>
      <c r="I99" s="262" t="s">
        <v>252</v>
      </c>
      <c r="J99" s="261">
        <v>8.24</v>
      </c>
      <c r="K99" s="262">
        <v>1</v>
      </c>
      <c r="L99" s="292">
        <v>5.58</v>
      </c>
      <c r="M99" s="40">
        <f>VLOOKUP($C99,Piloto!$B$67:$H$163,7,0)</f>
        <v>9412.7259609603589</v>
      </c>
      <c r="N99" s="284">
        <f t="shared" si="12"/>
        <v>2348381</v>
      </c>
      <c r="O99" s="285">
        <f t="shared" si="13"/>
        <v>93935.24</v>
      </c>
      <c r="P99" s="285">
        <f t="shared" si="14"/>
        <v>46967.62</v>
      </c>
      <c r="Q99" s="285">
        <f t="shared" si="15"/>
        <v>13698.106372999999</v>
      </c>
      <c r="R99" s="285">
        <f t="shared" si="16"/>
        <v>80138.501625000004</v>
      </c>
      <c r="S99" s="285">
        <f t="shared" si="17"/>
        <v>70451.429999999993</v>
      </c>
      <c r="T99" s="286">
        <f t="shared" si="18"/>
        <v>954598.08945199987</v>
      </c>
      <c r="U99" s="281"/>
      <c r="V99" s="282">
        <f t="shared" si="19"/>
        <v>1393782.9105479999</v>
      </c>
      <c r="W99" s="235" t="str">
        <f>VLOOKUP($C99,Piloto!$B$69:$E$163,4,0)</f>
        <v>CONTRATO</v>
      </c>
      <c r="X99" s="283"/>
    </row>
    <row r="100" spans="2:24" ht="24.95" hidden="1" thickBot="1">
      <c r="B100" s="320"/>
      <c r="C100" s="258">
        <v>2802</v>
      </c>
      <c r="D100" s="293">
        <f>VLOOKUP($C100,Piloto!$B$67:$H$163,6,0)</f>
        <v>215.75</v>
      </c>
      <c r="E100" s="293">
        <v>204.15</v>
      </c>
      <c r="F100" s="293">
        <v>0</v>
      </c>
      <c r="G100" s="300" t="s">
        <v>253</v>
      </c>
      <c r="H100" s="295" t="s">
        <v>231</v>
      </c>
      <c r="I100" s="296" t="s">
        <v>254</v>
      </c>
      <c r="J100" s="297">
        <v>6.98</v>
      </c>
      <c r="K100" s="262">
        <v>2</v>
      </c>
      <c r="L100" s="292">
        <v>4.62</v>
      </c>
      <c r="M100" s="40">
        <f>VLOOKUP($C100,Piloto!$B$67:$H$163,7,0)</f>
        <v>9412.727694090383</v>
      </c>
      <c r="N100" s="284">
        <f t="shared" si="12"/>
        <v>2030796</v>
      </c>
      <c r="O100" s="285">
        <f t="shared" si="13"/>
        <v>81231.839999999997</v>
      </c>
      <c r="P100" s="285">
        <f t="shared" si="14"/>
        <v>40615.919999999998</v>
      </c>
      <c r="Q100" s="285">
        <f t="shared" si="15"/>
        <v>11845.633067999999</v>
      </c>
      <c r="R100" s="285">
        <f t="shared" si="16"/>
        <v>69300.91350000001</v>
      </c>
      <c r="S100" s="285">
        <f t="shared" si="17"/>
        <v>60923.88</v>
      </c>
      <c r="T100" s="286">
        <f t="shared" si="18"/>
        <v>825502.32763199997</v>
      </c>
      <c r="U100" s="281"/>
      <c r="V100" s="282">
        <f t="shared" si="19"/>
        <v>1205293.6723679998</v>
      </c>
      <c r="W100" s="235" t="str">
        <f>VLOOKUP($C100,Piloto!$B$69:$E$163,4,0)</f>
        <v>CONTRATO</v>
      </c>
      <c r="X100" s="283"/>
    </row>
    <row r="101" spans="2:24" ht="24.95" thickBot="1">
      <c r="B101" s="320"/>
      <c r="C101" s="258">
        <v>2803</v>
      </c>
      <c r="D101" s="259">
        <f>VLOOKUP($C101,Piloto!$B$67:$H$163,6,0)</f>
        <v>169.49</v>
      </c>
      <c r="E101" s="259">
        <v>165.19</v>
      </c>
      <c r="F101" s="259">
        <v>0</v>
      </c>
      <c r="G101" s="260" t="s">
        <v>255</v>
      </c>
      <c r="H101" s="299" t="s">
        <v>98</v>
      </c>
      <c r="I101" s="262" t="s">
        <v>256</v>
      </c>
      <c r="J101" s="261">
        <v>4.3</v>
      </c>
      <c r="K101" s="262">
        <v>0</v>
      </c>
      <c r="L101" s="292">
        <v>0</v>
      </c>
      <c r="M101" s="40">
        <f>VLOOKUP($C101,Piloto!$B$67:$H$163,7,0)</f>
        <v>9894.0704466340194</v>
      </c>
      <c r="N101" s="284">
        <f t="shared" si="12"/>
        <v>1676946</v>
      </c>
      <c r="O101" s="285">
        <f t="shared" si="13"/>
        <v>67077.84</v>
      </c>
      <c r="P101" s="285">
        <f t="shared" si="14"/>
        <v>33538.92</v>
      </c>
      <c r="Q101" s="285">
        <f t="shared" si="15"/>
        <v>9781.626017999999</v>
      </c>
      <c r="R101" s="285">
        <f t="shared" si="16"/>
        <v>57225.782250000004</v>
      </c>
      <c r="S101" s="285">
        <f t="shared" si="17"/>
        <v>50308.38</v>
      </c>
      <c r="T101" s="286">
        <f t="shared" si="18"/>
        <v>681665.13343199994</v>
      </c>
      <c r="U101" s="281"/>
      <c r="V101" s="282">
        <f t="shared" si="19"/>
        <v>995280.86656799982</v>
      </c>
      <c r="W101" s="235" t="str">
        <f>VLOOKUP($C101,Piloto!$B$69:$E$163,4,0)</f>
        <v>Disponível</v>
      </c>
      <c r="X101" s="283"/>
    </row>
    <row r="102" spans="2:24" customFormat="1" ht="18.95" hidden="1" thickBot="1">
      <c r="B102" s="321"/>
      <c r="C102" s="44">
        <v>2901</v>
      </c>
      <c r="D102" s="61">
        <f>VLOOKUP($C102,Piloto!$B$67:$H$163,6,0)</f>
        <v>248.03</v>
      </c>
      <c r="E102" s="61">
        <v>237.67</v>
      </c>
      <c r="F102" s="61">
        <v>0</v>
      </c>
      <c r="G102" s="66" t="s">
        <v>257</v>
      </c>
      <c r="H102" s="62" t="s">
        <v>231</v>
      </c>
      <c r="I102" s="63" t="s">
        <v>258</v>
      </c>
      <c r="J102" s="64">
        <v>4.78</v>
      </c>
      <c r="K102" s="56">
        <v>1</v>
      </c>
      <c r="L102" s="60">
        <v>5.58</v>
      </c>
      <c r="M102" s="40">
        <f>VLOOKUP($C102,Piloto!$B$67:$H$163,7,0)</f>
        <v>9412.724267225738</v>
      </c>
      <c r="N102" s="47">
        <f t="shared" si="12"/>
        <v>2334638</v>
      </c>
      <c r="O102" s="48">
        <f t="shared" si="13"/>
        <v>93385.52</v>
      </c>
      <c r="P102" s="48">
        <f t="shared" si="14"/>
        <v>46692.76</v>
      </c>
      <c r="Q102" s="48">
        <f t="shared" si="15"/>
        <v>13617.943453999998</v>
      </c>
      <c r="R102" s="48">
        <f t="shared" si="16"/>
        <v>79669.52175</v>
      </c>
      <c r="S102" s="48">
        <f t="shared" si="17"/>
        <v>70039.14</v>
      </c>
      <c r="T102" s="49">
        <f t="shared" si="18"/>
        <v>949011.66989599995</v>
      </c>
      <c r="U102" s="41"/>
      <c r="V102" s="42">
        <f t="shared" si="19"/>
        <v>1385626.3301039999</v>
      </c>
      <c r="W102" t="str">
        <f>VLOOKUP($C102,Piloto!$B$69:$E$163,4,0)</f>
        <v>Fora de Venda</v>
      </c>
      <c r="X102" s="43"/>
    </row>
    <row r="103" spans="2:24">
      <c r="B103" s="320"/>
      <c r="C103" s="258">
        <v>2902</v>
      </c>
      <c r="D103" s="259">
        <f>VLOOKUP($C103,Piloto!$B$67:$H$163,6,0)</f>
        <v>214.91000000000003</v>
      </c>
      <c r="E103" s="259">
        <v>205.99</v>
      </c>
      <c r="F103" s="259">
        <v>0</v>
      </c>
      <c r="G103" s="260" t="s">
        <v>259</v>
      </c>
      <c r="H103" s="299" t="s">
        <v>231</v>
      </c>
      <c r="I103" s="262" t="s">
        <v>260</v>
      </c>
      <c r="J103" s="261">
        <v>4.3</v>
      </c>
      <c r="K103" s="262">
        <v>2</v>
      </c>
      <c r="L103" s="292">
        <v>4.62</v>
      </c>
      <c r="M103" s="40">
        <f>VLOOKUP($C103,Piloto!$B$67:$H$163,7,0)</f>
        <v>9894.0672839793388</v>
      </c>
      <c r="N103" s="284">
        <f t="shared" si="12"/>
        <v>2126334</v>
      </c>
      <c r="O103" s="285">
        <f t="shared" si="13"/>
        <v>85053.36</v>
      </c>
      <c r="P103" s="285">
        <f t="shared" si="14"/>
        <v>42526.68</v>
      </c>
      <c r="Q103" s="285">
        <f t="shared" si="15"/>
        <v>12402.906222</v>
      </c>
      <c r="R103" s="285">
        <f t="shared" si="16"/>
        <v>72561.147750000004</v>
      </c>
      <c r="S103" s="285">
        <f t="shared" si="17"/>
        <v>63790.02</v>
      </c>
      <c r="T103" s="286">
        <f t="shared" si="18"/>
        <v>864337.76032800006</v>
      </c>
      <c r="U103" s="281"/>
      <c r="V103" s="282">
        <f t="shared" si="19"/>
        <v>1261996.2396719998</v>
      </c>
      <c r="W103" s="235" t="str">
        <f>VLOOKUP($C103,Piloto!$B$69:$E$163,4,0)</f>
        <v>Disponível</v>
      </c>
      <c r="X103" s="283"/>
    </row>
    <row r="104" spans="2:24" customFormat="1" ht="18" hidden="1">
      <c r="B104" s="321"/>
      <c r="C104" s="44">
        <v>2903</v>
      </c>
      <c r="D104" s="61">
        <f>VLOOKUP($C104,Piloto!$B$67:$H$163,6,0)</f>
        <v>172.35000000000002</v>
      </c>
      <c r="E104" s="61">
        <v>167.83</v>
      </c>
      <c r="F104" s="61">
        <v>0</v>
      </c>
      <c r="G104" s="66" t="s">
        <v>261</v>
      </c>
      <c r="H104" s="62" t="s">
        <v>107</v>
      </c>
      <c r="I104" s="63" t="s">
        <v>262</v>
      </c>
      <c r="J104" s="64">
        <v>4.5199999999999996</v>
      </c>
      <c r="K104" s="56">
        <v>0</v>
      </c>
      <c r="L104" s="60">
        <v>0</v>
      </c>
      <c r="M104" s="40">
        <f>VLOOKUP($C104,Piloto!$B$67:$H$163,7,0)</f>
        <v>9412.7241079199284</v>
      </c>
      <c r="N104" s="47">
        <f t="shared" si="12"/>
        <v>1622283</v>
      </c>
      <c r="O104" s="48">
        <f t="shared" si="13"/>
        <v>64891.32</v>
      </c>
      <c r="P104" s="48">
        <f t="shared" si="14"/>
        <v>32445.66</v>
      </c>
      <c r="Q104" s="48">
        <f t="shared" si="15"/>
        <v>9462.776738999999</v>
      </c>
      <c r="R104" s="48">
        <f t="shared" si="16"/>
        <v>55360.407375000003</v>
      </c>
      <c r="S104" s="48">
        <f t="shared" si="17"/>
        <v>48668.49</v>
      </c>
      <c r="T104" s="49">
        <f t="shared" si="18"/>
        <v>659445.06123599992</v>
      </c>
      <c r="U104" s="41"/>
      <c r="V104" s="42">
        <f t="shared" si="19"/>
        <v>962837.93876399985</v>
      </c>
      <c r="W104" t="str">
        <f>VLOOKUP($C104,Piloto!$B$69:$E$163,4,0)</f>
        <v>CONTRATO</v>
      </c>
      <c r="X104" s="43"/>
    </row>
    <row r="105" spans="2:24" customFormat="1" ht="18" hidden="1">
      <c r="B105" s="321"/>
      <c r="C105" s="44">
        <v>3001</v>
      </c>
      <c r="D105" s="53">
        <f>VLOOKUP($C105,Piloto!$B$67:$H$163,6,0)</f>
        <v>247.58</v>
      </c>
      <c r="E105" s="53">
        <v>235.67</v>
      </c>
      <c r="F105" s="53">
        <v>0</v>
      </c>
      <c r="G105" s="54" t="s">
        <v>263</v>
      </c>
      <c r="H105" s="65" t="s">
        <v>231</v>
      </c>
      <c r="I105" s="56" t="s">
        <v>264</v>
      </c>
      <c r="J105" s="55">
        <v>6.33</v>
      </c>
      <c r="K105" s="56">
        <v>1</v>
      </c>
      <c r="L105" s="60">
        <v>5.58</v>
      </c>
      <c r="M105" s="40">
        <f>VLOOKUP($C105,Piloto!$B$67:$H$163,7,0)</f>
        <v>9412.7271992891183</v>
      </c>
      <c r="N105" s="47">
        <f t="shared" si="12"/>
        <v>2330403</v>
      </c>
      <c r="O105" s="48">
        <f t="shared" si="13"/>
        <v>93216.12</v>
      </c>
      <c r="P105" s="48">
        <f t="shared" si="14"/>
        <v>46608.06</v>
      </c>
      <c r="Q105" s="48">
        <f t="shared" si="15"/>
        <v>13593.240699</v>
      </c>
      <c r="R105" s="48">
        <f t="shared" si="16"/>
        <v>79525.002375000011</v>
      </c>
      <c r="S105" s="48">
        <f t="shared" si="17"/>
        <v>69912.09</v>
      </c>
      <c r="T105" s="49">
        <f t="shared" si="18"/>
        <v>947290.17627599998</v>
      </c>
      <c r="U105" s="41"/>
      <c r="V105" s="42">
        <f t="shared" si="19"/>
        <v>1383112.8237239998</v>
      </c>
      <c r="W105" t="str">
        <f>VLOOKUP($C105,Piloto!$B$69:$E$163,4,0)</f>
        <v>CONTRATO</v>
      </c>
      <c r="X105" s="43"/>
    </row>
    <row r="106" spans="2:24" customFormat="1" ht="18" hidden="1">
      <c r="B106" s="321"/>
      <c r="C106" s="44">
        <v>3002</v>
      </c>
      <c r="D106" s="61">
        <f>VLOOKUP($C106,Piloto!$B$67:$H$163,6,0)</f>
        <v>213.36</v>
      </c>
      <c r="E106" s="61">
        <v>204.15</v>
      </c>
      <c r="F106" s="61">
        <v>0</v>
      </c>
      <c r="G106" s="66" t="s">
        <v>265</v>
      </c>
      <c r="H106" s="62" t="s">
        <v>110</v>
      </c>
      <c r="I106" s="63" t="s">
        <v>266</v>
      </c>
      <c r="J106" s="64">
        <v>4.59</v>
      </c>
      <c r="K106" s="56">
        <v>2</v>
      </c>
      <c r="L106" s="60">
        <v>4.62</v>
      </c>
      <c r="M106" s="40">
        <f>VLOOKUP($C106,Piloto!$B$67:$H$163,7,0)</f>
        <v>9412.7249718785151</v>
      </c>
      <c r="N106" s="47">
        <f t="shared" si="12"/>
        <v>2008299</v>
      </c>
      <c r="O106" s="48">
        <f t="shared" si="13"/>
        <v>80331.960000000006</v>
      </c>
      <c r="P106" s="48">
        <f t="shared" si="14"/>
        <v>40165.980000000003</v>
      </c>
      <c r="Q106" s="48">
        <f t="shared" si="15"/>
        <v>11714.408066999998</v>
      </c>
      <c r="R106" s="48">
        <f t="shared" si="16"/>
        <v>68533.203375000012</v>
      </c>
      <c r="S106" s="48">
        <f t="shared" si="17"/>
        <v>60248.97</v>
      </c>
      <c r="T106" s="49">
        <f t="shared" si="18"/>
        <v>816357.47710800008</v>
      </c>
      <c r="U106" s="41"/>
      <c r="V106" s="42">
        <f t="shared" si="19"/>
        <v>1191941.5228919999</v>
      </c>
      <c r="W106" t="str">
        <f>VLOOKUP($C106,Piloto!$B$69:$E$163,4,0)</f>
        <v>CONTRATO</v>
      </c>
      <c r="X106" s="43"/>
    </row>
    <row r="107" spans="2:24" customFormat="1" ht="18" hidden="1">
      <c r="B107" s="321"/>
      <c r="C107" s="44">
        <v>3003</v>
      </c>
      <c r="D107" s="53">
        <f>VLOOKUP($C107,Piloto!$B$67:$H$163,6,0)</f>
        <v>169.63</v>
      </c>
      <c r="E107" s="53">
        <v>165.19</v>
      </c>
      <c r="F107" s="53">
        <v>0</v>
      </c>
      <c r="G107" s="54" t="s">
        <v>267</v>
      </c>
      <c r="H107" s="65" t="s">
        <v>268</v>
      </c>
      <c r="I107" s="56" t="s">
        <v>269</v>
      </c>
      <c r="J107" s="55">
        <v>4.4400000000000004</v>
      </c>
      <c r="K107" s="56">
        <v>0</v>
      </c>
      <c r="L107" s="60">
        <v>0</v>
      </c>
      <c r="M107" s="40">
        <f>VLOOKUP($C107,Piloto!$B$67:$H$163,7,0)</f>
        <v>9412.7277014679003</v>
      </c>
      <c r="N107" s="47">
        <f t="shared" si="12"/>
        <v>1596681</v>
      </c>
      <c r="O107" s="48">
        <f t="shared" si="13"/>
        <v>63867.24</v>
      </c>
      <c r="P107" s="48">
        <f t="shared" si="14"/>
        <v>31933.62</v>
      </c>
      <c r="Q107" s="48">
        <f t="shared" si="15"/>
        <v>9313.4402730000002</v>
      </c>
      <c r="R107" s="48">
        <f t="shared" si="16"/>
        <v>54486.739125000007</v>
      </c>
      <c r="S107" s="48">
        <f t="shared" si="17"/>
        <v>47900.43</v>
      </c>
      <c r="T107" s="49">
        <f t="shared" si="18"/>
        <v>649038.053052</v>
      </c>
      <c r="U107" s="41"/>
      <c r="V107" s="42">
        <f t="shared" si="19"/>
        <v>947642.94694799988</v>
      </c>
      <c r="W107" t="str">
        <f>VLOOKUP($C107,Piloto!$B$69:$E$163,4,0)</f>
        <v>CONTRATO</v>
      </c>
      <c r="X107" s="43"/>
    </row>
    <row r="108" spans="2:24" customFormat="1" ht="18" hidden="1">
      <c r="B108" s="321"/>
      <c r="C108" s="44">
        <v>3101</v>
      </c>
      <c r="D108" s="61">
        <f>VLOOKUP($C108,Piloto!$B$67:$H$163,6,0)</f>
        <v>248.54</v>
      </c>
      <c r="E108" s="61">
        <v>237.67</v>
      </c>
      <c r="F108" s="61">
        <v>0</v>
      </c>
      <c r="G108" s="66" t="s">
        <v>270</v>
      </c>
      <c r="H108" s="62" t="s">
        <v>218</v>
      </c>
      <c r="I108" s="63" t="s">
        <v>271</v>
      </c>
      <c r="J108" s="64">
        <v>5.29</v>
      </c>
      <c r="K108" s="56">
        <v>1</v>
      </c>
      <c r="L108" s="60">
        <v>5.58</v>
      </c>
      <c r="M108" s="40">
        <f>VLOOKUP($C108,Piloto!$B$67:$H$163,7,0)</f>
        <v>9412.7263217188374</v>
      </c>
      <c r="N108" s="47">
        <f t="shared" si="12"/>
        <v>2339439</v>
      </c>
      <c r="O108" s="48">
        <f t="shared" si="13"/>
        <v>93577.56</v>
      </c>
      <c r="P108" s="48">
        <f t="shared" si="14"/>
        <v>46788.78</v>
      </c>
      <c r="Q108" s="48">
        <f t="shared" si="15"/>
        <v>13645.947687</v>
      </c>
      <c r="R108" s="48">
        <f t="shared" si="16"/>
        <v>79833.355875000008</v>
      </c>
      <c r="S108" s="48">
        <f t="shared" si="17"/>
        <v>70183.17</v>
      </c>
      <c r="T108" s="49">
        <f t="shared" si="18"/>
        <v>950963.23798800004</v>
      </c>
      <c r="U108" s="41"/>
      <c r="V108" s="42">
        <f t="shared" si="19"/>
        <v>1388475.7620119997</v>
      </c>
      <c r="W108" t="str">
        <f>VLOOKUP($C108,Piloto!$B$69:$E$163,4,0)</f>
        <v>Fora de Venda</v>
      </c>
      <c r="X108" s="43"/>
    </row>
    <row r="109" spans="2:24" hidden="1">
      <c r="B109" s="320"/>
      <c r="C109" s="258">
        <v>3102</v>
      </c>
      <c r="D109" s="259">
        <f>VLOOKUP($C109,Piloto!$B$67:$H$163,6,0)</f>
        <v>215.3</v>
      </c>
      <c r="E109" s="259">
        <v>205.99</v>
      </c>
      <c r="F109" s="259">
        <v>0</v>
      </c>
      <c r="G109" s="260" t="s">
        <v>272</v>
      </c>
      <c r="H109" s="299" t="s">
        <v>95</v>
      </c>
      <c r="I109" s="262" t="s">
        <v>273</v>
      </c>
      <c r="J109" s="261">
        <v>4.6900000000000004</v>
      </c>
      <c r="K109" s="262">
        <v>2</v>
      </c>
      <c r="L109" s="292">
        <v>4.62</v>
      </c>
      <c r="M109" s="40">
        <f>VLOOKUP($C109,Piloto!$B$67:$H$163,7,0)</f>
        <v>9499.0339061774266</v>
      </c>
      <c r="N109" s="284">
        <f t="shared" si="12"/>
        <v>2045142</v>
      </c>
      <c r="O109" s="285">
        <f t="shared" si="13"/>
        <v>81805.680000000008</v>
      </c>
      <c r="P109" s="285">
        <f t="shared" si="14"/>
        <v>40902.840000000004</v>
      </c>
      <c r="Q109" s="285">
        <f t="shared" si="15"/>
        <v>11929.313285999999</v>
      </c>
      <c r="R109" s="285">
        <f t="shared" si="16"/>
        <v>69790.470750000008</v>
      </c>
      <c r="S109" s="285">
        <f t="shared" si="17"/>
        <v>61354.259999999995</v>
      </c>
      <c r="T109" s="286">
        <f t="shared" si="18"/>
        <v>831333.86186399998</v>
      </c>
      <c r="U109" s="281"/>
      <c r="V109" s="282">
        <f t="shared" si="19"/>
        <v>1213808.1381359999</v>
      </c>
      <c r="W109" s="235" t="str">
        <f>VLOOKUP($C109,Piloto!$B$69:$E$163,4,0)</f>
        <v>CONTRATO</v>
      </c>
      <c r="X109" s="283"/>
    </row>
    <row r="110" spans="2:24" customFormat="1" ht="18" hidden="1">
      <c r="B110" s="321"/>
      <c r="C110" s="44">
        <v>3103</v>
      </c>
      <c r="D110" s="61">
        <f>VLOOKUP($C110,Piloto!$B$67:$H$163,6,0)</f>
        <v>174.01000000000002</v>
      </c>
      <c r="E110" s="61">
        <v>167.83</v>
      </c>
      <c r="F110" s="61">
        <v>0</v>
      </c>
      <c r="G110" s="66" t="s">
        <v>274</v>
      </c>
      <c r="H110" s="62" t="s">
        <v>98</v>
      </c>
      <c r="I110" s="63" t="s">
        <v>275</v>
      </c>
      <c r="J110" s="64">
        <v>6.18</v>
      </c>
      <c r="K110" s="56">
        <v>0</v>
      </c>
      <c r="L110" s="60">
        <v>0</v>
      </c>
      <c r="M110" s="40">
        <f>VLOOKUP($C110,Piloto!$B$67:$H$163,7,0)</f>
        <v>9412.723406700763</v>
      </c>
      <c r="N110" s="47">
        <f t="shared" si="12"/>
        <v>1637908</v>
      </c>
      <c r="O110" s="48">
        <f t="shared" si="13"/>
        <v>65516.32</v>
      </c>
      <c r="P110" s="48">
        <f t="shared" si="14"/>
        <v>32758.16</v>
      </c>
      <c r="Q110" s="48">
        <f t="shared" si="15"/>
        <v>9553.917363999999</v>
      </c>
      <c r="R110" s="48">
        <f t="shared" si="16"/>
        <v>55893.610500000003</v>
      </c>
      <c r="S110" s="48">
        <f t="shared" si="17"/>
        <v>49137.24</v>
      </c>
      <c r="T110" s="49">
        <f t="shared" si="18"/>
        <v>665796.49873599992</v>
      </c>
      <c r="U110" s="41"/>
      <c r="V110" s="42">
        <f t="shared" si="19"/>
        <v>972111.50126399985</v>
      </c>
      <c r="W110" t="str">
        <f>VLOOKUP($C110,Piloto!$B$69:$E$163,4,0)</f>
        <v>CONTRATO</v>
      </c>
      <c r="X110" s="43"/>
    </row>
    <row r="111" spans="2:24" customFormat="1" ht="18" hidden="1">
      <c r="B111" s="321"/>
      <c r="C111" s="44">
        <v>3201</v>
      </c>
      <c r="D111" s="53">
        <f>VLOOKUP($C111,Piloto!$B$67:$H$163,6,0)</f>
        <v>246.33</v>
      </c>
      <c r="E111" s="53">
        <v>235.67</v>
      </c>
      <c r="F111" s="53">
        <v>0</v>
      </c>
      <c r="G111" s="54" t="s">
        <v>276</v>
      </c>
      <c r="H111" s="65" t="s">
        <v>277</v>
      </c>
      <c r="I111" s="56" t="s">
        <v>278</v>
      </c>
      <c r="J111" s="55">
        <v>5.08</v>
      </c>
      <c r="K111" s="56">
        <v>1</v>
      </c>
      <c r="L111" s="60">
        <v>5.58</v>
      </c>
      <c r="M111" s="40">
        <f>VLOOKUP($C111,Piloto!$B$67:$H$163,7,0)</f>
        <v>11001.741566191693</v>
      </c>
      <c r="N111" s="47">
        <f t="shared" si="12"/>
        <v>2710059</v>
      </c>
      <c r="O111" s="48">
        <f t="shared" si="13"/>
        <v>108402.36</v>
      </c>
      <c r="P111" s="48">
        <f t="shared" si="14"/>
        <v>54201.18</v>
      </c>
      <c r="Q111" s="48">
        <f t="shared" si="15"/>
        <v>15807.774146999998</v>
      </c>
      <c r="R111" s="48">
        <f t="shared" si="16"/>
        <v>92480.76337500001</v>
      </c>
      <c r="S111" s="48">
        <f t="shared" si="17"/>
        <v>81301.77</v>
      </c>
      <c r="T111" s="49">
        <f t="shared" si="18"/>
        <v>1101617.3030280001</v>
      </c>
      <c r="U111" s="41"/>
      <c r="V111" s="42">
        <f t="shared" si="19"/>
        <v>1608441.6969719997</v>
      </c>
      <c r="W111" t="str">
        <f>VLOOKUP($C111,Piloto!$B$69:$E$163,4,0)</f>
        <v>CONTRATO</v>
      </c>
      <c r="X111" s="43"/>
    </row>
    <row r="112" spans="2:24" customFormat="1" ht="18" hidden="1">
      <c r="B112" s="321"/>
      <c r="C112" s="44">
        <v>3202</v>
      </c>
      <c r="D112" s="61">
        <f>VLOOKUP($C112,Piloto!$B$67:$H$163,6,0)</f>
        <v>214.01000000000002</v>
      </c>
      <c r="E112" s="61">
        <v>204.15</v>
      </c>
      <c r="F112" s="61">
        <v>0</v>
      </c>
      <c r="G112" s="66" t="s">
        <v>279</v>
      </c>
      <c r="H112" s="62" t="s">
        <v>84</v>
      </c>
      <c r="I112" s="63" t="s">
        <v>280</v>
      </c>
      <c r="J112" s="64">
        <v>5.24</v>
      </c>
      <c r="K112" s="56">
        <v>2</v>
      </c>
      <c r="L112" s="60">
        <v>4.62</v>
      </c>
      <c r="M112" s="40">
        <f>VLOOKUP($C112,Piloto!$B$67:$H$163,7,0)</f>
        <v>11001.738236531002</v>
      </c>
      <c r="N112" s="47">
        <f t="shared" si="12"/>
        <v>2354482</v>
      </c>
      <c r="O112" s="48">
        <f t="shared" si="13"/>
        <v>94179.28</v>
      </c>
      <c r="P112" s="48">
        <f t="shared" si="14"/>
        <v>47089.64</v>
      </c>
      <c r="Q112" s="48">
        <f t="shared" si="15"/>
        <v>13733.693506</v>
      </c>
      <c r="R112" s="48">
        <f t="shared" si="16"/>
        <v>80346.698250000001</v>
      </c>
      <c r="S112" s="48">
        <f t="shared" si="17"/>
        <v>70634.459999999992</v>
      </c>
      <c r="T112" s="49">
        <f t="shared" si="18"/>
        <v>957078.097144</v>
      </c>
      <c r="U112" s="41"/>
      <c r="V112" s="42">
        <f t="shared" si="19"/>
        <v>1397403.9028559998</v>
      </c>
      <c r="W112" t="str">
        <f>VLOOKUP($C112,Piloto!$B$69:$E$163,4,0)</f>
        <v>CONTRATO</v>
      </c>
      <c r="X112" s="43"/>
    </row>
    <row r="113" spans="2:24" hidden="1">
      <c r="B113" s="320"/>
      <c r="C113" s="258">
        <v>3203</v>
      </c>
      <c r="D113" s="259">
        <f>VLOOKUP($C113,Piloto!$B$67:$H$163,6,0)</f>
        <v>170.28</v>
      </c>
      <c r="E113" s="259">
        <v>165.19</v>
      </c>
      <c r="F113" s="259">
        <v>0</v>
      </c>
      <c r="G113" s="260" t="s">
        <v>281</v>
      </c>
      <c r="H113" s="299" t="s">
        <v>88</v>
      </c>
      <c r="I113" s="262" t="s">
        <v>282</v>
      </c>
      <c r="J113" s="261">
        <v>5.09</v>
      </c>
      <c r="K113" s="262">
        <v>0</v>
      </c>
      <c r="L113" s="292">
        <v>0</v>
      </c>
      <c r="M113" s="40">
        <f>VLOOKUP($C113,Piloto!$B$67:$H$163,7,0)</f>
        <v>9757.9633544749831</v>
      </c>
      <c r="N113" s="284">
        <f t="shared" si="12"/>
        <v>1661586</v>
      </c>
      <c r="O113" s="285">
        <f t="shared" si="13"/>
        <v>66463.44</v>
      </c>
      <c r="P113" s="285">
        <f t="shared" si="14"/>
        <v>33231.72</v>
      </c>
      <c r="Q113" s="285">
        <f t="shared" si="15"/>
        <v>9692.0311380000003</v>
      </c>
      <c r="R113" s="285">
        <f t="shared" si="16"/>
        <v>56701.622250000008</v>
      </c>
      <c r="S113" s="285">
        <f t="shared" si="17"/>
        <v>49847.58</v>
      </c>
      <c r="T113" s="286">
        <f t="shared" si="18"/>
        <v>675421.41631200002</v>
      </c>
      <c r="U113" s="281"/>
      <c r="V113" s="282">
        <f t="shared" si="19"/>
        <v>986164.58368799987</v>
      </c>
      <c r="W113" s="235" t="str">
        <f>VLOOKUP($C113,Piloto!$B$69:$E$163,4,0)</f>
        <v>CONTRATO</v>
      </c>
      <c r="X113" s="283"/>
    </row>
    <row r="114" spans="2:24" customFormat="1" ht="18" hidden="1">
      <c r="B114" s="321"/>
      <c r="C114" s="44">
        <v>3301</v>
      </c>
      <c r="D114" s="61">
        <f>VLOOKUP($C114,Piloto!$B$67:$H$163,6,0)</f>
        <v>349.34</v>
      </c>
      <c r="E114" s="61">
        <v>339.18</v>
      </c>
      <c r="F114" s="61">
        <v>0</v>
      </c>
      <c r="G114" s="66" t="s">
        <v>283</v>
      </c>
      <c r="H114" s="62" t="s">
        <v>284</v>
      </c>
      <c r="I114" s="63" t="s">
        <v>285</v>
      </c>
      <c r="J114" s="64">
        <v>5.08</v>
      </c>
      <c r="K114" s="56">
        <v>1</v>
      </c>
      <c r="L114" s="60">
        <v>5.08</v>
      </c>
      <c r="M114" s="40">
        <f>VLOOKUP($C114,Piloto!$B$67:$H$163,7,0)</f>
        <v>11001.740424801053</v>
      </c>
      <c r="N114" s="47">
        <f t="shared" si="12"/>
        <v>3843348</v>
      </c>
      <c r="O114" s="48">
        <f t="shared" si="13"/>
        <v>153733.92000000001</v>
      </c>
      <c r="P114" s="48">
        <f t="shared" si="14"/>
        <v>76866.960000000006</v>
      </c>
      <c r="Q114" s="48">
        <f t="shared" si="15"/>
        <v>22418.248883999997</v>
      </c>
      <c r="R114" s="48">
        <f t="shared" si="16"/>
        <v>131154.25050000002</v>
      </c>
      <c r="S114" s="48">
        <f t="shared" si="17"/>
        <v>115300.44</v>
      </c>
      <c r="T114" s="49">
        <f t="shared" si="18"/>
        <v>1562290.2152160001</v>
      </c>
      <c r="U114" s="41"/>
      <c r="V114" s="42">
        <f t="shared" si="19"/>
        <v>2281057.7847839999</v>
      </c>
      <c r="W114" t="str">
        <f>VLOOKUP($C114,Piloto!$B$69:$E$163,4,0)</f>
        <v>CONTRATO</v>
      </c>
      <c r="X114" s="43"/>
    </row>
    <row r="115" spans="2:24" customFormat="1" ht="18" hidden="1">
      <c r="B115" s="321"/>
      <c r="C115" s="44">
        <v>3302</v>
      </c>
      <c r="D115" s="53">
        <f>VLOOKUP($C115,Piloto!$B$67:$H$163,6,0)</f>
        <v>285.99</v>
      </c>
      <c r="E115" s="53">
        <v>275.24</v>
      </c>
      <c r="F115" s="53">
        <v>0</v>
      </c>
      <c r="G115" s="54" t="s">
        <v>286</v>
      </c>
      <c r="H115" s="65" t="s">
        <v>287</v>
      </c>
      <c r="I115" s="56" t="s">
        <v>288</v>
      </c>
      <c r="J115" s="55">
        <v>6.22</v>
      </c>
      <c r="K115" s="56">
        <v>2</v>
      </c>
      <c r="L115" s="60">
        <v>4.53</v>
      </c>
      <c r="M115" s="40">
        <f>VLOOKUP($C115,Piloto!$B$67:$H$163,7,0)</f>
        <v>11195.741109829014</v>
      </c>
      <c r="N115" s="47">
        <f t="shared" si="12"/>
        <v>3201870</v>
      </c>
      <c r="O115" s="48">
        <f t="shared" si="13"/>
        <v>128074.8</v>
      </c>
      <c r="P115" s="48">
        <f t="shared" si="14"/>
        <v>64037.4</v>
      </c>
      <c r="Q115" s="48">
        <f t="shared" si="15"/>
        <v>18676.507709999998</v>
      </c>
      <c r="R115" s="48">
        <f t="shared" si="16"/>
        <v>109263.81375</v>
      </c>
      <c r="S115" s="48">
        <f t="shared" si="17"/>
        <v>96056.099999999991</v>
      </c>
      <c r="T115" s="49">
        <f t="shared" si="18"/>
        <v>1301534.5400399999</v>
      </c>
      <c r="U115" s="41"/>
      <c r="V115" s="42">
        <f t="shared" si="19"/>
        <v>1900335.4599599997</v>
      </c>
      <c r="W115" t="str">
        <f>VLOOKUP($C115,Piloto!$B$69:$E$163,4,0)</f>
        <v>CONTRATO</v>
      </c>
      <c r="X115" s="43"/>
    </row>
    <row r="116" spans="2:24" customFormat="1" ht="18" hidden="1">
      <c r="B116" s="321"/>
      <c r="C116" s="44">
        <v>3401</v>
      </c>
      <c r="D116" s="61">
        <f>VLOOKUP($C116,Piloto!$B$67:$H$163,6,0)</f>
        <v>352.82</v>
      </c>
      <c r="E116" s="61">
        <v>342.66</v>
      </c>
      <c r="F116" s="61">
        <v>0</v>
      </c>
      <c r="G116" s="66" t="s">
        <v>289</v>
      </c>
      <c r="H116" s="62" t="s">
        <v>284</v>
      </c>
      <c r="I116" s="63" t="s">
        <v>290</v>
      </c>
      <c r="J116" s="64">
        <v>5.08</v>
      </c>
      <c r="K116" s="56">
        <v>1</v>
      </c>
      <c r="L116" s="60">
        <v>5.08</v>
      </c>
      <c r="M116" s="40">
        <f>VLOOKUP($C116,Piloto!$B$67:$H$163,7,0)</f>
        <v>11195.740037412845</v>
      </c>
      <c r="N116" s="47">
        <f t="shared" si="12"/>
        <v>3950081</v>
      </c>
      <c r="O116" s="48">
        <f t="shared" si="13"/>
        <v>158003.24</v>
      </c>
      <c r="P116" s="48">
        <f t="shared" si="14"/>
        <v>79001.62</v>
      </c>
      <c r="Q116" s="48">
        <f t="shared" si="15"/>
        <v>23040.822473</v>
      </c>
      <c r="R116" s="48">
        <f t="shared" si="16"/>
        <v>134796.51412500002</v>
      </c>
      <c r="S116" s="48">
        <f t="shared" si="17"/>
        <v>118502.43</v>
      </c>
      <c r="T116" s="49">
        <f t="shared" si="18"/>
        <v>1605676.3258519999</v>
      </c>
      <c r="U116" s="41"/>
      <c r="V116" s="42">
        <f t="shared" si="19"/>
        <v>2344404.6741479998</v>
      </c>
      <c r="W116" t="str">
        <f>VLOOKUP($C116,Piloto!$B$69:$E$163,4,0)</f>
        <v>CONTRATO</v>
      </c>
      <c r="X116" s="43"/>
    </row>
    <row r="117" spans="2:24" customFormat="1" ht="18" hidden="1">
      <c r="B117" s="321"/>
      <c r="C117" s="44">
        <v>3402</v>
      </c>
      <c r="D117" s="53">
        <f>VLOOKUP($C117,Piloto!$B$67:$H$163,6,0)</f>
        <v>280</v>
      </c>
      <c r="E117" s="53">
        <v>269.12</v>
      </c>
      <c r="F117" s="53">
        <v>0</v>
      </c>
      <c r="G117" s="54" t="s">
        <v>291</v>
      </c>
      <c r="H117" s="65" t="s">
        <v>292</v>
      </c>
      <c r="I117" s="56" t="s">
        <v>293</v>
      </c>
      <c r="J117" s="55">
        <v>6.35</v>
      </c>
      <c r="K117" s="56">
        <v>2</v>
      </c>
      <c r="L117" s="60">
        <v>4.53</v>
      </c>
      <c r="M117" s="40">
        <f>VLOOKUP($C117,Piloto!$B$67:$H$163,7,0)</f>
        <v>11195.739285714286</v>
      </c>
      <c r="N117" s="47">
        <f t="shared" si="12"/>
        <v>3134807</v>
      </c>
      <c r="O117" s="48">
        <f t="shared" si="13"/>
        <v>125392.28</v>
      </c>
      <c r="P117" s="48">
        <f t="shared" si="14"/>
        <v>62696.14</v>
      </c>
      <c r="Q117" s="48">
        <f t="shared" si="15"/>
        <v>18285.329231</v>
      </c>
      <c r="R117" s="48">
        <f t="shared" si="16"/>
        <v>106975.28887500001</v>
      </c>
      <c r="S117" s="48">
        <f t="shared" si="17"/>
        <v>94044.209999999992</v>
      </c>
      <c r="T117" s="49">
        <f t="shared" si="18"/>
        <v>1274273.967044</v>
      </c>
      <c r="U117" s="41"/>
      <c r="V117" s="42">
        <f t="shared" si="19"/>
        <v>1860533.0329559997</v>
      </c>
      <c r="W117" t="str">
        <f>VLOOKUP($C117,Piloto!$B$69:$E$163,4,0)</f>
        <v>CONTRATO</v>
      </c>
      <c r="X117" s="43"/>
    </row>
    <row r="118" spans="2:24" customFormat="1" ht="18" hidden="1">
      <c r="B118" s="321"/>
      <c r="C118" s="44">
        <v>3501</v>
      </c>
      <c r="D118" s="61">
        <f>VLOOKUP($C118,Piloto!$B$67:$H$163,6,0)</f>
        <v>355.94</v>
      </c>
      <c r="E118" s="61">
        <v>346.14</v>
      </c>
      <c r="F118" s="61">
        <v>0</v>
      </c>
      <c r="G118" s="66" t="s">
        <v>294</v>
      </c>
      <c r="H118" s="62" t="s">
        <v>292</v>
      </c>
      <c r="I118" s="63" t="s">
        <v>295</v>
      </c>
      <c r="J118" s="64">
        <v>4.72</v>
      </c>
      <c r="K118" s="56">
        <v>1</v>
      </c>
      <c r="L118" s="60">
        <v>5.08</v>
      </c>
      <c r="M118" s="40">
        <f>VLOOKUP($C118,Piloto!$B$67:$H$163,7,0)</f>
        <v>11195.740855200314</v>
      </c>
      <c r="N118" s="47">
        <f t="shared" si="12"/>
        <v>3985012</v>
      </c>
      <c r="O118" s="48">
        <f t="shared" si="13"/>
        <v>159400.48000000001</v>
      </c>
      <c r="P118" s="48">
        <f t="shared" si="14"/>
        <v>79700.240000000005</v>
      </c>
      <c r="Q118" s="48">
        <f t="shared" si="15"/>
        <v>23244.574995999999</v>
      </c>
      <c r="R118" s="48">
        <f t="shared" si="16"/>
        <v>135988.53450000001</v>
      </c>
      <c r="S118" s="48">
        <f t="shared" si="17"/>
        <v>119550.36</v>
      </c>
      <c r="T118" s="49">
        <f t="shared" si="18"/>
        <v>1619875.4979040001</v>
      </c>
      <c r="U118" s="41"/>
      <c r="V118" s="42">
        <f t="shared" si="19"/>
        <v>2365136.5020959997</v>
      </c>
      <c r="W118" t="str">
        <f>VLOOKUP($C118,Piloto!$B$69:$E$163,4,0)</f>
        <v>CONTRATO</v>
      </c>
      <c r="X118" s="43"/>
    </row>
    <row r="119" spans="2:24" customFormat="1" ht="18" hidden="1">
      <c r="B119" s="321"/>
      <c r="C119" s="44">
        <v>3502</v>
      </c>
      <c r="D119" s="53">
        <f>VLOOKUP($C119,Piloto!$B$67:$H$163,6,0)</f>
        <v>281.05999999999995</v>
      </c>
      <c r="E119" s="53">
        <v>271.94</v>
      </c>
      <c r="F119" s="53">
        <v>0</v>
      </c>
      <c r="G119" s="54" t="s">
        <v>296</v>
      </c>
      <c r="H119" s="65" t="s">
        <v>292</v>
      </c>
      <c r="I119" s="56" t="s">
        <v>297</v>
      </c>
      <c r="J119" s="55">
        <v>4.59</v>
      </c>
      <c r="K119" s="56">
        <v>2</v>
      </c>
      <c r="L119" s="60">
        <v>4.53</v>
      </c>
      <c r="M119" s="40">
        <f>VLOOKUP($C119,Piloto!$B$67:$H$163,7,0)</f>
        <v>11195.741122891912</v>
      </c>
      <c r="N119" s="47">
        <f t="shared" si="12"/>
        <v>3146675</v>
      </c>
      <c r="O119" s="48">
        <f t="shared" si="13"/>
        <v>125867</v>
      </c>
      <c r="P119" s="48">
        <f t="shared" si="14"/>
        <v>62933.5</v>
      </c>
      <c r="Q119" s="48">
        <f t="shared" si="15"/>
        <v>18354.555274999999</v>
      </c>
      <c r="R119" s="48">
        <f t="shared" si="16"/>
        <v>107380.284375</v>
      </c>
      <c r="S119" s="48">
        <f t="shared" si="17"/>
        <v>94400.25</v>
      </c>
      <c r="T119" s="49">
        <f t="shared" si="18"/>
        <v>1279098.2141</v>
      </c>
      <c r="U119" s="41"/>
      <c r="V119" s="42">
        <f t="shared" si="19"/>
        <v>1867576.7858999998</v>
      </c>
      <c r="W119" t="str">
        <f>VLOOKUP($C119,Piloto!$B$69:$E$163,4,0)</f>
        <v>CONTRATO</v>
      </c>
      <c r="X119" s="43"/>
    </row>
    <row r="120" spans="2:24" hidden="1">
      <c r="B120" s="320"/>
      <c r="C120" s="298">
        <v>3601</v>
      </c>
      <c r="D120" s="259">
        <f>VLOOKUP($C120,Piloto!$B$67:$H$163,6,0)</f>
        <v>352.80999999999995</v>
      </c>
      <c r="E120" s="259">
        <v>342.65</v>
      </c>
      <c r="F120" s="259">
        <v>0</v>
      </c>
      <c r="G120" s="260" t="s">
        <v>298</v>
      </c>
      <c r="H120" s="299" t="s">
        <v>292</v>
      </c>
      <c r="I120" s="262" t="s">
        <v>299</v>
      </c>
      <c r="J120" s="261">
        <v>5.08</v>
      </c>
      <c r="K120" s="262">
        <v>1</v>
      </c>
      <c r="L120" s="292">
        <v>5.08</v>
      </c>
      <c r="M120" s="40">
        <f>VLOOKUP($C120,Piloto!$B$67:$H$163,7,0)</f>
        <v>11195.73991666903</v>
      </c>
      <c r="N120" s="284">
        <f t="shared" si="12"/>
        <v>3949969</v>
      </c>
      <c r="O120" s="285">
        <f t="shared" si="13"/>
        <v>157998.76</v>
      </c>
      <c r="P120" s="285">
        <f t="shared" si="14"/>
        <v>78999.38</v>
      </c>
      <c r="Q120" s="285">
        <f t="shared" si="15"/>
        <v>23040.169177</v>
      </c>
      <c r="R120" s="285">
        <f t="shared" si="16"/>
        <v>134792.692125</v>
      </c>
      <c r="S120" s="285">
        <f t="shared" si="17"/>
        <v>118499.06999999999</v>
      </c>
      <c r="T120" s="286">
        <f t="shared" si="18"/>
        <v>1605630.7987480001</v>
      </c>
      <c r="U120" s="281"/>
      <c r="V120" s="282">
        <f t="shared" si="19"/>
        <v>2344338.2012519995</v>
      </c>
      <c r="W120" s="235" t="str">
        <f>VLOOKUP($C120,Piloto!$B$69:$E$163,4,0)</f>
        <v>CONTRATO</v>
      </c>
      <c r="X120" s="283"/>
    </row>
    <row r="121" spans="2:24" customFormat="1" ht="18.95" hidden="1" thickBot="1">
      <c r="B121" s="321"/>
      <c r="C121" s="46">
        <v>3602</v>
      </c>
      <c r="D121" s="67">
        <f>VLOOKUP($C121,Piloto!$B$67:$H$163,6,0)</f>
        <v>277.94</v>
      </c>
      <c r="E121" s="67">
        <v>268.86</v>
      </c>
      <c r="F121" s="67">
        <v>0</v>
      </c>
      <c r="G121" s="68" t="s">
        <v>300</v>
      </c>
      <c r="H121" s="69" t="s">
        <v>292</v>
      </c>
      <c r="I121" s="70" t="s">
        <v>301</v>
      </c>
      <c r="J121" s="71">
        <v>4.55</v>
      </c>
      <c r="K121" s="70">
        <v>2</v>
      </c>
      <c r="L121" s="72">
        <v>4.53</v>
      </c>
      <c r="M121" s="40">
        <f>VLOOKUP($C121,Piloto!$B$67:$H$163,7,0)</f>
        <v>11195.740087788732</v>
      </c>
      <c r="N121" s="50">
        <f t="shared" si="12"/>
        <v>3111744</v>
      </c>
      <c r="O121" s="51">
        <f t="shared" si="13"/>
        <v>124469.76000000001</v>
      </c>
      <c r="P121" s="51">
        <f t="shared" si="14"/>
        <v>62234.880000000005</v>
      </c>
      <c r="Q121" s="51">
        <f t="shared" si="15"/>
        <v>18150.802752</v>
      </c>
      <c r="R121" s="51">
        <f t="shared" si="16"/>
        <v>106188.26400000001</v>
      </c>
      <c r="S121" s="51">
        <f t="shared" si="17"/>
        <v>93352.319999999992</v>
      </c>
      <c r="T121" s="52">
        <f t="shared" si="18"/>
        <v>1264899.0420479998</v>
      </c>
      <c r="U121" s="41"/>
      <c r="V121" s="45">
        <f t="shared" si="19"/>
        <v>1846844.9579519997</v>
      </c>
      <c r="W121" t="str">
        <f>VLOOKUP($C121,Piloto!$B$69:$E$163,4,0)</f>
        <v>CONTRATO</v>
      </c>
      <c r="X121" s="43"/>
    </row>
  </sheetData>
  <autoFilter ref="B26:AB121" xr:uid="{00000000-0001-0000-0400-000000000000}">
    <filterColumn colId="21">
      <filters>
        <filter val="Disponível"/>
      </filters>
    </filterColumn>
  </autoFilter>
  <mergeCells count="23">
    <mergeCell ref="B27:B121"/>
    <mergeCell ref="C22:E22"/>
    <mergeCell ref="B14:V14"/>
    <mergeCell ref="B15:V15"/>
    <mergeCell ref="C16:D16"/>
    <mergeCell ref="C20:E20"/>
    <mergeCell ref="C21:E21"/>
    <mergeCell ref="V24:V26"/>
    <mergeCell ref="O23:T23"/>
    <mergeCell ref="B24:B26"/>
    <mergeCell ref="C24:C26"/>
    <mergeCell ref="D24:D26"/>
    <mergeCell ref="E24:E26"/>
    <mergeCell ref="F24:F26"/>
    <mergeCell ref="G24:G26"/>
    <mergeCell ref="H24:H26"/>
    <mergeCell ref="I24:I26"/>
    <mergeCell ref="J24:J26"/>
    <mergeCell ref="M24:M26"/>
    <mergeCell ref="N24:N26"/>
    <mergeCell ref="T24:T26"/>
    <mergeCell ref="K24:K26"/>
    <mergeCell ref="L24:L26"/>
  </mergeCells>
  <conditionalFormatting sqref="J27:L92">
    <cfRule type="expression" dxfId="16" priority="5">
      <formula>J27=0</formula>
    </cfRule>
  </conditionalFormatting>
  <conditionalFormatting sqref="J94:L94 J96:L96 J98:L98 J100:L100 J102:L102 J104:L104 J106:L106 J108:L108 J110:L110 J112:L112 J114:L114 J116:L116 J118:L118 J120:L120">
    <cfRule type="expression" dxfId="15" priority="8">
      <formula>J94=0</formula>
    </cfRule>
  </conditionalFormatting>
  <conditionalFormatting sqref="K95:L95">
    <cfRule type="expression" dxfId="14" priority="4">
      <formula>K95=0</formula>
    </cfRule>
  </conditionalFormatting>
  <conditionalFormatting sqref="K101:L101">
    <cfRule type="expression" dxfId="13" priority="3">
      <formula>K101=0</formula>
    </cfRule>
  </conditionalFormatting>
  <conditionalFormatting sqref="K107:L107">
    <cfRule type="expression" dxfId="12" priority="2">
      <formula>K107=0</formula>
    </cfRule>
  </conditionalFormatting>
  <conditionalFormatting sqref="K113:L113">
    <cfRule type="expression" dxfId="11" priority="1">
      <formula>K113=0</formula>
    </cfRule>
  </conditionalFormatting>
  <dataValidations disablePrompts="1" count="1">
    <dataValidation type="list" allowBlank="1" showInputMessage="1" showErrorMessage="1" sqref="V17 O17:T17" xr:uid="{00000000-0002-0000-0400-000000000000}">
      <formula1>"Pós Venda,Pós Entrega"</formula1>
    </dataValidation>
  </dataValidations>
  <pageMargins left="0.25" right="0.25" top="0.75" bottom="0.75" header="0.3" footer="0.3"/>
  <pageSetup paperSize="9" scale="38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7590-716F-4CAE-A815-B67995B3653E}">
  <dimension ref="A1:S210"/>
  <sheetViews>
    <sheetView tabSelected="1" topLeftCell="A46" zoomScale="161" zoomScaleNormal="120" workbookViewId="0">
      <selection activeCell="D67" sqref="D67"/>
    </sheetView>
  </sheetViews>
  <sheetFormatPr defaultColWidth="9.140625" defaultRowHeight="15"/>
  <cols>
    <col min="1" max="1" width="14.140625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19" width="15.7109375" customWidth="1"/>
    <col min="21" max="21" width="11.42578125" bestFit="1" customWidth="1"/>
    <col min="23" max="23" width="11.42578125" bestFit="1" customWidth="1"/>
    <col min="25" max="25" width="11.42578125" bestFit="1" customWidth="1"/>
    <col min="27" max="27" width="11.42578125" bestFit="1" customWidth="1"/>
    <col min="29" max="29" width="11.42578125" bestFit="1" customWidth="1"/>
    <col min="31" max="31" width="11.42578125" bestFit="1" customWidth="1"/>
    <col min="33" max="33" width="11.42578125" bestFit="1" customWidth="1"/>
    <col min="35" max="35" width="11.42578125" bestFit="1" customWidth="1"/>
    <col min="37" max="37" width="11.42578125" bestFit="1" customWidth="1"/>
    <col min="39" max="39" width="11.42578125" bestFit="1" customWidth="1"/>
  </cols>
  <sheetData>
    <row r="1" spans="1:18">
      <c r="A1" s="74" t="s">
        <v>302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  <c r="M1" s="77"/>
      <c r="N1" s="77"/>
      <c r="O1" s="77"/>
      <c r="P1" s="77"/>
      <c r="Q1" s="77"/>
    </row>
    <row r="2" spans="1:18" s="82" customFormat="1">
      <c r="A2" s="78"/>
      <c r="B2" s="79"/>
      <c r="C2" s="79"/>
      <c r="D2" s="80"/>
      <c r="E2" s="80"/>
      <c r="F2" s="79"/>
      <c r="G2" s="79"/>
      <c r="H2" s="79"/>
      <c r="I2" s="79"/>
      <c r="J2" s="79"/>
      <c r="K2" s="79"/>
      <c r="L2" s="81"/>
    </row>
    <row r="3" spans="1:18" ht="12.75" customHeight="1">
      <c r="A3" s="79"/>
      <c r="B3" s="331" t="s">
        <v>41</v>
      </c>
      <c r="C3" s="331"/>
      <c r="D3" s="8" t="s">
        <v>42</v>
      </c>
      <c r="E3" s="8" t="s">
        <v>43</v>
      </c>
      <c r="F3" s="345" t="s">
        <v>303</v>
      </c>
      <c r="G3" s="345" t="s">
        <v>304</v>
      </c>
      <c r="H3" s="79"/>
      <c r="I3" s="79"/>
      <c r="J3" s="79"/>
      <c r="K3" s="79"/>
      <c r="L3" s="81"/>
      <c r="M3" s="82"/>
      <c r="N3" s="82"/>
      <c r="O3" s="82"/>
      <c r="P3" s="82"/>
      <c r="Q3" s="82"/>
    </row>
    <row r="4" spans="1:18" ht="12.75" customHeight="1">
      <c r="A4" s="79"/>
      <c r="B4" s="83" t="s">
        <v>305</v>
      </c>
      <c r="C4" s="84"/>
      <c r="D4" s="15">
        <v>2022</v>
      </c>
      <c r="E4" s="15">
        <v>4</v>
      </c>
      <c r="F4" s="346"/>
      <c r="G4" s="346"/>
      <c r="H4" s="85"/>
      <c r="I4" s="85"/>
      <c r="J4" s="85"/>
      <c r="K4" s="85"/>
      <c r="L4" s="81"/>
      <c r="M4" s="82"/>
      <c r="N4" s="82"/>
      <c r="O4" s="82"/>
      <c r="P4" s="82"/>
      <c r="Q4" s="82"/>
    </row>
    <row r="5" spans="1:18" ht="12.75" customHeight="1">
      <c r="A5" s="79"/>
      <c r="B5" s="83" t="s">
        <v>45</v>
      </c>
      <c r="C5" s="86">
        <v>45108</v>
      </c>
      <c r="D5" s="15">
        <f>YEAR(C5)</f>
        <v>2023</v>
      </c>
      <c r="E5" s="15">
        <v>7</v>
      </c>
      <c r="F5" s="347"/>
      <c r="G5" s="347"/>
      <c r="H5" s="79"/>
      <c r="I5" s="79"/>
      <c r="J5" s="79"/>
      <c r="K5" s="79"/>
      <c r="L5" s="81"/>
      <c r="M5" s="82"/>
      <c r="N5" s="82"/>
      <c r="O5" s="82"/>
      <c r="P5" s="82"/>
      <c r="Q5" s="82"/>
    </row>
    <row r="6" spans="1:18" ht="12.75" customHeight="1">
      <c r="A6" s="79"/>
      <c r="B6" s="83" t="s">
        <v>49</v>
      </c>
      <c r="C6" s="13">
        <v>45931</v>
      </c>
      <c r="D6" s="15">
        <f>YEAR(C6)</f>
        <v>2025</v>
      </c>
      <c r="E6" s="15">
        <f>MONTH(C6)</f>
        <v>10</v>
      </c>
      <c r="F6" s="87">
        <f>IF(DAYS360(DATE(D5,E5,1),C6)/30&lt;0,0,DAYS360(DATE(D5,E5,1),C6)/30)</f>
        <v>27</v>
      </c>
      <c r="G6" s="15">
        <f>F6-2</f>
        <v>25</v>
      </c>
      <c r="H6" s="88"/>
      <c r="I6" s="89"/>
      <c r="J6" s="85"/>
      <c r="K6" s="85"/>
      <c r="L6" s="81"/>
      <c r="M6" s="82"/>
      <c r="N6" s="82"/>
      <c r="O6" s="82"/>
      <c r="P6" s="82"/>
      <c r="Q6" s="82"/>
    </row>
    <row r="7" spans="1:18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81"/>
      <c r="M7" s="82"/>
      <c r="N7" s="82"/>
      <c r="O7" s="82"/>
      <c r="P7" s="82"/>
      <c r="Q7" s="82"/>
    </row>
    <row r="8" spans="1:18">
      <c r="A8" s="79"/>
      <c r="B8" s="90" t="s">
        <v>306</v>
      </c>
      <c r="C8" s="90" t="s">
        <v>307</v>
      </c>
      <c r="D8" s="90" t="s">
        <v>308</v>
      </c>
      <c r="E8" s="91" t="s">
        <v>309</v>
      </c>
      <c r="F8" s="79"/>
      <c r="G8" s="82"/>
      <c r="H8" s="92" t="s">
        <v>310</v>
      </c>
      <c r="I8" s="92" t="s">
        <v>311</v>
      </c>
      <c r="J8" s="92" t="s">
        <v>312</v>
      </c>
      <c r="K8" s="92" t="s">
        <v>313</v>
      </c>
      <c r="L8" s="79"/>
      <c r="M8" s="81"/>
      <c r="N8" s="82"/>
      <c r="O8" s="93"/>
      <c r="P8" s="93"/>
      <c r="Q8" s="82"/>
      <c r="R8" s="82"/>
    </row>
    <row r="9" spans="1:18">
      <c r="A9" s="79"/>
      <c r="B9" s="94" t="s">
        <v>314</v>
      </c>
      <c r="C9" s="95"/>
      <c r="D9" s="96">
        <f>C9*$C$205</f>
        <v>0</v>
      </c>
      <c r="E9" s="97" t="s">
        <v>315</v>
      </c>
      <c r="F9" s="98"/>
      <c r="G9" s="99" t="s">
        <v>316</v>
      </c>
      <c r="H9" s="100">
        <f>COUNTA(B69:B163)</f>
        <v>95</v>
      </c>
      <c r="I9" s="101"/>
      <c r="J9" s="101">
        <f>COUNTIF(E69:E163,"&lt;&gt;Disponível")</f>
        <v>52</v>
      </c>
      <c r="K9" s="97">
        <f>H9-I9-J9</f>
        <v>43</v>
      </c>
      <c r="L9" s="85"/>
      <c r="M9" s="81"/>
      <c r="N9" s="102"/>
      <c r="O9" s="93"/>
      <c r="P9" s="93"/>
      <c r="Q9" s="82"/>
      <c r="R9" s="82"/>
    </row>
    <row r="10" spans="1:18">
      <c r="A10" s="79"/>
      <c r="B10" s="83" t="s">
        <v>317</v>
      </c>
      <c r="C10" s="96"/>
      <c r="D10" s="96">
        <f>C10*(1+0.9489%)^(ROUND((DATE(D5,E5,1)-DATE(D4,E4,1))/30,0))</f>
        <v>0</v>
      </c>
      <c r="E10" s="98"/>
      <c r="F10" s="98"/>
      <c r="G10" s="98"/>
      <c r="H10" s="79"/>
      <c r="I10" s="103"/>
      <c r="J10" s="103"/>
      <c r="K10" s="103"/>
      <c r="L10" s="103"/>
      <c r="M10" s="103"/>
      <c r="N10" s="104"/>
      <c r="O10" s="93"/>
      <c r="P10" s="82"/>
      <c r="Q10" s="82"/>
    </row>
    <row r="11" spans="1:18">
      <c r="A11" s="79"/>
      <c r="B11" s="79"/>
      <c r="D11" s="79"/>
      <c r="E11" s="79"/>
      <c r="F11" s="79"/>
      <c r="G11" s="79"/>
      <c r="H11" s="79"/>
      <c r="I11" s="85"/>
      <c r="J11" s="85"/>
      <c r="K11" s="85"/>
      <c r="L11" s="81"/>
      <c r="M11" s="82"/>
      <c r="N11" s="93"/>
      <c r="O11" s="93"/>
      <c r="P11" s="82"/>
      <c r="Q11" s="82"/>
    </row>
    <row r="12" spans="1:18" ht="6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1:18" ht="27" customHeight="1">
      <c r="A13" s="82"/>
      <c r="B13" s="82"/>
      <c r="C13" s="92" t="s">
        <v>318</v>
      </c>
      <c r="D13" s="92" t="s">
        <v>319</v>
      </c>
      <c r="E13" s="92" t="s">
        <v>320</v>
      </c>
      <c r="F13" s="105" t="s">
        <v>310</v>
      </c>
      <c r="G13" s="106" t="s">
        <v>321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8">
      <c r="A14" s="82"/>
      <c r="B14" s="99" t="s">
        <v>322</v>
      </c>
      <c r="C14" s="107">
        <v>0.04</v>
      </c>
      <c r="D14" s="107">
        <v>0</v>
      </c>
      <c r="E14" s="108">
        <v>0.01</v>
      </c>
      <c r="F14" s="109">
        <f>SUM(C14:D14)+(E14)</f>
        <v>0.05</v>
      </c>
      <c r="G14" s="110">
        <v>0</v>
      </c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1:18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1:18">
      <c r="A16" s="82"/>
      <c r="B16" s="348" t="s">
        <v>323</v>
      </c>
      <c r="C16" s="348"/>
      <c r="D16" s="348"/>
      <c r="E16" s="348"/>
      <c r="F16" s="348"/>
      <c r="G16" s="93"/>
      <c r="H16" s="111" t="s">
        <v>324</v>
      </c>
      <c r="I16" s="112"/>
      <c r="J16" s="85"/>
      <c r="K16" s="81"/>
      <c r="L16" s="85"/>
      <c r="M16" s="82"/>
      <c r="N16" s="82"/>
      <c r="O16" s="82"/>
      <c r="P16" s="82"/>
      <c r="Q16" s="82"/>
    </row>
    <row r="17" spans="1:19">
      <c r="A17" s="82"/>
      <c r="B17" s="113" t="s">
        <v>325</v>
      </c>
      <c r="C17" s="113" t="s">
        <v>326</v>
      </c>
      <c r="D17" s="114" t="s">
        <v>327</v>
      </c>
      <c r="E17" s="113" t="s">
        <v>328</v>
      </c>
      <c r="F17" s="113" t="s">
        <v>329</v>
      </c>
      <c r="G17" s="93"/>
      <c r="H17" s="111" t="s">
        <v>330</v>
      </c>
      <c r="I17" s="115"/>
      <c r="J17" s="116"/>
      <c r="K17" s="103"/>
      <c r="L17" s="103"/>
      <c r="M17" s="82"/>
      <c r="N17" s="82"/>
      <c r="O17" s="82"/>
      <c r="P17" s="82"/>
      <c r="Q17" s="82"/>
    </row>
    <row r="18" spans="1:19" ht="50.25" customHeight="1">
      <c r="A18" s="82"/>
      <c r="B18" s="117"/>
      <c r="C18" s="117"/>
      <c r="D18" s="118"/>
      <c r="E18" s="118"/>
      <c r="F18" s="118"/>
      <c r="G18" s="93"/>
      <c r="H18" s="119" t="s">
        <v>331</v>
      </c>
      <c r="I18" s="120" t="s">
        <v>332</v>
      </c>
      <c r="J18" s="85"/>
      <c r="K18" s="81"/>
      <c r="L18" s="85"/>
      <c r="M18" s="82"/>
      <c r="N18" s="82"/>
      <c r="O18" s="82"/>
      <c r="P18" s="82"/>
      <c r="Q18" s="82"/>
    </row>
    <row r="19" spans="1:19" ht="25.5" customHeight="1">
      <c r="A19" s="82"/>
      <c r="B19" s="121"/>
      <c r="C19" s="121"/>
      <c r="D19" s="121"/>
      <c r="E19" s="121"/>
      <c r="F19" s="121"/>
      <c r="H19" s="122"/>
      <c r="I19" s="85"/>
      <c r="J19" s="85"/>
      <c r="K19" s="81"/>
      <c r="L19" s="85"/>
      <c r="M19" s="82"/>
      <c r="N19" s="82"/>
      <c r="O19" s="82"/>
      <c r="P19" s="82"/>
      <c r="Q19" s="82"/>
    </row>
    <row r="20" spans="1:19" ht="25.5" customHeight="1">
      <c r="A20" s="82"/>
      <c r="B20" s="123" t="s">
        <v>333</v>
      </c>
      <c r="C20" s="110" t="s">
        <v>334</v>
      </c>
      <c r="D20" s="82"/>
      <c r="E20" s="82"/>
      <c r="F20" s="93"/>
      <c r="G20" s="124"/>
      <c r="H20" s="93"/>
      <c r="I20" s="125"/>
      <c r="J20" s="125"/>
      <c r="K20" s="125"/>
      <c r="L20" s="126"/>
      <c r="M20" s="93"/>
      <c r="N20" s="93"/>
      <c r="O20" s="82"/>
      <c r="P20" s="82"/>
      <c r="Q20" s="82"/>
    </row>
    <row r="21" spans="1:19" ht="25.5" customHeight="1">
      <c r="A21" s="82"/>
      <c r="B21" s="123" t="s">
        <v>335</v>
      </c>
      <c r="C21" s="127">
        <v>0.03</v>
      </c>
      <c r="D21" s="82"/>
      <c r="E21" s="82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82"/>
      <c r="Q21" s="82"/>
    </row>
    <row r="22" spans="1:19" ht="22.5" customHeight="1">
      <c r="A22" s="82"/>
      <c r="B22" s="123" t="s">
        <v>336</v>
      </c>
      <c r="C22" s="127">
        <v>0</v>
      </c>
      <c r="D22" s="82"/>
      <c r="E22" s="82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82"/>
      <c r="Q22" s="82"/>
    </row>
    <row r="23" spans="1:19" ht="12.75" customHeight="1">
      <c r="F23" s="93"/>
      <c r="G23" s="93"/>
      <c r="H23" s="93"/>
      <c r="I23" s="93"/>
      <c r="J23" s="93"/>
      <c r="K23" s="93"/>
      <c r="L23" s="93"/>
      <c r="M23" s="93"/>
      <c r="N23" s="93"/>
      <c r="O23" s="93"/>
    </row>
    <row r="24" spans="1:19" ht="12.75" hidden="1" customHeight="1">
      <c r="F24" s="93"/>
      <c r="G24" s="93"/>
      <c r="H24" s="93"/>
      <c r="I24" s="93"/>
      <c r="J24" s="93"/>
      <c r="K24" s="93"/>
      <c r="L24" s="93"/>
      <c r="M24" s="93"/>
      <c r="N24" s="93"/>
      <c r="O24" s="93"/>
    </row>
    <row r="25" spans="1:19" ht="12.75" hidden="1" customHeight="1">
      <c r="F25" s="93"/>
      <c r="G25" s="93"/>
      <c r="H25" s="93"/>
      <c r="I25" s="93"/>
      <c r="J25" s="93"/>
      <c r="K25" s="93"/>
      <c r="L25" s="93"/>
      <c r="M25" s="93"/>
      <c r="N25" s="93"/>
      <c r="O25" s="93"/>
      <c r="R25" s="344"/>
      <c r="S25" s="344"/>
    </row>
    <row r="26" spans="1:19" ht="25.5" hidden="1" customHeight="1">
      <c r="F26" s="93"/>
      <c r="G26" s="93"/>
      <c r="H26" s="93"/>
      <c r="I26" s="93"/>
      <c r="J26" s="93"/>
      <c r="K26" s="93"/>
      <c r="L26" s="93"/>
      <c r="M26" s="93"/>
      <c r="N26" s="93"/>
      <c r="O26" s="93"/>
      <c r="R26" s="128"/>
      <c r="S26" s="128"/>
    </row>
    <row r="27" spans="1:19" ht="12.75" hidden="1" customHeight="1">
      <c r="F27" s="93"/>
      <c r="G27" s="93"/>
      <c r="H27" s="93"/>
      <c r="I27" s="93"/>
      <c r="J27" s="93"/>
      <c r="K27" s="93"/>
      <c r="L27" s="93"/>
      <c r="M27" s="93"/>
      <c r="N27" s="93"/>
      <c r="O27" s="93"/>
      <c r="R27" s="129"/>
      <c r="S27" s="130"/>
    </row>
    <row r="28" spans="1:19" ht="12.75" hidden="1" customHeight="1">
      <c r="F28" s="93"/>
      <c r="G28" s="93"/>
      <c r="H28" s="93"/>
      <c r="I28" s="93"/>
      <c r="J28" s="93"/>
      <c r="K28" s="93"/>
      <c r="L28" s="93"/>
      <c r="M28" s="93"/>
      <c r="N28" s="93"/>
      <c r="O28" s="93"/>
      <c r="R28" s="129"/>
      <c r="S28" s="130"/>
    </row>
    <row r="29" spans="1:19" ht="12.75" hidden="1" customHeight="1">
      <c r="F29" s="93"/>
      <c r="G29" s="93"/>
      <c r="H29" s="93"/>
      <c r="I29" s="93"/>
      <c r="J29" s="93"/>
      <c r="K29" s="93"/>
      <c r="L29" s="93"/>
      <c r="M29" s="93"/>
      <c r="N29" s="93"/>
      <c r="O29" s="93"/>
      <c r="R29" s="129"/>
      <c r="S29" s="130"/>
    </row>
    <row r="30" spans="1:19" ht="12.75" hidden="1" customHeight="1">
      <c r="F30" s="93"/>
      <c r="G30" s="93"/>
      <c r="H30" s="93"/>
      <c r="I30" s="93"/>
      <c r="J30" s="93"/>
      <c r="K30" s="93"/>
      <c r="L30" s="93"/>
      <c r="M30" s="93"/>
      <c r="N30" s="93"/>
      <c r="O30" s="93"/>
      <c r="R30" s="129"/>
      <c r="S30" s="130"/>
    </row>
    <row r="31" spans="1:19" ht="12.75" hidden="1" customHeight="1">
      <c r="F31" s="93"/>
      <c r="G31" s="93"/>
      <c r="H31" s="93"/>
      <c r="I31" s="93"/>
      <c r="J31" s="93"/>
      <c r="K31" s="93"/>
      <c r="L31" s="93"/>
      <c r="M31" s="93"/>
      <c r="N31" s="93"/>
      <c r="O31" s="93"/>
      <c r="R31" s="129"/>
      <c r="S31" s="130"/>
    </row>
    <row r="32" spans="1:19" ht="12.75" hidden="1" customHeight="1">
      <c r="F32" s="93"/>
      <c r="G32" s="93"/>
      <c r="H32" s="93"/>
      <c r="I32" s="93"/>
      <c r="J32" s="93"/>
      <c r="K32" s="93"/>
      <c r="L32" s="93"/>
      <c r="M32" s="93"/>
      <c r="N32" s="93"/>
      <c r="O32" s="93"/>
      <c r="R32" s="129"/>
      <c r="S32" s="130"/>
    </row>
    <row r="33" spans="1:19" ht="12.75" hidden="1" customHeight="1">
      <c r="F33" s="93"/>
      <c r="G33" s="93"/>
      <c r="H33" s="93"/>
      <c r="I33" s="93"/>
      <c r="J33" s="93"/>
      <c r="K33" s="93"/>
      <c r="L33" s="93"/>
      <c r="M33" s="93"/>
      <c r="N33" s="93"/>
      <c r="O33" s="93"/>
      <c r="R33" s="129"/>
      <c r="S33" s="130"/>
    </row>
    <row r="34" spans="1:19" ht="12.75" hidden="1" customHeight="1">
      <c r="F34" s="93"/>
      <c r="G34" s="93"/>
      <c r="H34" s="93"/>
      <c r="I34" s="93"/>
      <c r="J34" s="93"/>
      <c r="K34" s="93"/>
      <c r="L34" s="93"/>
      <c r="M34" s="93"/>
      <c r="N34" s="93"/>
      <c r="O34" s="93"/>
      <c r="R34" s="129"/>
      <c r="S34" s="130"/>
    </row>
    <row r="35" spans="1:19" ht="12.75" hidden="1" customHeight="1">
      <c r="F35" s="93"/>
      <c r="G35" s="93"/>
      <c r="H35" s="93"/>
      <c r="I35" s="93"/>
      <c r="J35" s="93"/>
      <c r="K35" s="93"/>
      <c r="L35" s="93"/>
      <c r="M35" s="93"/>
      <c r="N35" s="93"/>
      <c r="O35" s="93"/>
      <c r="R35" s="129"/>
      <c r="S35" s="130"/>
    </row>
    <row r="36" spans="1:19" ht="12.75" hidden="1" customHeight="1">
      <c r="F36" s="93"/>
      <c r="G36" s="93"/>
      <c r="H36" s="93"/>
      <c r="I36" s="93"/>
      <c r="J36" s="93"/>
      <c r="K36" s="93"/>
      <c r="L36" s="93"/>
      <c r="M36" s="93"/>
      <c r="N36" s="93"/>
      <c r="O36" s="93"/>
      <c r="R36" s="129"/>
      <c r="S36" s="130"/>
    </row>
    <row r="37" spans="1:19" ht="12.75" hidden="1" customHeight="1">
      <c r="F37" s="93"/>
      <c r="G37" s="93"/>
      <c r="H37" s="93"/>
      <c r="I37" s="93"/>
      <c r="J37" s="93"/>
      <c r="K37" s="93"/>
      <c r="L37" s="93"/>
      <c r="M37" s="93"/>
      <c r="N37" s="93"/>
      <c r="O37" s="93"/>
      <c r="R37" s="131"/>
      <c r="S37" s="131"/>
    </row>
    <row r="38" spans="1:19" ht="12.75" customHeight="1">
      <c r="A38" s="132"/>
      <c r="B38" s="133"/>
      <c r="C38" s="129"/>
      <c r="D38" s="134"/>
      <c r="E38" s="129"/>
      <c r="F38" s="135"/>
      <c r="G38" s="136"/>
      <c r="H38" s="124"/>
      <c r="I38" s="137"/>
      <c r="J38" s="137"/>
      <c r="K38" s="137"/>
      <c r="L38" s="93"/>
      <c r="M38" s="93"/>
      <c r="N38" s="93"/>
      <c r="O38" s="93"/>
      <c r="P38" s="82"/>
      <c r="Q38" s="82"/>
    </row>
    <row r="39" spans="1:19" ht="12.75" customHeight="1">
      <c r="A39" s="132"/>
      <c r="B39" s="349" t="s">
        <v>337</v>
      </c>
      <c r="C39" s="349"/>
      <c r="D39" s="349"/>
      <c r="E39" s="349"/>
      <c r="F39" s="124"/>
      <c r="G39" s="93"/>
      <c r="H39" s="124"/>
      <c r="I39" s="93"/>
      <c r="J39" s="93"/>
      <c r="K39" s="93"/>
      <c r="L39" s="93"/>
      <c r="M39" s="93"/>
      <c r="N39" s="93"/>
      <c r="O39" s="93"/>
      <c r="P39" s="82"/>
      <c r="Q39" s="82"/>
    </row>
    <row r="40" spans="1:19" ht="12.75" customHeight="1">
      <c r="A40" s="132"/>
      <c r="B40" s="138" t="s">
        <v>338</v>
      </c>
      <c r="C40" s="138" t="s">
        <v>339</v>
      </c>
      <c r="D40" s="138" t="s">
        <v>340</v>
      </c>
      <c r="E40" s="139" t="s">
        <v>341</v>
      </c>
      <c r="F40" s="124"/>
      <c r="G40" s="93"/>
      <c r="H40" s="124"/>
      <c r="I40" s="93"/>
      <c r="J40" s="93"/>
      <c r="K40" s="93"/>
      <c r="L40" s="137"/>
      <c r="M40" s="93"/>
      <c r="N40" s="140"/>
      <c r="O40" s="93"/>
      <c r="P40" s="82"/>
      <c r="Q40" s="82"/>
    </row>
    <row r="41" spans="1:19" ht="12.75" customHeight="1">
      <c r="A41" s="141">
        <v>1</v>
      </c>
      <c r="B41" s="142" t="s">
        <v>342</v>
      </c>
      <c r="C41" s="143">
        <f t="shared" ref="C41:C48" si="0">SUMIF($D$69:$D$163,B41,$G$69:$G$163)/COUNTIF($D$69:$D$163,B41)</f>
        <v>260.68</v>
      </c>
      <c r="D41" s="144">
        <f>E204*C41</f>
        <v>2085440</v>
      </c>
      <c r="E41" s="145">
        <f>D41/C41</f>
        <v>8000</v>
      </c>
      <c r="F41" s="146"/>
      <c r="G41" s="146"/>
      <c r="H41" s="147"/>
      <c r="I41" s="93"/>
      <c r="J41" s="93"/>
      <c r="K41" s="93"/>
      <c r="L41" s="93"/>
      <c r="M41" s="93"/>
      <c r="N41" s="93"/>
      <c r="O41" s="93"/>
      <c r="P41" s="82"/>
      <c r="Q41" s="82"/>
    </row>
    <row r="42" spans="1:19" ht="12.75" customHeight="1">
      <c r="A42" s="141">
        <v>2</v>
      </c>
      <c r="B42" s="142" t="s">
        <v>343</v>
      </c>
      <c r="C42" s="143">
        <f t="shared" si="0"/>
        <v>212.09666666666669</v>
      </c>
      <c r="D42" s="144">
        <f>G204*C42</f>
        <v>1707378.166666667</v>
      </c>
      <c r="E42" s="145">
        <f t="shared" ref="E42:E48" si="1">D42/C42</f>
        <v>8050.0000000000009</v>
      </c>
      <c r="F42" s="146"/>
      <c r="G42" s="146"/>
      <c r="H42" s="147"/>
      <c r="I42" s="93"/>
      <c r="J42" s="93"/>
      <c r="K42" s="93"/>
      <c r="L42" s="93"/>
      <c r="M42" s="93"/>
      <c r="N42" s="93"/>
      <c r="O42" s="93"/>
      <c r="P42" s="82"/>
      <c r="Q42" s="82"/>
    </row>
    <row r="43" spans="1:19" ht="12.75" customHeight="1">
      <c r="A43" s="141">
        <v>3</v>
      </c>
      <c r="B43" s="142" t="s">
        <v>344</v>
      </c>
      <c r="C43" s="143">
        <f t="shared" si="0"/>
        <v>213.14333333333335</v>
      </c>
      <c r="D43" s="144">
        <f>I204*C43</f>
        <v>1726461</v>
      </c>
      <c r="E43" s="145">
        <f t="shared" si="1"/>
        <v>8100</v>
      </c>
      <c r="F43" s="146"/>
      <c r="G43" s="146"/>
      <c r="H43" s="147"/>
      <c r="I43" s="93"/>
      <c r="J43" s="93"/>
      <c r="K43" s="93"/>
      <c r="L43" s="93"/>
      <c r="M43" s="93"/>
      <c r="N43" s="93"/>
      <c r="O43" s="93"/>
      <c r="P43" s="82"/>
      <c r="Q43" s="82"/>
    </row>
    <row r="44" spans="1:19" ht="12.75" customHeight="1">
      <c r="A44" s="141">
        <v>4</v>
      </c>
      <c r="B44" s="142" t="s">
        <v>345</v>
      </c>
      <c r="C44" s="143">
        <f t="shared" si="0"/>
        <v>212.16</v>
      </c>
      <c r="D44" s="144">
        <f>K204*C44</f>
        <v>1729104</v>
      </c>
      <c r="E44" s="145">
        <f t="shared" si="1"/>
        <v>8150</v>
      </c>
      <c r="F44" s="130"/>
      <c r="G44" s="130"/>
      <c r="H44" s="148"/>
      <c r="I44" s="82"/>
      <c r="J44" s="149"/>
      <c r="K44" s="82"/>
      <c r="L44" s="82"/>
      <c r="M44" s="82"/>
      <c r="N44" s="82"/>
      <c r="O44" s="82"/>
      <c r="P44" s="82"/>
      <c r="Q44" s="82"/>
    </row>
    <row r="45" spans="1:19" ht="12.75" customHeight="1">
      <c r="A45" s="141">
        <v>5</v>
      </c>
      <c r="B45" s="142" t="s">
        <v>346</v>
      </c>
      <c r="C45" s="143">
        <f t="shared" si="0"/>
        <v>213.46333333333334</v>
      </c>
      <c r="D45" s="144">
        <f>M204*C45</f>
        <v>1750399.3333333335</v>
      </c>
      <c r="E45" s="145">
        <f t="shared" si="1"/>
        <v>8200</v>
      </c>
      <c r="F45" s="130"/>
      <c r="G45" s="130"/>
      <c r="H45" s="148"/>
      <c r="I45" s="82"/>
      <c r="J45" s="82"/>
      <c r="K45" s="82"/>
      <c r="L45" s="82"/>
      <c r="M45" s="82"/>
      <c r="N45" s="82"/>
      <c r="O45" s="82"/>
      <c r="P45" s="82"/>
      <c r="Q45" s="82"/>
    </row>
    <row r="46" spans="1:19" ht="12.75" customHeight="1">
      <c r="A46" s="141">
        <v>6</v>
      </c>
      <c r="B46" s="142" t="s">
        <v>347</v>
      </c>
      <c r="C46" s="143">
        <f t="shared" si="0"/>
        <v>213.26666666666668</v>
      </c>
      <c r="D46" s="144">
        <f>O204*C46</f>
        <v>1759450</v>
      </c>
      <c r="E46" s="145">
        <f t="shared" si="1"/>
        <v>8250</v>
      </c>
      <c r="F46" s="130"/>
      <c r="G46" s="130"/>
      <c r="H46" s="148"/>
      <c r="I46" s="82"/>
      <c r="J46" s="82"/>
      <c r="K46" s="82"/>
      <c r="L46" s="82"/>
      <c r="M46" s="82"/>
      <c r="N46" s="82"/>
      <c r="O46" s="82"/>
      <c r="P46" s="82"/>
      <c r="Q46" s="82"/>
    </row>
    <row r="47" spans="1:19" ht="12.75" customHeight="1">
      <c r="A47" s="141">
        <v>7</v>
      </c>
      <c r="B47" s="142" t="s">
        <v>348</v>
      </c>
      <c r="C47" s="143">
        <f t="shared" si="0"/>
        <v>211.26507462686561</v>
      </c>
      <c r="D47" s="144">
        <f>Q204*C47</f>
        <v>1753288.8543283576</v>
      </c>
      <c r="E47" s="145">
        <f t="shared" si="1"/>
        <v>8299</v>
      </c>
      <c r="F47" s="130"/>
      <c r="G47" s="130"/>
      <c r="H47" s="148"/>
      <c r="I47" s="82"/>
      <c r="J47" s="82"/>
      <c r="K47" s="82"/>
      <c r="L47" s="82"/>
      <c r="M47" s="82"/>
      <c r="N47" s="82"/>
      <c r="O47" s="82"/>
      <c r="P47" s="82"/>
      <c r="Q47" s="82"/>
    </row>
    <row r="48" spans="1:19" ht="12.75" customHeight="1">
      <c r="A48" s="141">
        <v>8</v>
      </c>
      <c r="B48" s="142" t="s">
        <v>349</v>
      </c>
      <c r="C48" s="143">
        <f t="shared" si="0"/>
        <v>299.62399999999997</v>
      </c>
      <c r="D48" s="144">
        <f>S204*C48</f>
        <v>2906352.8</v>
      </c>
      <c r="E48" s="145">
        <f t="shared" si="1"/>
        <v>9700</v>
      </c>
      <c r="F48" s="130"/>
      <c r="G48" s="130"/>
      <c r="H48" s="148"/>
      <c r="I48" s="82"/>
      <c r="J48" s="82"/>
      <c r="K48" s="82"/>
      <c r="L48" s="82"/>
      <c r="M48" s="82"/>
      <c r="N48" s="82"/>
      <c r="O48" s="82"/>
      <c r="P48" s="82"/>
      <c r="Q48" s="82"/>
    </row>
    <row r="49" spans="1:17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150"/>
      <c r="O49" s="82"/>
      <c r="P49" s="82"/>
      <c r="Q49" s="82"/>
    </row>
    <row r="50" spans="1:17">
      <c r="A50" s="151" t="s">
        <v>350</v>
      </c>
      <c r="B50" s="152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77"/>
      <c r="P50" s="77"/>
      <c r="Q50" s="77"/>
    </row>
    <row r="51" spans="1:17">
      <c r="A51" s="82"/>
      <c r="B51" s="98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1:17">
      <c r="A52" s="153" t="s">
        <v>351</v>
      </c>
      <c r="B52" s="98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1:17" ht="15.95">
      <c r="A53" s="154" t="s">
        <v>352</v>
      </c>
      <c r="B53" s="350" t="s">
        <v>353</v>
      </c>
      <c r="C53" s="351"/>
      <c r="D53" s="154" t="s">
        <v>354</v>
      </c>
      <c r="E53" s="352" t="s">
        <v>355</v>
      </c>
      <c r="F53" s="352"/>
      <c r="G53" s="155" t="s">
        <v>356</v>
      </c>
      <c r="H53" s="138" t="s">
        <v>357</v>
      </c>
      <c r="I53" s="82"/>
      <c r="J53" s="156"/>
      <c r="K53" s="82"/>
      <c r="L53" s="156"/>
      <c r="M53" s="98"/>
      <c r="N53" s="98"/>
      <c r="O53" s="82"/>
      <c r="P53" s="82"/>
      <c r="Q53" s="82"/>
    </row>
    <row r="54" spans="1:17">
      <c r="A54" s="157"/>
      <c r="B54" s="138" t="s">
        <v>358</v>
      </c>
      <c r="C54" s="138" t="s">
        <v>359</v>
      </c>
      <c r="D54" s="157"/>
      <c r="E54" s="352"/>
      <c r="F54" s="352"/>
      <c r="G54" s="155"/>
      <c r="H54" s="138"/>
      <c r="I54" s="82"/>
      <c r="J54" s="82"/>
      <c r="K54" s="82"/>
      <c r="L54" s="82"/>
      <c r="M54" s="353"/>
      <c r="N54" s="353"/>
      <c r="O54" s="82"/>
      <c r="P54" s="82"/>
      <c r="Q54" s="82"/>
    </row>
    <row r="55" spans="1:17">
      <c r="A55" s="158">
        <v>1</v>
      </c>
      <c r="B55" s="159">
        <f>C55*A55</f>
        <v>0.04</v>
      </c>
      <c r="C55" s="160">
        <v>0.04</v>
      </c>
      <c r="D55" s="158">
        <v>1</v>
      </c>
      <c r="E55" s="161" t="s">
        <v>46</v>
      </c>
      <c r="F55" s="158">
        <v>0</v>
      </c>
      <c r="G55" s="162" t="s">
        <v>360</v>
      </c>
      <c r="H55" s="163">
        <f t="shared" ref="H55:H60" si="2">IF(E55="Pós Venda",DATE($D$5,$E$5+F55,1),DATE($D$6,$E$6+F55,1))</f>
        <v>45108</v>
      </c>
      <c r="I55" s="164"/>
      <c r="J55" s="165"/>
    </row>
    <row r="56" spans="1:17">
      <c r="A56" s="158">
        <v>3</v>
      </c>
      <c r="B56" s="159">
        <f t="shared" ref="B56:B60" si="3">C56*A56</f>
        <v>0.06</v>
      </c>
      <c r="C56" s="160">
        <v>0.02</v>
      </c>
      <c r="D56" s="158">
        <v>1</v>
      </c>
      <c r="E56" s="166" t="s">
        <v>46</v>
      </c>
      <c r="F56" s="158">
        <v>1</v>
      </c>
      <c r="G56" s="162" t="s">
        <v>361</v>
      </c>
      <c r="H56" s="163">
        <f t="shared" si="2"/>
        <v>45139</v>
      </c>
      <c r="I56" s="164"/>
      <c r="J56" s="165"/>
    </row>
    <row r="57" spans="1:17">
      <c r="A57" s="158">
        <v>24</v>
      </c>
      <c r="B57" s="159">
        <f t="shared" si="3"/>
        <v>0.13999200000000001</v>
      </c>
      <c r="C57" s="160">
        <v>5.8329999999999996E-3</v>
      </c>
      <c r="D57" s="158">
        <v>1</v>
      </c>
      <c r="E57" s="166" t="s">
        <v>46</v>
      </c>
      <c r="F57" s="158">
        <v>4</v>
      </c>
      <c r="G57" s="162" t="s">
        <v>362</v>
      </c>
      <c r="H57" s="163">
        <f t="shared" si="2"/>
        <v>45231</v>
      </c>
      <c r="I57" s="164"/>
      <c r="J57" s="156"/>
    </row>
    <row r="58" spans="1:17">
      <c r="A58" s="158">
        <v>4</v>
      </c>
      <c r="B58" s="159">
        <f t="shared" si="3"/>
        <v>0.13650000000000001</v>
      </c>
      <c r="C58" s="160">
        <v>3.4125000000000003E-2</v>
      </c>
      <c r="D58" s="158">
        <v>6</v>
      </c>
      <c r="E58" s="166" t="s">
        <v>46</v>
      </c>
      <c r="F58" s="158">
        <v>6</v>
      </c>
      <c r="G58" s="162" t="s">
        <v>363</v>
      </c>
      <c r="H58" s="163">
        <f t="shared" si="2"/>
        <v>45292</v>
      </c>
      <c r="I58" s="164"/>
      <c r="J58" s="82"/>
      <c r="K58">
        <v>13.87</v>
      </c>
    </row>
    <row r="59" spans="1:17">
      <c r="A59" s="158">
        <v>1</v>
      </c>
      <c r="B59" s="159">
        <f t="shared" si="3"/>
        <v>0.03</v>
      </c>
      <c r="C59" s="160">
        <v>0.03</v>
      </c>
      <c r="D59" s="158">
        <v>1</v>
      </c>
      <c r="E59" s="166" t="s">
        <v>46</v>
      </c>
      <c r="F59" s="158">
        <v>19</v>
      </c>
      <c r="G59" s="162" t="s">
        <v>364</v>
      </c>
      <c r="H59" s="163">
        <f t="shared" si="2"/>
        <v>45689</v>
      </c>
      <c r="I59" s="164"/>
      <c r="J59" s="167"/>
      <c r="K59">
        <v>0.09</v>
      </c>
    </row>
    <row r="60" spans="1:17">
      <c r="A60" s="158">
        <v>1</v>
      </c>
      <c r="B60" s="159">
        <f t="shared" si="3"/>
        <v>0.59350000000000003</v>
      </c>
      <c r="C60" s="160">
        <v>0.59350000000000003</v>
      </c>
      <c r="D60" s="158">
        <v>1</v>
      </c>
      <c r="E60" s="166" t="s">
        <v>47</v>
      </c>
      <c r="F60" s="158">
        <v>2</v>
      </c>
      <c r="G60" s="162" t="s">
        <v>365</v>
      </c>
      <c r="H60" s="163">
        <f t="shared" si="2"/>
        <v>45992</v>
      </c>
      <c r="I60" s="164"/>
      <c r="J60" s="165"/>
    </row>
    <row r="61" spans="1:17">
      <c r="A61" s="168" t="s">
        <v>310</v>
      </c>
      <c r="B61" s="169">
        <f>SUM(B55:B60)</f>
        <v>0.9999920000000001</v>
      </c>
      <c r="C61" s="170"/>
      <c r="D61" s="171"/>
      <c r="E61" s="171"/>
      <c r="F61" s="171"/>
      <c r="G61" s="171"/>
      <c r="H61" s="172"/>
      <c r="I61" s="82"/>
      <c r="J61" s="156"/>
      <c r="K61" s="82"/>
      <c r="L61" s="156"/>
      <c r="M61" s="173"/>
      <c r="N61" s="174"/>
      <c r="O61" s="82"/>
      <c r="P61" s="82"/>
      <c r="Q61" s="82"/>
    </row>
    <row r="62" spans="1:17" s="82" customFormat="1" ht="15.75" customHeight="1">
      <c r="A62" s="98"/>
      <c r="B62" s="175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4"/>
    </row>
    <row r="63" spans="1:17" s="82" customFormat="1" ht="15.75" customHeight="1"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</row>
    <row r="64" spans="1:17">
      <c r="A64" s="151" t="s">
        <v>366</v>
      </c>
      <c r="B64" s="152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77"/>
      <c r="P64" s="77"/>
      <c r="Q64" s="77"/>
    </row>
    <row r="65" spans="1:18" s="82" customFormat="1">
      <c r="A65" s="178"/>
      <c r="B65" s="179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18" s="82" customFormat="1" ht="15.75" customHeight="1"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N66" s="354"/>
      <c r="O66" s="354"/>
      <c r="P66" s="354"/>
      <c r="Q66" s="354"/>
    </row>
    <row r="67" spans="1:18" ht="30" customHeight="1">
      <c r="A67" s="82"/>
      <c r="B67" s="365" t="s">
        <v>367</v>
      </c>
      <c r="C67" s="366" t="s">
        <v>368</v>
      </c>
      <c r="D67" s="366" t="s">
        <v>338</v>
      </c>
      <c r="E67" s="366" t="s">
        <v>369</v>
      </c>
      <c r="F67" s="367" t="s">
        <v>370</v>
      </c>
      <c r="G67" s="366" t="s">
        <v>371</v>
      </c>
      <c r="H67" s="368" t="s">
        <v>372</v>
      </c>
      <c r="M67" s="180"/>
      <c r="N67" s="181"/>
      <c r="O67" s="182"/>
      <c r="P67" s="175"/>
    </row>
    <row r="68" spans="1:18" ht="12.75" hidden="1" customHeight="1">
      <c r="A68" s="183"/>
      <c r="B68" s="303"/>
      <c r="C68" s="303"/>
      <c r="D68" s="303"/>
      <c r="E68" s="303"/>
      <c r="F68" s="303"/>
      <c r="G68" s="303"/>
      <c r="H68" s="303"/>
      <c r="I68" s="131" t="s">
        <v>373</v>
      </c>
      <c r="J68" s="175" t="s">
        <v>374</v>
      </c>
      <c r="K68" s="184" t="s">
        <v>375</v>
      </c>
      <c r="L68" s="185" t="s">
        <v>376</v>
      </c>
      <c r="M68" s="175" t="s">
        <v>377</v>
      </c>
      <c r="N68" t="s">
        <v>378</v>
      </c>
    </row>
    <row r="69" spans="1:18">
      <c r="A69" s="136"/>
      <c r="B69" s="361">
        <v>401</v>
      </c>
      <c r="C69" s="186">
        <f t="shared" ref="C69:C132" si="4">L69</f>
        <v>1.1872</v>
      </c>
      <c r="D69" s="187" t="s">
        <v>342</v>
      </c>
      <c r="E69" s="101" t="str">
        <f>IFERROR(VLOOKUP(B69,'Consulta1'!J:AJ,27,0),"Disponível")</f>
        <v>Disponível</v>
      </c>
      <c r="F69" s="188">
        <f t="shared" ref="F69:F100" si="5">ROUND((VLOOKUP(D69,$B$41:$E$48,4,FALSE)*G69)*C69,0)</f>
        <v>3482580</v>
      </c>
      <c r="G69" s="189">
        <v>366.67999999999995</v>
      </c>
      <c r="H69" s="363">
        <f t="shared" ref="H69:H132" si="6">F69/G69</f>
        <v>9497.6000872695549</v>
      </c>
      <c r="I69" s="190"/>
      <c r="J69" s="191">
        <f>15.58%+0.5%+1%+1%+0.14%+0.5%</f>
        <v>0.18720000000000003</v>
      </c>
      <c r="K69" s="192">
        <v>1</v>
      </c>
      <c r="L69" s="180">
        <f>SUM(I69:K69)</f>
        <v>1.1872</v>
      </c>
      <c r="M69" s="192"/>
      <c r="N69" t="str">
        <f>RIGHT(B69,1)</f>
        <v>1</v>
      </c>
      <c r="O69" s="193"/>
      <c r="P69" s="194"/>
      <c r="Q69" s="195"/>
      <c r="R69" s="196"/>
    </row>
    <row r="70" spans="1:18">
      <c r="A70" s="136"/>
      <c r="B70" s="362">
        <v>402</v>
      </c>
      <c r="C70" s="197">
        <f t="shared" si="4"/>
        <v>1.1872</v>
      </c>
      <c r="D70" s="187" t="s">
        <v>342</v>
      </c>
      <c r="E70" s="101" t="str">
        <f>IFERROR(VLOOKUP(B70,'Consulta1'!J:AJ,27,0),"Disponível")</f>
        <v>Disponível</v>
      </c>
      <c r="F70" s="188">
        <f t="shared" si="5"/>
        <v>2254825</v>
      </c>
      <c r="G70" s="198">
        <v>237.41</v>
      </c>
      <c r="H70" s="364">
        <f t="shared" si="6"/>
        <v>9497.5990901815421</v>
      </c>
      <c r="I70" s="190"/>
      <c r="J70" s="191">
        <f t="shared" ref="J70:J76" si="7">15.58%+0.5%+1%+1%+0.14%+0.5%</f>
        <v>0.18720000000000003</v>
      </c>
      <c r="K70" s="192">
        <v>1</v>
      </c>
      <c r="L70" s="180">
        <f t="shared" ref="L70:L133" si="8">SUM(I70:K70)</f>
        <v>1.1872</v>
      </c>
      <c r="M70" s="192"/>
      <c r="N70" t="str">
        <f t="shared" ref="N70:N133" si="9">RIGHT(B70,1)</f>
        <v>2</v>
      </c>
      <c r="O70" s="193"/>
      <c r="P70" s="194"/>
      <c r="Q70" s="195"/>
      <c r="R70" s="196"/>
    </row>
    <row r="71" spans="1:18">
      <c r="A71" s="136"/>
      <c r="B71" s="362">
        <v>403</v>
      </c>
      <c r="C71" s="197">
        <f t="shared" si="4"/>
        <v>1.1872</v>
      </c>
      <c r="D71" s="187" t="s">
        <v>342</v>
      </c>
      <c r="E71" s="101" t="str">
        <f>IFERROR(VLOOKUP(B71,'Consulta1'!J:AJ,27,0),"Disponível")</f>
        <v>Disponível</v>
      </c>
      <c r="F71" s="188">
        <f t="shared" si="5"/>
        <v>1690098</v>
      </c>
      <c r="G71" s="198">
        <v>177.95</v>
      </c>
      <c r="H71" s="364">
        <f t="shared" si="6"/>
        <v>9497.6004495644847</v>
      </c>
      <c r="I71" s="190"/>
      <c r="J71" s="191">
        <f t="shared" si="7"/>
        <v>0.18720000000000003</v>
      </c>
      <c r="K71" s="192">
        <v>1</v>
      </c>
      <c r="L71" s="180">
        <f t="shared" si="8"/>
        <v>1.1872</v>
      </c>
      <c r="M71" s="192"/>
      <c r="N71" t="str">
        <f t="shared" si="9"/>
        <v>3</v>
      </c>
      <c r="O71" s="193"/>
      <c r="P71" s="194"/>
      <c r="Q71" s="195"/>
      <c r="R71" s="196"/>
    </row>
    <row r="72" spans="1:18">
      <c r="A72" s="136"/>
      <c r="B72" s="362">
        <v>501</v>
      </c>
      <c r="C72" s="197">
        <f t="shared" si="4"/>
        <v>1.1872</v>
      </c>
      <c r="D72" s="199" t="s">
        <v>343</v>
      </c>
      <c r="E72" s="101" t="str">
        <f>IFERROR(VLOOKUP(B72,'Consulta1'!J:AJ,27,0),"Disponível")</f>
        <v>Disponível</v>
      </c>
      <c r="F72" s="188">
        <f t="shared" si="5"/>
        <v>2370413</v>
      </c>
      <c r="G72" s="198">
        <v>248.03</v>
      </c>
      <c r="H72" s="364">
        <f t="shared" si="6"/>
        <v>9556.9608515098971</v>
      </c>
      <c r="I72" s="190"/>
      <c r="J72" s="191">
        <f t="shared" si="7"/>
        <v>0.18720000000000003</v>
      </c>
      <c r="K72" s="192">
        <v>1</v>
      </c>
      <c r="L72" s="180">
        <f t="shared" si="8"/>
        <v>1.1872</v>
      </c>
      <c r="M72" s="192"/>
      <c r="N72" t="str">
        <f t="shared" si="9"/>
        <v>1</v>
      </c>
      <c r="O72" s="193"/>
      <c r="P72" s="194"/>
      <c r="Q72" s="195"/>
      <c r="R72" s="196"/>
    </row>
    <row r="73" spans="1:18">
      <c r="A73" s="136"/>
      <c r="B73" s="362">
        <v>502</v>
      </c>
      <c r="C73" s="197">
        <f t="shared" si="4"/>
        <v>1.1872</v>
      </c>
      <c r="D73" s="199" t="s">
        <v>343</v>
      </c>
      <c r="E73" s="101" t="str">
        <f>IFERROR(VLOOKUP(B73,'Consulta1'!J:AJ,27,0),"Disponível")</f>
        <v>Disponível</v>
      </c>
      <c r="F73" s="188">
        <f t="shared" si="5"/>
        <v>2057613</v>
      </c>
      <c r="G73" s="198">
        <v>215.3</v>
      </c>
      <c r="H73" s="364">
        <f t="shared" si="6"/>
        <v>9556.957733395262</v>
      </c>
      <c r="I73" s="190"/>
      <c r="J73" s="191">
        <f t="shared" si="7"/>
        <v>0.18720000000000003</v>
      </c>
      <c r="K73" s="192">
        <v>1</v>
      </c>
      <c r="L73" s="180">
        <f t="shared" si="8"/>
        <v>1.1872</v>
      </c>
      <c r="M73" s="192"/>
      <c r="N73" t="str">
        <f t="shared" si="9"/>
        <v>2</v>
      </c>
      <c r="O73" s="193"/>
      <c r="P73" s="194"/>
      <c r="Q73" s="195"/>
      <c r="R73" s="196"/>
    </row>
    <row r="74" spans="1:18">
      <c r="A74" s="136"/>
      <c r="B74" s="362">
        <v>503</v>
      </c>
      <c r="C74" s="197">
        <f t="shared" si="4"/>
        <v>1.1872</v>
      </c>
      <c r="D74" s="199" t="s">
        <v>343</v>
      </c>
      <c r="E74" s="101" t="s">
        <v>379</v>
      </c>
      <c r="F74" s="188">
        <f t="shared" si="5"/>
        <v>1652972</v>
      </c>
      <c r="G74" s="198">
        <v>172.96</v>
      </c>
      <c r="H74" s="364">
        <f t="shared" si="6"/>
        <v>9556.9611470860309</v>
      </c>
      <c r="I74" s="190"/>
      <c r="J74" s="191">
        <f t="shared" si="7"/>
        <v>0.18720000000000003</v>
      </c>
      <c r="K74" s="192">
        <v>1</v>
      </c>
      <c r="L74" s="180">
        <f t="shared" si="8"/>
        <v>1.1872</v>
      </c>
      <c r="M74" s="192"/>
      <c r="N74" t="str">
        <f t="shared" si="9"/>
        <v>3</v>
      </c>
      <c r="O74" s="193"/>
      <c r="P74" s="194"/>
      <c r="Q74" s="195"/>
      <c r="R74" s="196"/>
    </row>
    <row r="75" spans="1:18">
      <c r="A75" s="136"/>
      <c r="B75" s="362">
        <v>601</v>
      </c>
      <c r="C75" s="197">
        <f t="shared" si="4"/>
        <v>1.1872</v>
      </c>
      <c r="D75" s="199" t="s">
        <v>344</v>
      </c>
      <c r="E75" s="101" t="str">
        <f>IFERROR(VLOOKUP(B75,'Consulta1'!J:AJ,27,0),"Disponível")</f>
        <v>Disponível</v>
      </c>
      <c r="F75" s="188">
        <f t="shared" si="5"/>
        <v>2380809</v>
      </c>
      <c r="G75" s="198">
        <v>247.58</v>
      </c>
      <c r="H75" s="364">
        <f t="shared" si="6"/>
        <v>9616.3219969302845</v>
      </c>
      <c r="I75" s="190"/>
      <c r="J75" s="191">
        <f t="shared" si="7"/>
        <v>0.18720000000000003</v>
      </c>
      <c r="K75" s="192">
        <v>1</v>
      </c>
      <c r="L75" s="180">
        <f t="shared" si="8"/>
        <v>1.1872</v>
      </c>
      <c r="M75" s="192"/>
      <c r="N75" t="str">
        <f t="shared" si="9"/>
        <v>1</v>
      </c>
      <c r="O75" s="193"/>
      <c r="P75" s="194"/>
      <c r="Q75" s="195"/>
      <c r="R75" s="196"/>
    </row>
    <row r="76" spans="1:18">
      <c r="A76" s="136"/>
      <c r="B76" s="362">
        <v>602</v>
      </c>
      <c r="C76" s="197">
        <f t="shared" si="4"/>
        <v>1.1872</v>
      </c>
      <c r="D76" s="199" t="s">
        <v>344</v>
      </c>
      <c r="E76" s="101" t="str">
        <f>IFERROR(VLOOKUP(B76,'Consulta1'!J:AJ,27,0),"Disponível")</f>
        <v>Disponível</v>
      </c>
      <c r="F76" s="188">
        <f t="shared" si="5"/>
        <v>2133765</v>
      </c>
      <c r="G76" s="198">
        <v>221.89000000000001</v>
      </c>
      <c r="H76" s="364">
        <f t="shared" si="6"/>
        <v>9616.3188967506412</v>
      </c>
      <c r="I76" s="190"/>
      <c r="J76" s="191">
        <f t="shared" si="7"/>
        <v>0.18720000000000003</v>
      </c>
      <c r="K76" s="192">
        <v>1</v>
      </c>
      <c r="L76" s="180">
        <f t="shared" si="8"/>
        <v>1.1872</v>
      </c>
      <c r="M76" s="192"/>
      <c r="N76" t="str">
        <f t="shared" si="9"/>
        <v>2</v>
      </c>
      <c r="O76" s="193"/>
      <c r="P76" s="194"/>
      <c r="Q76" s="195"/>
      <c r="R76" s="196"/>
    </row>
    <row r="77" spans="1:18" hidden="1">
      <c r="A77" s="136"/>
      <c r="B77" s="362">
        <v>603</v>
      </c>
      <c r="C77" s="197">
        <f t="shared" si="4"/>
        <v>1.1395999999999999</v>
      </c>
      <c r="D77" s="199" t="s">
        <v>344</v>
      </c>
      <c r="E77" s="101" t="s">
        <v>380</v>
      </c>
      <c r="F77" s="188">
        <f t="shared" si="5"/>
        <v>1568860</v>
      </c>
      <c r="G77" s="198">
        <v>169.96</v>
      </c>
      <c r="H77" s="364">
        <f t="shared" si="6"/>
        <v>9230.7601788656157</v>
      </c>
      <c r="I77" s="190"/>
      <c r="J77" s="191">
        <f t="shared" ref="J77" si="10">13.78%+0.09%+0.09%</f>
        <v>0.13960000000000003</v>
      </c>
      <c r="K77" s="192">
        <v>1</v>
      </c>
      <c r="L77" s="180">
        <f t="shared" si="8"/>
        <v>1.1395999999999999</v>
      </c>
      <c r="M77" s="192"/>
      <c r="N77" t="str">
        <f t="shared" si="9"/>
        <v>3</v>
      </c>
      <c r="O77" s="193"/>
      <c r="P77" s="194"/>
      <c r="Q77" s="195"/>
      <c r="R77" s="196"/>
    </row>
    <row r="78" spans="1:18">
      <c r="A78" s="136"/>
      <c r="B78" s="362">
        <v>701</v>
      </c>
      <c r="C78" s="197">
        <f t="shared" si="4"/>
        <v>1.1872</v>
      </c>
      <c r="D78" s="199" t="s">
        <v>345</v>
      </c>
      <c r="E78" s="101" t="str">
        <f>IFERROR(VLOOKUP(B78,'Consulta1'!J:AJ,27,0),"Disponível")</f>
        <v>Disponível</v>
      </c>
      <c r="F78" s="188">
        <f t="shared" si="5"/>
        <v>2396569</v>
      </c>
      <c r="G78" s="198">
        <v>247.69</v>
      </c>
      <c r="H78" s="364">
        <f t="shared" si="6"/>
        <v>9675.6792765149985</v>
      </c>
      <c r="I78" s="190"/>
      <c r="J78" s="191">
        <f t="shared" ref="J78:J79" si="11">15.58%+0.5%+1%+1%+0.14%+0.5%</f>
        <v>0.18720000000000003</v>
      </c>
      <c r="K78" s="192">
        <v>1</v>
      </c>
      <c r="L78" s="180">
        <f t="shared" si="8"/>
        <v>1.1872</v>
      </c>
      <c r="M78" s="192"/>
      <c r="N78" t="str">
        <f t="shared" si="9"/>
        <v>1</v>
      </c>
      <c r="O78" s="193"/>
      <c r="P78" s="194"/>
      <c r="Q78" s="195"/>
      <c r="R78" s="196"/>
    </row>
    <row r="79" spans="1:18">
      <c r="A79" s="136"/>
      <c r="B79" s="362">
        <v>702</v>
      </c>
      <c r="C79" s="197">
        <f t="shared" si="4"/>
        <v>1.1872</v>
      </c>
      <c r="D79" s="199" t="s">
        <v>345</v>
      </c>
      <c r="E79" s="101" t="str">
        <f>IFERROR(VLOOKUP(B79,'Consulta1'!J:AJ,27,0),"Disponível")</f>
        <v>Disponível</v>
      </c>
      <c r="F79" s="188">
        <f t="shared" si="5"/>
        <v>2084335</v>
      </c>
      <c r="G79" s="198">
        <v>215.42000000000002</v>
      </c>
      <c r="H79" s="364">
        <f t="shared" si="6"/>
        <v>9675.6800668461601</v>
      </c>
      <c r="I79" s="190"/>
      <c r="J79" s="191">
        <f t="shared" si="11"/>
        <v>0.18720000000000003</v>
      </c>
      <c r="K79" s="192">
        <v>1</v>
      </c>
      <c r="L79" s="180">
        <f t="shared" si="8"/>
        <v>1.1872</v>
      </c>
      <c r="M79" s="192"/>
      <c r="N79" t="str">
        <f t="shared" si="9"/>
        <v>2</v>
      </c>
      <c r="O79" s="193"/>
      <c r="P79" s="194"/>
      <c r="Q79" s="195"/>
      <c r="R79" s="196"/>
    </row>
    <row r="80" spans="1:18" hidden="1">
      <c r="A80" s="136"/>
      <c r="B80" s="362">
        <v>703</v>
      </c>
      <c r="C80" s="197">
        <f t="shared" si="4"/>
        <v>1.1292</v>
      </c>
      <c r="D80" s="199" t="s">
        <v>345</v>
      </c>
      <c r="E80" s="101" t="s">
        <v>380</v>
      </c>
      <c r="F80" s="188">
        <f t="shared" si="5"/>
        <v>1595521</v>
      </c>
      <c r="G80" s="198">
        <v>173.37</v>
      </c>
      <c r="H80" s="364">
        <f t="shared" si="6"/>
        <v>9202.9820614869932</v>
      </c>
      <c r="I80" s="190"/>
      <c r="J80" s="191">
        <v>0.12920000000000001</v>
      </c>
      <c r="K80" s="192">
        <v>1</v>
      </c>
      <c r="L80" s="180">
        <f t="shared" si="8"/>
        <v>1.1292</v>
      </c>
      <c r="M80" s="192"/>
      <c r="N80" t="str">
        <f t="shared" si="9"/>
        <v>3</v>
      </c>
      <c r="O80" s="193"/>
      <c r="P80" s="194"/>
      <c r="Q80" s="195"/>
      <c r="R80" s="196"/>
    </row>
    <row r="81" spans="1:18">
      <c r="A81" s="136"/>
      <c r="B81" s="362">
        <v>801</v>
      </c>
      <c r="C81" s="197">
        <f t="shared" si="4"/>
        <v>1.1872</v>
      </c>
      <c r="D81" s="199" t="s">
        <v>346</v>
      </c>
      <c r="E81" s="101" t="str">
        <f>IFERROR(VLOOKUP(B81,'Consulta1'!J:AJ,27,0),"Disponível")</f>
        <v>Disponível</v>
      </c>
      <c r="F81" s="188">
        <f t="shared" si="5"/>
        <v>2419547</v>
      </c>
      <c r="G81" s="198">
        <v>248.54</v>
      </c>
      <c r="H81" s="364">
        <f t="shared" si="6"/>
        <v>9735.0406373219612</v>
      </c>
      <c r="I81" s="190"/>
      <c r="J81" s="191">
        <f t="shared" ref="J81:J85" si="12">15.58%+0.5%+1%+1%+0.14%+0.5%</f>
        <v>0.18720000000000003</v>
      </c>
      <c r="K81" s="192">
        <v>1</v>
      </c>
      <c r="L81" s="180">
        <f t="shared" si="8"/>
        <v>1.1872</v>
      </c>
      <c r="M81" s="192"/>
      <c r="N81" t="str">
        <f t="shared" si="9"/>
        <v>1</v>
      </c>
      <c r="O81" s="193"/>
      <c r="P81" s="194"/>
      <c r="Q81" s="195"/>
      <c r="R81" s="196"/>
    </row>
    <row r="82" spans="1:18">
      <c r="A82" s="136"/>
      <c r="B82" s="362">
        <v>802</v>
      </c>
      <c r="C82" s="197">
        <f t="shared" si="4"/>
        <v>1.1872</v>
      </c>
      <c r="D82" s="199" t="s">
        <v>346</v>
      </c>
      <c r="E82" s="101" t="str">
        <f>IFERROR(VLOOKUP(B82,'Consulta1'!J:AJ,27,0),"Disponível")</f>
        <v>Disponível</v>
      </c>
      <c r="F82" s="188">
        <f t="shared" si="5"/>
        <v>2160108</v>
      </c>
      <c r="G82" s="198">
        <v>221.89000000000001</v>
      </c>
      <c r="H82" s="364">
        <f t="shared" si="6"/>
        <v>9735.0398846275166</v>
      </c>
      <c r="I82" s="190"/>
      <c r="J82" s="191">
        <f t="shared" si="12"/>
        <v>0.18720000000000003</v>
      </c>
      <c r="K82" s="192">
        <v>1</v>
      </c>
      <c r="L82" s="180">
        <f t="shared" si="8"/>
        <v>1.1872</v>
      </c>
      <c r="M82" s="192"/>
      <c r="N82" t="str">
        <f t="shared" si="9"/>
        <v>2</v>
      </c>
      <c r="O82" s="193"/>
      <c r="P82" s="194"/>
      <c r="Q82" s="195"/>
      <c r="R82" s="196"/>
    </row>
    <row r="83" spans="1:18">
      <c r="A83" s="136"/>
      <c r="B83" s="362">
        <v>803</v>
      </c>
      <c r="C83" s="197">
        <f t="shared" si="4"/>
        <v>1.1872</v>
      </c>
      <c r="D83" s="199" t="s">
        <v>346</v>
      </c>
      <c r="E83" s="101" t="str">
        <f>IFERROR(VLOOKUP(B83,'Consulta1'!J:AJ,27,0),"Disponível")</f>
        <v>Disponível</v>
      </c>
      <c r="F83" s="188">
        <f t="shared" si="5"/>
        <v>1654567</v>
      </c>
      <c r="G83" s="198">
        <v>169.96</v>
      </c>
      <c r="H83" s="364">
        <f t="shared" si="6"/>
        <v>9735.037655919039</v>
      </c>
      <c r="I83" s="190"/>
      <c r="J83" s="191">
        <f t="shared" si="12"/>
        <v>0.18720000000000003</v>
      </c>
      <c r="K83" s="192">
        <v>1</v>
      </c>
      <c r="L83" s="180">
        <f t="shared" si="8"/>
        <v>1.1872</v>
      </c>
      <c r="M83" s="192"/>
      <c r="N83" t="str">
        <f t="shared" si="9"/>
        <v>3</v>
      </c>
      <c r="O83" s="193"/>
      <c r="P83" s="194"/>
      <c r="Q83" s="195"/>
      <c r="R83" s="196"/>
    </row>
    <row r="84" spans="1:18">
      <c r="A84" s="136"/>
      <c r="B84" s="362">
        <v>901</v>
      </c>
      <c r="C84" s="197">
        <f t="shared" si="4"/>
        <v>1.1872</v>
      </c>
      <c r="D84" s="199" t="s">
        <v>347</v>
      </c>
      <c r="E84" s="101" t="str">
        <f>IFERROR(VLOOKUP(B84,'Consulta1'!J:AJ,27,0),"Disponível")</f>
        <v>Disponível</v>
      </c>
      <c r="F84" s="188">
        <f t="shared" si="5"/>
        <v>2432439</v>
      </c>
      <c r="G84" s="198">
        <v>248.35</v>
      </c>
      <c r="H84" s="364">
        <f t="shared" si="6"/>
        <v>9794.3990336219049</v>
      </c>
      <c r="I84" s="190"/>
      <c r="J84" s="191">
        <f t="shared" si="12"/>
        <v>0.18720000000000003</v>
      </c>
      <c r="K84" s="192">
        <v>1</v>
      </c>
      <c r="L84" s="180">
        <f t="shared" si="8"/>
        <v>1.1872</v>
      </c>
      <c r="M84" s="192"/>
      <c r="N84" t="str">
        <f t="shared" si="9"/>
        <v>1</v>
      </c>
      <c r="O84" s="193"/>
      <c r="P84" s="194"/>
      <c r="Q84" s="195"/>
      <c r="R84" s="196"/>
    </row>
    <row r="85" spans="1:18">
      <c r="A85" s="136"/>
      <c r="B85" s="362">
        <v>902</v>
      </c>
      <c r="C85" s="197">
        <f t="shared" si="4"/>
        <v>1.1872</v>
      </c>
      <c r="D85" s="199" t="s">
        <v>347</v>
      </c>
      <c r="E85" s="101" t="str">
        <f>IFERROR(VLOOKUP(B85,'Consulta1'!J:AJ,27,0),"Disponível")</f>
        <v>Disponível</v>
      </c>
      <c r="F85" s="188">
        <f t="shared" si="5"/>
        <v>2107069</v>
      </c>
      <c r="G85" s="198">
        <v>215.13000000000002</v>
      </c>
      <c r="H85" s="364">
        <f t="shared" si="6"/>
        <v>9794.3987356482121</v>
      </c>
      <c r="I85" s="190"/>
      <c r="J85" s="191">
        <f t="shared" si="12"/>
        <v>0.18720000000000003</v>
      </c>
      <c r="K85" s="192">
        <v>1</v>
      </c>
      <c r="L85" s="180">
        <f t="shared" si="8"/>
        <v>1.1872</v>
      </c>
      <c r="M85" s="192"/>
      <c r="N85" t="str">
        <f t="shared" si="9"/>
        <v>2</v>
      </c>
      <c r="O85" s="193"/>
      <c r="P85" s="194"/>
      <c r="Q85" s="195"/>
      <c r="R85" s="196"/>
    </row>
    <row r="86" spans="1:18" hidden="1">
      <c r="A86" s="136"/>
      <c r="B86" s="362">
        <v>903</v>
      </c>
      <c r="C86" s="197">
        <f t="shared" si="4"/>
        <v>1.1708000000000001</v>
      </c>
      <c r="D86" s="199" t="s">
        <v>347</v>
      </c>
      <c r="E86" s="101" t="s">
        <v>380</v>
      </c>
      <c r="F86" s="188">
        <f t="shared" si="5"/>
        <v>1703093</v>
      </c>
      <c r="G86" s="198">
        <v>176.32000000000002</v>
      </c>
      <c r="H86" s="364">
        <f t="shared" si="6"/>
        <v>9659.102767695098</v>
      </c>
      <c r="I86" s="190"/>
      <c r="J86" s="191">
        <f t="shared" ref="J86" si="13">15.58%+0.5%+1%</f>
        <v>0.17080000000000001</v>
      </c>
      <c r="K86" s="192">
        <v>1</v>
      </c>
      <c r="L86" s="180">
        <f t="shared" si="8"/>
        <v>1.1708000000000001</v>
      </c>
      <c r="M86" s="192"/>
      <c r="N86" t="str">
        <f t="shared" si="9"/>
        <v>3</v>
      </c>
      <c r="O86" s="193"/>
      <c r="P86" s="194"/>
      <c r="Q86" s="195"/>
      <c r="R86" s="196"/>
    </row>
    <row r="87" spans="1:18">
      <c r="A87" s="136"/>
      <c r="B87" s="362">
        <v>1001</v>
      </c>
      <c r="C87" s="197">
        <f t="shared" si="4"/>
        <v>1.1872</v>
      </c>
      <c r="D87" s="199" t="s">
        <v>348</v>
      </c>
      <c r="E87" s="101" t="str">
        <f>IFERROR(VLOOKUP(B87,'Consulta1'!J:AJ,27,0),"Disponível")</f>
        <v>Disponível</v>
      </c>
      <c r="F87" s="188">
        <f t="shared" si="5"/>
        <v>2427575</v>
      </c>
      <c r="G87" s="198">
        <v>246.39</v>
      </c>
      <c r="H87" s="364">
        <f t="shared" si="6"/>
        <v>9852.5711270749634</v>
      </c>
      <c r="I87" s="190"/>
      <c r="J87" s="191">
        <f>15.58%+0.5%+1%+1%+0.14%+0.5%</f>
        <v>0.18720000000000003</v>
      </c>
      <c r="K87" s="192">
        <v>1</v>
      </c>
      <c r="L87" s="180">
        <f t="shared" si="8"/>
        <v>1.1872</v>
      </c>
      <c r="M87" s="192"/>
      <c r="N87" t="str">
        <f t="shared" si="9"/>
        <v>1</v>
      </c>
      <c r="O87" s="193"/>
      <c r="P87" s="194"/>
      <c r="Q87" s="195"/>
      <c r="R87" s="196"/>
    </row>
    <row r="88" spans="1:18" hidden="1">
      <c r="A88" s="136"/>
      <c r="B88" s="362">
        <v>1002</v>
      </c>
      <c r="C88" s="197">
        <f t="shared" si="4"/>
        <v>1.1292</v>
      </c>
      <c r="D88" s="199" t="s">
        <v>348</v>
      </c>
      <c r="E88" s="101" t="s">
        <v>381</v>
      </c>
      <c r="F88" s="188">
        <f t="shared" si="5"/>
        <v>2003382</v>
      </c>
      <c r="G88" s="198">
        <v>213.78</v>
      </c>
      <c r="H88" s="364">
        <f t="shared" si="6"/>
        <v>9371.2321077743472</v>
      </c>
      <c r="I88" s="190"/>
      <c r="J88" s="191">
        <v>0.12920000000000001</v>
      </c>
      <c r="K88" s="192">
        <v>1</v>
      </c>
      <c r="L88" s="180">
        <f t="shared" si="8"/>
        <v>1.1292</v>
      </c>
      <c r="M88" s="192"/>
      <c r="N88" t="str">
        <f t="shared" si="9"/>
        <v>2</v>
      </c>
      <c r="O88" s="193"/>
      <c r="P88" s="194"/>
      <c r="Q88" s="195"/>
      <c r="R88" s="196"/>
    </row>
    <row r="89" spans="1:18">
      <c r="A89" s="136"/>
      <c r="B89" s="362">
        <v>1003</v>
      </c>
      <c r="C89" s="197">
        <f t="shared" si="4"/>
        <v>1.1872</v>
      </c>
      <c r="D89" s="199" t="s">
        <v>348</v>
      </c>
      <c r="E89" s="101" t="s">
        <v>379</v>
      </c>
      <c r="F89" s="188">
        <f t="shared" si="5"/>
        <v>1682425</v>
      </c>
      <c r="G89" s="198">
        <v>170.76</v>
      </c>
      <c r="H89" s="364">
        <f t="shared" si="6"/>
        <v>9852.5708596861095</v>
      </c>
      <c r="I89" s="190"/>
      <c r="J89" s="191">
        <f>15.58%+0.5%+1%+1%+0.14%+0.5%</f>
        <v>0.18720000000000003</v>
      </c>
      <c r="K89" s="192">
        <v>1</v>
      </c>
      <c r="L89" s="180">
        <f t="shared" si="8"/>
        <v>1.1872</v>
      </c>
      <c r="M89" s="192"/>
      <c r="N89" t="str">
        <f t="shared" si="9"/>
        <v>3</v>
      </c>
      <c r="O89" s="193"/>
      <c r="P89" s="194"/>
      <c r="Q89" s="195"/>
      <c r="R89" s="196"/>
    </row>
    <row r="90" spans="1:18" hidden="1">
      <c r="A90" s="136"/>
      <c r="B90" s="362">
        <v>1101</v>
      </c>
      <c r="C90" s="197">
        <f t="shared" si="4"/>
        <v>1.1808000000000001</v>
      </c>
      <c r="D90" s="199" t="s">
        <v>348</v>
      </c>
      <c r="E90" s="101" t="s">
        <v>380</v>
      </c>
      <c r="F90" s="188">
        <f t="shared" si="5"/>
        <v>2464466</v>
      </c>
      <c r="G90" s="198">
        <v>251.49</v>
      </c>
      <c r="H90" s="364">
        <f t="shared" si="6"/>
        <v>9799.4592230307371</v>
      </c>
      <c r="I90" s="190"/>
      <c r="J90" s="191">
        <f t="shared" ref="J90" si="14">15.58%+0.5%+1%+1%</f>
        <v>0.18080000000000002</v>
      </c>
      <c r="K90" s="192">
        <v>1</v>
      </c>
      <c r="L90" s="180">
        <f t="shared" si="8"/>
        <v>1.1808000000000001</v>
      </c>
      <c r="M90" s="192"/>
      <c r="N90" t="str">
        <f t="shared" si="9"/>
        <v>1</v>
      </c>
      <c r="O90" s="193"/>
      <c r="P90" s="194"/>
      <c r="Q90" s="195"/>
      <c r="R90" s="196"/>
    </row>
    <row r="91" spans="1:18">
      <c r="A91" s="136"/>
      <c r="B91" s="362">
        <v>1102</v>
      </c>
      <c r="C91" s="197">
        <f t="shared" si="4"/>
        <v>1.1872</v>
      </c>
      <c r="D91" s="199" t="s">
        <v>348</v>
      </c>
      <c r="E91" s="101" t="str">
        <f>IFERROR(VLOOKUP(B91,'Consulta1'!J:AJ,27,0),"Disponível")</f>
        <v>Disponível</v>
      </c>
      <c r="F91" s="188">
        <f t="shared" si="5"/>
        <v>2120274</v>
      </c>
      <c r="G91" s="198">
        <v>215.20000000000002</v>
      </c>
      <c r="H91" s="364">
        <f t="shared" si="6"/>
        <v>9852.5743494423787</v>
      </c>
      <c r="I91" s="190"/>
      <c r="J91" s="191">
        <f t="shared" ref="J91:J95" si="15">15.58%+0.5%+1%+1%+0.14%+0.5%</f>
        <v>0.18720000000000003</v>
      </c>
      <c r="K91" s="192">
        <v>1</v>
      </c>
      <c r="L91" s="180">
        <f t="shared" si="8"/>
        <v>1.1872</v>
      </c>
      <c r="M91" s="192"/>
      <c r="N91" t="str">
        <f t="shared" si="9"/>
        <v>2</v>
      </c>
      <c r="O91" s="193"/>
      <c r="P91" s="194"/>
      <c r="Q91" s="195"/>
      <c r="R91" s="196"/>
    </row>
    <row r="92" spans="1:18">
      <c r="A92" s="136"/>
      <c r="B92" s="362">
        <v>1103</v>
      </c>
      <c r="C92" s="197">
        <f t="shared" si="4"/>
        <v>1.1872</v>
      </c>
      <c r="D92" s="199" t="s">
        <v>348</v>
      </c>
      <c r="E92" s="101" t="str">
        <f>IFERROR(VLOOKUP(B92,'Consulta1'!J:AJ,27,0),"Disponível")</f>
        <v>Disponível</v>
      </c>
      <c r="F92" s="188">
        <f t="shared" si="5"/>
        <v>1707549</v>
      </c>
      <c r="G92" s="198">
        <v>173.31</v>
      </c>
      <c r="H92" s="364">
        <f t="shared" si="6"/>
        <v>9852.5705383416989</v>
      </c>
      <c r="I92" s="190"/>
      <c r="J92" s="191">
        <f t="shared" si="15"/>
        <v>0.18720000000000003</v>
      </c>
      <c r="K92" s="192">
        <v>1</v>
      </c>
      <c r="L92" s="180">
        <f t="shared" si="8"/>
        <v>1.1872</v>
      </c>
      <c r="M92" s="192"/>
      <c r="N92" t="str">
        <f t="shared" si="9"/>
        <v>3</v>
      </c>
      <c r="O92" s="193"/>
      <c r="P92" s="194"/>
      <c r="Q92" s="195"/>
      <c r="R92" s="196"/>
    </row>
    <row r="93" spans="1:18">
      <c r="A93" s="136"/>
      <c r="B93" s="362">
        <v>1201</v>
      </c>
      <c r="C93" s="186">
        <f t="shared" si="4"/>
        <v>1.1872</v>
      </c>
      <c r="D93" s="199" t="s">
        <v>348</v>
      </c>
      <c r="E93" s="101" t="str">
        <f>IFERROR(VLOOKUP(B93,'Consulta1'!J:AJ,27,0),"Disponível")</f>
        <v>Disponível</v>
      </c>
      <c r="F93" s="188">
        <f t="shared" si="5"/>
        <v>2440679</v>
      </c>
      <c r="G93" s="198">
        <v>247.72</v>
      </c>
      <c r="H93" s="363">
        <f t="shared" si="6"/>
        <v>9852.5714516389471</v>
      </c>
      <c r="I93" s="190"/>
      <c r="J93" s="191">
        <f t="shared" si="15"/>
        <v>0.18720000000000003</v>
      </c>
      <c r="K93" s="192">
        <v>1</v>
      </c>
      <c r="L93" s="180">
        <f t="shared" si="8"/>
        <v>1.1872</v>
      </c>
      <c r="M93" s="192"/>
      <c r="N93" t="str">
        <f t="shared" si="9"/>
        <v>1</v>
      </c>
      <c r="O93" s="193"/>
      <c r="P93" s="194"/>
      <c r="Q93" s="195"/>
      <c r="R93" s="196"/>
    </row>
    <row r="94" spans="1:18">
      <c r="A94" s="136"/>
      <c r="B94" s="362">
        <v>1202</v>
      </c>
      <c r="C94" s="186">
        <f t="shared" si="4"/>
        <v>1.1872</v>
      </c>
      <c r="D94" s="187" t="s">
        <v>348</v>
      </c>
      <c r="E94" s="101" t="str">
        <f>IFERROR(VLOOKUP(B94,'Consulta1'!J:AJ,27,0),"Disponível")</f>
        <v>Disponível</v>
      </c>
      <c r="F94" s="188">
        <f t="shared" si="5"/>
        <v>2133279</v>
      </c>
      <c r="G94" s="198">
        <v>216.52</v>
      </c>
      <c r="H94" s="363">
        <f t="shared" si="6"/>
        <v>9852.5725106225746</v>
      </c>
      <c r="I94" s="190"/>
      <c r="J94" s="191">
        <f t="shared" si="15"/>
        <v>0.18720000000000003</v>
      </c>
      <c r="K94" s="192">
        <v>1</v>
      </c>
      <c r="L94" s="180">
        <f t="shared" si="8"/>
        <v>1.1872</v>
      </c>
      <c r="M94" s="192"/>
      <c r="N94" t="str">
        <f t="shared" si="9"/>
        <v>2</v>
      </c>
      <c r="O94" s="193"/>
      <c r="P94" s="194"/>
      <c r="Q94" s="195"/>
      <c r="R94" s="196"/>
    </row>
    <row r="95" spans="1:18">
      <c r="A95" s="136"/>
      <c r="B95" s="362">
        <v>1203</v>
      </c>
      <c r="C95" s="186">
        <f t="shared" si="4"/>
        <v>1.1872</v>
      </c>
      <c r="D95" s="187" t="s">
        <v>348</v>
      </c>
      <c r="E95" s="101" t="str">
        <f>IFERROR(VLOOKUP(B95,'Consulta1'!J:AJ,27,0),"Disponível")</f>
        <v>Disponível</v>
      </c>
      <c r="F95" s="188">
        <f t="shared" si="5"/>
        <v>1674346</v>
      </c>
      <c r="G95" s="198">
        <v>169.94</v>
      </c>
      <c r="H95" s="363">
        <f t="shared" si="6"/>
        <v>9852.5714958220542</v>
      </c>
      <c r="I95" s="190"/>
      <c r="J95" s="191">
        <f t="shared" si="15"/>
        <v>0.18720000000000003</v>
      </c>
      <c r="K95" s="192">
        <v>1</v>
      </c>
      <c r="L95" s="180">
        <f t="shared" si="8"/>
        <v>1.1872</v>
      </c>
      <c r="M95" s="192"/>
      <c r="N95" t="str">
        <f t="shared" si="9"/>
        <v>3</v>
      </c>
      <c r="O95" s="193"/>
      <c r="P95" s="194"/>
      <c r="Q95" s="195"/>
      <c r="R95" s="196"/>
    </row>
    <row r="96" spans="1:18" hidden="1">
      <c r="A96" s="136"/>
      <c r="B96" s="362">
        <v>1301</v>
      </c>
      <c r="C96" s="186">
        <f t="shared" si="4"/>
        <v>1.1395999999999999</v>
      </c>
      <c r="D96" s="187" t="s">
        <v>348</v>
      </c>
      <c r="E96" s="101" t="s">
        <v>380</v>
      </c>
      <c r="F96" s="188">
        <f t="shared" si="5"/>
        <v>2347645</v>
      </c>
      <c r="G96" s="198">
        <v>248.23</v>
      </c>
      <c r="H96" s="363">
        <f t="shared" si="6"/>
        <v>9457.5393788019173</v>
      </c>
      <c r="I96" s="190"/>
      <c r="J96" s="191">
        <f t="shared" ref="J96" si="16">13.78%+0.09%+0.09%</f>
        <v>0.13960000000000003</v>
      </c>
      <c r="K96" s="192">
        <v>1</v>
      </c>
      <c r="L96" s="180">
        <f t="shared" si="8"/>
        <v>1.1395999999999999</v>
      </c>
      <c r="M96" s="192"/>
      <c r="N96" t="str">
        <f t="shared" si="9"/>
        <v>1</v>
      </c>
      <c r="O96" s="193"/>
      <c r="P96" s="194"/>
      <c r="Q96" s="195"/>
      <c r="R96" s="196"/>
    </row>
    <row r="97" spans="1:18">
      <c r="A97" s="136"/>
      <c r="B97" s="362">
        <v>1302</v>
      </c>
      <c r="C97" s="186">
        <f t="shared" si="4"/>
        <v>1.1872</v>
      </c>
      <c r="D97" s="199" t="s">
        <v>348</v>
      </c>
      <c r="E97" s="101" t="str">
        <f>IFERROR(VLOOKUP(B97,'Consulta1'!J:AJ,27,0),"Disponível")</f>
        <v>Disponível</v>
      </c>
      <c r="F97" s="188">
        <f t="shared" si="5"/>
        <v>2129732</v>
      </c>
      <c r="G97" s="198">
        <v>216.16000000000003</v>
      </c>
      <c r="H97" s="363">
        <f t="shared" si="6"/>
        <v>9852.5721687638779</v>
      </c>
      <c r="I97" s="190"/>
      <c r="J97" s="191">
        <f>15.58%+0.5%+1%+1%+0.14%+0.5%</f>
        <v>0.18720000000000003</v>
      </c>
      <c r="K97" s="192">
        <v>1</v>
      </c>
      <c r="L97" s="180">
        <f t="shared" si="8"/>
        <v>1.1872</v>
      </c>
      <c r="M97" s="192"/>
      <c r="N97" t="str">
        <f t="shared" si="9"/>
        <v>2</v>
      </c>
      <c r="O97" s="193"/>
      <c r="P97" s="194"/>
      <c r="Q97" s="195"/>
      <c r="R97" s="196"/>
    </row>
    <row r="98" spans="1:18" hidden="1">
      <c r="A98" s="136"/>
      <c r="B98" s="362">
        <v>1303</v>
      </c>
      <c r="C98" s="186">
        <f t="shared" si="4"/>
        <v>1.1608000000000001</v>
      </c>
      <c r="D98" s="199" t="s">
        <v>348</v>
      </c>
      <c r="E98" s="101" t="s">
        <v>380</v>
      </c>
      <c r="F98" s="188">
        <f t="shared" si="5"/>
        <v>1671023</v>
      </c>
      <c r="G98" s="198">
        <v>173.46</v>
      </c>
      <c r="H98" s="363">
        <f t="shared" si="6"/>
        <v>9633.4774587801221</v>
      </c>
      <c r="I98" s="190"/>
      <c r="J98" s="191">
        <f t="shared" ref="J98" si="17">15.58%+0.5%</f>
        <v>0.1608</v>
      </c>
      <c r="K98" s="192">
        <v>1</v>
      </c>
      <c r="L98" s="180">
        <f t="shared" si="8"/>
        <v>1.1608000000000001</v>
      </c>
      <c r="M98" s="192"/>
      <c r="N98" t="str">
        <f t="shared" si="9"/>
        <v>3</v>
      </c>
      <c r="O98" s="193"/>
      <c r="P98" s="194"/>
      <c r="Q98" s="195"/>
      <c r="R98" s="196"/>
    </row>
    <row r="99" spans="1:18">
      <c r="A99" s="136"/>
      <c r="B99" s="362">
        <v>1401</v>
      </c>
      <c r="C99" s="186">
        <f t="shared" si="4"/>
        <v>1.1872</v>
      </c>
      <c r="D99" s="199" t="s">
        <v>348</v>
      </c>
      <c r="E99" s="101" t="str">
        <f>IFERROR(VLOOKUP(B99,'Consulta1'!J:AJ,27,0),"Disponível")</f>
        <v>Disponível</v>
      </c>
      <c r="F99" s="188">
        <f t="shared" si="5"/>
        <v>2430925</v>
      </c>
      <c r="G99" s="198">
        <v>246.73</v>
      </c>
      <c r="H99" s="363">
        <f t="shared" si="6"/>
        <v>9852.571637012119</v>
      </c>
      <c r="I99" s="190"/>
      <c r="J99" s="191">
        <f>15.58%+0.5%+1%+1%+0.14%+0.5%</f>
        <v>0.18720000000000003</v>
      </c>
      <c r="K99" s="192">
        <v>1</v>
      </c>
      <c r="L99" s="180">
        <f t="shared" si="8"/>
        <v>1.1872</v>
      </c>
      <c r="M99" s="192"/>
      <c r="N99" t="str">
        <f t="shared" si="9"/>
        <v>1</v>
      </c>
      <c r="O99" s="193"/>
      <c r="P99" s="194"/>
      <c r="Q99" s="195"/>
      <c r="R99" s="196"/>
    </row>
    <row r="100" spans="1:18" hidden="1">
      <c r="A100" s="136"/>
      <c r="B100" s="362">
        <v>1402</v>
      </c>
      <c r="C100" s="186">
        <f t="shared" si="4"/>
        <v>1.1808000000000001</v>
      </c>
      <c r="D100" s="199" t="s">
        <v>348</v>
      </c>
      <c r="E100" s="101" t="s">
        <v>380</v>
      </c>
      <c r="F100" s="188">
        <f t="shared" si="5"/>
        <v>2129031</v>
      </c>
      <c r="G100" s="198">
        <v>217.26000000000002</v>
      </c>
      <c r="H100" s="363">
        <f t="shared" si="6"/>
        <v>9799.4614747307369</v>
      </c>
      <c r="I100" s="190"/>
      <c r="J100" s="191">
        <f t="shared" ref="J100" si="18">15.58%+0.5%+1%+1%</f>
        <v>0.18080000000000002</v>
      </c>
      <c r="K100" s="192">
        <v>1</v>
      </c>
      <c r="L100" s="180">
        <f t="shared" si="8"/>
        <v>1.1808000000000001</v>
      </c>
      <c r="M100" s="192"/>
      <c r="N100" t="str">
        <f t="shared" si="9"/>
        <v>2</v>
      </c>
      <c r="O100" s="193"/>
      <c r="P100" s="194"/>
      <c r="Q100" s="195"/>
      <c r="R100" s="196"/>
    </row>
    <row r="101" spans="1:18">
      <c r="A101" s="136"/>
      <c r="B101" s="362">
        <v>1403</v>
      </c>
      <c r="C101" s="186">
        <f t="shared" si="4"/>
        <v>1.1872</v>
      </c>
      <c r="D101" s="199" t="s">
        <v>348</v>
      </c>
      <c r="E101" s="101" t="str">
        <f>IFERROR(VLOOKUP(B101,'Consulta1'!J:AJ,27,0),"Disponível")</f>
        <v>Disponível</v>
      </c>
      <c r="F101" s="188">
        <f t="shared" ref="F101:F132" si="19">ROUND((VLOOKUP(D101,$B$41:$E$48,4,FALSE)*G101)*C101,0)</f>
        <v>1667844</v>
      </c>
      <c r="G101" s="198">
        <v>169.28</v>
      </c>
      <c r="H101" s="363">
        <f t="shared" si="6"/>
        <v>9852.5756143667295</v>
      </c>
      <c r="I101" s="190"/>
      <c r="J101" s="191">
        <f>15.58%+0.5%+1%+1%+0.14%+0.5%</f>
        <v>0.18720000000000003</v>
      </c>
      <c r="K101" s="192">
        <v>1</v>
      </c>
      <c r="L101" s="180">
        <f t="shared" si="8"/>
        <v>1.1872</v>
      </c>
      <c r="M101" s="192"/>
      <c r="N101" t="str">
        <f t="shared" si="9"/>
        <v>3</v>
      </c>
      <c r="O101" s="193"/>
      <c r="P101" s="194"/>
      <c r="Q101" s="195"/>
      <c r="R101" s="196"/>
    </row>
    <row r="102" spans="1:18" hidden="1">
      <c r="A102" s="136"/>
      <c r="B102" s="362">
        <v>1501</v>
      </c>
      <c r="C102" s="186">
        <f t="shared" si="4"/>
        <v>1.1292</v>
      </c>
      <c r="D102" s="199" t="s">
        <v>348</v>
      </c>
      <c r="E102" s="101" t="s">
        <v>380</v>
      </c>
      <c r="F102" s="188">
        <f t="shared" si="19"/>
        <v>2330438</v>
      </c>
      <c r="G102" s="198">
        <v>248.68</v>
      </c>
      <c r="H102" s="363">
        <f t="shared" si="6"/>
        <v>9371.2321055171305</v>
      </c>
      <c r="I102" s="190"/>
      <c r="J102" s="191">
        <v>0.12920000000000001</v>
      </c>
      <c r="K102" s="192">
        <v>1</v>
      </c>
      <c r="L102" s="180">
        <f t="shared" si="8"/>
        <v>1.1292</v>
      </c>
      <c r="M102" s="192"/>
      <c r="N102" t="str">
        <f t="shared" si="9"/>
        <v>1</v>
      </c>
      <c r="O102" s="193"/>
      <c r="P102" s="194"/>
      <c r="Q102" s="195"/>
      <c r="R102" s="196"/>
    </row>
    <row r="103" spans="1:18">
      <c r="A103" s="136"/>
      <c r="B103" s="362">
        <v>1502</v>
      </c>
      <c r="C103" s="186">
        <f t="shared" si="4"/>
        <v>1.1872</v>
      </c>
      <c r="D103" s="199" t="s">
        <v>348</v>
      </c>
      <c r="E103" s="101" t="str">
        <f>IFERROR(VLOOKUP(B103,'Consulta1'!J:AJ,27,0),"Disponível")</f>
        <v>Disponível</v>
      </c>
      <c r="F103" s="188">
        <f t="shared" si="19"/>
        <v>2119978</v>
      </c>
      <c r="G103" s="198">
        <v>215.17000000000002</v>
      </c>
      <c r="H103" s="363">
        <f t="shared" si="6"/>
        <v>9852.572384626108</v>
      </c>
      <c r="I103" s="190"/>
      <c r="J103" s="191">
        <f>15.58%+0.5%+1%+1%+0.14%+0.5%</f>
        <v>0.18720000000000003</v>
      </c>
      <c r="K103" s="192">
        <v>1</v>
      </c>
      <c r="L103" s="180">
        <f t="shared" si="8"/>
        <v>1.1872</v>
      </c>
      <c r="M103" s="192"/>
      <c r="N103" t="str">
        <f t="shared" si="9"/>
        <v>2</v>
      </c>
      <c r="O103" s="193"/>
      <c r="P103" s="194"/>
      <c r="Q103" s="195"/>
      <c r="R103" s="196"/>
    </row>
    <row r="104" spans="1:18" hidden="1">
      <c r="A104" s="136"/>
      <c r="B104" s="362">
        <v>1503</v>
      </c>
      <c r="C104" s="186">
        <f t="shared" si="4"/>
        <v>1.1292</v>
      </c>
      <c r="D104" s="199" t="s">
        <v>348</v>
      </c>
      <c r="E104" s="101" t="s">
        <v>381</v>
      </c>
      <c r="F104" s="188">
        <f t="shared" si="19"/>
        <v>1626471</v>
      </c>
      <c r="G104" s="198">
        <v>173.56</v>
      </c>
      <c r="H104" s="363">
        <f t="shared" si="6"/>
        <v>9371.2318506568336</v>
      </c>
      <c r="I104" s="190"/>
      <c r="J104" s="191">
        <v>0.12920000000000001</v>
      </c>
      <c r="K104" s="192">
        <v>1</v>
      </c>
      <c r="L104" s="180">
        <f t="shared" si="8"/>
        <v>1.1292</v>
      </c>
      <c r="M104" s="192"/>
      <c r="N104" t="str">
        <f t="shared" si="9"/>
        <v>3</v>
      </c>
      <c r="O104" s="193"/>
      <c r="P104" s="194"/>
      <c r="Q104" s="195"/>
      <c r="R104" s="196"/>
    </row>
    <row r="105" spans="1:18">
      <c r="A105" s="136"/>
      <c r="B105" s="362">
        <v>1601</v>
      </c>
      <c r="C105" s="186">
        <f t="shared" si="4"/>
        <v>1.1872</v>
      </c>
      <c r="D105" s="199" t="s">
        <v>348</v>
      </c>
      <c r="E105" s="101" t="s">
        <v>379</v>
      </c>
      <c r="F105" s="188">
        <f t="shared" si="19"/>
        <v>2431812</v>
      </c>
      <c r="G105" s="198">
        <v>246.82</v>
      </c>
      <c r="H105" s="363">
        <f t="shared" si="6"/>
        <v>9852.5727250627988</v>
      </c>
      <c r="I105" s="190"/>
      <c r="J105" s="191">
        <f>15.58%+0.5%+1%+1%+0.14%+0.5%</f>
        <v>0.18720000000000003</v>
      </c>
      <c r="K105" s="192">
        <v>1</v>
      </c>
      <c r="L105" s="180">
        <f t="shared" si="8"/>
        <v>1.1872</v>
      </c>
      <c r="M105" s="192"/>
      <c r="N105" t="str">
        <f t="shared" si="9"/>
        <v>1</v>
      </c>
      <c r="O105" s="193"/>
      <c r="P105" s="194"/>
      <c r="Q105" s="195"/>
      <c r="R105" s="196"/>
    </row>
    <row r="106" spans="1:18" hidden="1">
      <c r="A106" s="136"/>
      <c r="B106" s="362">
        <v>1602</v>
      </c>
      <c r="C106" s="186">
        <f t="shared" si="4"/>
        <v>1.1808000000000001</v>
      </c>
      <c r="D106" s="199" t="s">
        <v>348</v>
      </c>
      <c r="E106" s="101" t="s">
        <v>380</v>
      </c>
      <c r="F106" s="188">
        <f t="shared" si="19"/>
        <v>2167542</v>
      </c>
      <c r="G106" s="198">
        <v>221.19</v>
      </c>
      <c r="H106" s="363">
        <f t="shared" si="6"/>
        <v>9799.4574799945749</v>
      </c>
      <c r="I106" s="190"/>
      <c r="J106" s="191">
        <f t="shared" ref="J106" si="20">15.58%+0.5%+1%+1%</f>
        <v>0.18080000000000002</v>
      </c>
      <c r="K106" s="192">
        <v>1</v>
      </c>
      <c r="L106" s="180">
        <f t="shared" si="8"/>
        <v>1.1808000000000001</v>
      </c>
      <c r="M106" s="192"/>
      <c r="N106" t="str">
        <f t="shared" si="9"/>
        <v>2</v>
      </c>
      <c r="O106" s="193"/>
      <c r="P106" s="194"/>
      <c r="Q106" s="195"/>
      <c r="R106" s="196"/>
    </row>
    <row r="107" spans="1:18">
      <c r="A107" s="136"/>
      <c r="B107" s="362">
        <v>1603</v>
      </c>
      <c r="C107" s="186">
        <f t="shared" si="4"/>
        <v>1.1872</v>
      </c>
      <c r="D107" s="199" t="s">
        <v>348</v>
      </c>
      <c r="E107" s="101" t="str">
        <f>IFERROR(VLOOKUP(B107,'Consulta1'!J:AJ,27,0),"Disponível")</f>
        <v>Disponível</v>
      </c>
      <c r="F107" s="188">
        <f t="shared" si="19"/>
        <v>1671686</v>
      </c>
      <c r="G107" s="198">
        <v>169.67</v>
      </c>
      <c r="H107" s="363">
        <f t="shared" si="6"/>
        <v>9852.5726410090174</v>
      </c>
      <c r="I107" s="190"/>
      <c r="J107" s="191">
        <f>15.58%+0.5%+1%+1%+0.14%+0.5%</f>
        <v>0.18720000000000003</v>
      </c>
      <c r="K107" s="192">
        <v>1</v>
      </c>
      <c r="L107" s="180">
        <f t="shared" si="8"/>
        <v>1.1872</v>
      </c>
      <c r="M107" s="192"/>
      <c r="N107" t="str">
        <f t="shared" si="9"/>
        <v>3</v>
      </c>
      <c r="O107" s="193"/>
      <c r="P107" s="194"/>
      <c r="Q107" s="195"/>
      <c r="R107" s="196"/>
    </row>
    <row r="108" spans="1:18" hidden="1">
      <c r="A108" s="136"/>
      <c r="B108" s="362">
        <v>1701</v>
      </c>
      <c r="C108" s="186">
        <f t="shared" si="4"/>
        <v>1.1292</v>
      </c>
      <c r="D108" s="199" t="s">
        <v>348</v>
      </c>
      <c r="E108" s="101" t="s">
        <v>380</v>
      </c>
      <c r="F108" s="188">
        <f t="shared" si="19"/>
        <v>2329032</v>
      </c>
      <c r="G108" s="198">
        <v>248.53</v>
      </c>
      <c r="H108" s="363">
        <f t="shared" si="6"/>
        <v>9371.2308373234628</v>
      </c>
      <c r="I108" s="190"/>
      <c r="J108" s="191">
        <v>0.12920000000000001</v>
      </c>
      <c r="K108" s="192">
        <v>1</v>
      </c>
      <c r="L108" s="180">
        <f t="shared" si="8"/>
        <v>1.1292</v>
      </c>
      <c r="M108" s="192"/>
      <c r="N108" t="str">
        <f t="shared" si="9"/>
        <v>1</v>
      </c>
      <c r="O108" s="193"/>
      <c r="P108" s="194"/>
      <c r="Q108" s="195"/>
      <c r="R108" s="196"/>
    </row>
    <row r="109" spans="1:18">
      <c r="A109" s="136"/>
      <c r="B109" s="362">
        <v>1702</v>
      </c>
      <c r="C109" s="186">
        <f t="shared" si="4"/>
        <v>1.1872</v>
      </c>
      <c r="D109" s="199" t="s">
        <v>348</v>
      </c>
      <c r="E109" s="101" t="str">
        <f>IFERROR(VLOOKUP(B109,'Consulta1'!J:AJ,27,0),"Disponível")</f>
        <v>Disponível</v>
      </c>
      <c r="F109" s="188">
        <f t="shared" si="19"/>
        <v>2121456</v>
      </c>
      <c r="G109" s="198">
        <v>215.32000000000002</v>
      </c>
      <c r="H109" s="363">
        <f t="shared" si="6"/>
        <v>9852.5729147315615</v>
      </c>
      <c r="I109" s="190"/>
      <c r="J109" s="191">
        <f>15.58%+0.5%+1%+1%+0.14%+0.5%</f>
        <v>0.18720000000000003</v>
      </c>
      <c r="K109" s="192">
        <v>1</v>
      </c>
      <c r="L109" s="180">
        <f t="shared" si="8"/>
        <v>1.1872</v>
      </c>
      <c r="M109" s="192"/>
      <c r="N109" t="str">
        <f t="shared" si="9"/>
        <v>2</v>
      </c>
      <c r="O109" s="193"/>
      <c r="P109" s="194"/>
      <c r="Q109" s="195"/>
      <c r="R109" s="196"/>
    </row>
    <row r="110" spans="1:18" hidden="1">
      <c r="A110" s="136"/>
      <c r="B110" s="362">
        <v>1703</v>
      </c>
      <c r="C110" s="186">
        <f t="shared" si="4"/>
        <v>1.1292</v>
      </c>
      <c r="D110" s="199" t="s">
        <v>348</v>
      </c>
      <c r="E110" s="101" t="s">
        <v>380</v>
      </c>
      <c r="F110" s="188">
        <f t="shared" si="19"/>
        <v>1614944</v>
      </c>
      <c r="G110" s="198">
        <v>172.33</v>
      </c>
      <c r="H110" s="363">
        <f t="shared" si="6"/>
        <v>9371.2296175941501</v>
      </c>
      <c r="I110" s="190"/>
      <c r="J110" s="191">
        <v>0.12920000000000001</v>
      </c>
      <c r="K110" s="192">
        <v>1</v>
      </c>
      <c r="L110" s="180">
        <f t="shared" si="8"/>
        <v>1.1292</v>
      </c>
      <c r="M110" s="192"/>
      <c r="N110" t="str">
        <f t="shared" si="9"/>
        <v>3</v>
      </c>
      <c r="O110" s="193"/>
      <c r="P110" s="194"/>
      <c r="Q110" s="195"/>
      <c r="R110" s="196"/>
    </row>
    <row r="111" spans="1:18">
      <c r="A111" s="136"/>
      <c r="B111" s="362">
        <v>1801</v>
      </c>
      <c r="C111" s="186">
        <f t="shared" si="4"/>
        <v>1.1872</v>
      </c>
      <c r="D111" s="199" t="s">
        <v>348</v>
      </c>
      <c r="E111" s="101" t="str">
        <f>IFERROR(VLOOKUP(B111,'Consulta1'!J:AJ,27,0),"Disponível")</f>
        <v>Disponível</v>
      </c>
      <c r="F111" s="188">
        <f t="shared" si="19"/>
        <v>2424028</v>
      </c>
      <c r="G111" s="198">
        <v>246.03</v>
      </c>
      <c r="H111" s="363">
        <f t="shared" si="6"/>
        <v>9852.5708246961749</v>
      </c>
      <c r="I111" s="190"/>
      <c r="J111" s="191">
        <f>15.58%+0.5%+1%+1%+0.14%+0.5%</f>
        <v>0.18720000000000003</v>
      </c>
      <c r="K111" s="192">
        <v>1</v>
      </c>
      <c r="L111" s="180">
        <f t="shared" si="8"/>
        <v>1.1872</v>
      </c>
      <c r="M111" s="192"/>
      <c r="N111" t="str">
        <f t="shared" si="9"/>
        <v>1</v>
      </c>
      <c r="O111" s="193"/>
      <c r="P111" s="194"/>
      <c r="Q111" s="195"/>
      <c r="R111" s="196"/>
    </row>
    <row r="112" spans="1:18" hidden="1">
      <c r="A112" s="136"/>
      <c r="B112" s="362">
        <v>1802</v>
      </c>
      <c r="C112" s="186">
        <f t="shared" si="4"/>
        <v>1.1292</v>
      </c>
      <c r="D112" s="199" t="s">
        <v>348</v>
      </c>
      <c r="E112" s="101" t="s">
        <v>381</v>
      </c>
      <c r="F112" s="188">
        <f t="shared" si="19"/>
        <v>1998321</v>
      </c>
      <c r="G112" s="198">
        <v>213.24</v>
      </c>
      <c r="H112" s="363">
        <f t="shared" si="6"/>
        <v>9371.2296004501968</v>
      </c>
      <c r="I112" s="190"/>
      <c r="J112" s="191">
        <v>0.12920000000000001</v>
      </c>
      <c r="K112" s="192">
        <v>1</v>
      </c>
      <c r="L112" s="180">
        <f t="shared" si="8"/>
        <v>1.1292</v>
      </c>
      <c r="M112" s="192"/>
      <c r="N112" t="str">
        <f t="shared" si="9"/>
        <v>2</v>
      </c>
      <c r="O112" s="193"/>
      <c r="P112" s="194"/>
      <c r="Q112" s="195"/>
      <c r="R112" s="196"/>
    </row>
    <row r="113" spans="1:18">
      <c r="A113" s="136"/>
      <c r="B113" s="362">
        <v>1803</v>
      </c>
      <c r="C113" s="186">
        <f t="shared" si="4"/>
        <v>1.1872</v>
      </c>
      <c r="D113" s="199" t="s">
        <v>348</v>
      </c>
      <c r="E113" s="101" t="str">
        <f>IFERROR(VLOOKUP(B113,'Consulta1'!J:AJ,27,0),"Disponível")</f>
        <v>Disponível</v>
      </c>
      <c r="F113" s="188">
        <f t="shared" si="19"/>
        <v>1690110</v>
      </c>
      <c r="G113" s="198">
        <v>171.54</v>
      </c>
      <c r="H113" s="363">
        <f t="shared" si="6"/>
        <v>9852.5708289611757</v>
      </c>
      <c r="I113" s="190"/>
      <c r="J113" s="191">
        <f>15.58%+0.5%+1%+1%+0.14%+0.5%</f>
        <v>0.18720000000000003</v>
      </c>
      <c r="K113" s="192">
        <v>1</v>
      </c>
      <c r="L113" s="180">
        <f t="shared" si="8"/>
        <v>1.1872</v>
      </c>
      <c r="M113" s="192"/>
      <c r="N113" t="str">
        <f t="shared" si="9"/>
        <v>3</v>
      </c>
      <c r="O113" s="193"/>
      <c r="P113" s="194"/>
      <c r="Q113" s="195"/>
      <c r="R113" s="196"/>
    </row>
    <row r="114" spans="1:18" hidden="1">
      <c r="A114" s="136"/>
      <c r="B114" s="362">
        <v>1901</v>
      </c>
      <c r="C114" s="186">
        <f t="shared" si="4"/>
        <v>1.1292</v>
      </c>
      <c r="D114" s="199" t="s">
        <v>348</v>
      </c>
      <c r="E114" s="101" t="s">
        <v>380</v>
      </c>
      <c r="F114" s="188">
        <f t="shared" si="19"/>
        <v>2330438</v>
      </c>
      <c r="G114" s="198">
        <v>248.68</v>
      </c>
      <c r="H114" s="363">
        <f t="shared" si="6"/>
        <v>9371.2321055171305</v>
      </c>
      <c r="I114" s="190"/>
      <c r="J114" s="191">
        <v>0.12920000000000001</v>
      </c>
      <c r="K114" s="192">
        <v>1</v>
      </c>
      <c r="L114" s="180">
        <f t="shared" si="8"/>
        <v>1.1292</v>
      </c>
      <c r="M114" s="192"/>
      <c r="N114" t="str">
        <f t="shared" si="9"/>
        <v>1</v>
      </c>
      <c r="O114" s="193"/>
      <c r="P114" s="194"/>
      <c r="Q114" s="195"/>
      <c r="R114" s="196"/>
    </row>
    <row r="115" spans="1:18">
      <c r="A115" s="136"/>
      <c r="B115" s="362">
        <v>1902</v>
      </c>
      <c r="C115" s="186">
        <f t="shared" si="4"/>
        <v>1.1872</v>
      </c>
      <c r="D115" s="199" t="s">
        <v>348</v>
      </c>
      <c r="E115" s="101" t="str">
        <f>IFERROR(VLOOKUP(B115,'Consulta1'!J:AJ,27,0),"Disponível")</f>
        <v>Disponível</v>
      </c>
      <c r="F115" s="188">
        <f t="shared" si="19"/>
        <v>2151211</v>
      </c>
      <c r="G115" s="198">
        <v>218.34</v>
      </c>
      <c r="H115" s="363">
        <f t="shared" si="6"/>
        <v>9852.5739672071086</v>
      </c>
      <c r="I115" s="190"/>
      <c r="J115" s="191">
        <f>15.58%+0.5%+1%+1%+0.14%+0.5%</f>
        <v>0.18720000000000003</v>
      </c>
      <c r="K115" s="192">
        <v>1</v>
      </c>
      <c r="L115" s="180">
        <f t="shared" si="8"/>
        <v>1.1872</v>
      </c>
      <c r="M115" s="192"/>
      <c r="N115" t="str">
        <f t="shared" si="9"/>
        <v>2</v>
      </c>
      <c r="O115" s="193"/>
      <c r="P115" s="194"/>
      <c r="Q115" s="195"/>
      <c r="R115" s="196"/>
    </row>
    <row r="116" spans="1:18" hidden="1">
      <c r="A116" s="136"/>
      <c r="B116" s="362">
        <v>1903</v>
      </c>
      <c r="C116" s="186">
        <f t="shared" si="4"/>
        <v>1.1292</v>
      </c>
      <c r="D116" s="199" t="s">
        <v>348</v>
      </c>
      <c r="E116" s="101" t="s">
        <v>381</v>
      </c>
      <c r="F116" s="188">
        <f t="shared" si="19"/>
        <v>1624690</v>
      </c>
      <c r="G116" s="198">
        <v>173.37</v>
      </c>
      <c r="H116" s="363">
        <f t="shared" si="6"/>
        <v>9371.2291630616601</v>
      </c>
      <c r="I116" s="190"/>
      <c r="J116" s="191">
        <v>0.12920000000000001</v>
      </c>
      <c r="K116" s="192">
        <v>1</v>
      </c>
      <c r="L116" s="180">
        <f t="shared" si="8"/>
        <v>1.1292</v>
      </c>
      <c r="M116" s="192"/>
      <c r="N116" t="str">
        <f t="shared" si="9"/>
        <v>3</v>
      </c>
      <c r="O116" s="193"/>
      <c r="P116" s="194"/>
      <c r="Q116" s="195"/>
      <c r="R116" s="196"/>
    </row>
    <row r="117" spans="1:18">
      <c r="A117" s="136"/>
      <c r="B117" s="362">
        <v>2001</v>
      </c>
      <c r="C117" s="186">
        <f t="shared" si="4"/>
        <v>1.1872</v>
      </c>
      <c r="D117" s="199" t="s">
        <v>348</v>
      </c>
      <c r="E117" s="101" t="str">
        <f>IFERROR(VLOOKUP(B117,'Consulta1'!J:AJ,27,0),"Disponível")</f>
        <v>Disponível</v>
      </c>
      <c r="F117" s="188">
        <f t="shared" si="19"/>
        <v>2421467</v>
      </c>
      <c r="G117" s="198">
        <v>245.77</v>
      </c>
      <c r="H117" s="363">
        <f t="shared" si="6"/>
        <v>9852.5735443707526</v>
      </c>
      <c r="I117" s="190"/>
      <c r="J117" s="191">
        <f>15.58%+0.5%+1%+1%+0.14%+0.5%</f>
        <v>0.18720000000000003</v>
      </c>
      <c r="K117" s="192">
        <v>1</v>
      </c>
      <c r="L117" s="180">
        <f t="shared" si="8"/>
        <v>1.1872</v>
      </c>
      <c r="M117" s="192"/>
      <c r="N117" t="str">
        <f t="shared" si="9"/>
        <v>1</v>
      </c>
      <c r="O117" s="193"/>
      <c r="P117" s="194"/>
      <c r="Q117" s="195"/>
      <c r="R117" s="196"/>
    </row>
    <row r="118" spans="1:18" hidden="1">
      <c r="A118" s="136"/>
      <c r="B118" s="362">
        <v>2002</v>
      </c>
      <c r="C118" s="186">
        <f t="shared" si="4"/>
        <v>1.1342000000000001</v>
      </c>
      <c r="D118" s="199" t="s">
        <v>348</v>
      </c>
      <c r="E118" s="101" t="s">
        <v>381</v>
      </c>
      <c r="F118" s="188">
        <f t="shared" si="19"/>
        <v>2021759</v>
      </c>
      <c r="G118" s="198">
        <v>214.79000000000002</v>
      </c>
      <c r="H118" s="363">
        <f t="shared" si="6"/>
        <v>9412.7240560547507</v>
      </c>
      <c r="I118" s="190"/>
      <c r="J118" s="191">
        <v>0.13420000000000001</v>
      </c>
      <c r="K118" s="192">
        <v>1</v>
      </c>
      <c r="L118" s="180">
        <f t="shared" si="8"/>
        <v>1.1342000000000001</v>
      </c>
      <c r="M118" s="192"/>
      <c r="N118" t="str">
        <f t="shared" si="9"/>
        <v>2</v>
      </c>
      <c r="O118" s="193"/>
      <c r="P118" s="194"/>
      <c r="Q118" s="195"/>
      <c r="R118" s="196"/>
    </row>
    <row r="119" spans="1:18">
      <c r="A119" s="136"/>
      <c r="B119" s="362">
        <v>2003</v>
      </c>
      <c r="C119" s="186">
        <f t="shared" si="4"/>
        <v>1.1921999999999999</v>
      </c>
      <c r="D119" s="187" t="s">
        <v>348</v>
      </c>
      <c r="E119" s="101" t="str">
        <f>IFERROR(VLOOKUP(B119,'Consulta1'!J:AJ,27,0),"Disponível")</f>
        <v>Disponível</v>
      </c>
      <c r="F119" s="188">
        <f t="shared" si="19"/>
        <v>1693963</v>
      </c>
      <c r="G119" s="198">
        <v>171.21</v>
      </c>
      <c r="H119" s="363">
        <f t="shared" si="6"/>
        <v>9894.0657671864956</v>
      </c>
      <c r="I119" s="190"/>
      <c r="J119" s="191">
        <f>16.08%+0.5%+1%+1%+0.14%+0.5%</f>
        <v>0.19220000000000001</v>
      </c>
      <c r="K119" s="192">
        <v>1</v>
      </c>
      <c r="L119" s="180">
        <f t="shared" si="8"/>
        <v>1.1921999999999999</v>
      </c>
      <c r="M119" s="192"/>
      <c r="N119" t="str">
        <f t="shared" si="9"/>
        <v>3</v>
      </c>
      <c r="O119" s="193"/>
      <c r="P119" s="194"/>
      <c r="Q119" s="195"/>
      <c r="R119" s="196"/>
    </row>
    <row r="120" spans="1:18" hidden="1">
      <c r="A120" s="136"/>
      <c r="B120" s="362">
        <v>2101</v>
      </c>
      <c r="C120" s="186">
        <f t="shared" si="4"/>
        <v>1.1342000000000001</v>
      </c>
      <c r="D120" s="187" t="s">
        <v>348</v>
      </c>
      <c r="E120" s="101" t="s">
        <v>381</v>
      </c>
      <c r="F120" s="188">
        <f t="shared" si="19"/>
        <v>2332944</v>
      </c>
      <c r="G120" s="198">
        <v>247.85</v>
      </c>
      <c r="H120" s="363">
        <f t="shared" si="6"/>
        <v>9412.725438773452</v>
      </c>
      <c r="I120" s="190"/>
      <c r="J120" s="191">
        <v>0.13420000000000001</v>
      </c>
      <c r="K120" s="192">
        <v>1</v>
      </c>
      <c r="L120" s="180">
        <f t="shared" si="8"/>
        <v>1.1342000000000001</v>
      </c>
      <c r="M120" s="192"/>
      <c r="N120" t="str">
        <f t="shared" si="9"/>
        <v>1</v>
      </c>
      <c r="O120" s="193"/>
      <c r="P120" s="194"/>
      <c r="Q120" s="195"/>
      <c r="R120" s="196"/>
    </row>
    <row r="121" spans="1:18">
      <c r="A121" s="136"/>
      <c r="B121" s="362">
        <v>2102</v>
      </c>
      <c r="C121" s="186">
        <f t="shared" si="4"/>
        <v>1.1921999999999999</v>
      </c>
      <c r="D121" s="187" t="s">
        <v>348</v>
      </c>
      <c r="E121" s="101" t="str">
        <f>IFERROR(VLOOKUP(B121,'Consulta1'!J:AJ,27,0),"Disponível")</f>
        <v>Disponível</v>
      </c>
      <c r="F121" s="188">
        <f t="shared" si="19"/>
        <v>2128016</v>
      </c>
      <c r="G121" s="198">
        <v>215.08</v>
      </c>
      <c r="H121" s="363">
        <f t="shared" si="6"/>
        <v>9894.0673237864976</v>
      </c>
      <c r="I121" s="190"/>
      <c r="J121" s="191">
        <f>16.08%+0.5%+1%+1%+0.14%+0.5%</f>
        <v>0.19220000000000001</v>
      </c>
      <c r="K121" s="192">
        <v>1</v>
      </c>
      <c r="L121" s="180">
        <f t="shared" si="8"/>
        <v>1.1921999999999999</v>
      </c>
      <c r="M121" s="192"/>
      <c r="N121" t="str">
        <f t="shared" si="9"/>
        <v>2</v>
      </c>
      <c r="O121" s="193"/>
      <c r="P121" s="194"/>
      <c r="Q121" s="195"/>
      <c r="R121" s="196"/>
    </row>
    <row r="122" spans="1:18" hidden="1">
      <c r="A122" s="136"/>
      <c r="B122" s="362">
        <v>2103</v>
      </c>
      <c r="C122" s="186">
        <f t="shared" si="4"/>
        <v>1.1758</v>
      </c>
      <c r="D122" s="199" t="s">
        <v>348</v>
      </c>
      <c r="E122" s="101" t="s">
        <v>380</v>
      </c>
      <c r="F122" s="188">
        <f t="shared" si="19"/>
        <v>1683444</v>
      </c>
      <c r="G122" s="198">
        <v>172.52</v>
      </c>
      <c r="H122" s="363">
        <f t="shared" si="6"/>
        <v>9757.964293994899</v>
      </c>
      <c r="I122" s="190"/>
      <c r="J122" s="191">
        <f>16.08%+0.5%+1%</f>
        <v>0.17579999999999998</v>
      </c>
      <c r="K122" s="192">
        <v>1</v>
      </c>
      <c r="L122" s="180">
        <f t="shared" si="8"/>
        <v>1.1758</v>
      </c>
      <c r="M122" s="192"/>
      <c r="N122" t="str">
        <f t="shared" si="9"/>
        <v>3</v>
      </c>
      <c r="O122" s="193"/>
      <c r="P122" s="194"/>
      <c r="Q122" s="195"/>
      <c r="R122" s="196"/>
    </row>
    <row r="123" spans="1:18" hidden="1">
      <c r="A123" s="136"/>
      <c r="B123" s="362">
        <v>2201</v>
      </c>
      <c r="C123" s="186">
        <f t="shared" si="4"/>
        <v>1.1657999999999999</v>
      </c>
      <c r="D123" s="199" t="s">
        <v>348</v>
      </c>
      <c r="E123" s="101" t="s">
        <v>380</v>
      </c>
      <c r="F123" s="188">
        <f t="shared" si="19"/>
        <v>2383236</v>
      </c>
      <c r="G123" s="198">
        <v>246.33</v>
      </c>
      <c r="H123" s="363">
        <f t="shared" si="6"/>
        <v>9674.9725977347462</v>
      </c>
      <c r="I123" s="190"/>
      <c r="J123" s="191">
        <f t="shared" ref="J123" si="21">16.08%+0.5%</f>
        <v>0.16579999999999998</v>
      </c>
      <c r="K123" s="192">
        <v>1</v>
      </c>
      <c r="L123" s="180">
        <f t="shared" si="8"/>
        <v>1.1657999999999999</v>
      </c>
      <c r="M123" s="192"/>
      <c r="N123" t="str">
        <f t="shared" si="9"/>
        <v>1</v>
      </c>
      <c r="O123" s="193"/>
      <c r="P123" s="194"/>
      <c r="Q123" s="195"/>
      <c r="R123" s="196"/>
    </row>
    <row r="124" spans="1:18" hidden="1">
      <c r="A124" s="136"/>
      <c r="B124" s="362">
        <v>2202</v>
      </c>
      <c r="C124" s="186">
        <f t="shared" si="4"/>
        <v>1.1342000000000001</v>
      </c>
      <c r="D124" s="199" t="s">
        <v>348</v>
      </c>
      <c r="E124" s="101" t="s">
        <v>380</v>
      </c>
      <c r="F124" s="188">
        <f t="shared" si="19"/>
        <v>2016677</v>
      </c>
      <c r="G124" s="198">
        <v>214.25</v>
      </c>
      <c r="H124" s="363">
        <f t="shared" si="6"/>
        <v>9412.7281213535589</v>
      </c>
      <c r="I124" s="190"/>
      <c r="J124" s="191">
        <v>0.13420000000000001</v>
      </c>
      <c r="K124" s="192">
        <v>1</v>
      </c>
      <c r="L124" s="180">
        <f t="shared" si="8"/>
        <v>1.1342000000000001</v>
      </c>
      <c r="M124" s="192"/>
      <c r="N124" t="str">
        <f t="shared" si="9"/>
        <v>2</v>
      </c>
      <c r="O124" s="193"/>
      <c r="P124" s="194"/>
      <c r="Q124" s="195"/>
      <c r="R124" s="196"/>
    </row>
    <row r="125" spans="1:18">
      <c r="A125" s="136"/>
      <c r="B125" s="362">
        <v>2203</v>
      </c>
      <c r="C125" s="186">
        <f t="shared" si="4"/>
        <v>1.1921999999999999</v>
      </c>
      <c r="D125" s="199" t="s">
        <v>348</v>
      </c>
      <c r="E125" s="101" t="str">
        <f>IFERROR(VLOOKUP(B125,'Consulta1'!J:AJ,27,0),"Disponível")</f>
        <v>Disponível</v>
      </c>
      <c r="F125" s="188">
        <f t="shared" si="19"/>
        <v>1681596</v>
      </c>
      <c r="G125" s="198">
        <v>169.96</v>
      </c>
      <c r="H125" s="363">
        <f t="shared" si="6"/>
        <v>9894.0691927512344</v>
      </c>
      <c r="I125" s="190"/>
      <c r="J125" s="191">
        <f>16.08%+0.5%+1%+1%+0.14%+0.5%</f>
        <v>0.19220000000000001</v>
      </c>
      <c r="K125" s="192">
        <v>1</v>
      </c>
      <c r="L125" s="180">
        <f t="shared" si="8"/>
        <v>1.1921999999999999</v>
      </c>
      <c r="M125" s="192"/>
      <c r="N125" t="str">
        <f t="shared" si="9"/>
        <v>3</v>
      </c>
      <c r="O125" s="193"/>
      <c r="P125" s="194"/>
      <c r="Q125" s="195"/>
      <c r="R125" s="196"/>
    </row>
    <row r="126" spans="1:18" hidden="1">
      <c r="A126" s="136"/>
      <c r="B126" s="362">
        <v>2301</v>
      </c>
      <c r="C126" s="186">
        <f t="shared" si="4"/>
        <v>1.1342000000000001</v>
      </c>
      <c r="D126" s="199" t="s">
        <v>348</v>
      </c>
      <c r="E126" s="101" t="s">
        <v>380</v>
      </c>
      <c r="F126" s="188">
        <f t="shared" si="19"/>
        <v>2338027</v>
      </c>
      <c r="G126" s="198">
        <v>248.39</v>
      </c>
      <c r="H126" s="363">
        <f t="shared" si="6"/>
        <v>9412.7259551511743</v>
      </c>
      <c r="I126" s="190"/>
      <c r="J126" s="191">
        <v>0.13420000000000001</v>
      </c>
      <c r="K126" s="192">
        <v>1</v>
      </c>
      <c r="L126" s="180">
        <f t="shared" si="8"/>
        <v>1.1342000000000001</v>
      </c>
      <c r="M126" s="192"/>
      <c r="N126" t="str">
        <f t="shared" si="9"/>
        <v>1</v>
      </c>
      <c r="O126" s="193"/>
      <c r="P126" s="194"/>
      <c r="Q126" s="195"/>
      <c r="R126" s="196"/>
    </row>
    <row r="127" spans="1:18" hidden="1">
      <c r="A127" s="136"/>
      <c r="B127" s="362">
        <v>2302</v>
      </c>
      <c r="C127" s="186">
        <f t="shared" si="4"/>
        <v>1.1758</v>
      </c>
      <c r="D127" s="199" t="s">
        <v>348</v>
      </c>
      <c r="E127" s="101" t="s">
        <v>380</v>
      </c>
      <c r="F127" s="188">
        <f t="shared" si="19"/>
        <v>2099036</v>
      </c>
      <c r="G127" s="198">
        <v>215.11</v>
      </c>
      <c r="H127" s="363">
        <f t="shared" si="6"/>
        <v>9757.9656919715489</v>
      </c>
      <c r="I127" s="190"/>
      <c r="J127" s="191">
        <f>16.08%+0.5%+1%</f>
        <v>0.17579999999999998</v>
      </c>
      <c r="K127" s="192">
        <v>1</v>
      </c>
      <c r="L127" s="180">
        <f t="shared" si="8"/>
        <v>1.1758</v>
      </c>
      <c r="M127" s="192"/>
      <c r="N127" t="str">
        <f t="shared" si="9"/>
        <v>2</v>
      </c>
      <c r="O127" s="193"/>
      <c r="P127" s="194"/>
      <c r="Q127" s="195"/>
      <c r="R127" s="196"/>
    </row>
    <row r="128" spans="1:18" hidden="1">
      <c r="A128" s="136"/>
      <c r="B128" s="362">
        <v>2303</v>
      </c>
      <c r="C128" s="186">
        <f t="shared" si="4"/>
        <v>1.1342000000000001</v>
      </c>
      <c r="D128" s="199" t="s">
        <v>348</v>
      </c>
      <c r="E128" s="101" t="s">
        <v>380</v>
      </c>
      <c r="F128" s="188">
        <f t="shared" si="19"/>
        <v>1637532</v>
      </c>
      <c r="G128" s="198">
        <v>173.97</v>
      </c>
      <c r="H128" s="363">
        <f t="shared" si="6"/>
        <v>9412.726332126229</v>
      </c>
      <c r="I128" s="190"/>
      <c r="J128" s="191">
        <v>0.13420000000000001</v>
      </c>
      <c r="K128" s="192">
        <v>1</v>
      </c>
      <c r="L128" s="180">
        <f t="shared" si="8"/>
        <v>1.1342000000000001</v>
      </c>
      <c r="M128" s="192"/>
      <c r="N128" t="str">
        <f t="shared" si="9"/>
        <v>3</v>
      </c>
      <c r="O128" s="193"/>
      <c r="P128" s="194"/>
      <c r="Q128" s="195"/>
      <c r="R128" s="196"/>
    </row>
    <row r="129" spans="1:18" hidden="1">
      <c r="A129" s="136"/>
      <c r="B129" s="362">
        <v>2401</v>
      </c>
      <c r="C129" s="186">
        <f t="shared" si="4"/>
        <v>1.1428</v>
      </c>
      <c r="D129" s="199" t="s">
        <v>348</v>
      </c>
      <c r="E129" s="101" t="s">
        <v>380</v>
      </c>
      <c r="F129" s="188">
        <f t="shared" si="19"/>
        <v>2366187</v>
      </c>
      <c r="G129" s="198">
        <v>249.49</v>
      </c>
      <c r="H129" s="363">
        <f t="shared" si="6"/>
        <v>9484.0955549320606</v>
      </c>
      <c r="I129" s="190"/>
      <c r="J129" s="191">
        <v>0.14280000000000001</v>
      </c>
      <c r="K129" s="192">
        <v>1</v>
      </c>
      <c r="L129" s="180">
        <f t="shared" si="8"/>
        <v>1.1428</v>
      </c>
      <c r="M129" s="192"/>
      <c r="N129" t="str">
        <f t="shared" si="9"/>
        <v>1</v>
      </c>
      <c r="O129" s="193"/>
      <c r="P129" s="194"/>
      <c r="Q129" s="195"/>
      <c r="R129" s="196"/>
    </row>
    <row r="130" spans="1:18" hidden="1">
      <c r="A130" s="136"/>
      <c r="B130" s="362">
        <v>2402</v>
      </c>
      <c r="C130" s="186">
        <f t="shared" si="4"/>
        <v>1.1342000000000001</v>
      </c>
      <c r="D130" s="199" t="s">
        <v>348</v>
      </c>
      <c r="E130" s="101" t="s">
        <v>381</v>
      </c>
      <c r="F130" s="188">
        <f t="shared" si="19"/>
        <v>2008205</v>
      </c>
      <c r="G130" s="198">
        <v>213.35000000000002</v>
      </c>
      <c r="H130" s="363">
        <f t="shared" si="6"/>
        <v>9412.7255683149742</v>
      </c>
      <c r="I130" s="190"/>
      <c r="J130" s="191">
        <v>0.13420000000000001</v>
      </c>
      <c r="K130" s="192">
        <v>1</v>
      </c>
      <c r="L130" s="180">
        <f t="shared" si="8"/>
        <v>1.1342000000000001</v>
      </c>
      <c r="M130" s="192"/>
      <c r="N130" t="str">
        <f t="shared" si="9"/>
        <v>2</v>
      </c>
      <c r="O130" s="193"/>
      <c r="P130" s="194"/>
      <c r="Q130" s="195"/>
      <c r="R130" s="196"/>
    </row>
    <row r="131" spans="1:18">
      <c r="A131" s="136"/>
      <c r="B131" s="362">
        <v>2403</v>
      </c>
      <c r="C131" s="186">
        <f t="shared" si="4"/>
        <v>1.1921999999999999</v>
      </c>
      <c r="D131" s="199" t="s">
        <v>348</v>
      </c>
      <c r="E131" s="101" t="str">
        <f>IFERROR(VLOOKUP(B131,'Consulta1'!J:AJ,27,0),"Disponível")</f>
        <v>Disponível</v>
      </c>
      <c r="F131" s="188">
        <f t="shared" si="19"/>
        <v>1757285</v>
      </c>
      <c r="G131" s="198">
        <v>177.60999999999999</v>
      </c>
      <c r="H131" s="363">
        <f t="shared" si="6"/>
        <v>9894.0656494566756</v>
      </c>
      <c r="I131" s="190"/>
      <c r="J131" s="191">
        <f>16.08%+0.5%+1%+1%+0.14%+0.5%</f>
        <v>0.19220000000000001</v>
      </c>
      <c r="K131" s="192">
        <v>1</v>
      </c>
      <c r="L131" s="180">
        <f t="shared" si="8"/>
        <v>1.1921999999999999</v>
      </c>
      <c r="M131" s="192"/>
      <c r="N131" t="str">
        <f t="shared" si="9"/>
        <v>3</v>
      </c>
      <c r="O131" s="193"/>
      <c r="P131" s="194"/>
      <c r="Q131" s="195"/>
      <c r="R131" s="196"/>
    </row>
    <row r="132" spans="1:18" hidden="1">
      <c r="A132" s="136"/>
      <c r="B132" s="362">
        <v>2501</v>
      </c>
      <c r="C132" s="186">
        <f t="shared" si="4"/>
        <v>1.1342000000000001</v>
      </c>
      <c r="D132" s="199" t="s">
        <v>348</v>
      </c>
      <c r="E132" s="101" t="s">
        <v>380</v>
      </c>
      <c r="F132" s="188">
        <f t="shared" si="19"/>
        <v>2341227</v>
      </c>
      <c r="G132" s="198">
        <v>248.73</v>
      </c>
      <c r="H132" s="363">
        <f t="shared" si="6"/>
        <v>9412.7246411771812</v>
      </c>
      <c r="I132" s="190"/>
      <c r="J132" s="191">
        <v>0.13420000000000001</v>
      </c>
      <c r="K132" s="192">
        <v>1</v>
      </c>
      <c r="L132" s="180">
        <f t="shared" si="8"/>
        <v>1.1342000000000001</v>
      </c>
      <c r="M132" s="192"/>
      <c r="N132" t="str">
        <f t="shared" si="9"/>
        <v>1</v>
      </c>
      <c r="O132" s="193"/>
      <c r="P132" s="194"/>
      <c r="Q132" s="195"/>
      <c r="R132" s="196"/>
    </row>
    <row r="133" spans="1:18">
      <c r="A133" s="136"/>
      <c r="B133" s="362">
        <v>2502</v>
      </c>
      <c r="C133" s="186">
        <f t="shared" ref="C133:C163" si="22">L133</f>
        <v>1.1921999999999999</v>
      </c>
      <c r="D133" s="199" t="s">
        <v>348</v>
      </c>
      <c r="E133" s="101" t="str">
        <f>IFERROR(VLOOKUP(B133,'Consulta1'!J:AJ,27,0),"Disponível")</f>
        <v>Disponível</v>
      </c>
      <c r="F133" s="188">
        <f t="shared" ref="F133:F163" si="23">ROUND((VLOOKUP(D133,$B$41:$E$48,4,FALSE)*G133)*C133,0)</f>
        <v>2155917</v>
      </c>
      <c r="G133" s="198">
        <v>217.9</v>
      </c>
      <c r="H133" s="363">
        <f t="shared" ref="H133:H163" si="24">F133/G133</f>
        <v>9894.0660853602567</v>
      </c>
      <c r="I133" s="190"/>
      <c r="J133" s="191">
        <f t="shared" ref="J133:J134" si="25">16.08%+0.5%+1%+1%+0.14%+0.5%</f>
        <v>0.19220000000000001</v>
      </c>
      <c r="K133" s="192">
        <v>1</v>
      </c>
      <c r="L133" s="180">
        <f t="shared" si="8"/>
        <v>1.1921999999999999</v>
      </c>
      <c r="M133" s="192"/>
      <c r="N133" t="str">
        <f t="shared" si="9"/>
        <v>2</v>
      </c>
      <c r="O133" s="193"/>
      <c r="P133" s="194"/>
      <c r="Q133" s="195"/>
      <c r="R133" s="196"/>
    </row>
    <row r="134" spans="1:18">
      <c r="A134" s="136"/>
      <c r="B134" s="362">
        <v>2503</v>
      </c>
      <c r="C134" s="186">
        <f t="shared" si="22"/>
        <v>1.1921999999999999</v>
      </c>
      <c r="D134" s="199" t="s">
        <v>348</v>
      </c>
      <c r="E134" s="101" t="s">
        <v>379</v>
      </c>
      <c r="F134" s="188">
        <f t="shared" si="23"/>
        <v>1716225</v>
      </c>
      <c r="G134" s="198">
        <v>173.46</v>
      </c>
      <c r="H134" s="363">
        <f t="shared" si="24"/>
        <v>9894.0677966101684</v>
      </c>
      <c r="I134" s="190"/>
      <c r="J134" s="191">
        <f t="shared" si="25"/>
        <v>0.19220000000000001</v>
      </c>
      <c r="K134" s="192">
        <v>1</v>
      </c>
      <c r="L134" s="180">
        <f t="shared" ref="L134:L163" si="26">SUM(I134:K134)</f>
        <v>1.1921999999999999</v>
      </c>
      <c r="M134" s="192"/>
      <c r="N134" t="str">
        <f t="shared" ref="N134:N163" si="27">RIGHT(B134,1)</f>
        <v>3</v>
      </c>
      <c r="O134" s="193"/>
      <c r="P134" s="194"/>
      <c r="Q134" s="195"/>
      <c r="R134" s="196"/>
    </row>
    <row r="135" spans="1:18" hidden="1">
      <c r="A135" s="136"/>
      <c r="B135" s="362">
        <v>2601</v>
      </c>
      <c r="C135" s="186">
        <f t="shared" si="22"/>
        <v>1.1342000000000001</v>
      </c>
      <c r="D135" s="199" t="s">
        <v>348</v>
      </c>
      <c r="E135" s="101" t="s">
        <v>380</v>
      </c>
      <c r="F135" s="188">
        <f t="shared" si="23"/>
        <v>2330403</v>
      </c>
      <c r="G135" s="198">
        <v>247.58</v>
      </c>
      <c r="H135" s="363">
        <f t="shared" si="24"/>
        <v>9412.7271992891183</v>
      </c>
      <c r="I135" s="190"/>
      <c r="J135" s="191">
        <v>0.13420000000000001</v>
      </c>
      <c r="K135" s="192">
        <v>1</v>
      </c>
      <c r="L135" s="180">
        <f t="shared" si="26"/>
        <v>1.1342000000000001</v>
      </c>
      <c r="M135" s="192"/>
      <c r="N135" t="str">
        <f t="shared" si="27"/>
        <v>1</v>
      </c>
      <c r="O135" s="193"/>
      <c r="P135" s="194"/>
      <c r="Q135" s="195"/>
      <c r="R135" s="196"/>
    </row>
    <row r="136" spans="1:18" hidden="1">
      <c r="A136" s="136"/>
      <c r="B136" s="362">
        <v>2602</v>
      </c>
      <c r="C136" s="186">
        <f t="shared" si="22"/>
        <v>1.1342000000000001</v>
      </c>
      <c r="D136" s="199" t="s">
        <v>348</v>
      </c>
      <c r="E136" s="101" t="s">
        <v>380</v>
      </c>
      <c r="F136" s="188">
        <f t="shared" si="23"/>
        <v>2030796</v>
      </c>
      <c r="G136" s="198">
        <v>215.75</v>
      </c>
      <c r="H136" s="363">
        <f t="shared" si="24"/>
        <v>9412.727694090383</v>
      </c>
      <c r="I136" s="190"/>
      <c r="J136" s="191">
        <v>0.13420000000000001</v>
      </c>
      <c r="K136" s="192">
        <v>1</v>
      </c>
      <c r="L136" s="180">
        <f t="shared" si="26"/>
        <v>1.1342000000000001</v>
      </c>
      <c r="M136" s="192"/>
      <c r="N136" t="str">
        <f t="shared" si="27"/>
        <v>2</v>
      </c>
      <c r="O136" s="193"/>
      <c r="P136" s="194"/>
      <c r="Q136" s="195"/>
      <c r="R136" s="196"/>
    </row>
    <row r="137" spans="1:18">
      <c r="A137" s="136"/>
      <c r="B137" s="362">
        <v>2603</v>
      </c>
      <c r="C137" s="186">
        <f t="shared" si="22"/>
        <v>1.1921999999999999</v>
      </c>
      <c r="D137" s="199" t="s">
        <v>348</v>
      </c>
      <c r="E137" s="101" t="str">
        <f>IFERROR(VLOOKUP(B137,'Consulta1'!J:AJ,27,0),"Disponível")</f>
        <v>Disponível</v>
      </c>
      <c r="F137" s="188">
        <f t="shared" si="23"/>
        <v>1691094</v>
      </c>
      <c r="G137" s="198">
        <v>170.92</v>
      </c>
      <c r="H137" s="363">
        <f t="shared" si="24"/>
        <v>9894.0673999531955</v>
      </c>
      <c r="I137" s="190"/>
      <c r="J137" s="191">
        <f>16.08%+0.5%+1%+1%+0.14%+0.5%</f>
        <v>0.19220000000000001</v>
      </c>
      <c r="K137" s="192">
        <v>1</v>
      </c>
      <c r="L137" s="180">
        <f t="shared" si="26"/>
        <v>1.1921999999999999</v>
      </c>
      <c r="M137" s="192"/>
      <c r="N137" t="str">
        <f t="shared" si="27"/>
        <v>3</v>
      </c>
      <c r="O137" s="193"/>
      <c r="P137" s="194"/>
      <c r="Q137" s="195"/>
      <c r="R137" s="196"/>
    </row>
    <row r="138" spans="1:18" hidden="1">
      <c r="A138" s="136"/>
      <c r="B138" s="362">
        <v>2701</v>
      </c>
      <c r="C138" s="186">
        <f t="shared" si="22"/>
        <v>1.1342000000000001</v>
      </c>
      <c r="D138" s="199" t="s">
        <v>348</v>
      </c>
      <c r="E138" s="101" t="s">
        <v>381</v>
      </c>
      <c r="F138" s="188">
        <f t="shared" si="23"/>
        <v>2349699</v>
      </c>
      <c r="G138" s="198">
        <v>249.63</v>
      </c>
      <c r="H138" s="363">
        <f t="shared" si="24"/>
        <v>9412.7268357168614</v>
      </c>
      <c r="I138" s="190"/>
      <c r="J138" s="191">
        <v>0.13420000000000001</v>
      </c>
      <c r="K138" s="192">
        <v>1</v>
      </c>
      <c r="L138" s="180">
        <f t="shared" si="26"/>
        <v>1.1342000000000001</v>
      </c>
      <c r="M138" s="192"/>
      <c r="N138" t="str">
        <f t="shared" si="27"/>
        <v>1</v>
      </c>
      <c r="O138" s="193"/>
      <c r="P138" s="194"/>
      <c r="Q138" s="195"/>
      <c r="R138" s="196"/>
    </row>
    <row r="139" spans="1:18">
      <c r="A139" s="136"/>
      <c r="B139" s="362">
        <v>2702</v>
      </c>
      <c r="C139" s="186">
        <f t="shared" si="22"/>
        <v>1.1921999999999999</v>
      </c>
      <c r="D139" s="199" t="s">
        <v>348</v>
      </c>
      <c r="E139" s="101" t="str">
        <f>IFERROR(VLOOKUP(B139,'Consulta1'!J:AJ,27,0),"Disponível")</f>
        <v>Disponível</v>
      </c>
      <c r="F139" s="188">
        <f t="shared" si="23"/>
        <v>2130193</v>
      </c>
      <c r="G139" s="198">
        <v>215.3</v>
      </c>
      <c r="H139" s="363">
        <f t="shared" si="24"/>
        <v>9894.0687412912212</v>
      </c>
      <c r="I139" s="190"/>
      <c r="J139" s="191">
        <f>16.08%+0.5%+1%+1%+0.14%+0.5%</f>
        <v>0.19220000000000001</v>
      </c>
      <c r="K139" s="192">
        <v>1</v>
      </c>
      <c r="L139" s="180">
        <f t="shared" si="26"/>
        <v>1.1921999999999999</v>
      </c>
      <c r="M139" s="192"/>
      <c r="N139" t="str">
        <f t="shared" si="27"/>
        <v>2</v>
      </c>
      <c r="O139" s="193"/>
      <c r="P139" s="194"/>
      <c r="Q139" s="195"/>
      <c r="R139" s="196"/>
    </row>
    <row r="140" spans="1:18" hidden="1">
      <c r="A140" s="302" t="s">
        <v>382</v>
      </c>
      <c r="B140" s="362">
        <v>2703</v>
      </c>
      <c r="C140" s="186">
        <f t="shared" si="22"/>
        <v>1.1428</v>
      </c>
      <c r="D140" s="199" t="s">
        <v>348</v>
      </c>
      <c r="E140" s="101" t="s">
        <v>380</v>
      </c>
      <c r="F140" s="188">
        <f t="shared" si="23"/>
        <v>1634964</v>
      </c>
      <c r="G140" s="198">
        <v>172.39000000000001</v>
      </c>
      <c r="H140" s="363">
        <f t="shared" si="24"/>
        <v>9484.1000058007994</v>
      </c>
      <c r="I140" s="190"/>
      <c r="J140" s="191">
        <v>0.14280000000000001</v>
      </c>
      <c r="K140" s="192">
        <v>1</v>
      </c>
      <c r="L140" s="180">
        <f t="shared" si="26"/>
        <v>1.1428</v>
      </c>
      <c r="M140" s="192"/>
      <c r="N140" t="str">
        <f t="shared" si="27"/>
        <v>3</v>
      </c>
      <c r="O140" s="193"/>
      <c r="P140" s="194"/>
      <c r="Q140" s="195"/>
      <c r="R140" s="196"/>
    </row>
    <row r="141" spans="1:18" hidden="1">
      <c r="A141" s="136"/>
      <c r="B141" s="362">
        <v>2801</v>
      </c>
      <c r="C141" s="186">
        <f t="shared" si="22"/>
        <v>1.1342000000000001</v>
      </c>
      <c r="D141" s="199" t="s">
        <v>348</v>
      </c>
      <c r="E141" s="101" t="s">
        <v>380</v>
      </c>
      <c r="F141" s="188">
        <f t="shared" si="23"/>
        <v>2348381</v>
      </c>
      <c r="G141" s="198">
        <v>249.49</v>
      </c>
      <c r="H141" s="363">
        <f t="shared" si="24"/>
        <v>9412.7259609603589</v>
      </c>
      <c r="I141" s="190"/>
      <c r="J141" s="191">
        <v>0.13420000000000001</v>
      </c>
      <c r="K141" s="192">
        <v>1</v>
      </c>
      <c r="L141" s="180">
        <f t="shared" si="26"/>
        <v>1.1342000000000001</v>
      </c>
      <c r="M141" s="192"/>
      <c r="N141" t="str">
        <f t="shared" si="27"/>
        <v>1</v>
      </c>
      <c r="O141" s="193"/>
      <c r="P141" s="194"/>
      <c r="Q141" s="195"/>
      <c r="R141" s="196"/>
    </row>
    <row r="142" spans="1:18" hidden="1">
      <c r="A142" s="136"/>
      <c r="B142" s="362">
        <v>2802</v>
      </c>
      <c r="C142" s="186">
        <f t="shared" si="22"/>
        <v>1.1342000000000001</v>
      </c>
      <c r="D142" s="199" t="s">
        <v>348</v>
      </c>
      <c r="E142" s="101" t="s">
        <v>380</v>
      </c>
      <c r="F142" s="188">
        <f t="shared" si="23"/>
        <v>2030796</v>
      </c>
      <c r="G142" s="198">
        <v>215.75</v>
      </c>
      <c r="H142" s="363">
        <f t="shared" si="24"/>
        <v>9412.727694090383</v>
      </c>
      <c r="I142" s="190"/>
      <c r="J142" s="191">
        <v>0.13420000000000001</v>
      </c>
      <c r="K142" s="192">
        <v>1</v>
      </c>
      <c r="L142" s="180">
        <f t="shared" si="26"/>
        <v>1.1342000000000001</v>
      </c>
      <c r="M142" s="192"/>
      <c r="N142" t="str">
        <f t="shared" si="27"/>
        <v>2</v>
      </c>
      <c r="O142" s="193"/>
      <c r="P142" s="194"/>
      <c r="Q142" s="195"/>
      <c r="R142" s="196"/>
    </row>
    <row r="143" spans="1:18">
      <c r="A143" s="136"/>
      <c r="B143" s="362">
        <v>2803</v>
      </c>
      <c r="C143" s="186">
        <f t="shared" si="22"/>
        <v>1.1921999999999999</v>
      </c>
      <c r="D143" s="199" t="s">
        <v>348</v>
      </c>
      <c r="E143" s="101" t="str">
        <f>IFERROR(VLOOKUP(B143,'Consulta1'!J:AJ,27,0),"Disponível")</f>
        <v>Disponível</v>
      </c>
      <c r="F143" s="188">
        <f t="shared" si="23"/>
        <v>1676946</v>
      </c>
      <c r="G143" s="198">
        <v>169.49</v>
      </c>
      <c r="H143" s="363">
        <f t="shared" si="24"/>
        <v>9894.0704466340194</v>
      </c>
      <c r="I143" s="190"/>
      <c r="J143" s="191">
        <f>16.08%+0.5%+1%+1%+0.14%+0.5%</f>
        <v>0.19220000000000001</v>
      </c>
      <c r="K143" s="192">
        <v>1</v>
      </c>
      <c r="L143" s="180">
        <f t="shared" si="26"/>
        <v>1.1921999999999999</v>
      </c>
      <c r="M143" s="192"/>
      <c r="N143" t="str">
        <f t="shared" si="27"/>
        <v>3</v>
      </c>
      <c r="O143" s="193"/>
      <c r="P143" s="194"/>
      <c r="Q143" s="195"/>
      <c r="R143" s="196"/>
    </row>
    <row r="144" spans="1:18" hidden="1">
      <c r="A144" s="136"/>
      <c r="B144" s="362">
        <v>2901</v>
      </c>
      <c r="C144" s="186">
        <f t="shared" si="22"/>
        <v>1.1342000000000001</v>
      </c>
      <c r="D144" s="187" t="s">
        <v>348</v>
      </c>
      <c r="E144" s="101" t="s">
        <v>381</v>
      </c>
      <c r="F144" s="188">
        <f t="shared" si="23"/>
        <v>2334638</v>
      </c>
      <c r="G144" s="198">
        <v>248.03</v>
      </c>
      <c r="H144" s="363">
        <f t="shared" si="24"/>
        <v>9412.724267225738</v>
      </c>
      <c r="I144" s="190"/>
      <c r="J144" s="191">
        <v>0.13420000000000001</v>
      </c>
      <c r="K144" s="192">
        <v>1</v>
      </c>
      <c r="L144" s="180">
        <f t="shared" si="26"/>
        <v>1.1342000000000001</v>
      </c>
      <c r="M144" s="192"/>
      <c r="N144" t="str">
        <f t="shared" si="27"/>
        <v>1</v>
      </c>
      <c r="O144" s="193"/>
      <c r="P144" s="194"/>
      <c r="Q144" s="195"/>
      <c r="R144" s="196"/>
    </row>
    <row r="145" spans="1:18">
      <c r="A145" s="136"/>
      <c r="B145" s="362">
        <v>2902</v>
      </c>
      <c r="C145" s="186">
        <f t="shared" si="22"/>
        <v>1.1921999999999999</v>
      </c>
      <c r="D145" s="187" t="s">
        <v>348</v>
      </c>
      <c r="E145" s="101" t="str">
        <f>IFERROR(VLOOKUP(B145,'Consulta1'!J:AJ,27,0),"Disponível")</f>
        <v>Disponível</v>
      </c>
      <c r="F145" s="188">
        <f t="shared" si="23"/>
        <v>2126334</v>
      </c>
      <c r="G145" s="198">
        <v>214.91000000000003</v>
      </c>
      <c r="H145" s="363">
        <f t="shared" si="24"/>
        <v>9894.0672839793388</v>
      </c>
      <c r="I145" s="190"/>
      <c r="J145" s="191">
        <f>16.08%+0.5%+1%+1%+0.14%+0.5%</f>
        <v>0.19220000000000001</v>
      </c>
      <c r="K145" s="192">
        <v>1</v>
      </c>
      <c r="L145" s="180">
        <f t="shared" si="26"/>
        <v>1.1921999999999999</v>
      </c>
      <c r="M145" s="192"/>
      <c r="N145" t="str">
        <f t="shared" si="27"/>
        <v>2</v>
      </c>
      <c r="O145" s="193"/>
      <c r="P145" s="194"/>
      <c r="Q145" s="195"/>
      <c r="R145" s="196"/>
    </row>
    <row r="146" spans="1:18" hidden="1">
      <c r="A146" s="136"/>
      <c r="B146" s="362">
        <v>2903</v>
      </c>
      <c r="C146" s="186">
        <f t="shared" si="22"/>
        <v>1.1342000000000001</v>
      </c>
      <c r="D146" s="187" t="s">
        <v>348</v>
      </c>
      <c r="E146" s="101" t="s">
        <v>380</v>
      </c>
      <c r="F146" s="188">
        <f t="shared" si="23"/>
        <v>1622283</v>
      </c>
      <c r="G146" s="198">
        <v>172.35000000000002</v>
      </c>
      <c r="H146" s="363">
        <f t="shared" si="24"/>
        <v>9412.7241079199284</v>
      </c>
      <c r="I146" s="190"/>
      <c r="J146" s="191">
        <v>0.13420000000000001</v>
      </c>
      <c r="K146" s="192">
        <v>1</v>
      </c>
      <c r="L146" s="180">
        <f t="shared" si="26"/>
        <v>1.1342000000000001</v>
      </c>
      <c r="M146" s="192"/>
      <c r="N146" t="str">
        <f t="shared" si="27"/>
        <v>3</v>
      </c>
      <c r="O146" s="193"/>
      <c r="P146" s="194"/>
      <c r="Q146" s="195"/>
      <c r="R146" s="196"/>
    </row>
    <row r="147" spans="1:18" hidden="1">
      <c r="A147" s="136"/>
      <c r="B147" s="362">
        <v>3001</v>
      </c>
      <c r="C147" s="186">
        <f t="shared" si="22"/>
        <v>1.1342000000000001</v>
      </c>
      <c r="D147" s="199" t="s">
        <v>348</v>
      </c>
      <c r="E147" s="101" t="s">
        <v>380</v>
      </c>
      <c r="F147" s="188">
        <f t="shared" si="23"/>
        <v>2330403</v>
      </c>
      <c r="G147" s="198">
        <v>247.58</v>
      </c>
      <c r="H147" s="363">
        <f t="shared" si="24"/>
        <v>9412.7271992891183</v>
      </c>
      <c r="I147" s="190"/>
      <c r="J147" s="191">
        <v>0.13420000000000001</v>
      </c>
      <c r="K147" s="192">
        <v>1</v>
      </c>
      <c r="L147" s="180">
        <f t="shared" si="26"/>
        <v>1.1342000000000001</v>
      </c>
      <c r="M147" s="192"/>
      <c r="N147" t="str">
        <f t="shared" si="27"/>
        <v>1</v>
      </c>
      <c r="O147" s="193"/>
      <c r="P147" s="194"/>
      <c r="Q147" s="195"/>
      <c r="R147" s="196"/>
    </row>
    <row r="148" spans="1:18" hidden="1">
      <c r="A148" s="136"/>
      <c r="B148" s="362">
        <v>3002</v>
      </c>
      <c r="C148" s="186">
        <f t="shared" si="22"/>
        <v>1.1342000000000001</v>
      </c>
      <c r="D148" s="199" t="s">
        <v>348</v>
      </c>
      <c r="E148" s="101" t="s">
        <v>380</v>
      </c>
      <c r="F148" s="188">
        <f t="shared" si="23"/>
        <v>2008299</v>
      </c>
      <c r="G148" s="198">
        <v>213.36</v>
      </c>
      <c r="H148" s="363">
        <f t="shared" si="24"/>
        <v>9412.7249718785151</v>
      </c>
      <c r="I148" s="190"/>
      <c r="J148" s="191">
        <v>0.13420000000000001</v>
      </c>
      <c r="K148" s="192">
        <v>1</v>
      </c>
      <c r="L148" s="180">
        <f t="shared" si="26"/>
        <v>1.1342000000000001</v>
      </c>
      <c r="M148" s="192"/>
      <c r="N148" t="str">
        <f t="shared" si="27"/>
        <v>2</v>
      </c>
      <c r="O148" s="193"/>
      <c r="P148" s="194"/>
      <c r="Q148" s="195"/>
      <c r="R148" s="196"/>
    </row>
    <row r="149" spans="1:18" hidden="1">
      <c r="A149" s="136"/>
      <c r="B149" s="362">
        <v>3003</v>
      </c>
      <c r="C149" s="186">
        <f t="shared" si="22"/>
        <v>1.1342000000000001</v>
      </c>
      <c r="D149" s="199" t="s">
        <v>348</v>
      </c>
      <c r="E149" s="101" t="s">
        <v>380</v>
      </c>
      <c r="F149" s="188">
        <f t="shared" si="23"/>
        <v>1596681</v>
      </c>
      <c r="G149" s="198">
        <v>169.63</v>
      </c>
      <c r="H149" s="363">
        <f t="shared" si="24"/>
        <v>9412.7277014679003</v>
      </c>
      <c r="I149" s="190"/>
      <c r="J149" s="191">
        <v>0.13420000000000001</v>
      </c>
      <c r="K149" s="192">
        <v>1</v>
      </c>
      <c r="L149" s="180">
        <f t="shared" si="26"/>
        <v>1.1342000000000001</v>
      </c>
      <c r="M149" s="192"/>
      <c r="N149" t="str">
        <f t="shared" si="27"/>
        <v>3</v>
      </c>
      <c r="O149" s="193"/>
      <c r="P149" s="194"/>
      <c r="Q149" s="195"/>
      <c r="R149" s="196"/>
    </row>
    <row r="150" spans="1:18" hidden="1">
      <c r="A150" s="136"/>
      <c r="B150" s="362">
        <v>3101</v>
      </c>
      <c r="C150" s="186">
        <f t="shared" si="22"/>
        <v>1.1342000000000001</v>
      </c>
      <c r="D150" s="199" t="s">
        <v>348</v>
      </c>
      <c r="E150" s="101" t="s">
        <v>381</v>
      </c>
      <c r="F150" s="188">
        <f t="shared" si="23"/>
        <v>2339439</v>
      </c>
      <c r="G150" s="198">
        <v>248.54</v>
      </c>
      <c r="H150" s="363">
        <f t="shared" si="24"/>
        <v>9412.7263217188374</v>
      </c>
      <c r="I150" s="190"/>
      <c r="J150" s="191">
        <v>0.13420000000000001</v>
      </c>
      <c r="K150" s="192">
        <v>1</v>
      </c>
      <c r="L150" s="180">
        <f t="shared" si="26"/>
        <v>1.1342000000000001</v>
      </c>
      <c r="M150" s="192"/>
      <c r="N150" t="str">
        <f t="shared" si="27"/>
        <v>1</v>
      </c>
      <c r="O150" s="193"/>
      <c r="P150" s="194"/>
      <c r="Q150" s="195"/>
      <c r="R150" s="196"/>
    </row>
    <row r="151" spans="1:18" hidden="1">
      <c r="A151" s="136"/>
      <c r="B151" s="362">
        <v>3102</v>
      </c>
      <c r="C151" s="186">
        <f t="shared" si="22"/>
        <v>1.1446000000000001</v>
      </c>
      <c r="D151" s="199" t="s">
        <v>348</v>
      </c>
      <c r="E151" s="101" t="s">
        <v>380</v>
      </c>
      <c r="F151" s="188">
        <f t="shared" si="23"/>
        <v>2045142</v>
      </c>
      <c r="G151" s="198">
        <v>215.3</v>
      </c>
      <c r="H151" s="363">
        <f t="shared" si="24"/>
        <v>9499.0339061774266</v>
      </c>
      <c r="I151" s="190"/>
      <c r="J151" s="191">
        <f>14.28%+0.09%+0.09%</f>
        <v>0.14460000000000001</v>
      </c>
      <c r="K151" s="192">
        <v>1</v>
      </c>
      <c r="L151" s="180">
        <f t="shared" si="26"/>
        <v>1.1446000000000001</v>
      </c>
      <c r="M151" s="192"/>
      <c r="N151" t="str">
        <f t="shared" si="27"/>
        <v>2</v>
      </c>
      <c r="O151" s="193"/>
      <c r="P151" s="194"/>
      <c r="Q151" s="195"/>
      <c r="R151" s="196"/>
    </row>
    <row r="152" spans="1:18" hidden="1">
      <c r="A152" s="136"/>
      <c r="B152" s="362">
        <v>3103</v>
      </c>
      <c r="C152" s="186">
        <f t="shared" si="22"/>
        <v>1.1342000000000001</v>
      </c>
      <c r="D152" s="199" t="s">
        <v>348</v>
      </c>
      <c r="E152" s="101" t="s">
        <v>380</v>
      </c>
      <c r="F152" s="188">
        <f t="shared" si="23"/>
        <v>1637908</v>
      </c>
      <c r="G152" s="198">
        <v>174.01000000000002</v>
      </c>
      <c r="H152" s="363">
        <f t="shared" si="24"/>
        <v>9412.723406700763</v>
      </c>
      <c r="I152" s="190"/>
      <c r="J152" s="191">
        <v>0.13420000000000001</v>
      </c>
      <c r="K152" s="192">
        <v>1</v>
      </c>
      <c r="L152" s="180">
        <f t="shared" si="26"/>
        <v>1.1342000000000001</v>
      </c>
      <c r="M152" s="192"/>
      <c r="N152" t="str">
        <f t="shared" si="27"/>
        <v>3</v>
      </c>
      <c r="O152" s="193"/>
      <c r="P152" s="194"/>
      <c r="Q152" s="195"/>
      <c r="R152" s="196"/>
    </row>
    <row r="153" spans="1:18" hidden="1">
      <c r="A153" s="136"/>
      <c r="B153" s="362">
        <v>3201</v>
      </c>
      <c r="C153" s="186">
        <f t="shared" si="22"/>
        <v>1.1342000000000001</v>
      </c>
      <c r="D153" s="199" t="s">
        <v>349</v>
      </c>
      <c r="E153" s="101" t="s">
        <v>380</v>
      </c>
      <c r="F153" s="188">
        <f t="shared" si="23"/>
        <v>2710059</v>
      </c>
      <c r="G153" s="198">
        <v>246.33</v>
      </c>
      <c r="H153" s="363">
        <f t="shared" si="24"/>
        <v>11001.741566191693</v>
      </c>
      <c r="I153" s="190"/>
      <c r="J153" s="191">
        <v>0.13420000000000001</v>
      </c>
      <c r="K153" s="192">
        <v>1</v>
      </c>
      <c r="L153" s="180">
        <f t="shared" si="26"/>
        <v>1.1342000000000001</v>
      </c>
      <c r="M153" s="192"/>
      <c r="N153" t="str">
        <f t="shared" si="27"/>
        <v>1</v>
      </c>
      <c r="O153" s="193"/>
      <c r="P153" s="194"/>
      <c r="Q153" s="195"/>
      <c r="R153" s="196"/>
    </row>
    <row r="154" spans="1:18" hidden="1">
      <c r="A154" s="136"/>
      <c r="B154" s="362">
        <v>3202</v>
      </c>
      <c r="C154" s="186">
        <f t="shared" si="22"/>
        <v>1.1342000000000001</v>
      </c>
      <c r="D154" s="199" t="s">
        <v>349</v>
      </c>
      <c r="E154" s="101" t="s">
        <v>380</v>
      </c>
      <c r="F154" s="188">
        <f t="shared" si="23"/>
        <v>2354482</v>
      </c>
      <c r="G154" s="198">
        <v>214.01000000000002</v>
      </c>
      <c r="H154" s="363">
        <f t="shared" si="24"/>
        <v>11001.738236531002</v>
      </c>
      <c r="I154" s="190"/>
      <c r="J154" s="191">
        <v>0.13420000000000001</v>
      </c>
      <c r="K154" s="192">
        <v>1</v>
      </c>
      <c r="L154" s="180">
        <f t="shared" si="26"/>
        <v>1.1342000000000001</v>
      </c>
      <c r="M154" s="192"/>
      <c r="N154" t="str">
        <f t="shared" si="27"/>
        <v>2</v>
      </c>
      <c r="O154" s="193"/>
      <c r="P154" s="194"/>
      <c r="Q154" s="195"/>
      <c r="R154" s="196"/>
    </row>
    <row r="155" spans="1:18" hidden="1">
      <c r="A155" s="136"/>
      <c r="B155" s="362">
        <v>3203</v>
      </c>
      <c r="C155" s="186">
        <f t="shared" si="22"/>
        <v>1.1758</v>
      </c>
      <c r="D155" s="199" t="s">
        <v>348</v>
      </c>
      <c r="E155" s="101" t="s">
        <v>380</v>
      </c>
      <c r="F155" s="188">
        <f t="shared" si="23"/>
        <v>1661586</v>
      </c>
      <c r="G155" s="198">
        <v>170.28</v>
      </c>
      <c r="H155" s="363">
        <f t="shared" si="24"/>
        <v>9757.9633544749831</v>
      </c>
      <c r="I155" s="190"/>
      <c r="J155" s="191">
        <f>16.08%+0.5%+1%</f>
        <v>0.17579999999999998</v>
      </c>
      <c r="K155" s="192">
        <v>1</v>
      </c>
      <c r="L155" s="180">
        <f t="shared" si="26"/>
        <v>1.1758</v>
      </c>
      <c r="M155" s="192"/>
      <c r="N155" t="str">
        <f t="shared" si="27"/>
        <v>3</v>
      </c>
      <c r="O155" s="193"/>
      <c r="P155" s="194"/>
      <c r="Q155" s="195"/>
      <c r="R155" s="196"/>
    </row>
    <row r="156" spans="1:18" hidden="1">
      <c r="A156" s="136"/>
      <c r="B156" s="362">
        <v>3301</v>
      </c>
      <c r="C156" s="186">
        <f t="shared" si="22"/>
        <v>1.1342000000000001</v>
      </c>
      <c r="D156" s="199" t="s">
        <v>349</v>
      </c>
      <c r="E156" s="101" t="s">
        <v>380</v>
      </c>
      <c r="F156" s="188">
        <f t="shared" si="23"/>
        <v>3843348</v>
      </c>
      <c r="G156" s="198">
        <v>349.34</v>
      </c>
      <c r="H156" s="363">
        <f t="shared" si="24"/>
        <v>11001.740424801053</v>
      </c>
      <c r="I156" s="190"/>
      <c r="J156" s="191">
        <v>0.13420000000000001</v>
      </c>
      <c r="K156" s="192">
        <v>1</v>
      </c>
      <c r="L156" s="180">
        <f t="shared" si="26"/>
        <v>1.1342000000000001</v>
      </c>
      <c r="M156" s="192"/>
      <c r="N156" t="str">
        <f t="shared" si="27"/>
        <v>1</v>
      </c>
      <c r="O156" s="193"/>
      <c r="P156" s="194"/>
      <c r="Q156" s="195"/>
      <c r="R156" s="196"/>
    </row>
    <row r="157" spans="1:18" hidden="1">
      <c r="A157" s="136"/>
      <c r="B157" s="362">
        <v>3302</v>
      </c>
      <c r="C157" s="186">
        <f t="shared" si="22"/>
        <v>1.1541999999999999</v>
      </c>
      <c r="D157" s="199" t="s">
        <v>349</v>
      </c>
      <c r="E157" s="101" t="s">
        <v>380</v>
      </c>
      <c r="F157" s="188">
        <f t="shared" si="23"/>
        <v>3201870</v>
      </c>
      <c r="G157" s="198">
        <v>285.99</v>
      </c>
      <c r="H157" s="363">
        <f t="shared" si="24"/>
        <v>11195.741109829014</v>
      </c>
      <c r="I157" s="301">
        <v>0.02</v>
      </c>
      <c r="J157" s="191">
        <v>0.13420000000000001</v>
      </c>
      <c r="K157" s="192">
        <v>1</v>
      </c>
      <c r="L157" s="180">
        <f t="shared" si="26"/>
        <v>1.1541999999999999</v>
      </c>
      <c r="M157" s="192"/>
      <c r="N157" t="str">
        <f t="shared" si="27"/>
        <v>2</v>
      </c>
      <c r="O157" s="193"/>
      <c r="P157" s="194"/>
      <c r="Q157" s="195"/>
      <c r="R157" s="196"/>
    </row>
    <row r="158" spans="1:18" hidden="1">
      <c r="A158" s="136"/>
      <c r="B158" s="362">
        <v>3401</v>
      </c>
      <c r="C158" s="186">
        <f t="shared" si="22"/>
        <v>1.1541999999999999</v>
      </c>
      <c r="D158" s="199" t="s">
        <v>349</v>
      </c>
      <c r="E158" s="101" t="s">
        <v>380</v>
      </c>
      <c r="F158" s="188">
        <f t="shared" si="23"/>
        <v>3950081</v>
      </c>
      <c r="G158" s="198">
        <v>352.82</v>
      </c>
      <c r="H158" s="363">
        <f t="shared" si="24"/>
        <v>11195.740037412845</v>
      </c>
      <c r="I158" s="301">
        <v>0.02</v>
      </c>
      <c r="J158" s="191">
        <v>0.13420000000000001</v>
      </c>
      <c r="K158" s="192">
        <v>1</v>
      </c>
      <c r="L158" s="180">
        <f t="shared" si="26"/>
        <v>1.1541999999999999</v>
      </c>
      <c r="M158" s="192"/>
      <c r="N158" t="str">
        <f t="shared" si="27"/>
        <v>1</v>
      </c>
      <c r="O158" s="193"/>
      <c r="P158" s="194"/>
      <c r="Q158" s="195"/>
      <c r="R158" s="196"/>
    </row>
    <row r="159" spans="1:18" hidden="1">
      <c r="A159" s="136"/>
      <c r="B159" s="362">
        <v>3402</v>
      </c>
      <c r="C159" s="186">
        <f t="shared" si="22"/>
        <v>1.1541999999999999</v>
      </c>
      <c r="D159" s="199" t="s">
        <v>349</v>
      </c>
      <c r="E159" s="101" t="s">
        <v>380</v>
      </c>
      <c r="F159" s="188">
        <f t="shared" si="23"/>
        <v>3134807</v>
      </c>
      <c r="G159" s="198">
        <v>280</v>
      </c>
      <c r="H159" s="363">
        <f t="shared" si="24"/>
        <v>11195.739285714286</v>
      </c>
      <c r="I159" s="301">
        <v>0.02</v>
      </c>
      <c r="J159" s="191">
        <v>0.13420000000000001</v>
      </c>
      <c r="K159" s="192">
        <v>1</v>
      </c>
      <c r="L159" s="180">
        <f t="shared" si="26"/>
        <v>1.1541999999999999</v>
      </c>
      <c r="M159" s="192"/>
      <c r="N159" t="str">
        <f t="shared" si="27"/>
        <v>2</v>
      </c>
      <c r="O159" s="193"/>
      <c r="P159" s="194"/>
      <c r="Q159" s="195"/>
      <c r="R159" s="196"/>
    </row>
    <row r="160" spans="1:18" hidden="1">
      <c r="A160" s="136"/>
      <c r="B160" s="362">
        <v>3501</v>
      </c>
      <c r="C160" s="186">
        <f t="shared" si="22"/>
        <v>1.1541999999999999</v>
      </c>
      <c r="D160" s="199" t="s">
        <v>349</v>
      </c>
      <c r="E160" s="101" t="s">
        <v>380</v>
      </c>
      <c r="F160" s="188">
        <f t="shared" si="23"/>
        <v>3985012</v>
      </c>
      <c r="G160" s="198">
        <v>355.94</v>
      </c>
      <c r="H160" s="363">
        <f t="shared" si="24"/>
        <v>11195.740855200314</v>
      </c>
      <c r="I160" s="301">
        <v>0.02</v>
      </c>
      <c r="J160" s="191">
        <v>0.13420000000000001</v>
      </c>
      <c r="K160" s="192">
        <v>1</v>
      </c>
      <c r="L160" s="180">
        <f t="shared" si="26"/>
        <v>1.1541999999999999</v>
      </c>
      <c r="M160" s="192"/>
      <c r="N160" t="str">
        <f t="shared" si="27"/>
        <v>1</v>
      </c>
      <c r="O160" s="193"/>
      <c r="P160" s="194"/>
      <c r="Q160" s="195"/>
      <c r="R160" s="196"/>
    </row>
    <row r="161" spans="1:19" hidden="1">
      <c r="A161" s="136"/>
      <c r="B161" s="362">
        <v>3502</v>
      </c>
      <c r="C161" s="186">
        <f t="shared" si="22"/>
        <v>1.1541999999999999</v>
      </c>
      <c r="D161" s="199" t="s">
        <v>349</v>
      </c>
      <c r="E161" s="101" t="s">
        <v>380</v>
      </c>
      <c r="F161" s="188">
        <f t="shared" si="23"/>
        <v>3146675</v>
      </c>
      <c r="G161" s="198">
        <v>281.05999999999995</v>
      </c>
      <c r="H161" s="363">
        <f t="shared" si="24"/>
        <v>11195.741122891912</v>
      </c>
      <c r="I161" s="301">
        <v>0.02</v>
      </c>
      <c r="J161" s="191">
        <v>0.13420000000000001</v>
      </c>
      <c r="K161" s="192">
        <v>1</v>
      </c>
      <c r="L161" s="180">
        <f t="shared" si="26"/>
        <v>1.1541999999999999</v>
      </c>
      <c r="M161" s="192"/>
      <c r="N161" t="str">
        <f t="shared" si="27"/>
        <v>2</v>
      </c>
      <c r="O161" s="193"/>
      <c r="P161" s="194"/>
      <c r="Q161" s="195"/>
      <c r="R161" s="196"/>
    </row>
    <row r="162" spans="1:19" hidden="1">
      <c r="A162" s="136"/>
      <c r="B162" s="362">
        <v>3601</v>
      </c>
      <c r="C162" s="186">
        <f t="shared" si="22"/>
        <v>1.1541999999999999</v>
      </c>
      <c r="D162" s="199" t="s">
        <v>349</v>
      </c>
      <c r="E162" s="101" t="s">
        <v>380</v>
      </c>
      <c r="F162" s="188">
        <f t="shared" si="23"/>
        <v>3949969</v>
      </c>
      <c r="G162" s="198">
        <v>352.80999999999995</v>
      </c>
      <c r="H162" s="363">
        <f t="shared" si="24"/>
        <v>11195.73991666903</v>
      </c>
      <c r="I162" s="301">
        <v>0.02</v>
      </c>
      <c r="J162" s="191">
        <v>0.13420000000000001</v>
      </c>
      <c r="K162" s="192">
        <v>1</v>
      </c>
      <c r="L162" s="180">
        <f t="shared" si="26"/>
        <v>1.1541999999999999</v>
      </c>
      <c r="M162" s="192"/>
      <c r="N162" t="str">
        <f t="shared" si="27"/>
        <v>1</v>
      </c>
      <c r="O162" s="193"/>
      <c r="P162" s="194"/>
      <c r="Q162" s="195"/>
      <c r="R162" s="196"/>
    </row>
    <row r="163" spans="1:19" hidden="1">
      <c r="A163" s="136"/>
      <c r="B163" s="369">
        <v>3602</v>
      </c>
      <c r="C163" s="370">
        <f t="shared" si="22"/>
        <v>1.1541999999999999</v>
      </c>
      <c r="D163" s="371" t="s">
        <v>349</v>
      </c>
      <c r="E163" s="372" t="s">
        <v>380</v>
      </c>
      <c r="F163" s="373">
        <f t="shared" si="23"/>
        <v>3111744</v>
      </c>
      <c r="G163" s="374">
        <v>277.94</v>
      </c>
      <c r="H163" s="375">
        <f t="shared" si="24"/>
        <v>11195.740087788732</v>
      </c>
      <c r="I163" s="301">
        <v>0.02</v>
      </c>
      <c r="J163" s="191">
        <v>0.13420000000000001</v>
      </c>
      <c r="K163" s="192">
        <v>1</v>
      </c>
      <c r="L163" s="180">
        <f t="shared" si="26"/>
        <v>1.1541999999999999</v>
      </c>
      <c r="M163" s="192"/>
      <c r="N163" t="str">
        <f t="shared" si="27"/>
        <v>2</v>
      </c>
      <c r="O163" s="193"/>
      <c r="P163" s="194"/>
      <c r="Q163" s="195"/>
      <c r="R163" s="196"/>
    </row>
    <row r="164" spans="1:19">
      <c r="A164" s="135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180"/>
      <c r="O164" s="180"/>
      <c r="P164" s="180"/>
      <c r="Q164" s="180"/>
      <c r="R164" s="193"/>
      <c r="S164" s="196"/>
    </row>
    <row r="165" spans="1:19">
      <c r="A165" s="135"/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180"/>
      <c r="O165" s="180"/>
      <c r="P165" s="180"/>
      <c r="Q165" s="180"/>
      <c r="R165" s="193"/>
      <c r="S165" s="196"/>
    </row>
    <row r="166" spans="1:19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 spans="1:19">
      <c r="A167" s="151" t="s">
        <v>383</v>
      </c>
      <c r="B167" s="152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77"/>
      <c r="P167" s="77"/>
      <c r="Q167" s="77"/>
      <c r="R167" s="196"/>
    </row>
    <row r="168" spans="1:19">
      <c r="A168" s="82"/>
      <c r="B168" s="82"/>
      <c r="C168" s="82"/>
      <c r="D168" s="98"/>
      <c r="E168" s="98"/>
      <c r="F168" s="98"/>
      <c r="G168" s="98"/>
      <c r="H168" s="98"/>
      <c r="I168" s="82"/>
      <c r="J168" s="82"/>
      <c r="K168" s="82"/>
      <c r="L168" s="82"/>
      <c r="M168" s="82"/>
      <c r="N168" s="82"/>
      <c r="O168" s="82"/>
      <c r="P168" s="82"/>
      <c r="Q168" s="82"/>
    </row>
    <row r="169" spans="1:19">
      <c r="A169" s="355" t="s">
        <v>384</v>
      </c>
      <c r="B169" s="356"/>
      <c r="C169" s="356"/>
      <c r="D169" s="356"/>
      <c r="E169" s="356"/>
      <c r="F169" s="357"/>
      <c r="G169" s="93"/>
      <c r="H169" s="93"/>
      <c r="I169" s="82"/>
      <c r="J169" s="82"/>
      <c r="K169" s="82"/>
      <c r="L169" s="82"/>
      <c r="M169" s="82"/>
      <c r="N169" s="82"/>
      <c r="O169" s="82"/>
      <c r="P169" s="82"/>
      <c r="Q169" s="82"/>
      <c r="R169" s="190"/>
    </row>
    <row r="170" spans="1:19" ht="32.1">
      <c r="A170" s="168" t="s">
        <v>338</v>
      </c>
      <c r="B170" s="201" t="s">
        <v>339</v>
      </c>
      <c r="C170" s="202" t="s">
        <v>385</v>
      </c>
      <c r="D170" s="168" t="s">
        <v>386</v>
      </c>
      <c r="E170" s="203" t="s">
        <v>387</v>
      </c>
      <c r="F170" s="168" t="s">
        <v>388</v>
      </c>
      <c r="G170" s="204"/>
      <c r="H170" s="93"/>
      <c r="I170" s="82"/>
      <c r="J170" s="82"/>
      <c r="K170" s="82"/>
      <c r="L170" s="82"/>
      <c r="M170" s="82"/>
      <c r="N170" s="82"/>
      <c r="O170" s="82"/>
      <c r="P170" s="82"/>
      <c r="Q170" s="82"/>
    </row>
    <row r="171" spans="1:19">
      <c r="A171" s="205" t="str">
        <f t="shared" ref="A171:B178" si="28">B41</f>
        <v>Preço Base 1</v>
      </c>
      <c r="B171" s="206">
        <f t="shared" si="28"/>
        <v>260.68</v>
      </c>
      <c r="C171" s="158">
        <f t="shared" ref="C171:C178" si="29">COUNTIFS($D$69:$D$163,A171,$E$69:$E$163,"Disponível")</f>
        <v>3</v>
      </c>
      <c r="D171" s="207">
        <f t="shared" ref="D171:D178" si="30">SUMIFS($F$69:$F$163,$D$69:$D$163,A171,$E$69:$E$163,"Disponível")</f>
        <v>7427503</v>
      </c>
      <c r="E171" s="208">
        <f>IF(C171=0,0,D171/C171)</f>
        <v>2475834.3333333335</v>
      </c>
      <c r="F171" s="209">
        <f>E171/B171</f>
        <v>9497.5998670144745</v>
      </c>
      <c r="G171" s="210"/>
      <c r="H171" s="93"/>
      <c r="I171" s="82"/>
      <c r="J171" s="82"/>
      <c r="K171" s="82"/>
      <c r="L171" s="82"/>
      <c r="M171" s="82"/>
      <c r="N171" s="82"/>
      <c r="O171" s="82"/>
      <c r="P171" s="82"/>
      <c r="Q171" s="82"/>
    </row>
    <row r="172" spans="1:19">
      <c r="A172" s="205" t="str">
        <f t="shared" si="28"/>
        <v>Preço Base 2</v>
      </c>
      <c r="B172" s="206">
        <f t="shared" si="28"/>
        <v>212.09666666666669</v>
      </c>
      <c r="C172" s="158">
        <f t="shared" si="29"/>
        <v>3</v>
      </c>
      <c r="D172" s="207">
        <f t="shared" si="30"/>
        <v>6080998</v>
      </c>
      <c r="E172" s="208">
        <f t="shared" ref="E172:E178" si="31">IF(C172=0,0,D172/C172)</f>
        <v>2026999.3333333333</v>
      </c>
      <c r="F172" s="209">
        <f t="shared" ref="F172:F178" si="32">E172/B172</f>
        <v>9556.9598767857406</v>
      </c>
      <c r="G172" s="210"/>
      <c r="H172" s="93"/>
      <c r="I172" s="82"/>
      <c r="J172" s="82"/>
      <c r="K172" s="82"/>
      <c r="L172" s="82"/>
      <c r="M172" s="82"/>
      <c r="N172" s="82"/>
      <c r="O172" s="82"/>
      <c r="P172" s="82"/>
      <c r="Q172" s="82"/>
    </row>
    <row r="173" spans="1:19">
      <c r="A173" s="205" t="str">
        <f t="shared" si="28"/>
        <v>Preço Base 3</v>
      </c>
      <c r="B173" s="206">
        <f t="shared" si="28"/>
        <v>213.14333333333335</v>
      </c>
      <c r="C173" s="158">
        <f t="shared" si="29"/>
        <v>2</v>
      </c>
      <c r="D173" s="207">
        <f t="shared" si="30"/>
        <v>4514574</v>
      </c>
      <c r="E173" s="208">
        <f t="shared" si="31"/>
        <v>2257287</v>
      </c>
      <c r="F173" s="209">
        <f t="shared" si="32"/>
        <v>10590.464945341944</v>
      </c>
      <c r="G173" s="210"/>
      <c r="H173" s="93"/>
      <c r="I173" s="82"/>
      <c r="J173" s="82"/>
      <c r="K173" s="82"/>
      <c r="L173" s="82"/>
      <c r="M173" s="82"/>
      <c r="N173" s="82"/>
      <c r="O173" s="82"/>
      <c r="P173" s="82"/>
      <c r="Q173" s="82"/>
    </row>
    <row r="174" spans="1:19">
      <c r="A174" s="205" t="str">
        <f t="shared" si="28"/>
        <v>Preço Base 4</v>
      </c>
      <c r="B174" s="206">
        <f t="shared" si="28"/>
        <v>212.16</v>
      </c>
      <c r="C174" s="158">
        <f t="shared" si="29"/>
        <v>2</v>
      </c>
      <c r="D174" s="207">
        <f t="shared" si="30"/>
        <v>4480904</v>
      </c>
      <c r="E174" s="208">
        <f t="shared" si="31"/>
        <v>2240452</v>
      </c>
      <c r="F174" s="209">
        <f t="shared" si="32"/>
        <v>10560.199849170438</v>
      </c>
      <c r="G174" s="210"/>
      <c r="H174" s="93"/>
      <c r="I174" s="82"/>
      <c r="J174" s="82"/>
      <c r="K174" s="82"/>
      <c r="L174" s="82"/>
      <c r="M174" s="82"/>
      <c r="N174" s="82"/>
      <c r="O174" s="82"/>
      <c r="P174" s="82"/>
      <c r="Q174" s="82"/>
    </row>
    <row r="175" spans="1:19">
      <c r="A175" s="205" t="str">
        <f t="shared" si="28"/>
        <v>Preço Base 5</v>
      </c>
      <c r="B175" s="206">
        <f t="shared" si="28"/>
        <v>213.46333333333334</v>
      </c>
      <c r="C175" s="158">
        <f t="shared" si="29"/>
        <v>3</v>
      </c>
      <c r="D175" s="207">
        <f t="shared" si="30"/>
        <v>6234222</v>
      </c>
      <c r="E175" s="208">
        <f t="shared" si="31"/>
        <v>2078074</v>
      </c>
      <c r="F175" s="209">
        <f t="shared" si="32"/>
        <v>9735.0395852527363</v>
      </c>
      <c r="G175" s="210"/>
      <c r="H175" s="93"/>
      <c r="I175" s="82"/>
      <c r="J175" s="82"/>
      <c r="K175" s="82"/>
      <c r="L175" s="82"/>
      <c r="M175" s="82"/>
      <c r="N175" s="82"/>
      <c r="O175" s="82"/>
      <c r="P175" s="82"/>
      <c r="Q175" s="82"/>
    </row>
    <row r="176" spans="1:19">
      <c r="A176" s="205" t="str">
        <f t="shared" si="28"/>
        <v>Preço Base 6</v>
      </c>
      <c r="B176" s="206">
        <f t="shared" si="28"/>
        <v>213.26666666666668</v>
      </c>
      <c r="C176" s="158">
        <f t="shared" si="29"/>
        <v>2</v>
      </c>
      <c r="D176" s="207">
        <f t="shared" si="30"/>
        <v>4539508</v>
      </c>
      <c r="E176" s="208">
        <f t="shared" si="31"/>
        <v>2269754</v>
      </c>
      <c r="F176" s="209">
        <f t="shared" si="32"/>
        <v>10642.797749296655</v>
      </c>
      <c r="G176" s="210"/>
      <c r="H176" s="93"/>
      <c r="I176" s="82"/>
      <c r="J176" s="82"/>
      <c r="K176" s="82"/>
      <c r="L176" s="82"/>
      <c r="M176" s="82"/>
      <c r="N176" s="82"/>
      <c r="O176" s="82"/>
      <c r="P176" s="82"/>
      <c r="Q176" s="82"/>
    </row>
    <row r="177" spans="1:19">
      <c r="A177" s="205" t="str">
        <f t="shared" si="28"/>
        <v>Preço Base 7</v>
      </c>
      <c r="B177" s="206">
        <f t="shared" si="28"/>
        <v>211.26507462686561</v>
      </c>
      <c r="C177" s="158">
        <f t="shared" si="29"/>
        <v>28</v>
      </c>
      <c r="D177" s="207">
        <f t="shared" si="30"/>
        <v>56203945</v>
      </c>
      <c r="E177" s="208">
        <f t="shared" si="31"/>
        <v>2007283.75</v>
      </c>
      <c r="F177" s="209">
        <f t="shared" si="32"/>
        <v>9501.2569093365091</v>
      </c>
      <c r="G177" s="210"/>
      <c r="H177" s="93"/>
      <c r="I177" s="82"/>
      <c r="J177" s="82"/>
      <c r="K177" s="82"/>
      <c r="L177" s="82"/>
      <c r="M177" s="82"/>
      <c r="N177" s="82"/>
      <c r="O177" s="82"/>
      <c r="P177" s="82"/>
      <c r="Q177" s="82"/>
    </row>
    <row r="178" spans="1:19">
      <c r="A178" s="205" t="str">
        <f t="shared" si="28"/>
        <v>Preço Base 8</v>
      </c>
      <c r="B178" s="206">
        <f t="shared" si="28"/>
        <v>299.62399999999997</v>
      </c>
      <c r="C178" s="158">
        <f t="shared" si="29"/>
        <v>0</v>
      </c>
      <c r="D178" s="207">
        <f t="shared" si="30"/>
        <v>0</v>
      </c>
      <c r="E178" s="208">
        <f t="shared" si="31"/>
        <v>0</v>
      </c>
      <c r="F178" s="209">
        <f t="shared" si="32"/>
        <v>0</v>
      </c>
      <c r="G178" s="210"/>
      <c r="H178" s="93"/>
      <c r="I178" s="82"/>
      <c r="J178" s="82"/>
      <c r="K178" s="82"/>
      <c r="L178" s="82"/>
      <c r="M178" s="82"/>
      <c r="N178" s="82"/>
      <c r="O178" s="82"/>
      <c r="P178" s="82"/>
      <c r="Q178" s="82"/>
    </row>
    <row r="179" spans="1:19">
      <c r="A179" s="211" t="s">
        <v>310</v>
      </c>
      <c r="B179" s="212"/>
      <c r="C179" s="211">
        <f>SUM(C171:C178)</f>
        <v>43</v>
      </c>
      <c r="D179" s="213">
        <f>SUM(D171:D178)</f>
        <v>89481654</v>
      </c>
      <c r="E179" s="214"/>
      <c r="F179" s="209"/>
      <c r="G179" s="215"/>
      <c r="H179" s="216"/>
      <c r="I179" s="137"/>
      <c r="J179" s="137"/>
      <c r="K179" s="137"/>
      <c r="L179" s="217"/>
      <c r="M179" s="82"/>
      <c r="N179" s="165"/>
      <c r="O179" s="82"/>
      <c r="P179" s="82"/>
      <c r="Q179" s="82"/>
    </row>
    <row r="180" spans="1:19">
      <c r="A180" s="82"/>
      <c r="B180" s="82"/>
      <c r="C180" s="82"/>
      <c r="D180" s="82"/>
      <c r="E180" s="82"/>
      <c r="F180" s="82"/>
      <c r="G180" s="82"/>
      <c r="H180" s="218"/>
      <c r="I180" s="93"/>
      <c r="J180" s="93"/>
      <c r="K180" s="93"/>
      <c r="L180" s="82"/>
      <c r="M180" s="82"/>
      <c r="N180" s="165"/>
      <c r="O180" s="82"/>
      <c r="P180" s="82"/>
      <c r="Q180" s="82"/>
    </row>
    <row r="181" spans="1:19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</row>
    <row r="182" spans="1:19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</row>
    <row r="183" spans="1:19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9">
      <c r="A184" s="151" t="s">
        <v>389</v>
      </c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219"/>
      <c r="M184" s="219"/>
      <c r="N184" s="77"/>
      <c r="O184" s="77"/>
      <c r="P184" s="77"/>
      <c r="Q184" s="77"/>
    </row>
    <row r="185" spans="1:19">
      <c r="A185" s="220" t="s">
        <v>390</v>
      </c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82"/>
      <c r="P185" s="82"/>
      <c r="Q185" s="82"/>
    </row>
    <row r="186" spans="1:19">
      <c r="A186" s="358" t="s">
        <v>391</v>
      </c>
      <c r="B186" s="352" t="s">
        <v>392</v>
      </c>
      <c r="C186" s="352"/>
      <c r="D186" s="359" t="str">
        <f>B41</f>
        <v>Preço Base 1</v>
      </c>
      <c r="E186" s="360"/>
      <c r="F186" s="359" t="str">
        <f>B42</f>
        <v>Preço Base 2</v>
      </c>
      <c r="G186" s="360"/>
      <c r="H186" s="358" t="str">
        <f>B43</f>
        <v>Preço Base 3</v>
      </c>
      <c r="I186" s="358"/>
      <c r="J186" s="359" t="str">
        <f>B44</f>
        <v>Preço Base 4</v>
      </c>
      <c r="K186" s="360"/>
      <c r="L186" s="358" t="str">
        <f>B45</f>
        <v>Preço Base 5</v>
      </c>
      <c r="M186" s="358"/>
      <c r="N186" s="358" t="str">
        <f>B46</f>
        <v>Preço Base 6</v>
      </c>
      <c r="O186" s="358"/>
      <c r="P186" s="358" t="str">
        <f>B47</f>
        <v>Preço Base 7</v>
      </c>
      <c r="Q186" s="358"/>
      <c r="R186" s="358" t="str">
        <f>B48</f>
        <v>Preço Base 8</v>
      </c>
      <c r="S186" s="358"/>
    </row>
    <row r="187" spans="1:19" ht="36" customHeight="1">
      <c r="A187" s="358"/>
      <c r="B187" s="138" t="s">
        <v>393</v>
      </c>
      <c r="C187" s="138" t="s">
        <v>394</v>
      </c>
      <c r="D187" s="221" t="s">
        <v>395</v>
      </c>
      <c r="E187" s="221" t="s">
        <v>396</v>
      </c>
      <c r="F187" s="221" t="s">
        <v>395</v>
      </c>
      <c r="G187" s="221" t="s">
        <v>396</v>
      </c>
      <c r="H187" s="221" t="s">
        <v>395</v>
      </c>
      <c r="I187" s="221" t="s">
        <v>396</v>
      </c>
      <c r="J187" s="221" t="s">
        <v>395</v>
      </c>
      <c r="K187" s="221" t="s">
        <v>396</v>
      </c>
      <c r="L187" s="221" t="s">
        <v>395</v>
      </c>
      <c r="M187" s="221" t="s">
        <v>396</v>
      </c>
      <c r="N187" s="221" t="s">
        <v>395</v>
      </c>
      <c r="O187" s="221" t="s">
        <v>396</v>
      </c>
      <c r="P187" s="221" t="s">
        <v>395</v>
      </c>
      <c r="Q187" s="221" t="s">
        <v>396</v>
      </c>
      <c r="R187" s="221" t="s">
        <v>395</v>
      </c>
      <c r="S187" s="221" t="s">
        <v>396</v>
      </c>
    </row>
    <row r="188" spans="1:19">
      <c r="A188" s="222">
        <v>44562</v>
      </c>
      <c r="B188" s="223"/>
      <c r="C188" s="187">
        <v>1</v>
      </c>
      <c r="D188" s="159"/>
      <c r="E188" s="224">
        <v>8000</v>
      </c>
      <c r="F188" s="225"/>
      <c r="G188" s="224">
        <v>8050</v>
      </c>
      <c r="H188" s="159"/>
      <c r="I188" s="224">
        <v>8100</v>
      </c>
      <c r="J188" s="225"/>
      <c r="K188" s="224">
        <v>8150</v>
      </c>
      <c r="L188" s="159"/>
      <c r="M188" s="224">
        <v>8200</v>
      </c>
      <c r="N188" s="159"/>
      <c r="O188" s="224">
        <v>8250</v>
      </c>
      <c r="P188" s="159"/>
      <c r="Q188" s="224">
        <v>8299</v>
      </c>
      <c r="R188" s="159"/>
      <c r="S188" s="224">
        <v>9700</v>
      </c>
    </row>
    <row r="189" spans="1:19">
      <c r="A189" s="222">
        <f t="shared" ref="A189:A190" si="33">EDATE(A188,1)</f>
        <v>44593</v>
      </c>
      <c r="B189" s="223"/>
      <c r="C189" s="187">
        <f t="shared" ref="C189:C205" si="34">C188+(B189*C188)</f>
        <v>1</v>
      </c>
      <c r="D189" s="159"/>
      <c r="E189" s="224">
        <v>8000</v>
      </c>
      <c r="F189" s="225"/>
      <c r="G189" s="224">
        <v>8050</v>
      </c>
      <c r="H189" s="159"/>
      <c r="I189" s="224">
        <v>8100</v>
      </c>
      <c r="J189" s="225"/>
      <c r="K189" s="224">
        <v>8150</v>
      </c>
      <c r="L189" s="159"/>
      <c r="M189" s="224">
        <v>8200</v>
      </c>
      <c r="N189" s="159"/>
      <c r="O189" s="224">
        <v>8250</v>
      </c>
      <c r="P189" s="159"/>
      <c r="Q189" s="224">
        <v>8299</v>
      </c>
      <c r="R189" s="159"/>
      <c r="S189" s="224">
        <v>9700</v>
      </c>
    </row>
    <row r="190" spans="1:19">
      <c r="A190" s="222">
        <f t="shared" si="33"/>
        <v>44621</v>
      </c>
      <c r="B190" s="223"/>
      <c r="C190" s="187">
        <f t="shared" si="34"/>
        <v>1</v>
      </c>
      <c r="D190" s="223"/>
      <c r="E190" s="224">
        <v>8000</v>
      </c>
      <c r="F190" s="223"/>
      <c r="G190" s="224">
        <v>8050</v>
      </c>
      <c r="H190" s="223"/>
      <c r="I190" s="224">
        <v>8100</v>
      </c>
      <c r="J190" s="223"/>
      <c r="K190" s="224">
        <v>8150</v>
      </c>
      <c r="L190" s="223"/>
      <c r="M190" s="224">
        <v>8200</v>
      </c>
      <c r="N190" s="159"/>
      <c r="O190" s="224">
        <v>8250</v>
      </c>
      <c r="P190" s="159"/>
      <c r="Q190" s="224">
        <v>8299</v>
      </c>
      <c r="R190" s="159"/>
      <c r="S190" s="224">
        <v>9700</v>
      </c>
    </row>
    <row r="191" spans="1:19">
      <c r="A191" s="222">
        <v>44652</v>
      </c>
      <c r="B191" s="223">
        <v>0.05</v>
      </c>
      <c r="C191" s="187"/>
      <c r="D191" s="223"/>
      <c r="E191" s="224">
        <v>8000</v>
      </c>
      <c r="F191" s="223"/>
      <c r="G191" s="224">
        <v>8050</v>
      </c>
      <c r="H191" s="223"/>
      <c r="I191" s="224">
        <v>8100</v>
      </c>
      <c r="J191" s="223"/>
      <c r="K191" s="224">
        <v>8150</v>
      </c>
      <c r="L191" s="223"/>
      <c r="M191" s="224">
        <v>8200</v>
      </c>
      <c r="N191" s="159"/>
      <c r="O191" s="224">
        <v>8250</v>
      </c>
      <c r="P191" s="159"/>
      <c r="Q191" s="224">
        <v>8299</v>
      </c>
      <c r="R191" s="159"/>
      <c r="S191" s="224">
        <v>9700</v>
      </c>
    </row>
    <row r="192" spans="1:19">
      <c r="A192" s="222">
        <v>44682</v>
      </c>
      <c r="B192" s="223">
        <v>0.02</v>
      </c>
      <c r="C192" s="187"/>
      <c r="D192" s="223"/>
      <c r="E192" s="224">
        <v>8000</v>
      </c>
      <c r="F192" s="223"/>
      <c r="G192" s="224">
        <v>8050</v>
      </c>
      <c r="H192" s="223"/>
      <c r="I192" s="224">
        <v>8100</v>
      </c>
      <c r="J192" s="223"/>
      <c r="K192" s="224">
        <v>8150</v>
      </c>
      <c r="L192" s="223"/>
      <c r="M192" s="224">
        <v>8200</v>
      </c>
      <c r="N192" s="159"/>
      <c r="O192" s="224">
        <v>8250</v>
      </c>
      <c r="P192" s="159"/>
      <c r="Q192" s="224">
        <v>8299</v>
      </c>
      <c r="R192" s="159"/>
      <c r="S192" s="224">
        <v>9700</v>
      </c>
    </row>
    <row r="193" spans="1:19">
      <c r="A193" s="222" t="s">
        <v>397</v>
      </c>
      <c r="B193" s="223">
        <v>1.4999999999999999E-2</v>
      </c>
      <c r="C193" s="187"/>
      <c r="D193" s="223"/>
      <c r="E193" s="224">
        <v>8000</v>
      </c>
      <c r="F193" s="223"/>
      <c r="G193" s="224">
        <v>8050</v>
      </c>
      <c r="H193" s="223"/>
      <c r="I193" s="224">
        <v>8100</v>
      </c>
      <c r="J193" s="223"/>
      <c r="K193" s="224">
        <v>8150</v>
      </c>
      <c r="L193" s="223"/>
      <c r="M193" s="224">
        <v>8200</v>
      </c>
      <c r="N193" s="159"/>
      <c r="O193" s="224">
        <v>8250</v>
      </c>
      <c r="P193" s="159"/>
      <c r="Q193" s="224">
        <v>8299</v>
      </c>
      <c r="R193" s="159"/>
      <c r="S193" s="224">
        <v>9700</v>
      </c>
    </row>
    <row r="194" spans="1:19">
      <c r="A194" s="222" t="s">
        <v>398</v>
      </c>
      <c r="B194" s="223">
        <v>2.2800000000000001E-2</v>
      </c>
      <c r="C194" s="187"/>
      <c r="D194" s="223">
        <v>2.2800000000000001E-2</v>
      </c>
      <c r="E194" s="224">
        <v>8000</v>
      </c>
      <c r="F194" s="223"/>
      <c r="G194" s="224">
        <v>8050</v>
      </c>
      <c r="H194" s="223"/>
      <c r="I194" s="224">
        <v>8100</v>
      </c>
      <c r="J194" s="223"/>
      <c r="K194" s="224">
        <v>8150</v>
      </c>
      <c r="L194" s="223"/>
      <c r="M194" s="224">
        <v>8200</v>
      </c>
      <c r="N194" s="159"/>
      <c r="O194" s="224">
        <v>8250</v>
      </c>
      <c r="P194" s="159"/>
      <c r="Q194" s="224">
        <v>8299</v>
      </c>
      <c r="R194" s="159"/>
      <c r="S194" s="224">
        <v>9700</v>
      </c>
    </row>
    <row r="195" spans="1:19">
      <c r="A195" s="222" t="s">
        <v>399</v>
      </c>
      <c r="B195" s="223">
        <v>2.1399999999999999E-2</v>
      </c>
      <c r="C195" s="187"/>
      <c r="D195" s="223">
        <v>2.1399999999999999E-2</v>
      </c>
      <c r="E195" s="224">
        <v>8000</v>
      </c>
      <c r="F195" s="223"/>
      <c r="G195" s="224">
        <v>8050</v>
      </c>
      <c r="H195" s="223"/>
      <c r="I195" s="224">
        <v>8100</v>
      </c>
      <c r="J195" s="223"/>
      <c r="K195" s="224">
        <v>8150</v>
      </c>
      <c r="L195" s="223"/>
      <c r="M195" s="224">
        <v>8200</v>
      </c>
      <c r="N195" s="159"/>
      <c r="O195" s="224">
        <v>8250</v>
      </c>
      <c r="P195" s="159"/>
      <c r="Q195" s="224">
        <v>8299</v>
      </c>
      <c r="R195" s="159"/>
      <c r="S195" s="224">
        <v>9700</v>
      </c>
    </row>
    <row r="196" spans="1:19">
      <c r="A196" s="222" t="s">
        <v>400</v>
      </c>
      <c r="B196" s="223">
        <v>8.6E-3</v>
      </c>
      <c r="C196" s="187"/>
      <c r="D196" s="223"/>
      <c r="E196" s="224"/>
      <c r="F196" s="223"/>
      <c r="G196" s="224"/>
      <c r="H196" s="223"/>
      <c r="I196" s="224"/>
      <c r="J196" s="223"/>
      <c r="K196" s="224"/>
      <c r="L196" s="223"/>
      <c r="M196" s="224"/>
      <c r="N196" s="159"/>
      <c r="O196" s="224"/>
      <c r="P196" s="159"/>
      <c r="Q196" s="224"/>
      <c r="R196" s="159"/>
      <c r="S196" s="224"/>
    </row>
    <row r="197" spans="1:19">
      <c r="A197" s="222">
        <v>44835</v>
      </c>
      <c r="B197" s="223">
        <v>8.9999999999999998E-4</v>
      </c>
      <c r="C197" s="187"/>
      <c r="D197" s="223"/>
      <c r="E197" s="224"/>
      <c r="F197" s="223"/>
      <c r="G197" s="224"/>
      <c r="H197" s="223"/>
      <c r="I197" s="224"/>
      <c r="J197" s="223"/>
      <c r="K197" s="224"/>
      <c r="L197" s="223"/>
      <c r="M197" s="224"/>
      <c r="N197" s="159"/>
      <c r="O197" s="224"/>
      <c r="P197" s="159"/>
      <c r="Q197" s="224"/>
      <c r="R197" s="159"/>
      <c r="S197" s="224"/>
    </row>
    <row r="198" spans="1:19">
      <c r="A198" s="222"/>
      <c r="B198" s="223">
        <v>8.9999999999999998E-4</v>
      </c>
      <c r="C198" s="187"/>
      <c r="D198" s="223"/>
      <c r="E198" s="224"/>
      <c r="F198" s="223"/>
      <c r="G198" s="224"/>
      <c r="H198" s="223"/>
      <c r="I198" s="224"/>
      <c r="J198" s="223"/>
      <c r="K198" s="224"/>
      <c r="L198" s="223"/>
      <c r="M198" s="224"/>
      <c r="N198" s="159"/>
      <c r="O198" s="224"/>
      <c r="P198" s="159"/>
      <c r="Q198" s="224"/>
      <c r="R198" s="159"/>
      <c r="S198" s="224"/>
    </row>
    <row r="199" spans="1:19">
      <c r="A199" s="222"/>
      <c r="B199" s="223"/>
      <c r="C199" s="187"/>
      <c r="D199" s="223"/>
      <c r="E199" s="224"/>
      <c r="F199" s="223"/>
      <c r="G199" s="224"/>
      <c r="H199" s="223"/>
      <c r="I199" s="224"/>
      <c r="J199" s="223"/>
      <c r="K199" s="224"/>
      <c r="L199" s="223"/>
      <c r="M199" s="224"/>
      <c r="N199" s="159"/>
      <c r="O199" s="224"/>
      <c r="P199" s="159"/>
      <c r="Q199" s="224"/>
      <c r="R199" s="159"/>
      <c r="S199" s="224"/>
    </row>
    <row r="200" spans="1:19">
      <c r="A200" s="222"/>
      <c r="B200" s="223"/>
      <c r="C200" s="187"/>
      <c r="D200" s="223"/>
      <c r="E200" s="224"/>
      <c r="F200" s="223"/>
      <c r="G200" s="224"/>
      <c r="H200" s="223"/>
      <c r="I200" s="224"/>
      <c r="J200" s="223"/>
      <c r="K200" s="224"/>
      <c r="L200" s="223"/>
      <c r="M200" s="224"/>
      <c r="N200" s="159"/>
      <c r="O200" s="224"/>
      <c r="P200" s="159"/>
      <c r="Q200" s="224"/>
      <c r="R200" s="159"/>
      <c r="S200" s="224"/>
    </row>
    <row r="201" spans="1:19">
      <c r="A201" s="222"/>
      <c r="B201" s="223"/>
      <c r="C201" s="187"/>
      <c r="D201" s="223"/>
      <c r="E201" s="224"/>
      <c r="F201" s="223"/>
      <c r="G201" s="224"/>
      <c r="H201" s="223"/>
      <c r="I201" s="224"/>
      <c r="J201" s="223"/>
      <c r="K201" s="224"/>
      <c r="L201" s="223"/>
      <c r="M201" s="224"/>
      <c r="N201" s="159"/>
      <c r="O201" s="224"/>
      <c r="P201" s="159"/>
      <c r="Q201" s="224"/>
      <c r="R201" s="159"/>
      <c r="S201" s="224"/>
    </row>
    <row r="202" spans="1:19">
      <c r="A202" s="222"/>
      <c r="B202" s="223"/>
      <c r="C202" s="187"/>
      <c r="D202" s="223"/>
      <c r="E202" s="224"/>
      <c r="F202" s="223"/>
      <c r="G202" s="224"/>
      <c r="H202" s="223"/>
      <c r="I202" s="224"/>
      <c r="J202" s="223"/>
      <c r="K202" s="224"/>
      <c r="L202" s="223"/>
      <c r="M202" s="224"/>
      <c r="N202" s="159"/>
      <c r="O202" s="224"/>
      <c r="P202" s="159"/>
      <c r="Q202" s="224"/>
      <c r="R202" s="159"/>
      <c r="S202" s="224"/>
    </row>
    <row r="203" spans="1:19">
      <c r="A203" s="222"/>
      <c r="B203" s="223"/>
      <c r="C203" s="187"/>
      <c r="D203" s="223"/>
      <c r="E203" s="224"/>
      <c r="F203" s="223"/>
      <c r="G203" s="224"/>
      <c r="H203" s="223"/>
      <c r="I203" s="224"/>
      <c r="J203" s="223"/>
      <c r="K203" s="224"/>
      <c r="L203" s="223"/>
      <c r="M203" s="224"/>
      <c r="N203" s="159"/>
      <c r="O203" s="224"/>
      <c r="P203" s="159"/>
      <c r="Q203" s="224"/>
      <c r="R203" s="159"/>
      <c r="S203" s="224"/>
    </row>
    <row r="204" spans="1:19">
      <c r="A204" s="227" t="s">
        <v>401</v>
      </c>
      <c r="B204" s="228"/>
      <c r="C204" s="226">
        <f>C190+(B204*C190)</f>
        <v>1</v>
      </c>
      <c r="D204" s="223"/>
      <c r="E204" s="224">
        <v>8000</v>
      </c>
      <c r="F204" s="223"/>
      <c r="G204" s="224">
        <v>8050</v>
      </c>
      <c r="H204" s="223"/>
      <c r="I204" s="224">
        <v>8100</v>
      </c>
      <c r="J204" s="223"/>
      <c r="K204" s="224">
        <v>8150</v>
      </c>
      <c r="L204" s="223"/>
      <c r="M204" s="224">
        <v>8200</v>
      </c>
      <c r="N204" s="159"/>
      <c r="O204" s="224">
        <v>8250</v>
      </c>
      <c r="P204" s="159"/>
      <c r="Q204" s="224">
        <v>8299</v>
      </c>
      <c r="R204" s="159"/>
      <c r="S204" s="224">
        <v>9700</v>
      </c>
    </row>
    <row r="205" spans="1:19">
      <c r="A205" s="229" t="s">
        <v>310</v>
      </c>
      <c r="B205" s="230"/>
      <c r="C205" s="226">
        <f t="shared" si="34"/>
        <v>1</v>
      </c>
      <c r="D205" s="231">
        <f>SUM(D188:D204)</f>
        <v>4.4200000000000003E-2</v>
      </c>
      <c r="E205" s="231"/>
      <c r="F205" s="231">
        <f>SUM(F188:F204)</f>
        <v>0</v>
      </c>
      <c r="G205" s="231"/>
      <c r="H205" s="231">
        <f>SUM(H188:H204)</f>
        <v>0</v>
      </c>
      <c r="I205" s="231"/>
      <c r="J205" s="231">
        <f>SUM(J188:J204)</f>
        <v>0</v>
      </c>
      <c r="K205" s="231"/>
      <c r="L205" s="231">
        <f>SUM(L188:L204)</f>
        <v>0</v>
      </c>
      <c r="M205" s="231"/>
      <c r="N205" s="231">
        <f>SUM(N188:N204)</f>
        <v>0</v>
      </c>
      <c r="O205" s="231"/>
      <c r="P205" s="231">
        <f>SUM(P188:P204)</f>
        <v>0</v>
      </c>
      <c r="Q205" s="231"/>
      <c r="R205" s="231">
        <f>SUM(R188:R204)</f>
        <v>0</v>
      </c>
      <c r="S205" s="231"/>
    </row>
    <row r="207" spans="1:19" ht="15.95">
      <c r="M207" s="232"/>
    </row>
    <row r="208" spans="1:19">
      <c r="M208" s="193"/>
      <c r="N208" s="193"/>
    </row>
    <row r="210" spans="14:14">
      <c r="N210" s="195"/>
    </row>
  </sheetData>
  <mergeCells count="21">
    <mergeCell ref="R186:S186"/>
    <mergeCell ref="H186:I186"/>
    <mergeCell ref="J186:K186"/>
    <mergeCell ref="L186:M186"/>
    <mergeCell ref="N186:O186"/>
    <mergeCell ref="P186:Q186"/>
    <mergeCell ref="A169:F169"/>
    <mergeCell ref="A186:A187"/>
    <mergeCell ref="B186:C186"/>
    <mergeCell ref="D186:E186"/>
    <mergeCell ref="F186:G186"/>
    <mergeCell ref="R25:S25"/>
    <mergeCell ref="B3:C3"/>
    <mergeCell ref="F3:F5"/>
    <mergeCell ref="G3:G5"/>
    <mergeCell ref="B16:F16"/>
    <mergeCell ref="B39:E39"/>
    <mergeCell ref="B53:C53"/>
    <mergeCell ref="E53:F54"/>
    <mergeCell ref="M54:N54"/>
    <mergeCell ref="N66:Q66"/>
  </mergeCells>
  <conditionalFormatting sqref="E69:E163 E164:G165">
    <cfRule type="expression" dxfId="10" priority="1" stopIfTrue="1">
      <formula>E69="Disponível"</formula>
    </cfRule>
  </conditionalFormatting>
  <dataValidations disablePrompts="1" count="4">
    <dataValidation type="list" allowBlank="1" showInputMessage="1" showErrorMessage="1" sqref="E164:G165" xr:uid="{6569D503-D653-4223-A783-F6C96A250417}">
      <formula1>"Contrato,Disponivel"</formula1>
    </dataValidation>
    <dataValidation type="list" allowBlank="1" showInputMessage="1" showErrorMessage="1" sqref="E55:E60" xr:uid="{FF108466-2E27-4D48-9BD3-16EB0A870214}">
      <formula1>"Pós Venda,Pós Entrega"</formula1>
    </dataValidation>
    <dataValidation type="list" allowBlank="1" showInputMessage="1" showErrorMessage="1" sqref="C20" xr:uid="{CFDC378F-4EFC-4452-984B-37E8B6F557B6}">
      <formula1>"Viabilidade,Cliente"</formula1>
    </dataValidation>
    <dataValidation type="list" allowBlank="1" showInputMessage="1" showErrorMessage="1" sqref="D69:D165" xr:uid="{F4E5C710-59A0-4C8E-A357-3F27DE8441F9}">
      <formula1>$B$41:$B$48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g H A A B Q S w M E F A A C A A g A O o 1 D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O o 1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N Q 1 T Z h i y s M g Q A A H Q R A A A T A B w A R m 9 y b X V s Y X M v U 2 V j d G l v b j E u b S C i G A A o o B Q A A A A A A A A A A A A A A A A A A A A A A A A A A A C t W M 1 u 4 k g Q v k e a d 2 g x h 4 D k R Q P 5 1 2 g O r D G a 7 B J I s M k c R i P U 2 B X w y r i 9 3 e 3 s j k b z N H v Y 0 z 5 F X m z L p g 1 2 2 4 6 j B F / o r p + u n 6 4 q f 1 i A K 3 0 W E n v 7 2 / v 4 7 u j d k V h T D h 4 x W S j i Q N I e + U Q C k E c E n x E L J e D e / j P o D q m k S y q g 3 b J n 9 7 / Y d + M P v Z Z B W v P B H H + + 3 s X A v 3 9 q 2 d b Y M h 2 i H h r C 3 0 w s 4 t D 3 D H L L m a e W 1 i b i I K j a T e L N L X C 1 m S 5 5 j j 5 d g t q Y q M y W Y J A R p y 5 l 1 x 7 Q Q L F y l C G 4 / m b H Q F I o / Q f f p R 7 L z r + T X u 5 I f 8 U W 8 6 1 3 j L s o f c v V / h 5 C z / e Y E n 3 f D h 4 6 p O 5 x / I h h 9 i S n E h U 8 m b p u U g k r W 1 I Z Z w k Y g n A X r o i j 1 D Q q 5 T K S 8 D g 6 y h b S j y K k G 2 Q G E v g t 9 z e D I F 7 F E G x P V n 6 a b O M L Q T P / k r u Z g c v C d Z I A 5 D P c g S / p D Y 1 o T s Z C J 2 F F z T V 9 B J G j m 9 R 7 U a R z w f e i Z i 9 b 9 L P F S b Y 4 z R Z n 2 e I 8 W 1 x k i 8 t s c b W r E A z h x g 9 V O h Y i z V 5 S E 3 9 Y I o J g z R w W 7 e o k o 4 3 h Q a b E 1 P X R b H q T 9 7 h d r E h v y b r J B V M P s O a 6 h Q L V e L n b 0 T j F 8 t W Y h W r W e L n i L m v t a z 3 h J a K / B s x l l s Q r 7 O 7 K / / n 7 e e b R D J b b q F 6 g 2 F W a X F W T a S K 5 n t M 4 h R b U 8 6 9 1 5 K E i L 3 Z 2 j j k E S Y M 1 d M v t X L 6 s c n c n M i m V c Z 9 u O T m V X O + X U 1 A c B W + K M / E 9 Y C u f J g f G e I H d i s l S E X P 1 s K m + E W 3 2 a E I v G U W H u s q 6 k V Y h t h 9 b G r M w 0 v S 7 6 d X Q + z X 0 k x r 6 6 Y E D 3 4 1 V n X 5 e Q 7 + o o V / W 0 K + q 6 f c 0 S I d 0 y i U D O z e y X x 2 a O b A t 8 u W z N S E 1 T Y r 4 4 w N x E o H j o S 8 i F j 7 9 9 w j B c Z N O b 6 t T O r 6 u z c n 1 h L R 7 B u k b 5 K z z + n C 2 j o 4 Z z k N 6 T K w x W j / e e p Z s J 8 M m t / v q h B k I 4 I 8 4 V B s D P V E a 2 P I R w 3 d m o 8 K p U r i L s S 2 b D L w 6 E W j o T B m y k h E k Y / 6 S a M 4 z n Q 1 5 R E 5 z N B d K w Y 4 R D 4 S i 2 c K l U h g x T o k H L z H z l i R c 7 Q O i L n D Z 7 G B v V + 7 0 6 d + n f 9 i 2 b r D b i r C o B C 7 K K K l W p A i a 6 t 3 X 4 V T x Q P L l 2 v l M 2 p P p e G r + 3 i F j a + S Q 6 d y x Z u S 3 6 f X k E M N O N a t m a D p 5 D p J h B i v e c D s J 7 P Q B p r M O 7 V V r b 9 l K 9 V B T P A c V q 6 1 m A m j 3 k L k t Y s v q 3 G r 4 M 8 s e Y t C i q 6 X k Z 7 n V D k i h b 6 X 2 D h S / P b e a T U x f t c k c 2 j 5 o Y k v o q z q 3 Z Z C m c L B C a G W H N Z B 4 U K d r Q W t j 0 1 X g Y O V 6 P R B O 7 i T B w Z 1 k n j k M 6 x y p g o W t b x 0 j / e T w v j X 2 w z U V Z O Q H + G 7 2 q G j h o Q 5 d B t C 1 I Q B X z t h f o p 1 + m T A I U H d N 2 l / z F f g t e f H 0 O 2 R 3 X p J u M g g Q 4 O L 7 Z 3 + Y w 2 k o H h j f m C y I N 6 H z P Q L R r r B u / P j R K v / J a R l E o g Y J 4 8 0 S + M + f n S M / r L T 3 8 X 9 Q S w E C L Q A U A A I A C A A 6 j U N U 1 R g V u a Q A A A D 2 A A A A E g A A A A A A A A A A A A A A A A A A A A A A Q 2 9 u Z m l n L 1 B h Y 2 t h Z 2 U u e G 1 s U E s B A i 0 A F A A C A A g A O o 1 D V A / K 6 a u k A A A A 6 Q A A A B M A A A A A A A A A A A A A A A A A 8 A A A A F t D b 2 5 0 Z W 5 0 X 1 R 5 c G V z X S 5 4 b W x Q S w E C L Q A U A A I A C A A 6 j U N U 2 Y Y s r D I E A A B 0 E Q A A E w A A A A A A A A A A A A A A A A D h A Q A A R m 9 y b X V s Y X M v U 2 V j d G l v b j E u b V B L B Q Y A A A A A A w A D A M I A A A B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H A A A A A A A A G 0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y M D o 0 M T o 1 M i 4 5 M T g 0 M z M 2 W i I g L z 4 8 R W 5 0 c n k g V H l w Z T 0 i R m l s b E N v b H V t b l R 5 c G V z I i B W Y W x 1 Z T 0 i c 0 R R S U 1 B Z 1 l D Q m d R R U J R U U d C Q T B O Q W d Z R 0 J n M E V C d 2 N I Q m d Z R 0 J n W U d C Z 1 l H Q m d R R 0 F n S T 0 i I C 8 + P E V u d H J 5 I F R 5 c G U 9 I k Z p b G x D b 2 x 1 b W 5 O Y W 1 l c y I g V m F s d W U 9 I n N b J n F 1 b 3 Q 7 Y W 5 l e G 9 z X 3 V u a W Q m c X V v d D s s J n F 1 b 3 Q 7 U H J v Z F 9 1 b m l k J n F 1 b 3 Q 7 L C Z x d W 9 0 O 0 V t c H J l c 2 F f d W 5 p Z C Z x d W 9 0 O y w m c X V v d D t O d W 1 Q Z X J f d W 5 p Z C Z x d W 9 0 O y w m c X V v d D t P Y n J h X 3 V u a W Q m c X V v d D s s J n F 1 b 3 Q 7 T n V t T 2 J l X 3 V u a W Q m c X V v d D s s J n F 1 b 3 Q 7 Q 2 9 k X 2 9 i Z S Z x d W 9 0 O y w m c X V v d D t G c m F j Y W 9 J Z G V h b F 9 1 b m l k J n F 1 b 3 Q 7 L C Z x d W 9 0 O 0 Z y Y W N h b 0 l k Z W F s R G V j a W 1 h b F 9 1 b m l k J n F 1 b 3 Q 7 L C Z x d W 9 0 O 0 l k Z W 5 0 a W Z p Y 2 F k b 3 J f d W 5 p Z C Z x d W 9 0 O y w m c X V v d D t R d G R l X 3 V u a W Q m c X V v d D s s J n F 1 b 3 Q 7 Q 2 9 k a W d v X 1 V u a W Q m c X V v d D s s J n F 1 b 3 Q 7 U G 9 y Y 2 V u d F B y X 1 V u a W Q m c X V v d D s s J n F 1 b 3 Q 7 V m V u Z G l k b 1 9 1 b m l k J n F 1 b 3 Q 7 L C Z x d W 9 0 O 1 R p c G 9 D b 2 5 0 c m F 0 b 1 9 1 Z H Q m c X V v d D s s J n F 1 b 3 Q 7 T n V t Q 2 F 0 Z W d T d G F 0 d X N f d W 5 p Z C Z x d W 9 0 O y w m c X V v d D t E Z X N j X 2 N z d X A m c X V v d D s s J n F 1 b 3 Q 7 Q 2 9 k V G l w U H J v Z F 9 1 b m l k J n F 1 b 3 Q 7 L C Z x d W 9 0 O 0 R l c 2 N y a W N h b 1 9 0 a X B w c m 9 k J n F 1 b 3 Q 7 L C Z x d W 9 0 O 1 J l d G V y U H J p b U F s d W d 1 Z W x f d W R 0 J n F 1 b 3 Q 7 L C Z x d W 9 0 O 1 B v c m N l b n R D b 2 1 p c 3 N h b 1 9 1 b m l k J n F 1 b 3 Q 7 L C Z x d W 9 0 O 0 R h d G F S Z W N v b m h l Y 2 l t Z W 5 0 b 1 J l Y 2 V p d G F N Y X B h X 3 V u a W Q m c X V v d D s s J n F 1 b 3 Q 7 R G F 0 Y U V u d H J l Z 2 F D a G F 2 Z X N f d W 5 p Z C Z x d W 9 0 O y w m c X V v d D t E Y X R h Q 2 F k X 3 V u a W Q m c X V v d D s s J n F 1 b 3 Q 7 V X N y Q 2 F k X 3 V u a W Q m c X V v d D s s J n F 1 b 3 Q 7 Q z F f d W 5 p Z C Z x d W 9 0 O y w m c X V v d D t D M l 9 1 b m l k J n F 1 b 3 Q 7 L C Z x d W 9 0 O 0 M z X 3 V u a W Q m c X V v d D s s J n F 1 b 3 Q 7 Q z R f d W 5 p Z C Z x d W 9 0 O y w m c X V v d D t D N V 9 1 b m l k J n F 1 b 3 Q 7 L C Z x d W 9 0 O 0 M 2 X 3 V u a W Q m c X V v d D s s J n F 1 b 3 Q 7 Q z d f d W 5 p Z C Z x d W 9 0 O y w m c X V v d D t D O F 9 1 b m l k J n F 1 b 3 Q 7 L C Z x d W 9 0 O 0 M 5 X 3 V u a W Q m c X V v d D s s J n F 1 b 3 Q 7 U H J l Y 2 9 N a W 4 m c X V v d D s s J n F 1 b 3 Q 7 R G V z Y 3 J f c 3 R h d H V z J n F 1 b 3 Q 7 L C Z x d W 9 0 O 0 9 i a k V z c G V s a G 9 U b 3 B f d W 5 p Z C Z x d W 9 0 O y w m c X V v d D t P Y m p F c 3 B l b G h v T G V m d F 9 1 b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G b 2 5 0 Z S 5 7 Y W 5 l e G 9 z X 3 V u a W Q s M H 0 m c X V v d D s s J n F 1 b 3 Q 7 U 2 V j d G l v b j E v Q 2 9 u c 3 V s d G E x L 0 Z v b n R l L n t Q c m 9 k X 3 V u a W Q s M X 0 m c X V v d D s s J n F 1 b 3 Q 7 U 2 V j d G l v b j E v Q 2 9 u c 3 V s d G E x L 0 Z v b n R l L n t F b X B y Z X N h X 3 V u a W Q s M n 0 m c X V v d D s s J n F 1 b 3 Q 7 U 2 V j d G l v b j E v Q 2 9 u c 3 V s d G E x L 0 Z v b n R l L n t O d W 1 Q Z X J f d W 5 p Z C w z f S Z x d W 9 0 O y w m c X V v d D t T Z W N 0 a W 9 u M S 9 D b 2 5 z d W x 0 Y T E v R m 9 u d G U u e 0 9 i c m F f d W 5 p Z C w 0 f S Z x d W 9 0 O y w m c X V v d D t T Z W N 0 a W 9 u M S 9 D b 2 5 z d W x 0 Y T E v R m 9 u d G U u e 0 5 1 b U 9 i Z V 9 1 b m l k L D V 9 J n F 1 b 3 Q 7 L C Z x d W 9 0 O 1 N l Y 3 R p b 2 4 x L 0 N v b n N 1 b H R h M S 9 G b 2 5 0 Z S 5 7 Q 2 9 k X 2 9 i Z S w 2 f S Z x d W 9 0 O y w m c X V v d D t T Z W N 0 a W 9 u M S 9 D b 2 5 z d W x 0 Y T E v R m 9 u d G U u e 0 Z y Y W N h b 0 l k Z W F s X 3 V u a W Q s N 3 0 m c X V v d D s s J n F 1 b 3 Q 7 U 2 V j d G l v b j E v Q 2 9 u c 3 V s d G E x L 0 Z v b n R l L n t G c m F j Y W 9 J Z G V h b E R l Y 2 l t Y W x f d W 5 p Z C w 4 f S Z x d W 9 0 O y w m c X V v d D t T Z W N 0 a W 9 u M S 9 D b 2 5 z d W x 0 Y T E v V G l w b y B B b H R l c m F k b y 5 7 S W R l b n R p Z m l j Y W R v c l 9 1 b m l k L D l 9 J n F 1 b 3 Q 7 L C Z x d W 9 0 O 1 N l Y 3 R p b 2 4 x L 0 N v b n N 1 b H R h M S 9 G b 2 5 0 Z S 5 7 U X R k Z V 9 1 b m l k L D E w f S Z x d W 9 0 O y w m c X V v d D t T Z W N 0 a W 9 u M S 9 D b 2 5 z d W x 0 Y T E v R m 9 u d G U u e 0 N v Z G l n b 1 9 V b m l k L D E x f S Z x d W 9 0 O y w m c X V v d D t T Z W N 0 a W 9 u M S 9 D b 2 5 z d W x 0 Y T E v R m 9 u d G U u e 1 B v c m N l b n R Q c l 9 V b m l k L D E y f S Z x d W 9 0 O y w m c X V v d D t T Z W N 0 a W 9 u M S 9 D b 2 5 z d W x 0 Y T E v R m 9 u d G U u e 1 Z l b m R p Z G 9 f d W 5 p Z C w x M 3 0 m c X V v d D s s J n F 1 b 3 Q 7 U 2 V j d G l v b j E v Q 2 9 u c 3 V s d G E x L 0 Z v b n R l L n t U a X B v Q 2 9 u d H J h d G 9 f d W R 0 L D E 0 f S Z x d W 9 0 O y w m c X V v d D t T Z W N 0 a W 9 u M S 9 D b 2 5 z d W x 0 Y T E v R m 9 u d G U u e 0 5 1 b U N h d G V n U 3 R h d H V z X 3 V u a W Q s M T V 9 J n F 1 b 3 Q 7 L C Z x d W 9 0 O 1 N l Y 3 R p b 2 4 x L 0 N v b n N 1 b H R h M S 9 G b 2 5 0 Z S 5 7 R G V z Y 1 9 j c 3 V w L D E 2 f S Z x d W 9 0 O y w m c X V v d D t T Z W N 0 a W 9 u M S 9 D b 2 5 z d W x 0 Y T E v R m 9 u d G U u e 0 N v Z F R p c F B y b 2 R f d W 5 p Z C w x N 3 0 m c X V v d D s s J n F 1 b 3 Q 7 U 2 V j d G l v b j E v Q 2 9 u c 3 V s d G E x L 0 Z v b n R l L n t E Z X N j c m l j Y W 9 f d G l w c H J v Z C w x O H 0 m c X V v d D s s J n F 1 b 3 Q 7 U 2 V j d G l v b j E v Q 2 9 u c 3 V s d G E x L 0 Z v b n R l L n t S Z X R l c l B y a W 1 B b H V n d W V s X 3 V k d C w x O X 0 m c X V v d D s s J n F 1 b 3 Q 7 U 2 V j d G l v b j E v Q 2 9 u c 3 V s d G E x L 0 Z v b n R l L n t Q b 3 J j Z W 5 0 Q 2 9 t a X N z Y W 9 f d W 5 p Z C w y M H 0 m c X V v d D s s J n F 1 b 3 Q 7 U 2 V j d G l v b j E v Q 2 9 u c 3 V s d G E x L 0 Z v b n R l L n t E Y X R h U m V j b 2 5 o Z W N p b W V u d G 9 S Z W N l a X R h T W F w Y V 9 1 b m l k L D I x f S Z x d W 9 0 O y w m c X V v d D t T Z W N 0 a W 9 u M S 9 D b 2 5 z d W x 0 Y T E v R m 9 u d G U u e 0 R h d G F F b n R y Z W d h Q 2 h h d m V z X 3 V u a W Q s M j J 9 J n F 1 b 3 Q 7 L C Z x d W 9 0 O 1 N l Y 3 R p b 2 4 x L 0 N v b n N 1 b H R h M S 9 G b 2 5 0 Z S 5 7 R G F 0 Y U N h Z F 9 1 b m l k L D I z f S Z x d W 9 0 O y w m c X V v d D t T Z W N 0 a W 9 u M S 9 D b 2 5 z d W x 0 Y T E v R m 9 u d G U u e 1 V z c k N h Z F 9 1 b m l k L D I 0 f S Z x d W 9 0 O y w m c X V v d D t T Z W N 0 a W 9 u M S 9 D b 2 5 z d W x 0 Y T E v R m 9 u d G U u e 0 M x X 3 V u a W Q s M j V 9 J n F 1 b 3 Q 7 L C Z x d W 9 0 O 1 N l Y 3 R p b 2 4 x L 0 N v b n N 1 b H R h M S 9 G b 2 5 0 Z S 5 7 Q z J f d W 5 p Z C w y N n 0 m c X V v d D s s J n F 1 b 3 Q 7 U 2 V j d G l v b j E v Q 2 9 u c 3 V s d G E x L 0 Z v b n R l L n t D M 1 9 1 b m l k L D I 3 f S Z x d W 9 0 O y w m c X V v d D t T Z W N 0 a W 9 u M S 9 D b 2 5 z d W x 0 Y T E v R m 9 u d G U u e 0 M 0 X 3 V u a W Q s M j h 9 J n F 1 b 3 Q 7 L C Z x d W 9 0 O 1 N l Y 3 R p b 2 4 x L 0 N v b n N 1 b H R h M S 9 G b 2 5 0 Z S 5 7 Q z V f d W 5 p Z C w y O X 0 m c X V v d D s s J n F 1 b 3 Q 7 U 2 V j d G l v b j E v Q 2 9 u c 3 V s d G E x L 0 Z v b n R l L n t D N l 9 1 b m l k L D M w f S Z x d W 9 0 O y w m c X V v d D t T Z W N 0 a W 9 u M S 9 D b 2 5 z d W x 0 Y T E v R m 9 u d G U u e 0 M 3 X 3 V u a W Q s M z F 9 J n F 1 b 3 Q 7 L C Z x d W 9 0 O 1 N l Y 3 R p b 2 4 x L 0 N v b n N 1 b H R h M S 9 G b 2 5 0 Z S 5 7 Q z h f d W 5 p Z C w z M n 0 m c X V v d D s s J n F 1 b 3 Q 7 U 2 V j d G l v b j E v Q 2 9 u c 3 V s d G E x L 0 Z v b n R l L n t D O V 9 1 b m l k L D M z f S Z x d W 9 0 O y w m c X V v d D t T Z W N 0 a W 9 u M S 9 D b 2 5 z d W x 0 Y T E v R m 9 u d G U u e 1 B y Z W N v T W l u L D M 0 f S Z x d W 9 0 O y w m c X V v d D t T Z W N 0 a W 9 u M S 9 D b 2 5 z d W x 0 Y T E v R m 9 u d G U u e 0 R l c 2 N y X 3 N 0 Y X R 1 c y w z N X 0 m c X V v d D s s J n F 1 b 3 Q 7 U 2 V j d G l v b j E v Q 2 9 u c 3 V s d G E x L 0 Z v b n R l L n t P Y m p F c 3 B l b G h v V G 9 w X 3 V u a W Q s M z Z 9 J n F 1 b 3 Q 7 L C Z x d W 9 0 O 1 N l Y 3 R p b 2 4 x L 0 N v b n N 1 b H R h M S 9 G b 2 5 0 Z S 5 7 T 2 J q R X N w Z W x o b 0 x l Z n R f d W 5 p Z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v b n N 1 b H R h M S 9 G b 2 5 0 Z S 5 7 Y W 5 l e G 9 z X 3 V u a W Q s M H 0 m c X V v d D s s J n F 1 b 3 Q 7 U 2 V j d G l v b j E v Q 2 9 u c 3 V s d G E x L 0 Z v b n R l L n t Q c m 9 k X 3 V u a W Q s M X 0 m c X V v d D s s J n F 1 b 3 Q 7 U 2 V j d G l v b j E v Q 2 9 u c 3 V s d G E x L 0 Z v b n R l L n t F b X B y Z X N h X 3 V u a W Q s M n 0 m c X V v d D s s J n F 1 b 3 Q 7 U 2 V j d G l v b j E v Q 2 9 u c 3 V s d G E x L 0 Z v b n R l L n t O d W 1 Q Z X J f d W 5 p Z C w z f S Z x d W 9 0 O y w m c X V v d D t T Z W N 0 a W 9 u M S 9 D b 2 5 z d W x 0 Y T E v R m 9 u d G U u e 0 9 i c m F f d W 5 p Z C w 0 f S Z x d W 9 0 O y w m c X V v d D t T Z W N 0 a W 9 u M S 9 D b 2 5 z d W x 0 Y T E v R m 9 u d G U u e 0 5 1 b U 9 i Z V 9 1 b m l k L D V 9 J n F 1 b 3 Q 7 L C Z x d W 9 0 O 1 N l Y 3 R p b 2 4 x L 0 N v b n N 1 b H R h M S 9 G b 2 5 0 Z S 5 7 Q 2 9 k X 2 9 i Z S w 2 f S Z x d W 9 0 O y w m c X V v d D t T Z W N 0 a W 9 u M S 9 D b 2 5 z d W x 0 Y T E v R m 9 u d G U u e 0 Z y Y W N h b 0 l k Z W F s X 3 V u a W Q s N 3 0 m c X V v d D s s J n F 1 b 3 Q 7 U 2 V j d G l v b j E v Q 2 9 u c 3 V s d G E x L 0 Z v b n R l L n t G c m F j Y W 9 J Z G V h b E R l Y 2 l t Y W x f d W 5 p Z C w 4 f S Z x d W 9 0 O y w m c X V v d D t T Z W N 0 a W 9 u M S 9 D b 2 5 z d W x 0 Y T E v V G l w b y B B b H R l c m F k b y 5 7 S W R l b n R p Z m l j Y W R v c l 9 1 b m l k L D l 9 J n F 1 b 3 Q 7 L C Z x d W 9 0 O 1 N l Y 3 R p b 2 4 x L 0 N v b n N 1 b H R h M S 9 G b 2 5 0 Z S 5 7 U X R k Z V 9 1 b m l k L D E w f S Z x d W 9 0 O y w m c X V v d D t T Z W N 0 a W 9 u M S 9 D b 2 5 z d W x 0 Y T E v R m 9 u d G U u e 0 N v Z G l n b 1 9 V b m l k L D E x f S Z x d W 9 0 O y w m c X V v d D t T Z W N 0 a W 9 u M S 9 D b 2 5 z d W x 0 Y T E v R m 9 u d G U u e 1 B v c m N l b n R Q c l 9 V b m l k L D E y f S Z x d W 9 0 O y w m c X V v d D t T Z W N 0 a W 9 u M S 9 D b 2 5 z d W x 0 Y T E v R m 9 u d G U u e 1 Z l b m R p Z G 9 f d W 5 p Z C w x M 3 0 m c X V v d D s s J n F 1 b 3 Q 7 U 2 V j d G l v b j E v Q 2 9 u c 3 V s d G E x L 0 Z v b n R l L n t U a X B v Q 2 9 u d H J h d G 9 f d W R 0 L D E 0 f S Z x d W 9 0 O y w m c X V v d D t T Z W N 0 a W 9 u M S 9 D b 2 5 z d W x 0 Y T E v R m 9 u d G U u e 0 5 1 b U N h d G V n U 3 R h d H V z X 3 V u a W Q s M T V 9 J n F 1 b 3 Q 7 L C Z x d W 9 0 O 1 N l Y 3 R p b 2 4 x L 0 N v b n N 1 b H R h M S 9 G b 2 5 0 Z S 5 7 R G V z Y 1 9 j c 3 V w L D E 2 f S Z x d W 9 0 O y w m c X V v d D t T Z W N 0 a W 9 u M S 9 D b 2 5 z d W x 0 Y T E v R m 9 u d G U u e 0 N v Z F R p c F B y b 2 R f d W 5 p Z C w x N 3 0 m c X V v d D s s J n F 1 b 3 Q 7 U 2 V j d G l v b j E v Q 2 9 u c 3 V s d G E x L 0 Z v b n R l L n t E Z X N j c m l j Y W 9 f d G l w c H J v Z C w x O H 0 m c X V v d D s s J n F 1 b 3 Q 7 U 2 V j d G l v b j E v Q 2 9 u c 3 V s d G E x L 0 Z v b n R l L n t S Z X R l c l B y a W 1 B b H V n d W V s X 3 V k d C w x O X 0 m c X V v d D s s J n F 1 b 3 Q 7 U 2 V j d G l v b j E v Q 2 9 u c 3 V s d G E x L 0 Z v b n R l L n t Q b 3 J j Z W 5 0 Q 2 9 t a X N z Y W 9 f d W 5 p Z C w y M H 0 m c X V v d D s s J n F 1 b 3 Q 7 U 2 V j d G l v b j E v Q 2 9 u c 3 V s d G E x L 0 Z v b n R l L n t E Y X R h U m V j b 2 5 o Z W N p b W V u d G 9 S Z W N l a X R h T W F w Y V 9 1 b m l k L D I x f S Z x d W 9 0 O y w m c X V v d D t T Z W N 0 a W 9 u M S 9 D b 2 5 z d W x 0 Y T E v R m 9 u d G U u e 0 R h d G F F b n R y Z W d h Q 2 h h d m V z X 3 V u a W Q s M j J 9 J n F 1 b 3 Q 7 L C Z x d W 9 0 O 1 N l Y 3 R p b 2 4 x L 0 N v b n N 1 b H R h M S 9 G b 2 5 0 Z S 5 7 R G F 0 Y U N h Z F 9 1 b m l k L D I z f S Z x d W 9 0 O y w m c X V v d D t T Z W N 0 a W 9 u M S 9 D b 2 5 z d W x 0 Y T E v R m 9 u d G U u e 1 V z c k N h Z F 9 1 b m l k L D I 0 f S Z x d W 9 0 O y w m c X V v d D t T Z W N 0 a W 9 u M S 9 D b 2 5 z d W x 0 Y T E v R m 9 u d G U u e 0 M x X 3 V u a W Q s M j V 9 J n F 1 b 3 Q 7 L C Z x d W 9 0 O 1 N l Y 3 R p b 2 4 x L 0 N v b n N 1 b H R h M S 9 G b 2 5 0 Z S 5 7 Q z J f d W 5 p Z C w y N n 0 m c X V v d D s s J n F 1 b 3 Q 7 U 2 V j d G l v b j E v Q 2 9 u c 3 V s d G E x L 0 Z v b n R l L n t D M 1 9 1 b m l k L D I 3 f S Z x d W 9 0 O y w m c X V v d D t T Z W N 0 a W 9 u M S 9 D b 2 5 z d W x 0 Y T E v R m 9 u d G U u e 0 M 0 X 3 V u a W Q s M j h 9 J n F 1 b 3 Q 7 L C Z x d W 9 0 O 1 N l Y 3 R p b 2 4 x L 0 N v b n N 1 b H R h M S 9 G b 2 5 0 Z S 5 7 Q z V f d W 5 p Z C w y O X 0 m c X V v d D s s J n F 1 b 3 Q 7 U 2 V j d G l v b j E v Q 2 9 u c 3 V s d G E x L 0 Z v b n R l L n t D N l 9 1 b m l k L D M w f S Z x d W 9 0 O y w m c X V v d D t T Z W N 0 a W 9 u M S 9 D b 2 5 z d W x 0 Y T E v R m 9 u d G U u e 0 M 3 X 3 V u a W Q s M z F 9 J n F 1 b 3 Q 7 L C Z x d W 9 0 O 1 N l Y 3 R p b 2 4 x L 0 N v b n N 1 b H R h M S 9 G b 2 5 0 Z S 5 7 Q z h f d W 5 p Z C w z M n 0 m c X V v d D s s J n F 1 b 3 Q 7 U 2 V j d G l v b j E v Q 2 9 u c 3 V s d G E x L 0 Z v b n R l L n t D O V 9 1 b m l k L D M z f S Z x d W 9 0 O y w m c X V v d D t T Z W N 0 a W 9 u M S 9 D b 2 5 z d W x 0 Y T E v R m 9 u d G U u e 1 B y Z W N v T W l u L D M 0 f S Z x d W 9 0 O y w m c X V v d D t T Z W N 0 a W 9 u M S 9 D b 2 5 z d W x 0 Y T E v R m 9 u d G U u e 0 R l c 2 N y X 3 N 0 Y X R 1 c y w z N X 0 m c X V v d D s s J n F 1 b 3 Q 7 U 2 V j d G l v b j E v Q 2 9 u c 3 V s d G E x L 0 Z v b n R l L n t P Y m p F c 3 B l b G h v V G 9 w X 3 V u a W Q s M z Z 9 J n F 1 b 3 Q 7 L C Z x d W 9 0 O 1 N l Y 3 R p b 2 4 x L 0 N v b n N 1 b H R h M S 9 G b 2 5 0 Z S 5 7 T 2 J q R X N w Z W x o b 0 x l Z n R f d W 5 p Z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I V M d p f Z 0 x C t P K x K r z I X g E A A A A A A g A A A A A A A 2 Y A A M A A A A A Q A A A A a j W E l r 4 / x v l A s q o k h w Y D E A A A A A A E g A A A o A A A A B A A A A A + t 0 G i J n J J 9 n N Z 8 i q J + b M p U A A A A E 9 I d N q b W a B 0 z m q 4 c D I o D d P 2 U S n E P 8 E b 5 7 U Q Q t S D t y W S J P S Y P d x 1 Q l / 1 Z 6 L j k 9 n Z I Z p D I f F w P m O 5 i d W R p P T + h W 5 D 4 l y K 5 e Y a c i z Y c 9 b p S k j M F A A A A H R i g b S l m 0 C A I + R / 0 t L E Y k q z 3 Q D 9 < / D a t a M a s h u p > 
</file>

<file path=customXml/itemProps1.xml><?xml version="1.0" encoding="utf-8"?>
<ds:datastoreItem xmlns:ds="http://schemas.openxmlformats.org/officeDocument/2006/customXml" ds:itemID="{58AEF5D4-C3FF-43CF-8817-6CF930BCC2D7}"/>
</file>

<file path=customXml/itemProps2.xml><?xml version="1.0" encoding="utf-8"?>
<ds:datastoreItem xmlns:ds="http://schemas.openxmlformats.org/officeDocument/2006/customXml" ds:itemID="{83F096F8-DF1A-4CAA-BB3A-58559BB298F4}"/>
</file>

<file path=customXml/itemProps3.xml><?xml version="1.0" encoding="utf-8"?>
<ds:datastoreItem xmlns:ds="http://schemas.openxmlformats.org/officeDocument/2006/customXml" ds:itemID="{0CE7B2D8-00E9-4ACA-AC4E-63B7ACC4EFB0}"/>
</file>

<file path=customXml/itemProps4.xml><?xml version="1.0" encoding="utf-8"?>
<ds:datastoreItem xmlns:ds="http://schemas.openxmlformats.org/officeDocument/2006/customXml" ds:itemID="{04D53C4E-5731-4299-AB4E-E53292DB2E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Campos</dc:creator>
  <cp:keywords/>
  <dc:description/>
  <cp:lastModifiedBy>Felipe Augusto Didonet</cp:lastModifiedBy>
  <cp:revision/>
  <dcterms:created xsi:type="dcterms:W3CDTF">2020-06-25T13:44:58Z</dcterms:created>
  <dcterms:modified xsi:type="dcterms:W3CDTF">2023-07-14T16:14:06Z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