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ylormelo/Desktop/Tabelas city/Tabelas 2023/Julho 2023/"/>
    </mc:Choice>
  </mc:AlternateContent>
  <xr:revisionPtr revIDLastSave="6" documentId="13_ncr:1_{72613620-CD0F-6846-8E74-3F77B23F6DDE}" xr6:coauthVersionLast="47" xr6:coauthVersionMax="47" xr10:uidLastSave="{2AC9A33A-D35E-4495-A438-85482E128F60}"/>
  <bookViews>
    <workbookView xWindow="0" yWindow="500" windowWidth="38400" windowHeight="21100" firstSheet="1" xr2:uid="{00000000-000D-0000-FFFF-FFFF00000000}"/>
  </bookViews>
  <sheets>
    <sheet name="Piloto" sheetId="3" r:id="rId1"/>
    <sheet name="Tabelas" sheetId="2" r:id="rId2"/>
    <sheet name="Banco de Dados" sheetId="1" r:id="rId3"/>
    <sheet name="Consulta1" sheetId="4" state="hidden" r:id="rId4"/>
  </sheets>
  <externalReferences>
    <externalReference r:id="rId5"/>
  </externalReferences>
  <definedNames>
    <definedName name="_xlnm._FilterDatabase" localSheetId="2" hidden="1">'Banco de Dados'!$A$1:$AW$68</definedName>
    <definedName name="_xlnm._FilterDatabase" localSheetId="0" hidden="1">Piloto!$B$72:$H$140</definedName>
    <definedName name="_xlnm._FilterDatabase" localSheetId="1" hidden="1">Tabelas!$A$21:$AA$91</definedName>
    <definedName name="_xlnm.Print_Area" localSheetId="1">Tabelas!$A$2:$V$93</definedName>
    <definedName name="DadosExternos_1" localSheetId="3" hidden="1">'Consulta1'!$A$1:$AL$68</definedName>
    <definedName name="Excel_BuiltIn_Print_Area_3" localSheetId="1">#REF!</definedName>
    <definedName name="Excel_BuiltIn_Print_Area_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R15" i="2"/>
  <c r="AC188" i="3"/>
  <c r="AA188" i="3"/>
  <c r="Y188" i="3"/>
  <c r="W188" i="3"/>
  <c r="U188" i="3"/>
  <c r="S188" i="3"/>
  <c r="Q188" i="3"/>
  <c r="R17" i="2"/>
  <c r="Q17" i="2"/>
  <c r="P17" i="2"/>
  <c r="P22" i="2" s="1"/>
  <c r="R19" i="2"/>
  <c r="Q19" i="2"/>
  <c r="Q18" i="2" s="1"/>
  <c r="P19" i="2"/>
  <c r="O19" i="2"/>
  <c r="O18" i="2" s="1"/>
  <c r="N19" i="2"/>
  <c r="F27" i="2"/>
  <c r="G14" i="2"/>
  <c r="M18" i="2"/>
  <c r="C14" i="2" s="1"/>
  <c r="D14" i="2" s="1"/>
  <c r="B60" i="3"/>
  <c r="B61" i="3"/>
  <c r="G171" i="3"/>
  <c r="G172" i="3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F202" i="3"/>
  <c r="E140" i="3"/>
  <c r="V90" i="2" s="1"/>
  <c r="E139" i="3"/>
  <c r="V89" i="2" s="1"/>
  <c r="V88" i="2"/>
  <c r="V87" i="2"/>
  <c r="E136" i="3"/>
  <c r="V86" i="2" s="1"/>
  <c r="E135" i="3"/>
  <c r="V85" i="2" s="1"/>
  <c r="V84" i="2"/>
  <c r="E133" i="3"/>
  <c r="V83" i="2" s="1"/>
  <c r="E132" i="3"/>
  <c r="V82" i="2" s="1"/>
  <c r="V81" i="2"/>
  <c r="E130" i="3"/>
  <c r="V80" i="2" s="1"/>
  <c r="E129" i="3"/>
  <c r="V79" i="2" s="1"/>
  <c r="E128" i="3"/>
  <c r="V78" i="2" s="1"/>
  <c r="V77" i="2"/>
  <c r="E126" i="3"/>
  <c r="V76" i="2" s="1"/>
  <c r="V75" i="2"/>
  <c r="E124" i="3"/>
  <c r="V74" i="2" s="1"/>
  <c r="E123" i="3"/>
  <c r="V73" i="2" s="1"/>
  <c r="E122" i="3"/>
  <c r="V72" i="2" s="1"/>
  <c r="V71" i="2"/>
  <c r="V70" i="2"/>
  <c r="E119" i="3"/>
  <c r="V69" i="2" s="1"/>
  <c r="E118" i="3"/>
  <c r="V68" i="2" s="1"/>
  <c r="V67" i="2"/>
  <c r="E116" i="3"/>
  <c r="V66" i="2" s="1"/>
  <c r="E115" i="3"/>
  <c r="V65" i="2" s="1"/>
  <c r="E114" i="3"/>
  <c r="V64" i="2" s="1"/>
  <c r="E113" i="3"/>
  <c r="V63" i="2" s="1"/>
  <c r="V62" i="2"/>
  <c r="V61" i="2"/>
  <c r="E110" i="3"/>
  <c r="V60" i="2" s="1"/>
  <c r="E109" i="3"/>
  <c r="V59" i="2" s="1"/>
  <c r="E108" i="3"/>
  <c r="V58" i="2" s="1"/>
  <c r="E107" i="3"/>
  <c r="V57" i="2" s="1"/>
  <c r="E106" i="3"/>
  <c r="V56" i="2" s="1"/>
  <c r="E105" i="3"/>
  <c r="V55" i="2" s="1"/>
  <c r="V54" i="2"/>
  <c r="E103" i="3"/>
  <c r="V53" i="2" s="1"/>
  <c r="V52" i="2"/>
  <c r="E101" i="3"/>
  <c r="V51" i="2" s="1"/>
  <c r="E100" i="3"/>
  <c r="V50" i="2" s="1"/>
  <c r="E99" i="3"/>
  <c r="V49" i="2" s="1"/>
  <c r="V48" i="2"/>
  <c r="V47" i="2"/>
  <c r="V46" i="2"/>
  <c r="V45" i="2"/>
  <c r="V44" i="2"/>
  <c r="E93" i="3"/>
  <c r="V43" i="2" s="1"/>
  <c r="E92" i="3"/>
  <c r="V42" i="2" s="1"/>
  <c r="V41" i="2"/>
  <c r="V40" i="2"/>
  <c r="E89" i="3"/>
  <c r="V39" i="2" s="1"/>
  <c r="V38" i="2"/>
  <c r="V37" i="2"/>
  <c r="V36" i="2"/>
  <c r="E85" i="3"/>
  <c r="V35" i="2" s="1"/>
  <c r="E84" i="3"/>
  <c r="V34" i="2" s="1"/>
  <c r="V33" i="2"/>
  <c r="E82" i="3"/>
  <c r="V32" i="2" s="1"/>
  <c r="E81" i="3"/>
  <c r="V31" i="2" s="1"/>
  <c r="V30" i="2"/>
  <c r="V29" i="2"/>
  <c r="E78" i="3"/>
  <c r="V28" i="2" s="1"/>
  <c r="E77" i="3"/>
  <c r="V27" i="2" s="1"/>
  <c r="V26" i="2"/>
  <c r="E75" i="3"/>
  <c r="V25" i="2" s="1"/>
  <c r="E74" i="3"/>
  <c r="V24" i="2" s="1"/>
  <c r="AB202" i="3"/>
  <c r="Z202" i="3"/>
  <c r="X202" i="3"/>
  <c r="V202" i="3"/>
  <c r="T202" i="3"/>
  <c r="R202" i="3"/>
  <c r="P202" i="3"/>
  <c r="N202" i="3"/>
  <c r="L202" i="3"/>
  <c r="J202" i="3"/>
  <c r="H202" i="3"/>
  <c r="D202" i="3"/>
  <c r="AC201" i="3"/>
  <c r="AA201" i="3"/>
  <c r="Y201" i="3"/>
  <c r="W201" i="3"/>
  <c r="U201" i="3"/>
  <c r="S201" i="3"/>
  <c r="Q201" i="3"/>
  <c r="O171" i="3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M171" i="3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K171" i="3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I171" i="3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E171" i="3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C171" i="3"/>
  <c r="C172" i="3" s="1"/>
  <c r="C173" i="3" s="1"/>
  <c r="C174" i="3" s="1"/>
  <c r="C175" i="3" s="1"/>
  <c r="C176" i="3" s="1"/>
  <c r="C177" i="3" s="1"/>
  <c r="C178" i="3" s="1"/>
  <c r="C179" i="3" s="1"/>
  <c r="A171" i="3"/>
  <c r="A172" i="3" s="1"/>
  <c r="A173" i="3" s="1"/>
  <c r="A174" i="3" s="1"/>
  <c r="A175" i="3" s="1"/>
  <c r="A176" i="3" s="1"/>
  <c r="A177" i="3" s="1"/>
  <c r="A178" i="3" s="1"/>
  <c r="A179" i="3" s="1"/>
  <c r="AB168" i="3"/>
  <c r="Z168" i="3"/>
  <c r="X168" i="3"/>
  <c r="V168" i="3"/>
  <c r="T168" i="3"/>
  <c r="R168" i="3"/>
  <c r="P168" i="3"/>
  <c r="N168" i="3"/>
  <c r="L168" i="3"/>
  <c r="J168" i="3"/>
  <c r="H168" i="3"/>
  <c r="F168" i="3"/>
  <c r="D168" i="3"/>
  <c r="A160" i="3"/>
  <c r="D160" i="3" s="1"/>
  <c r="A159" i="3"/>
  <c r="C159" i="3" s="1"/>
  <c r="E159" i="3" s="1"/>
  <c r="A158" i="3"/>
  <c r="D158" i="3" s="1"/>
  <c r="A157" i="3"/>
  <c r="A156" i="3"/>
  <c r="D156" i="3" s="1"/>
  <c r="A155" i="3"/>
  <c r="A154" i="3"/>
  <c r="A153" i="3"/>
  <c r="A152" i="3"/>
  <c r="A151" i="3"/>
  <c r="A150" i="3"/>
  <c r="A149" i="3"/>
  <c r="A148" i="3"/>
  <c r="N140" i="3"/>
  <c r="L140" i="3"/>
  <c r="C140" i="3" s="1"/>
  <c r="N139" i="3"/>
  <c r="L139" i="3"/>
  <c r="C139" i="3" s="1"/>
  <c r="N138" i="3"/>
  <c r="L138" i="3"/>
  <c r="C138" i="3" s="1"/>
  <c r="N137" i="3"/>
  <c r="L137" i="3"/>
  <c r="C137" i="3" s="1"/>
  <c r="N136" i="3"/>
  <c r="L136" i="3"/>
  <c r="C136" i="3" s="1"/>
  <c r="N135" i="3"/>
  <c r="L135" i="3"/>
  <c r="C135" i="3" s="1"/>
  <c r="N134" i="3"/>
  <c r="L134" i="3"/>
  <c r="C134" i="3" s="1"/>
  <c r="N133" i="3"/>
  <c r="L133" i="3"/>
  <c r="C133" i="3" s="1"/>
  <c r="N132" i="3"/>
  <c r="L132" i="3"/>
  <c r="C132" i="3" s="1"/>
  <c r="N131" i="3"/>
  <c r="L131" i="3"/>
  <c r="C131" i="3" s="1"/>
  <c r="N130" i="3"/>
  <c r="L130" i="3"/>
  <c r="C130" i="3" s="1"/>
  <c r="N129" i="3"/>
  <c r="L129" i="3"/>
  <c r="C129" i="3" s="1"/>
  <c r="N128" i="3"/>
  <c r="L128" i="3"/>
  <c r="C128" i="3" s="1"/>
  <c r="N127" i="3"/>
  <c r="L127" i="3"/>
  <c r="C127" i="3" s="1"/>
  <c r="N126" i="3"/>
  <c r="L126" i="3"/>
  <c r="C126" i="3" s="1"/>
  <c r="N125" i="3"/>
  <c r="L125" i="3"/>
  <c r="C125" i="3" s="1"/>
  <c r="N124" i="3"/>
  <c r="L124" i="3"/>
  <c r="C124" i="3" s="1"/>
  <c r="N123" i="3"/>
  <c r="L123" i="3"/>
  <c r="C123" i="3" s="1"/>
  <c r="N122" i="3"/>
  <c r="L122" i="3"/>
  <c r="C122" i="3" s="1"/>
  <c r="N121" i="3"/>
  <c r="L121" i="3"/>
  <c r="C121" i="3" s="1"/>
  <c r="N120" i="3"/>
  <c r="L120" i="3"/>
  <c r="C120" i="3" s="1"/>
  <c r="N119" i="3"/>
  <c r="L119" i="3"/>
  <c r="C119" i="3" s="1"/>
  <c r="N118" i="3"/>
  <c r="L118" i="3"/>
  <c r="C118" i="3" s="1"/>
  <c r="N117" i="3"/>
  <c r="L117" i="3"/>
  <c r="C117" i="3" s="1"/>
  <c r="N116" i="3"/>
  <c r="L116" i="3"/>
  <c r="C116" i="3" s="1"/>
  <c r="N115" i="3"/>
  <c r="L115" i="3"/>
  <c r="C115" i="3" s="1"/>
  <c r="N114" i="3"/>
  <c r="L114" i="3"/>
  <c r="C114" i="3" s="1"/>
  <c r="N113" i="3"/>
  <c r="L113" i="3"/>
  <c r="C113" i="3" s="1"/>
  <c r="N112" i="3"/>
  <c r="L112" i="3"/>
  <c r="C112" i="3" s="1"/>
  <c r="N111" i="3"/>
  <c r="L111" i="3"/>
  <c r="C111" i="3" s="1"/>
  <c r="N110" i="3"/>
  <c r="L110" i="3"/>
  <c r="C110" i="3" s="1"/>
  <c r="N109" i="3"/>
  <c r="L109" i="3"/>
  <c r="C109" i="3" s="1"/>
  <c r="N108" i="3"/>
  <c r="L108" i="3"/>
  <c r="C108" i="3" s="1"/>
  <c r="N107" i="3"/>
  <c r="L107" i="3"/>
  <c r="C107" i="3" s="1"/>
  <c r="N106" i="3"/>
  <c r="L106" i="3"/>
  <c r="C106" i="3" s="1"/>
  <c r="N105" i="3"/>
  <c r="L105" i="3"/>
  <c r="C105" i="3" s="1"/>
  <c r="N104" i="3"/>
  <c r="L104" i="3"/>
  <c r="C104" i="3" s="1"/>
  <c r="N103" i="3"/>
  <c r="L103" i="3"/>
  <c r="C103" i="3" s="1"/>
  <c r="N102" i="3"/>
  <c r="L102" i="3"/>
  <c r="C102" i="3" s="1"/>
  <c r="N101" i="3"/>
  <c r="L101" i="3"/>
  <c r="C101" i="3" s="1"/>
  <c r="N100" i="3"/>
  <c r="L100" i="3"/>
  <c r="C100" i="3" s="1"/>
  <c r="N99" i="3"/>
  <c r="L99" i="3"/>
  <c r="C99" i="3" s="1"/>
  <c r="N98" i="3"/>
  <c r="L98" i="3"/>
  <c r="C98" i="3" s="1"/>
  <c r="N97" i="3"/>
  <c r="L97" i="3"/>
  <c r="C97" i="3" s="1"/>
  <c r="N96" i="3"/>
  <c r="L96" i="3"/>
  <c r="C96" i="3" s="1"/>
  <c r="N95" i="3"/>
  <c r="L95" i="3"/>
  <c r="C95" i="3" s="1"/>
  <c r="N94" i="3"/>
  <c r="L94" i="3"/>
  <c r="C94" i="3" s="1"/>
  <c r="N93" i="3"/>
  <c r="L93" i="3"/>
  <c r="C93" i="3" s="1"/>
  <c r="N92" i="3"/>
  <c r="L92" i="3"/>
  <c r="C92" i="3" s="1"/>
  <c r="N91" i="3"/>
  <c r="L91" i="3"/>
  <c r="C91" i="3" s="1"/>
  <c r="N90" i="3"/>
  <c r="L90" i="3"/>
  <c r="C90" i="3" s="1"/>
  <c r="N89" i="3"/>
  <c r="L89" i="3"/>
  <c r="C89" i="3" s="1"/>
  <c r="N88" i="3"/>
  <c r="L88" i="3"/>
  <c r="C88" i="3" s="1"/>
  <c r="N87" i="3"/>
  <c r="L87" i="3"/>
  <c r="C87" i="3" s="1"/>
  <c r="N86" i="3"/>
  <c r="L86" i="3"/>
  <c r="C86" i="3" s="1"/>
  <c r="N85" i="3"/>
  <c r="L85" i="3"/>
  <c r="C85" i="3" s="1"/>
  <c r="N84" i="3"/>
  <c r="L84" i="3"/>
  <c r="C84" i="3" s="1"/>
  <c r="N83" i="3"/>
  <c r="L83" i="3"/>
  <c r="C83" i="3" s="1"/>
  <c r="N82" i="3"/>
  <c r="L82" i="3"/>
  <c r="C82" i="3" s="1"/>
  <c r="N81" i="3"/>
  <c r="L81" i="3"/>
  <c r="C81" i="3" s="1"/>
  <c r="N80" i="3"/>
  <c r="L80" i="3"/>
  <c r="C80" i="3" s="1"/>
  <c r="N79" i="3"/>
  <c r="L79" i="3"/>
  <c r="C79" i="3" s="1"/>
  <c r="N78" i="3"/>
  <c r="L78" i="3"/>
  <c r="C78" i="3" s="1"/>
  <c r="N77" i="3"/>
  <c r="L77" i="3"/>
  <c r="C77" i="3" s="1"/>
  <c r="N76" i="3"/>
  <c r="L76" i="3"/>
  <c r="C76" i="3" s="1"/>
  <c r="N75" i="3"/>
  <c r="L75" i="3"/>
  <c r="C75" i="3" s="1"/>
  <c r="N74" i="3"/>
  <c r="L74" i="3"/>
  <c r="C74" i="3" s="1"/>
  <c r="B65" i="3"/>
  <c r="B64" i="3"/>
  <c r="B63" i="3"/>
  <c r="B62" i="3"/>
  <c r="C53" i="3"/>
  <c r="B160" i="3" s="1"/>
  <c r="C52" i="3"/>
  <c r="B159" i="3" s="1"/>
  <c r="C51" i="3"/>
  <c r="B158" i="3" s="1"/>
  <c r="C50" i="3"/>
  <c r="B157" i="3" s="1"/>
  <c r="C49" i="3"/>
  <c r="B156" i="3" s="1"/>
  <c r="C48" i="3"/>
  <c r="B155" i="3" s="1"/>
  <c r="C47" i="3"/>
  <c r="C46" i="3"/>
  <c r="B153" i="3" s="1"/>
  <c r="C45" i="3"/>
  <c r="C44" i="3"/>
  <c r="B151" i="3" s="1"/>
  <c r="C43" i="3"/>
  <c r="C42" i="3"/>
  <c r="C41" i="3"/>
  <c r="F14" i="3"/>
  <c r="H9" i="3"/>
  <c r="E6" i="3"/>
  <c r="D6" i="3"/>
  <c r="H65" i="3" s="1"/>
  <c r="D5" i="3"/>
  <c r="H64" i="3" s="1"/>
  <c r="D50" i="3"/>
  <c r="E50" i="3" s="1"/>
  <c r="D157" i="3"/>
  <c r="D153" i="3"/>
  <c r="D159" i="3"/>
  <c r="D155" i="3"/>
  <c r="C149" i="3"/>
  <c r="C155" i="3"/>
  <c r="E155" i="3" s="1"/>
  <c r="F155" i="3" s="1"/>
  <c r="C157" i="3"/>
  <c r="E157" i="3" s="1"/>
  <c r="F157" i="3" s="1"/>
  <c r="C148" i="3"/>
  <c r="C152" i="3"/>
  <c r="C154" i="3"/>
  <c r="E154" i="3" s="1"/>
  <c r="C158" i="3"/>
  <c r="E158" i="3" s="1"/>
  <c r="C160" i="3"/>
  <c r="E160" i="3" s="1"/>
  <c r="F160" i="3" s="1"/>
  <c r="D154" i="3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R35" i="1"/>
  <c r="AQ35" i="1"/>
  <c r="AP35" i="1"/>
  <c r="AR34" i="1"/>
  <c r="AQ34" i="1"/>
  <c r="AP34" i="1"/>
  <c r="AR33" i="1"/>
  <c r="AQ33" i="1"/>
  <c r="AP33" i="1"/>
  <c r="AR32" i="1"/>
  <c r="AQ32" i="1"/>
  <c r="AP32" i="1"/>
  <c r="AQ31" i="1"/>
  <c r="AR31" i="1"/>
  <c r="AP31" i="1"/>
  <c r="AR30" i="1"/>
  <c r="AQ30" i="1"/>
  <c r="AP30" i="1"/>
  <c r="AQ2" i="1"/>
  <c r="AR2" i="1"/>
  <c r="AQ3" i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P29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" i="1"/>
  <c r="G70" i="2"/>
  <c r="G42" i="2"/>
  <c r="AY94" i="1"/>
  <c r="AR94" i="1"/>
  <c r="AQ94" i="1"/>
  <c r="AP94" i="1"/>
  <c r="G94" i="1"/>
  <c r="AY93" i="1"/>
  <c r="AR93" i="1"/>
  <c r="AQ93" i="1"/>
  <c r="AP93" i="1"/>
  <c r="G93" i="1"/>
  <c r="G30" i="2"/>
  <c r="G29" i="2"/>
  <c r="G28" i="2"/>
  <c r="G27" i="2"/>
  <c r="G26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1" i="2"/>
  <c r="G40" i="2"/>
  <c r="G39" i="2"/>
  <c r="G38" i="2"/>
  <c r="G37" i="2"/>
  <c r="G36" i="2"/>
  <c r="G35" i="2"/>
  <c r="G34" i="2"/>
  <c r="G33" i="2"/>
  <c r="G32" i="2"/>
  <c r="G31" i="2"/>
  <c r="G25" i="2"/>
  <c r="G24" i="2"/>
  <c r="G27" i="1"/>
  <c r="G23" i="1"/>
  <c r="I87" i="1"/>
  <c r="I86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3" i="1"/>
  <c r="G3" i="1"/>
  <c r="D2" i="1"/>
  <c r="G2" i="1"/>
  <c r="N18" i="2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F68" i="1"/>
  <c r="G68" i="1"/>
  <c r="R22" i="2"/>
  <c r="Q22" i="2"/>
  <c r="O22" i="2"/>
  <c r="N22" i="2"/>
  <c r="R18" i="2"/>
  <c r="G15" i="2"/>
  <c r="D15" i="2"/>
  <c r="K24" i="2"/>
  <c r="K32" i="2"/>
  <c r="K25" i="2"/>
  <c r="K29" i="2"/>
  <c r="K26" i="2"/>
  <c r="K34" i="2"/>
  <c r="D87" i="2"/>
  <c r="E87" i="2"/>
  <c r="F87" i="2"/>
  <c r="D79" i="2"/>
  <c r="F79" i="2"/>
  <c r="E79" i="2"/>
  <c r="D71" i="2"/>
  <c r="E71" i="2"/>
  <c r="F71" i="2"/>
  <c r="D55" i="2"/>
  <c r="E55" i="2"/>
  <c r="F55" i="2"/>
  <c r="F33" i="2"/>
  <c r="E33" i="2"/>
  <c r="D33" i="2"/>
  <c r="F25" i="2"/>
  <c r="E25" i="2"/>
  <c r="D25" i="2"/>
  <c r="F90" i="2"/>
  <c r="E90" i="2"/>
  <c r="D90" i="2"/>
  <c r="F82" i="2"/>
  <c r="E82" i="2"/>
  <c r="D82" i="2"/>
  <c r="F74" i="2"/>
  <c r="E74" i="2"/>
  <c r="D74" i="2"/>
  <c r="F66" i="2"/>
  <c r="E66" i="2"/>
  <c r="D66" i="2"/>
  <c r="F58" i="2"/>
  <c r="E58" i="2"/>
  <c r="D58" i="2"/>
  <c r="F36" i="2"/>
  <c r="D36" i="2"/>
  <c r="E36" i="2"/>
  <c r="F28" i="2"/>
  <c r="D28" i="2"/>
  <c r="E28" i="2"/>
  <c r="D89" i="2"/>
  <c r="F89" i="2"/>
  <c r="E89" i="2"/>
  <c r="D85" i="2"/>
  <c r="F85" i="2"/>
  <c r="E85" i="2"/>
  <c r="E81" i="2"/>
  <c r="F81" i="2"/>
  <c r="D81" i="2"/>
  <c r="E77" i="2"/>
  <c r="D77" i="2"/>
  <c r="F77" i="2"/>
  <c r="D69" i="2"/>
  <c r="F69" i="2"/>
  <c r="E69" i="2"/>
  <c r="D65" i="2"/>
  <c r="E65" i="2"/>
  <c r="F65" i="2"/>
  <c r="F61" i="2"/>
  <c r="E61" i="2"/>
  <c r="D61" i="2"/>
  <c r="D57" i="2"/>
  <c r="F57" i="2"/>
  <c r="E57" i="2"/>
  <c r="D35" i="2"/>
  <c r="E35" i="2"/>
  <c r="F35" i="2"/>
  <c r="E31" i="2"/>
  <c r="D31" i="2"/>
  <c r="F31" i="2"/>
  <c r="D27" i="2"/>
  <c r="E27" i="2"/>
  <c r="F24" i="2"/>
  <c r="D24" i="2"/>
  <c r="E24" i="2"/>
  <c r="E83" i="2"/>
  <c r="D83" i="2"/>
  <c r="F83" i="2"/>
  <c r="D67" i="2"/>
  <c r="F67" i="2"/>
  <c r="E67" i="2"/>
  <c r="D59" i="2"/>
  <c r="E59" i="2"/>
  <c r="F59" i="2"/>
  <c r="D37" i="2"/>
  <c r="F37" i="2"/>
  <c r="E37" i="2"/>
  <c r="D29" i="2"/>
  <c r="E29" i="2"/>
  <c r="F29" i="2"/>
  <c r="F86" i="2"/>
  <c r="E86" i="2"/>
  <c r="D86" i="2"/>
  <c r="F78" i="2"/>
  <c r="E78" i="2"/>
  <c r="D78" i="2"/>
  <c r="F62" i="2"/>
  <c r="E62" i="2"/>
  <c r="D62" i="2"/>
  <c r="F54" i="2"/>
  <c r="E54" i="2"/>
  <c r="D54" i="2"/>
  <c r="F32" i="2"/>
  <c r="D32" i="2"/>
  <c r="E32" i="2"/>
  <c r="F88" i="2"/>
  <c r="D88" i="2"/>
  <c r="E88" i="2"/>
  <c r="F80" i="2"/>
  <c r="D80" i="2"/>
  <c r="E80" i="2"/>
  <c r="F76" i="2"/>
  <c r="D76" i="2"/>
  <c r="E76" i="2"/>
  <c r="F72" i="2"/>
  <c r="D72" i="2"/>
  <c r="E72" i="2"/>
  <c r="F64" i="2"/>
  <c r="D64" i="2"/>
  <c r="E64" i="2"/>
  <c r="F52" i="2"/>
  <c r="D52" i="2"/>
  <c r="E52" i="2"/>
  <c r="F34" i="2"/>
  <c r="E34" i="2"/>
  <c r="D34" i="2"/>
  <c r="F30" i="2"/>
  <c r="E30" i="2"/>
  <c r="D30" i="2"/>
  <c r="F26" i="2"/>
  <c r="E26" i="2"/>
  <c r="D26" i="2"/>
  <c r="K30" i="2"/>
  <c r="K35" i="2"/>
  <c r="K31" i="2"/>
  <c r="K27" i="2"/>
  <c r="K37" i="2"/>
  <c r="K33" i="2"/>
  <c r="J27" i="2"/>
  <c r="J24" i="2"/>
  <c r="J32" i="2"/>
  <c r="J36" i="2"/>
  <c r="J25" i="2"/>
  <c r="J33" i="2"/>
  <c r="J37" i="2"/>
  <c r="U16" i="2"/>
  <c r="J31" i="2"/>
  <c r="K28" i="2"/>
  <c r="J30" i="2"/>
  <c r="J35" i="2"/>
  <c r="K36" i="2"/>
  <c r="J29" i="2"/>
  <c r="J26" i="2"/>
  <c r="J28" i="2"/>
  <c r="J34" i="2"/>
  <c r="AI68" i="1"/>
  <c r="F84" i="2"/>
  <c r="D84" i="2"/>
  <c r="E84" i="2"/>
  <c r="F38" i="2"/>
  <c r="E38" i="2"/>
  <c r="D38" i="2"/>
  <c r="K38" i="2"/>
  <c r="J38" i="2"/>
  <c r="D70" i="2"/>
  <c r="F70" i="2"/>
  <c r="E70" i="2"/>
  <c r="E56" i="2"/>
  <c r="F56" i="2"/>
  <c r="D56" i="2"/>
  <c r="F42" i="2"/>
  <c r="E42" i="2"/>
  <c r="D42" i="2"/>
  <c r="F40" i="2"/>
  <c r="D40" i="2"/>
  <c r="E40" i="2"/>
  <c r="J39" i="2"/>
  <c r="D39" i="2"/>
  <c r="E39" i="2"/>
  <c r="F39" i="2"/>
  <c r="K39" i="2"/>
  <c r="K42" i="2"/>
  <c r="J42" i="2"/>
  <c r="K40" i="2"/>
  <c r="J40" i="2"/>
  <c r="D63" i="2"/>
  <c r="F63" i="2"/>
  <c r="E63" i="2"/>
  <c r="F41" i="2"/>
  <c r="E41" i="2"/>
  <c r="D41" i="2"/>
  <c r="E44" i="2"/>
  <c r="J41" i="2"/>
  <c r="K41" i="2"/>
  <c r="K44" i="2"/>
  <c r="J44" i="2"/>
  <c r="F44" i="2"/>
  <c r="D44" i="2"/>
  <c r="F46" i="2"/>
  <c r="E46" i="2"/>
  <c r="D46" i="2"/>
  <c r="E43" i="2"/>
  <c r="D43" i="2"/>
  <c r="F43" i="2"/>
  <c r="K46" i="2"/>
  <c r="J46" i="2"/>
  <c r="K43" i="2"/>
  <c r="J43" i="2"/>
  <c r="D60" i="2"/>
  <c r="E60" i="2"/>
  <c r="F60" i="2"/>
  <c r="D45" i="2"/>
  <c r="E45" i="2"/>
  <c r="F45" i="2"/>
  <c r="F48" i="2"/>
  <c r="D48" i="2"/>
  <c r="E48" i="2"/>
  <c r="J45" i="2"/>
  <c r="K45" i="2"/>
  <c r="K48" i="2"/>
  <c r="J48" i="2"/>
  <c r="F68" i="2"/>
  <c r="D68" i="2"/>
  <c r="E68" i="2"/>
  <c r="F53" i="2"/>
  <c r="D53" i="2"/>
  <c r="E53" i="2"/>
  <c r="F50" i="2"/>
  <c r="E50" i="2"/>
  <c r="D50" i="2"/>
  <c r="D47" i="2"/>
  <c r="F47" i="2"/>
  <c r="E47" i="2"/>
  <c r="K47" i="2"/>
  <c r="J47" i="2"/>
  <c r="K50" i="2"/>
  <c r="J50" i="2"/>
  <c r="E73" i="2"/>
  <c r="F73" i="2"/>
  <c r="D73" i="2"/>
  <c r="E49" i="2"/>
  <c r="D49" i="2"/>
  <c r="F49" i="2"/>
  <c r="K49" i="2"/>
  <c r="J80" i="2"/>
  <c r="J49" i="2"/>
  <c r="J54" i="2"/>
  <c r="J71" i="2"/>
  <c r="J56" i="2"/>
  <c r="K58" i="2"/>
  <c r="J85" i="2"/>
  <c r="J89" i="2"/>
  <c r="J77" i="2"/>
  <c r="K82" i="2"/>
  <c r="J57" i="2"/>
  <c r="K86" i="2"/>
  <c r="K90" i="2"/>
  <c r="K59" i="2"/>
  <c r="K71" i="2"/>
  <c r="K62" i="2"/>
  <c r="K70" i="2"/>
  <c r="K53" i="2"/>
  <c r="J83" i="2"/>
  <c r="J53" i="2"/>
  <c r="K67" i="2"/>
  <c r="K68" i="2"/>
  <c r="K74" i="2"/>
  <c r="K63" i="2"/>
  <c r="K83" i="2"/>
  <c r="K87" i="2"/>
  <c r="J81" i="2"/>
  <c r="J52" i="2"/>
  <c r="K73" i="2"/>
  <c r="K56" i="2"/>
  <c r="J67" i="2"/>
  <c r="J65" i="2"/>
  <c r="K72" i="2"/>
  <c r="K57" i="2"/>
  <c r="K66" i="2"/>
  <c r="K55" i="2"/>
  <c r="K79" i="2"/>
  <c r="K54" i="2"/>
  <c r="J64" i="2"/>
  <c r="J66" i="2"/>
  <c r="J70" i="2"/>
  <c r="K77" i="2"/>
  <c r="K89" i="2"/>
  <c r="K85" i="2"/>
  <c r="J87" i="2"/>
  <c r="C87" i="2" s="1"/>
  <c r="K52" i="2"/>
  <c r="K76" i="2"/>
  <c r="J73" i="2"/>
  <c r="J78" i="2"/>
  <c r="C78" i="2" s="1"/>
  <c r="J59" i="2"/>
  <c r="C59" i="2" s="1"/>
  <c r="J69" i="2"/>
  <c r="J58" i="2"/>
  <c r="K61" i="2"/>
  <c r="K78" i="2"/>
  <c r="J55" i="2"/>
  <c r="K64" i="2"/>
  <c r="J62" i="2"/>
  <c r="J90" i="2"/>
  <c r="C90" i="2" s="1"/>
  <c r="J68" i="2"/>
  <c r="K80" i="2"/>
  <c r="J74" i="2"/>
  <c r="C74" i="2" s="1"/>
  <c r="J60" i="2"/>
  <c r="K65" i="2"/>
  <c r="K84" i="2"/>
  <c r="K69" i="2"/>
  <c r="K88" i="2"/>
  <c r="J82" i="2"/>
  <c r="K60" i="2"/>
  <c r="J72" i="2"/>
  <c r="J61" i="2"/>
  <c r="K81" i="2"/>
  <c r="J84" i="2"/>
  <c r="J88" i="2"/>
  <c r="J79" i="2"/>
  <c r="J86" i="2"/>
  <c r="J63" i="2"/>
  <c r="J76" i="2"/>
  <c r="C76" i="2" s="1"/>
  <c r="D75" i="2"/>
  <c r="F75" i="2"/>
  <c r="E75" i="2"/>
  <c r="J75" i="2"/>
  <c r="K75" i="2"/>
  <c r="D51" i="2"/>
  <c r="F51" i="2"/>
  <c r="E51" i="2"/>
  <c r="K51" i="2"/>
  <c r="J51" i="2"/>
  <c r="C89" i="2" l="1"/>
  <c r="C84" i="2"/>
  <c r="C66" i="2"/>
  <c r="C69" i="2"/>
  <c r="C83" i="2"/>
  <c r="AA83" i="2" s="1"/>
  <c r="AB83" i="2" s="1"/>
  <c r="AB84" i="2" s="1"/>
  <c r="C79" i="2"/>
  <c r="C63" i="2"/>
  <c r="C52" i="2"/>
  <c r="C33" i="2"/>
  <c r="C54" i="2"/>
  <c r="C80" i="2"/>
  <c r="C42" i="2"/>
  <c r="C68" i="2"/>
  <c r="C85" i="2"/>
  <c r="C81" i="2"/>
  <c r="C25" i="2"/>
  <c r="C65" i="2"/>
  <c r="C71" i="2"/>
  <c r="C58" i="2"/>
  <c r="C31" i="2"/>
  <c r="C28" i="2"/>
  <c r="D48" i="3"/>
  <c r="E48" i="3" s="1"/>
  <c r="C46" i="2"/>
  <c r="C41" i="2"/>
  <c r="C38" i="2"/>
  <c r="C37" i="2"/>
  <c r="C30" i="2"/>
  <c r="C35" i="2"/>
  <c r="C188" i="3"/>
  <c r="C180" i="3"/>
  <c r="C181" i="3" s="1"/>
  <c r="C182" i="3" s="1"/>
  <c r="C183" i="3" s="1"/>
  <c r="C184" i="3" s="1"/>
  <c r="C185" i="3" s="1"/>
  <c r="C186" i="3" s="1"/>
  <c r="C187" i="3" s="1"/>
  <c r="C201" i="3" s="1"/>
  <c r="C202" i="3" s="1"/>
  <c r="D9" i="3" s="1"/>
  <c r="C156" i="3"/>
  <c r="E156" i="3" s="1"/>
  <c r="F156" i="3" s="1"/>
  <c r="B66" i="3"/>
  <c r="C27" i="2"/>
  <c r="C82" i="2"/>
  <c r="C55" i="2"/>
  <c r="C64" i="2"/>
  <c r="C44" i="2"/>
  <c r="C40" i="2"/>
  <c r="C39" i="2"/>
  <c r="C86" i="2"/>
  <c r="AA86" i="2" s="1"/>
  <c r="AC86" i="2" s="1"/>
  <c r="C67" i="2"/>
  <c r="C75" i="2"/>
  <c r="C61" i="2"/>
  <c r="C57" i="2"/>
  <c r="C88" i="2"/>
  <c r="C72" i="2"/>
  <c r="C62" i="2"/>
  <c r="C77" i="2"/>
  <c r="C24" i="2"/>
  <c r="C43" i="2"/>
  <c r="C26" i="2"/>
  <c r="C34" i="2"/>
  <c r="C32" i="2"/>
  <c r="C29" i="2"/>
  <c r="C36" i="2"/>
  <c r="F158" i="3"/>
  <c r="C153" i="3"/>
  <c r="E153" i="3" s="1"/>
  <c r="F153" i="3" s="1"/>
  <c r="D52" i="3"/>
  <c r="E52" i="3" s="1"/>
  <c r="C150" i="3"/>
  <c r="F159" i="3"/>
  <c r="C151" i="3"/>
  <c r="D51" i="3"/>
  <c r="E51" i="3" s="1"/>
  <c r="J9" i="3"/>
  <c r="K9" i="3" s="1"/>
  <c r="D49" i="3"/>
  <c r="E49" i="3" s="1"/>
  <c r="D44" i="3"/>
  <c r="E44" i="3" s="1"/>
  <c r="F107" i="3" s="1"/>
  <c r="D46" i="3"/>
  <c r="E46" i="3" s="1"/>
  <c r="F140" i="3" s="1"/>
  <c r="H140" i="3" s="1"/>
  <c r="H63" i="3"/>
  <c r="F6" i="3"/>
  <c r="G6" i="3" s="1"/>
  <c r="C73" i="2"/>
  <c r="C47" i="2"/>
  <c r="C50" i="2"/>
  <c r="C60" i="2"/>
  <c r="C70" i="2"/>
  <c r="C48" i="2"/>
  <c r="C51" i="2"/>
  <c r="C49" i="2"/>
  <c r="C53" i="2"/>
  <c r="C45" i="2"/>
  <c r="C56" i="2"/>
  <c r="P18" i="2"/>
  <c r="S19" i="2" s="1"/>
  <c r="U19" i="2" s="1"/>
  <c r="N16" i="2"/>
  <c r="O16" i="2"/>
  <c r="R16" i="2"/>
  <c r="R23" i="2" s="1"/>
  <c r="P16" i="2"/>
  <c r="P23" i="2" s="1"/>
  <c r="Q16" i="2"/>
  <c r="Q23" i="2" s="1"/>
  <c r="D10" i="3"/>
  <c r="H60" i="3"/>
  <c r="H62" i="3"/>
  <c r="H61" i="3"/>
  <c r="D43" i="3"/>
  <c r="E43" i="3" s="1"/>
  <c r="F86" i="3" s="1"/>
  <c r="B150" i="3"/>
  <c r="B154" i="3"/>
  <c r="F154" i="3" s="1"/>
  <c r="D47" i="3"/>
  <c r="E47" i="3" s="1"/>
  <c r="F78" i="3"/>
  <c r="B148" i="3"/>
  <c r="D41" i="3"/>
  <c r="E41" i="3" s="1"/>
  <c r="F74" i="3" s="1"/>
  <c r="D45" i="3"/>
  <c r="E45" i="3" s="1"/>
  <c r="F114" i="3" s="1"/>
  <c r="B152" i="3"/>
  <c r="B149" i="3"/>
  <c r="D42" i="3"/>
  <c r="E42" i="3" s="1"/>
  <c r="F75" i="3" s="1"/>
  <c r="D53" i="3"/>
  <c r="E53" i="3" s="1"/>
  <c r="AC83" i="2" l="1"/>
  <c r="AC84" i="2" s="1"/>
  <c r="AB86" i="2"/>
  <c r="M90" i="2"/>
  <c r="Q90" i="2" s="1"/>
  <c r="C161" i="3"/>
  <c r="F98" i="3"/>
  <c r="M48" i="2" s="1"/>
  <c r="F102" i="3"/>
  <c r="H102" i="3" s="1"/>
  <c r="F117" i="3"/>
  <c r="H117" i="3" s="1"/>
  <c r="F127" i="3"/>
  <c r="H127" i="3" s="1"/>
  <c r="F113" i="3"/>
  <c r="H113" i="3" s="1"/>
  <c r="F77" i="3"/>
  <c r="H77" i="3" s="1"/>
  <c r="F130" i="3"/>
  <c r="H130" i="3" s="1"/>
  <c r="F126" i="3"/>
  <c r="H126" i="3" s="1"/>
  <c r="F137" i="3"/>
  <c r="H137" i="3" s="1"/>
  <c r="F82" i="3"/>
  <c r="H82" i="3" s="1"/>
  <c r="F89" i="3"/>
  <c r="M39" i="2" s="1"/>
  <c r="F112" i="3"/>
  <c r="H112" i="3" s="1"/>
  <c r="F122" i="3"/>
  <c r="M72" i="2" s="1"/>
  <c r="P72" i="2" s="1"/>
  <c r="F132" i="3"/>
  <c r="F110" i="3"/>
  <c r="H110" i="3" s="1"/>
  <c r="H107" i="3"/>
  <c r="M57" i="2"/>
  <c r="M25" i="2"/>
  <c r="D149" i="3"/>
  <c r="E149" i="3" s="1"/>
  <c r="F149" i="3" s="1"/>
  <c r="H75" i="3"/>
  <c r="M64" i="2"/>
  <c r="H114" i="3"/>
  <c r="M36" i="2"/>
  <c r="H86" i="3"/>
  <c r="F135" i="3"/>
  <c r="F128" i="3"/>
  <c r="F108" i="3"/>
  <c r="F111" i="3"/>
  <c r="F124" i="3"/>
  <c r="F125" i="3"/>
  <c r="F104" i="3"/>
  <c r="F115" i="3"/>
  <c r="F138" i="3"/>
  <c r="F134" i="3"/>
  <c r="F131" i="3"/>
  <c r="F121" i="3"/>
  <c r="F105" i="3"/>
  <c r="F118" i="3"/>
  <c r="D148" i="3"/>
  <c r="M24" i="2"/>
  <c r="H74" i="3"/>
  <c r="H78" i="3"/>
  <c r="M28" i="2"/>
  <c r="F103" i="3"/>
  <c r="F99" i="3"/>
  <c r="F139" i="3"/>
  <c r="F84" i="3"/>
  <c r="F136" i="3"/>
  <c r="F92" i="3"/>
  <c r="F95" i="3"/>
  <c r="F91" i="3"/>
  <c r="F80" i="3"/>
  <c r="F90" i="3"/>
  <c r="F79" i="3"/>
  <c r="F109" i="3"/>
  <c r="F96" i="3"/>
  <c r="F106" i="3"/>
  <c r="F81" i="3"/>
  <c r="F93" i="3"/>
  <c r="F100" i="3"/>
  <c r="F120" i="3"/>
  <c r="F97" i="3"/>
  <c r="F133" i="3"/>
  <c r="F76" i="3"/>
  <c r="F116" i="3"/>
  <c r="F87" i="3"/>
  <c r="F83" i="3"/>
  <c r="F123" i="3"/>
  <c r="F119" i="3"/>
  <c r="F88" i="3"/>
  <c r="F129" i="3"/>
  <c r="F85" i="3"/>
  <c r="F94" i="3"/>
  <c r="F101" i="3"/>
  <c r="M52" i="2" l="1"/>
  <c r="R52" i="2" s="1"/>
  <c r="M63" i="2"/>
  <c r="L63" i="2" s="1"/>
  <c r="D151" i="3"/>
  <c r="E151" i="3" s="1"/>
  <c r="F151" i="3" s="1"/>
  <c r="N90" i="2"/>
  <c r="P90" i="2"/>
  <c r="R90" i="2"/>
  <c r="L90" i="2"/>
  <c r="O90" i="2"/>
  <c r="U90" i="2"/>
  <c r="H98" i="3"/>
  <c r="M80" i="2"/>
  <c r="Q80" i="2" s="1"/>
  <c r="H89" i="3"/>
  <c r="M67" i="2"/>
  <c r="O67" i="2" s="1"/>
  <c r="M76" i="2"/>
  <c r="N76" i="2" s="1"/>
  <c r="M77" i="2"/>
  <c r="O77" i="2" s="1"/>
  <c r="M32" i="2"/>
  <c r="L32" i="2" s="1"/>
  <c r="Q27" i="2"/>
  <c r="M60" i="2"/>
  <c r="R60" i="2" s="1"/>
  <c r="M87" i="2"/>
  <c r="Q87" i="2" s="1"/>
  <c r="L72" i="2"/>
  <c r="N72" i="2"/>
  <c r="Q72" i="2"/>
  <c r="R72" i="2"/>
  <c r="H122" i="3"/>
  <c r="O72" i="2"/>
  <c r="U72" i="2"/>
  <c r="M62" i="2"/>
  <c r="O62" i="2" s="1"/>
  <c r="M82" i="2"/>
  <c r="H132" i="3"/>
  <c r="U57" i="2"/>
  <c r="Q57" i="2"/>
  <c r="O57" i="2"/>
  <c r="R57" i="2"/>
  <c r="P57" i="2"/>
  <c r="L57" i="2"/>
  <c r="N57" i="2"/>
  <c r="O52" i="2"/>
  <c r="L24" i="2"/>
  <c r="P24" i="2"/>
  <c r="O24" i="2"/>
  <c r="N24" i="2"/>
  <c r="Q24" i="2"/>
  <c r="U24" i="2"/>
  <c r="R24" i="2"/>
  <c r="L39" i="2"/>
  <c r="O39" i="2"/>
  <c r="U39" i="2"/>
  <c r="P39" i="2"/>
  <c r="N39" i="2"/>
  <c r="Q39" i="2"/>
  <c r="R39" i="2"/>
  <c r="M81" i="2"/>
  <c r="H131" i="3"/>
  <c r="M54" i="2"/>
  <c r="H104" i="3"/>
  <c r="D152" i="3"/>
  <c r="E152" i="3" s="1"/>
  <c r="F152" i="3" s="1"/>
  <c r="M58" i="2"/>
  <c r="H108" i="3"/>
  <c r="P48" i="2"/>
  <c r="U48" i="2"/>
  <c r="R48" i="2"/>
  <c r="N48" i="2"/>
  <c r="Q48" i="2"/>
  <c r="O48" i="2"/>
  <c r="L48" i="2"/>
  <c r="U64" i="2"/>
  <c r="Q64" i="2"/>
  <c r="N64" i="2"/>
  <c r="P64" i="2"/>
  <c r="L64" i="2"/>
  <c r="R64" i="2"/>
  <c r="O64" i="2"/>
  <c r="E148" i="3"/>
  <c r="F148" i="3" s="1"/>
  <c r="M68" i="2"/>
  <c r="H118" i="3"/>
  <c r="M84" i="2"/>
  <c r="H134" i="3"/>
  <c r="M75" i="2"/>
  <c r="H125" i="3"/>
  <c r="M78" i="2"/>
  <c r="H128" i="3"/>
  <c r="M35" i="2"/>
  <c r="H85" i="3"/>
  <c r="H76" i="3"/>
  <c r="M26" i="2"/>
  <c r="M46" i="2"/>
  <c r="H96" i="3"/>
  <c r="M86" i="2"/>
  <c r="H136" i="3"/>
  <c r="H129" i="3"/>
  <c r="M79" i="2"/>
  <c r="M73" i="2"/>
  <c r="H123" i="3"/>
  <c r="M50" i="2"/>
  <c r="H100" i="3"/>
  <c r="H80" i="3"/>
  <c r="M30" i="2"/>
  <c r="M53" i="2"/>
  <c r="H103" i="3"/>
  <c r="M33" i="2"/>
  <c r="H83" i="3"/>
  <c r="M83" i="2"/>
  <c r="H133" i="3"/>
  <c r="M43" i="2"/>
  <c r="H93" i="3"/>
  <c r="M59" i="2"/>
  <c r="H109" i="3"/>
  <c r="M41" i="2"/>
  <c r="H91" i="3"/>
  <c r="M34" i="2"/>
  <c r="H84" i="3"/>
  <c r="N28" i="2"/>
  <c r="O28" i="2"/>
  <c r="Q28" i="2"/>
  <c r="L28" i="2"/>
  <c r="P28" i="2"/>
  <c r="U28" i="2"/>
  <c r="R28" i="2"/>
  <c r="M51" i="2"/>
  <c r="H101" i="3"/>
  <c r="H88" i="3"/>
  <c r="M38" i="2"/>
  <c r="M37" i="2"/>
  <c r="H87" i="3"/>
  <c r="M47" i="2"/>
  <c r="H97" i="3"/>
  <c r="M31" i="2"/>
  <c r="H81" i="3"/>
  <c r="M29" i="2"/>
  <c r="H79" i="3"/>
  <c r="M45" i="2"/>
  <c r="H95" i="3"/>
  <c r="H139" i="3"/>
  <c r="M89" i="2"/>
  <c r="D150" i="3"/>
  <c r="E150" i="3" s="1"/>
  <c r="F150" i="3" s="1"/>
  <c r="M55" i="2"/>
  <c r="H105" i="3"/>
  <c r="M88" i="2"/>
  <c r="H138" i="3"/>
  <c r="M74" i="2"/>
  <c r="H124" i="3"/>
  <c r="M85" i="2"/>
  <c r="H135" i="3"/>
  <c r="Q36" i="2"/>
  <c r="L36" i="2"/>
  <c r="O36" i="2"/>
  <c r="N36" i="2"/>
  <c r="P36" i="2"/>
  <c r="U36" i="2"/>
  <c r="R36" i="2"/>
  <c r="H94" i="3"/>
  <c r="M44" i="2"/>
  <c r="H119" i="3"/>
  <c r="M69" i="2"/>
  <c r="H116" i="3"/>
  <c r="M66" i="2"/>
  <c r="H120" i="3"/>
  <c r="M70" i="2"/>
  <c r="M56" i="2"/>
  <c r="H106" i="3"/>
  <c r="M40" i="2"/>
  <c r="H90" i="3"/>
  <c r="M42" i="2"/>
  <c r="H92" i="3"/>
  <c r="H99" i="3"/>
  <c r="M49" i="2"/>
  <c r="N63" i="2"/>
  <c r="M71" i="2"/>
  <c r="H121" i="3"/>
  <c r="M65" i="2"/>
  <c r="H115" i="3"/>
  <c r="M61" i="2"/>
  <c r="H111" i="3"/>
  <c r="Q25" i="2"/>
  <c r="O25" i="2"/>
  <c r="R25" i="2"/>
  <c r="P25" i="2"/>
  <c r="N25" i="2"/>
  <c r="L25" i="2"/>
  <c r="U25" i="2"/>
  <c r="U52" i="2" l="1"/>
  <c r="Q52" i="2"/>
  <c r="Q63" i="2"/>
  <c r="U63" i="2"/>
  <c r="P52" i="2"/>
  <c r="O63" i="2"/>
  <c r="P63" i="2"/>
  <c r="L52" i="2"/>
  <c r="R63" i="2"/>
  <c r="N52" i="2"/>
  <c r="R80" i="2"/>
  <c r="P80" i="2"/>
  <c r="L67" i="2"/>
  <c r="P76" i="2"/>
  <c r="S90" i="2"/>
  <c r="P67" i="2"/>
  <c r="O27" i="2"/>
  <c r="Q32" i="2"/>
  <c r="U67" i="2"/>
  <c r="O32" i="2"/>
  <c r="R67" i="2"/>
  <c r="N67" i="2"/>
  <c r="L27" i="2"/>
  <c r="R32" i="2"/>
  <c r="N80" i="2"/>
  <c r="U80" i="2"/>
  <c r="O80" i="2"/>
  <c r="L80" i="2"/>
  <c r="R76" i="2"/>
  <c r="O76" i="2"/>
  <c r="Q76" i="2"/>
  <c r="Q67" i="2"/>
  <c r="U76" i="2"/>
  <c r="L76" i="2"/>
  <c r="P27" i="2"/>
  <c r="N32" i="2"/>
  <c r="R27" i="2"/>
  <c r="N27" i="2"/>
  <c r="P32" i="2"/>
  <c r="U27" i="2"/>
  <c r="P77" i="2"/>
  <c r="N77" i="2"/>
  <c r="U32" i="2"/>
  <c r="L77" i="2"/>
  <c r="U77" i="2"/>
  <c r="R77" i="2"/>
  <c r="U87" i="2"/>
  <c r="Q77" i="2"/>
  <c r="U60" i="2"/>
  <c r="Q60" i="2"/>
  <c r="P60" i="2"/>
  <c r="L60" i="2"/>
  <c r="L87" i="2"/>
  <c r="N60" i="2"/>
  <c r="O60" i="2"/>
  <c r="O87" i="2"/>
  <c r="P87" i="2"/>
  <c r="R87" i="2"/>
  <c r="N87" i="2"/>
  <c r="Q62" i="2"/>
  <c r="S72" i="2"/>
  <c r="L82" i="2"/>
  <c r="P82" i="2"/>
  <c r="U82" i="2"/>
  <c r="O82" i="2"/>
  <c r="N82" i="2"/>
  <c r="Q82" i="2"/>
  <c r="R82" i="2"/>
  <c r="U62" i="2"/>
  <c r="R62" i="2"/>
  <c r="L62" i="2"/>
  <c r="P62" i="2"/>
  <c r="N62" i="2"/>
  <c r="S57" i="2"/>
  <c r="S39" i="2"/>
  <c r="S24" i="2"/>
  <c r="P81" i="2"/>
  <c r="U81" i="2"/>
  <c r="R81" i="2"/>
  <c r="N81" i="2"/>
  <c r="O81" i="2"/>
  <c r="L81" i="2"/>
  <c r="Q81" i="2"/>
  <c r="L61" i="2"/>
  <c r="N61" i="2"/>
  <c r="O61" i="2"/>
  <c r="P61" i="2"/>
  <c r="R61" i="2"/>
  <c r="Q61" i="2"/>
  <c r="U61" i="2"/>
  <c r="O71" i="2"/>
  <c r="L71" i="2"/>
  <c r="P71" i="2"/>
  <c r="Q71" i="2"/>
  <c r="R71" i="2"/>
  <c r="U71" i="2"/>
  <c r="N71" i="2"/>
  <c r="P49" i="2"/>
  <c r="U49" i="2"/>
  <c r="R49" i="2"/>
  <c r="L49" i="2"/>
  <c r="N49" i="2"/>
  <c r="Q49" i="2"/>
  <c r="O49" i="2"/>
  <c r="N70" i="2"/>
  <c r="R70" i="2"/>
  <c r="U70" i="2"/>
  <c r="Q70" i="2"/>
  <c r="O70" i="2"/>
  <c r="P70" i="2"/>
  <c r="L70" i="2"/>
  <c r="L69" i="2"/>
  <c r="P69" i="2"/>
  <c r="N69" i="2"/>
  <c r="R69" i="2"/>
  <c r="Q69" i="2"/>
  <c r="U69" i="2"/>
  <c r="O69" i="2"/>
  <c r="R37" i="2"/>
  <c r="Q37" i="2"/>
  <c r="N37" i="2"/>
  <c r="P37" i="2"/>
  <c r="U37" i="2"/>
  <c r="O37" i="2"/>
  <c r="L37" i="2"/>
  <c r="Q59" i="2"/>
  <c r="P59" i="2"/>
  <c r="O59" i="2"/>
  <c r="R59" i="2"/>
  <c r="U59" i="2"/>
  <c r="N59" i="2"/>
  <c r="L59" i="2"/>
  <c r="P53" i="2"/>
  <c r="O53" i="2"/>
  <c r="N53" i="2"/>
  <c r="U53" i="2"/>
  <c r="Q53" i="2"/>
  <c r="R53" i="2"/>
  <c r="L53" i="2"/>
  <c r="N75" i="2"/>
  <c r="R75" i="2"/>
  <c r="Q75" i="2"/>
  <c r="U75" i="2"/>
  <c r="O75" i="2"/>
  <c r="L75" i="2"/>
  <c r="P75" i="2"/>
  <c r="N74" i="2"/>
  <c r="L74" i="2"/>
  <c r="Q74" i="2"/>
  <c r="U74" i="2"/>
  <c r="O74" i="2"/>
  <c r="R74" i="2"/>
  <c r="P74" i="2"/>
  <c r="U38" i="2"/>
  <c r="N38" i="2"/>
  <c r="Q38" i="2"/>
  <c r="O38" i="2"/>
  <c r="P38" i="2"/>
  <c r="L38" i="2"/>
  <c r="R38" i="2"/>
  <c r="P30" i="2"/>
  <c r="Q30" i="2"/>
  <c r="L30" i="2"/>
  <c r="N30" i="2"/>
  <c r="O30" i="2"/>
  <c r="R30" i="2"/>
  <c r="U30" i="2"/>
  <c r="O66" i="2"/>
  <c r="Q66" i="2"/>
  <c r="L66" i="2"/>
  <c r="R66" i="2"/>
  <c r="N66" i="2"/>
  <c r="U66" i="2"/>
  <c r="P66" i="2"/>
  <c r="U41" i="2"/>
  <c r="O41" i="2"/>
  <c r="L41" i="2"/>
  <c r="P41" i="2"/>
  <c r="Q41" i="2"/>
  <c r="N41" i="2"/>
  <c r="R41" i="2"/>
  <c r="R84" i="2"/>
  <c r="P84" i="2"/>
  <c r="L84" i="2"/>
  <c r="Q84" i="2"/>
  <c r="U84" i="2"/>
  <c r="N84" i="2"/>
  <c r="O84" i="2"/>
  <c r="S64" i="2"/>
  <c r="P45" i="2"/>
  <c r="O45" i="2"/>
  <c r="N45" i="2"/>
  <c r="L45" i="2"/>
  <c r="U45" i="2"/>
  <c r="R45" i="2"/>
  <c r="Q45" i="2"/>
  <c r="P31" i="2"/>
  <c r="L31" i="2"/>
  <c r="U31" i="2"/>
  <c r="R31" i="2"/>
  <c r="O31" i="2"/>
  <c r="Q31" i="2"/>
  <c r="N31" i="2"/>
  <c r="U51" i="2"/>
  <c r="Q51" i="2"/>
  <c r="N51" i="2"/>
  <c r="L51" i="2"/>
  <c r="R51" i="2"/>
  <c r="O51" i="2"/>
  <c r="P51" i="2"/>
  <c r="U34" i="2"/>
  <c r="P34" i="2"/>
  <c r="N34" i="2"/>
  <c r="O34" i="2"/>
  <c r="Q34" i="2"/>
  <c r="R34" i="2"/>
  <c r="L34" i="2"/>
  <c r="O83" i="2"/>
  <c r="Q83" i="2"/>
  <c r="R83" i="2"/>
  <c r="P83" i="2"/>
  <c r="N83" i="2"/>
  <c r="U83" i="2"/>
  <c r="L83" i="2"/>
  <c r="L50" i="2"/>
  <c r="P50" i="2"/>
  <c r="R50" i="2"/>
  <c r="Q50" i="2"/>
  <c r="N50" i="2"/>
  <c r="U50" i="2"/>
  <c r="O50" i="2"/>
  <c r="P46" i="2"/>
  <c r="L46" i="2"/>
  <c r="R46" i="2"/>
  <c r="O46" i="2"/>
  <c r="U46" i="2"/>
  <c r="N46" i="2"/>
  <c r="Q46" i="2"/>
  <c r="U35" i="2"/>
  <c r="N35" i="2"/>
  <c r="O35" i="2"/>
  <c r="R35" i="2"/>
  <c r="Q35" i="2"/>
  <c r="P35" i="2"/>
  <c r="L35" i="2"/>
  <c r="D161" i="3"/>
  <c r="U58" i="2"/>
  <c r="O58" i="2"/>
  <c r="L58" i="2"/>
  <c r="Q58" i="2"/>
  <c r="N58" i="2"/>
  <c r="R58" i="2"/>
  <c r="P58" i="2"/>
  <c r="P40" i="2"/>
  <c r="N40" i="2"/>
  <c r="U40" i="2"/>
  <c r="O40" i="2"/>
  <c r="R40" i="2"/>
  <c r="Q40" i="2"/>
  <c r="L40" i="2"/>
  <c r="U55" i="2"/>
  <c r="R55" i="2"/>
  <c r="N55" i="2"/>
  <c r="Q55" i="2"/>
  <c r="O55" i="2"/>
  <c r="L55" i="2"/>
  <c r="P55" i="2"/>
  <c r="P89" i="2"/>
  <c r="L89" i="2"/>
  <c r="U89" i="2"/>
  <c r="R89" i="2"/>
  <c r="O89" i="2"/>
  <c r="N89" i="2"/>
  <c r="Q89" i="2"/>
  <c r="P26" i="2"/>
  <c r="O26" i="2"/>
  <c r="R26" i="2"/>
  <c r="Q26" i="2"/>
  <c r="L26" i="2"/>
  <c r="U26" i="2"/>
  <c r="N26" i="2"/>
  <c r="S25" i="2"/>
  <c r="L65" i="2"/>
  <c r="O65" i="2"/>
  <c r="Q65" i="2"/>
  <c r="R65" i="2"/>
  <c r="P65" i="2"/>
  <c r="N65" i="2"/>
  <c r="U65" i="2"/>
  <c r="Q44" i="2"/>
  <c r="L44" i="2"/>
  <c r="R44" i="2"/>
  <c r="O44" i="2"/>
  <c r="N44" i="2"/>
  <c r="U44" i="2"/>
  <c r="P44" i="2"/>
  <c r="R29" i="2"/>
  <c r="N29" i="2"/>
  <c r="O29" i="2"/>
  <c r="L29" i="2"/>
  <c r="U29" i="2"/>
  <c r="P29" i="2"/>
  <c r="Q29" i="2"/>
  <c r="R47" i="2"/>
  <c r="Q47" i="2"/>
  <c r="P47" i="2"/>
  <c r="U47" i="2"/>
  <c r="O47" i="2"/>
  <c r="L47" i="2"/>
  <c r="N47" i="2"/>
  <c r="S28" i="2"/>
  <c r="N43" i="2"/>
  <c r="O43" i="2"/>
  <c r="P43" i="2"/>
  <c r="Q43" i="2"/>
  <c r="R43" i="2"/>
  <c r="L43" i="2"/>
  <c r="U43" i="2"/>
  <c r="R33" i="2"/>
  <c r="O33" i="2"/>
  <c r="P33" i="2"/>
  <c r="U33" i="2"/>
  <c r="N33" i="2"/>
  <c r="Q33" i="2"/>
  <c r="L33" i="2"/>
  <c r="U73" i="2"/>
  <c r="N73" i="2"/>
  <c r="O73" i="2"/>
  <c r="P73" i="2"/>
  <c r="L73" i="2"/>
  <c r="Q73" i="2"/>
  <c r="R73" i="2"/>
  <c r="Q86" i="2"/>
  <c r="L86" i="2"/>
  <c r="O86" i="2"/>
  <c r="N86" i="2"/>
  <c r="U86" i="2"/>
  <c r="P86" i="2"/>
  <c r="R86" i="2"/>
  <c r="R78" i="2"/>
  <c r="P78" i="2"/>
  <c r="Q78" i="2"/>
  <c r="U78" i="2"/>
  <c r="L78" i="2"/>
  <c r="O78" i="2"/>
  <c r="N78" i="2"/>
  <c r="Q42" i="2"/>
  <c r="L42" i="2"/>
  <c r="P42" i="2"/>
  <c r="R42" i="2"/>
  <c r="N42" i="2"/>
  <c r="O42" i="2"/>
  <c r="U42" i="2"/>
  <c r="Q56" i="2"/>
  <c r="P56" i="2"/>
  <c r="O56" i="2"/>
  <c r="U56" i="2"/>
  <c r="L56" i="2"/>
  <c r="R56" i="2"/>
  <c r="N56" i="2"/>
  <c r="S36" i="2"/>
  <c r="P85" i="2"/>
  <c r="R85" i="2"/>
  <c r="O85" i="2"/>
  <c r="N85" i="2"/>
  <c r="Q85" i="2"/>
  <c r="L85" i="2"/>
  <c r="U85" i="2"/>
  <c r="O88" i="2"/>
  <c r="P88" i="2"/>
  <c r="N88" i="2"/>
  <c r="L88" i="2"/>
  <c r="U88" i="2"/>
  <c r="Q88" i="2"/>
  <c r="R88" i="2"/>
  <c r="U79" i="2"/>
  <c r="N79" i="2"/>
  <c r="R79" i="2"/>
  <c r="L79" i="2"/>
  <c r="O79" i="2"/>
  <c r="P79" i="2"/>
  <c r="Q79" i="2"/>
  <c r="N68" i="2"/>
  <c r="O68" i="2"/>
  <c r="R68" i="2"/>
  <c r="U68" i="2"/>
  <c r="L68" i="2"/>
  <c r="Q68" i="2"/>
  <c r="P68" i="2"/>
  <c r="S48" i="2"/>
  <c r="N54" i="2"/>
  <c r="R54" i="2"/>
  <c r="L54" i="2"/>
  <c r="O54" i="2"/>
  <c r="U54" i="2"/>
  <c r="P54" i="2"/>
  <c r="Q54" i="2"/>
  <c r="S52" i="2" l="1"/>
  <c r="S63" i="2"/>
  <c r="S80" i="2"/>
  <c r="S67" i="2"/>
  <c r="S76" i="2"/>
  <c r="S32" i="2"/>
  <c r="S27" i="2"/>
  <c r="S77" i="2"/>
  <c r="S60" i="2"/>
  <c r="S87" i="2"/>
  <c r="S62" i="2"/>
  <c r="S82" i="2"/>
  <c r="S58" i="2"/>
  <c r="S31" i="2"/>
  <c r="S84" i="2"/>
  <c r="S38" i="2"/>
  <c r="S53" i="2"/>
  <c r="S59" i="2"/>
  <c r="S88" i="2"/>
  <c r="S33" i="2"/>
  <c r="S43" i="2"/>
  <c r="S26" i="2"/>
  <c r="S54" i="2"/>
  <c r="S79" i="2"/>
  <c r="S68" i="2"/>
  <c r="S56" i="2"/>
  <c r="S42" i="2"/>
  <c r="S44" i="2"/>
  <c r="S55" i="2"/>
  <c r="S40" i="2"/>
  <c r="S35" i="2"/>
  <c r="S34" i="2"/>
  <c r="S45" i="2"/>
  <c r="S41" i="2"/>
  <c r="S66" i="2"/>
  <c r="S75" i="2"/>
  <c r="S37" i="2"/>
  <c r="S81" i="2"/>
  <c r="S74" i="2"/>
  <c r="S86" i="2"/>
  <c r="S73" i="2"/>
  <c r="S29" i="2"/>
  <c r="S65" i="2"/>
  <c r="S89" i="2"/>
  <c r="S46" i="2"/>
  <c r="S83" i="2"/>
  <c r="S51" i="2"/>
  <c r="S30" i="2"/>
  <c r="S69" i="2"/>
  <c r="S49" i="2"/>
  <c r="S85" i="2"/>
  <c r="S78" i="2"/>
  <c r="S47" i="2"/>
  <c r="S50" i="2"/>
  <c r="S70" i="2"/>
  <c r="S71" i="2"/>
  <c r="S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BA665-6D1F-4108-A8E4-14D68AC3E51B}" keepAlive="1" name="Consulta - Consulta1" description="Conexão com a consulta 'Consulta1' na pasta de trabalho." type="5" refreshedVersion="7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<sst xmlns="http://schemas.openxmlformats.org/spreadsheetml/2006/main" count="2121" uniqueCount="614">
  <si>
    <t>Infomações sobre o empreendimento</t>
  </si>
  <si>
    <t>Datas</t>
  </si>
  <si>
    <t>Ano</t>
  </si>
  <si>
    <t>Mês</t>
  </si>
  <si>
    <t>Meses para Entrega</t>
  </si>
  <si>
    <t>Meses para tabela</t>
  </si>
  <si>
    <t>Lançamento</t>
  </si>
  <si>
    <t>Mês tabela</t>
  </si>
  <si>
    <t>Mês de Entrega</t>
  </si>
  <si>
    <t>Indicadores</t>
  </si>
  <si>
    <t>R$</t>
  </si>
  <si>
    <t>R$ Atualizado INCC</t>
  </si>
  <si>
    <t>Para projeções</t>
  </si>
  <si>
    <t>Total</t>
  </si>
  <si>
    <t>Permuta</t>
  </si>
  <si>
    <t>Vendidas</t>
  </si>
  <si>
    <t>Disponiveis</t>
  </si>
  <si>
    <t>VGV</t>
  </si>
  <si>
    <t>Real + Proj</t>
  </si>
  <si>
    <t>N° Unidades</t>
  </si>
  <si>
    <t>VPL</t>
  </si>
  <si>
    <t>Pago Cliente</t>
  </si>
  <si>
    <t>Faturado</t>
  </si>
  <si>
    <t>Premio</t>
  </si>
  <si>
    <t>Ficha Cadastral carimbada</t>
  </si>
  <si>
    <t>Comissão Vendas</t>
  </si>
  <si>
    <t>Campanha de premiação Faturada</t>
  </si>
  <si>
    <t>Coordenador</t>
  </si>
  <si>
    <t>Data Inicio</t>
  </si>
  <si>
    <t>Data Final</t>
  </si>
  <si>
    <t>Nome da Campanha</t>
  </si>
  <si>
    <t>Participantes</t>
  </si>
  <si>
    <t>Premio(s)</t>
  </si>
  <si>
    <t>% Supervisor</t>
  </si>
  <si>
    <t>Spe</t>
  </si>
  <si>
    <t>SPE Residencial City 12 Empreendimentos Ltda</t>
  </si>
  <si>
    <t>Tabela com preço:</t>
  </si>
  <si>
    <t>Cliente</t>
  </si>
  <si>
    <t>Gordura diretoria</t>
  </si>
  <si>
    <t>Gordura (premio)</t>
  </si>
  <si>
    <t>Preço Médio considerando todas as unidades do empreendimento</t>
  </si>
  <si>
    <t>Descrição</t>
  </si>
  <si>
    <t>M2</t>
  </si>
  <si>
    <t>R$ Atual</t>
  </si>
  <si>
    <t>R$ / M2</t>
  </si>
  <si>
    <t>Preço Base 1</t>
  </si>
  <si>
    <t>Preço Base 2</t>
  </si>
  <si>
    <t>Preço Base 3</t>
  </si>
  <si>
    <t>Preço Base 4</t>
  </si>
  <si>
    <t>Preço Base 5</t>
  </si>
  <si>
    <t>Preço Base 6</t>
  </si>
  <si>
    <t>Preço Base 7</t>
  </si>
  <si>
    <t>Preço Base 8</t>
  </si>
  <si>
    <t>Preço Base 9</t>
  </si>
  <si>
    <t>Preço Base 10</t>
  </si>
  <si>
    <t>Preço Base 11</t>
  </si>
  <si>
    <t>Preço Base 12</t>
  </si>
  <si>
    <t>Preço Base 13</t>
  </si>
  <si>
    <t>Tabelas</t>
  </si>
  <si>
    <t>DIRETA</t>
  </si>
  <si>
    <t>N° Parcelas</t>
  </si>
  <si>
    <t>Percentual</t>
  </si>
  <si>
    <t>Frequencia</t>
  </si>
  <si>
    <t>Inicio Serie</t>
  </si>
  <si>
    <t>Nomeclatura das Parcelas</t>
  </si>
  <si>
    <t>Mês de Inicio</t>
  </si>
  <si>
    <t>Serie</t>
  </si>
  <si>
    <t>Pcs</t>
  </si>
  <si>
    <t>Pós Venda</t>
  </si>
  <si>
    <t>ATO</t>
  </si>
  <si>
    <t>30 / 60 /90</t>
  </si>
  <si>
    <t>MENSAIS</t>
  </si>
  <si>
    <t>SEMESTRAIS</t>
  </si>
  <si>
    <t>ÚNICA</t>
  </si>
  <si>
    <t>Pós Entrega</t>
  </si>
  <si>
    <t>FINANC. BANCÁRIO</t>
  </si>
  <si>
    <t>Acompanhamento Contratos</t>
  </si>
  <si>
    <t>UNIDADE</t>
  </si>
  <si>
    <t>Peso %</t>
  </si>
  <si>
    <t>Status</t>
  </si>
  <si>
    <t>VGV Tabela</t>
  </si>
  <si>
    <t>Area Privativa</t>
  </si>
  <si>
    <t>Preço/m2 Tabela</t>
  </si>
  <si>
    <t>andar</t>
  </si>
  <si>
    <t>final</t>
  </si>
  <si>
    <t>metragem</t>
  </si>
  <si>
    <t>Peso</t>
  </si>
  <si>
    <t>coeficiente</t>
  </si>
  <si>
    <t>Final</t>
  </si>
  <si>
    <t>Vendida</t>
  </si>
  <si>
    <t>Disponível</t>
  </si>
  <si>
    <t>Fora de venda</t>
  </si>
  <si>
    <t>Resumo de Informações</t>
  </si>
  <si>
    <t>Informações da Tabela</t>
  </si>
  <si>
    <t>N° Unds Disponiveis</t>
  </si>
  <si>
    <t>VGV Disponíivel</t>
  </si>
  <si>
    <t>Preço Médio Disponíivel</t>
  </si>
  <si>
    <t>R$/M2</t>
  </si>
  <si>
    <t>1- Histórico de Correção da Tabela / Preço Médio</t>
  </si>
  <si>
    <t>x</t>
  </si>
  <si>
    <t xml:space="preserve">Mês </t>
  </si>
  <si>
    <t>Incc</t>
  </si>
  <si>
    <t>Mensal</t>
  </si>
  <si>
    <t>Acumulado</t>
  </si>
  <si>
    <t>% de Correção</t>
  </si>
  <si>
    <t>Valor médio do M2 (R$)</t>
  </si>
  <si>
    <t>Inserir</t>
  </si>
  <si>
    <t xml:space="preserve">PRIMEIRO ANDAR ÁREA DESCOBERTA 50% DESCONTO NO M2 </t>
  </si>
  <si>
    <t xml:space="preserve"> </t>
  </si>
  <si>
    <t>TABELA LEGACY - JULHO 2023 - ENTREGA: JUNHO DE 2025</t>
  </si>
  <si>
    <t>As parcelas serão corrigidas pelo INCC até o habite-se, após o habite-se será IGPM + 1%</t>
  </si>
  <si>
    <t>Frequnecia</t>
  </si>
  <si>
    <t>Inicio da Serie (PV ou PE)</t>
  </si>
  <si>
    <t>Inicio da Serie (Meses)</t>
  </si>
  <si>
    <t>Data Inicio da Série</t>
  </si>
  <si>
    <t>ENTREGA</t>
  </si>
  <si>
    <t>MÊS DA TABELA</t>
  </si>
  <si>
    <t>LCTO</t>
  </si>
  <si>
    <t>ATÉ A ENTREGA DAS CHAVES</t>
  </si>
  <si>
    <t xml:space="preserve"> CHAVES</t>
  </si>
  <si>
    <t>TIPO</t>
  </si>
  <si>
    <t>Unidade</t>
  </si>
  <si>
    <t>Área Privativa Total (m2)</t>
  </si>
  <si>
    <t>Área Apart. (m2)</t>
  </si>
  <si>
    <t>Área Terraço Coberto. (m2)</t>
  </si>
  <si>
    <t>Área Terraço Descoberto. (m2)</t>
  </si>
  <si>
    <t>Vagas de Garagem</t>
  </si>
  <si>
    <t>Pavimentos vagas</t>
  </si>
  <si>
    <t>Esc. Nº</t>
  </si>
  <si>
    <t>Área Esc. (m2)</t>
  </si>
  <si>
    <t>Pav. Esc</t>
  </si>
  <si>
    <t>Valor Total</t>
  </si>
  <si>
    <t>ENTRADA</t>
  </si>
  <si>
    <t>SUBTOTAL</t>
  </si>
  <si>
    <t>FINANCIA. BANCÁRIO</t>
  </si>
  <si>
    <t>M2 FINAL</t>
  </si>
  <si>
    <t>30 /60 /90 DIAS</t>
  </si>
  <si>
    <t>TER/TER/TER/TER</t>
  </si>
  <si>
    <t>E55</t>
  </si>
  <si>
    <t>E56</t>
  </si>
  <si>
    <t>SS1/SS1/TER/TER</t>
  </si>
  <si>
    <t>E67</t>
  </si>
  <si>
    <t>SS1/SS1/SS2/SS2</t>
  </si>
  <si>
    <t>E02</t>
  </si>
  <si>
    <t>E66</t>
  </si>
  <si>
    <t>E03</t>
  </si>
  <si>
    <t>E62</t>
  </si>
  <si>
    <t>E04</t>
  </si>
  <si>
    <t>E61</t>
  </si>
  <si>
    <t>E05</t>
  </si>
  <si>
    <t>E60</t>
  </si>
  <si>
    <t>E06</t>
  </si>
  <si>
    <t>E59</t>
  </si>
  <si>
    <t>E12</t>
  </si>
  <si>
    <t>E58</t>
  </si>
  <si>
    <t>E01</t>
  </si>
  <si>
    <t>E57</t>
  </si>
  <si>
    <t>E07</t>
  </si>
  <si>
    <t>SS1/SS1/SS1/SS1</t>
  </si>
  <si>
    <t>E19</t>
  </si>
  <si>
    <t>E11</t>
  </si>
  <si>
    <t>E20</t>
  </si>
  <si>
    <t>SS2/SS2/SS2/SS2</t>
  </si>
  <si>
    <t>E08</t>
  </si>
  <si>
    <t>E21</t>
  </si>
  <si>
    <t>E09</t>
  </si>
  <si>
    <t>E22</t>
  </si>
  <si>
    <t>E10</t>
  </si>
  <si>
    <t>E23</t>
  </si>
  <si>
    <t>E50</t>
  </si>
  <si>
    <t>TER/TER/TER/SS1/SS1</t>
  </si>
  <si>
    <t>E35</t>
  </si>
  <si>
    <t>E24</t>
  </si>
  <si>
    <t>E34</t>
  </si>
  <si>
    <t>Dona Sonia</t>
  </si>
  <si>
    <t>E49</t>
  </si>
  <si>
    <t>E16</t>
  </si>
  <si>
    <t>E37</t>
  </si>
  <si>
    <t>SS2/SS2/SS1/SS1</t>
  </si>
  <si>
    <t>E13</t>
  </si>
  <si>
    <t>E40</t>
  </si>
  <si>
    <t>E25</t>
  </si>
  <si>
    <t>E31</t>
  </si>
  <si>
    <t>E33</t>
  </si>
  <si>
    <t>E18</t>
  </si>
  <si>
    <t>E53</t>
  </si>
  <si>
    <t>Permutante - Sebastião</t>
  </si>
  <si>
    <t>SS1/SS1/SS1/SS2</t>
  </si>
  <si>
    <t>E14</t>
  </si>
  <si>
    <t>E41</t>
  </si>
  <si>
    <t>TER/TER/TER/SS2/SS2</t>
  </si>
  <si>
    <t>E54</t>
  </si>
  <si>
    <t>E27</t>
  </si>
  <si>
    <t>E42</t>
  </si>
  <si>
    <t>Fora da Tabela (JG)</t>
  </si>
  <si>
    <t>E17</t>
  </si>
  <si>
    <t>E52</t>
  </si>
  <si>
    <t>TER/TER/TER/TER/TER</t>
  </si>
  <si>
    <t>E64</t>
  </si>
  <si>
    <t>JG</t>
  </si>
  <si>
    <t>E26</t>
  </si>
  <si>
    <t>E51</t>
  </si>
  <si>
    <t>E28</t>
  </si>
  <si>
    <t>E43</t>
  </si>
  <si>
    <t>E36</t>
  </si>
  <si>
    <t>E32</t>
  </si>
  <si>
    <t>E44</t>
  </si>
  <si>
    <t>E30</t>
  </si>
  <si>
    <t>E48</t>
  </si>
  <si>
    <t>E63</t>
  </si>
  <si>
    <t>VT</t>
  </si>
  <si>
    <t>E29</t>
  </si>
  <si>
    <t>E15</t>
  </si>
  <si>
    <t>TER/TER/SS2/SS2</t>
  </si>
  <si>
    <t>E39</t>
  </si>
  <si>
    <t>E45</t>
  </si>
  <si>
    <t>Investidor - Lucas</t>
  </si>
  <si>
    <t>E47</t>
  </si>
  <si>
    <t>E38</t>
  </si>
  <si>
    <t>E46</t>
  </si>
  <si>
    <t>TER/TER/TER/TER/TER/TER/TER</t>
  </si>
  <si>
    <t>E65</t>
  </si>
  <si>
    <t>1501 - UNIDADE IGUAL DECORADO.</t>
  </si>
  <si>
    <t>APT</t>
  </si>
  <si>
    <t>Tipologia Projeto</t>
  </si>
  <si>
    <t>Qtde de Vagas</t>
  </si>
  <si>
    <t>Área Apto</t>
  </si>
  <si>
    <t>Terraço Coberto</t>
  </si>
  <si>
    <t>Terraço Descoberto</t>
  </si>
  <si>
    <t>Área Final</t>
  </si>
  <si>
    <t>Área Vaga (m2)</t>
  </si>
  <si>
    <t>Tipologia Vaga</t>
  </si>
  <si>
    <t>Número vaga Projeto</t>
  </si>
  <si>
    <t>Pavimento</t>
  </si>
  <si>
    <t>Tamanho da Vaga</t>
  </si>
  <si>
    <t>Qtde Vagas Descritivo</t>
  </si>
  <si>
    <t xml:space="preserve">Contagem </t>
  </si>
  <si>
    <t>nº Escaninho</t>
  </si>
  <si>
    <t xml:space="preserve">Área Escaninho Garagem </t>
  </si>
  <si>
    <t>Pavimento Escaninho</t>
  </si>
  <si>
    <t>Preço Coberto</t>
  </si>
  <si>
    <t>Preço Varanda</t>
  </si>
  <si>
    <t>Preço Terraço</t>
  </si>
  <si>
    <t>Andar</t>
  </si>
  <si>
    <t>Área Privativa Apt</t>
  </si>
  <si>
    <t>Status de Venda</t>
  </si>
  <si>
    <t>Permutante/Investidor</t>
  </si>
  <si>
    <t>RESUMO VAGAS</t>
  </si>
  <si>
    <t>SIMPLES</t>
  </si>
  <si>
    <t>TER</t>
  </si>
  <si>
    <t>GAVETA</t>
  </si>
  <si>
    <t>195/195A</t>
  </si>
  <si>
    <t>-</t>
  </si>
  <si>
    <t>190/191/195/195A</t>
  </si>
  <si>
    <t>196/196A</t>
  </si>
  <si>
    <t>188/189/196/196A</t>
  </si>
  <si>
    <t>SS1</t>
  </si>
  <si>
    <t>207/207A</t>
  </si>
  <si>
    <t>109/120/207/207A</t>
  </si>
  <si>
    <t>98/98A</t>
  </si>
  <si>
    <t>SS2</t>
  </si>
  <si>
    <t>98/98A/83/84</t>
  </si>
  <si>
    <t>206/206A</t>
  </si>
  <si>
    <t>95/108/206/206A</t>
  </si>
  <si>
    <t>97/97A</t>
  </si>
  <si>
    <t>97/97A/79/80</t>
  </si>
  <si>
    <t>202/202A</t>
  </si>
  <si>
    <t>121/122/202/202A</t>
  </si>
  <si>
    <t>137/137A</t>
  </si>
  <si>
    <t>137/137A/75/76</t>
  </si>
  <si>
    <t>201/201A</t>
  </si>
  <si>
    <t>93/94/201/201A</t>
  </si>
  <si>
    <t>138/138A</t>
  </si>
  <si>
    <t>138/138A/26/27</t>
  </si>
  <si>
    <t>200/200A</t>
  </si>
  <si>
    <t>164/165/200/200A</t>
  </si>
  <si>
    <t>139/139A</t>
  </si>
  <si>
    <t>139/139A/28/29</t>
  </si>
  <si>
    <t>199/199A</t>
  </si>
  <si>
    <t>110/111/199/199A</t>
  </si>
  <si>
    <t>140/140A</t>
  </si>
  <si>
    <t>140/140A/25/30</t>
  </si>
  <si>
    <t>198/198A</t>
  </si>
  <si>
    <t>118/119/198/198A</t>
  </si>
  <si>
    <t>144/144A</t>
  </si>
  <si>
    <t>144/144A/71/72</t>
  </si>
  <si>
    <t>197/197A</t>
  </si>
  <si>
    <t>112/117/197/197A</t>
  </si>
  <si>
    <t>145/145A</t>
  </si>
  <si>
    <t>145/145A/33/22</t>
  </si>
  <si>
    <t>105/125/175/176</t>
  </si>
  <si>
    <t>146/146A</t>
  </si>
  <si>
    <t>146/146A/81/82</t>
  </si>
  <si>
    <t>154/155/156/157</t>
  </si>
  <si>
    <t>62/62A</t>
  </si>
  <si>
    <t>62/62A/65/66</t>
  </si>
  <si>
    <t>128/129/130/131</t>
  </si>
  <si>
    <t>148/148A</t>
  </si>
  <si>
    <t>148/148A/63/64</t>
  </si>
  <si>
    <t>160/161/162/163</t>
  </si>
  <si>
    <t>147/147A</t>
  </si>
  <si>
    <t>147/147A/77/78</t>
  </si>
  <si>
    <t>103/104/126/127</t>
  </si>
  <si>
    <t>61/61A</t>
  </si>
  <si>
    <t>61/61A/41/42</t>
  </si>
  <si>
    <t>143/143A</t>
  </si>
  <si>
    <t>217/221/222/143/143A</t>
  </si>
  <si>
    <t>170/171/172/173</t>
  </si>
  <si>
    <t>49/49A</t>
  </si>
  <si>
    <t>45/46/49/49A</t>
  </si>
  <si>
    <t>136/136A</t>
  </si>
  <si>
    <t>132/133/136/136A</t>
  </si>
  <si>
    <t>60/60A</t>
  </si>
  <si>
    <t>60/60A/36/20</t>
  </si>
  <si>
    <t>55/55A</t>
  </si>
  <si>
    <t>214/216/220/142/142A</t>
  </si>
  <si>
    <t>149/149A</t>
  </si>
  <si>
    <t>31/32/149/149A</t>
  </si>
  <si>
    <t>59/59A</t>
  </si>
  <si>
    <t>59/59A/69/70</t>
  </si>
  <si>
    <t>166/167/168/169</t>
  </si>
  <si>
    <t>48/48A</t>
  </si>
  <si>
    <t>44/47/48/48A</t>
  </si>
  <si>
    <t>141/141A</t>
  </si>
  <si>
    <t>186/187/211/141/141A</t>
  </si>
  <si>
    <t>106/107/123/124</t>
  </si>
  <si>
    <t>11/11A</t>
  </si>
  <si>
    <t>11/11A/14/15</t>
  </si>
  <si>
    <t>135/135A</t>
  </si>
  <si>
    <t>134/135/135A/21</t>
  </si>
  <si>
    <t>58/58A</t>
  </si>
  <si>
    <t>58/58A/67/68</t>
  </si>
  <si>
    <t>142/142A</t>
  </si>
  <si>
    <t>180/181/182/55/55A</t>
  </si>
  <si>
    <t>96/96A</t>
  </si>
  <si>
    <t>5/87/96/96A</t>
  </si>
  <si>
    <t>57/57A</t>
  </si>
  <si>
    <t>57/57A/34/35</t>
  </si>
  <si>
    <t>113/114/115/116</t>
  </si>
  <si>
    <t>10/10A</t>
  </si>
  <si>
    <t>10/10A/13/43</t>
  </si>
  <si>
    <t>204/204A</t>
  </si>
  <si>
    <t>215/218/219/204/204A</t>
  </si>
  <si>
    <t>150/151/152/153</t>
  </si>
  <si>
    <t>9/9A</t>
  </si>
  <si>
    <t>8/9/9A/12</t>
  </si>
  <si>
    <t>90/90A</t>
  </si>
  <si>
    <t>90/90A/23/24</t>
  </si>
  <si>
    <t>53/53A</t>
  </si>
  <si>
    <t>53/53A/18/19</t>
  </si>
  <si>
    <t>54/54A</t>
  </si>
  <si>
    <t>177/178/179/54/54A</t>
  </si>
  <si>
    <t>91/91A</t>
  </si>
  <si>
    <t>91/91A/73/74</t>
  </si>
  <si>
    <t>52/52A</t>
  </si>
  <si>
    <t>52/52A/37/38</t>
  </si>
  <si>
    <t>92/174/158/159</t>
  </si>
  <si>
    <t>4/4A</t>
  </si>
  <si>
    <t>4/4A/6/7</t>
  </si>
  <si>
    <t>203/203A</t>
  </si>
  <si>
    <t>183/184/185/203/203A</t>
  </si>
  <si>
    <t>99/100/101/102</t>
  </si>
  <si>
    <t>3/3A</t>
  </si>
  <si>
    <t>1/2/3/3A</t>
  </si>
  <si>
    <t>223/223A</t>
  </si>
  <si>
    <t>224/224A/85/86</t>
  </si>
  <si>
    <t>51/51A</t>
  </si>
  <si>
    <t>51/51A/39/40</t>
  </si>
  <si>
    <t>56/56A</t>
  </si>
  <si>
    <t>192/193/194/56/56A</t>
  </si>
  <si>
    <t>224/224A</t>
  </si>
  <si>
    <t>223/223A/88/89</t>
  </si>
  <si>
    <t>50/50A</t>
  </si>
  <si>
    <t>50/50A/16/17</t>
  </si>
  <si>
    <t>205/205A</t>
  </si>
  <si>
    <t>213/212/210/209/208/205/205A</t>
  </si>
  <si>
    <t xml:space="preserve">Ttoca de vaga João Victor </t>
  </si>
  <si>
    <t>Troca Venda Maria Julia</t>
  </si>
  <si>
    <t>anexos_unid</t>
  </si>
  <si>
    <t>Prod_unid</t>
  </si>
  <si>
    <t>Empresa_unid</t>
  </si>
  <si>
    <t>NumPer_unid</t>
  </si>
  <si>
    <t>Obra_unid</t>
  </si>
  <si>
    <t>NumObe_unid</t>
  </si>
  <si>
    <t>Cod_obe</t>
  </si>
  <si>
    <t>FracaoIdeal_unid</t>
  </si>
  <si>
    <t>FracaoIdealDecimal_unid</t>
  </si>
  <si>
    <t>Identificador_unid</t>
  </si>
  <si>
    <t>Qtde_unid</t>
  </si>
  <si>
    <t>Codigo_Unid</t>
  </si>
  <si>
    <t>PorcentPr_Unid</t>
  </si>
  <si>
    <t>Vendido_unid</t>
  </si>
  <si>
    <t>TipoContrato_udt</t>
  </si>
  <si>
    <t>NumCategStatus_unid</t>
  </si>
  <si>
    <t>Desc_csup</t>
  </si>
  <si>
    <t>CodTipProd_unid</t>
  </si>
  <si>
    <t>Descricao_tipprod</t>
  </si>
  <si>
    <t>ReterPrimAluguel_udt</t>
  </si>
  <si>
    <t>PorcentComissao_unid</t>
  </si>
  <si>
    <t>DataReconhecimentoReceitaMapa_unid</t>
  </si>
  <si>
    <t>DataEntregaChaves_unid</t>
  </si>
  <si>
    <t>DataCad_unid</t>
  </si>
  <si>
    <t>UsrCad_unid</t>
  </si>
  <si>
    <t>C1_unid</t>
  </si>
  <si>
    <t>C2_unid</t>
  </si>
  <si>
    <t>C3_unid</t>
  </si>
  <si>
    <t>C4_unid</t>
  </si>
  <si>
    <t>C5_unid</t>
  </si>
  <si>
    <t>C6_unid</t>
  </si>
  <si>
    <t>C7_unid</t>
  </si>
  <si>
    <t>C8_unid</t>
  </si>
  <si>
    <t>C9_unid</t>
  </si>
  <si>
    <t>PrecoMin</t>
  </si>
  <si>
    <t>Descr_status</t>
  </si>
  <si>
    <t>ObjEspelhoTop_unid</t>
  </si>
  <si>
    <t>ObjEspelhoLeft_unid</t>
  </si>
  <si>
    <t>5301I</t>
  </si>
  <si>
    <t>LUCASTRO</t>
  </si>
  <si>
    <t>550,33</t>
  </si>
  <si>
    <t>544,26</t>
  </si>
  <si>
    <t>6,07</t>
  </si>
  <si>
    <t>55</t>
  </si>
  <si>
    <t>46,08</t>
  </si>
  <si>
    <t>499,49</t>
  </si>
  <si>
    <t>494,4</t>
  </si>
  <si>
    <t>5,09</t>
  </si>
  <si>
    <t>56</t>
  </si>
  <si>
    <t>404,59</t>
  </si>
  <si>
    <t>398,6</t>
  </si>
  <si>
    <t>5,99</t>
  </si>
  <si>
    <t>SS1/TER</t>
  </si>
  <si>
    <t>67</t>
  </si>
  <si>
    <t>329,15</t>
  </si>
  <si>
    <t>323,43</t>
  </si>
  <si>
    <t>5,72</t>
  </si>
  <si>
    <t>SS1/SS2</t>
  </si>
  <si>
    <t>2</t>
  </si>
  <si>
    <t>360,05</t>
  </si>
  <si>
    <t>354,22</t>
  </si>
  <si>
    <t>5,83</t>
  </si>
  <si>
    <t>66</t>
  </si>
  <si>
    <t>313,77</t>
  </si>
  <si>
    <t>308,43</t>
  </si>
  <si>
    <t>5,34</t>
  </si>
  <si>
    <t>3</t>
  </si>
  <si>
    <t>370,81</t>
  </si>
  <si>
    <t>365,71</t>
  </si>
  <si>
    <t>5,1</t>
  </si>
  <si>
    <t>62</t>
  </si>
  <si>
    <t>298,3</t>
  </si>
  <si>
    <t>293,28</t>
  </si>
  <si>
    <t>5,02</t>
  </si>
  <si>
    <t>4</t>
  </si>
  <si>
    <t>359,31</t>
  </si>
  <si>
    <t>61</t>
  </si>
  <si>
    <t>313,72</t>
  </si>
  <si>
    <t>5,29</t>
  </si>
  <si>
    <t>5</t>
  </si>
  <si>
    <t>370,8</t>
  </si>
  <si>
    <t>60</t>
  </si>
  <si>
    <t>297,55</t>
  </si>
  <si>
    <t>4,27</t>
  </si>
  <si>
    <t>6</t>
  </si>
  <si>
    <t>59</t>
  </si>
  <si>
    <t>50,54</t>
  </si>
  <si>
    <t>312,51</t>
  </si>
  <si>
    <t>4,08</t>
  </si>
  <si>
    <t>12</t>
  </si>
  <si>
    <t>58</t>
  </si>
  <si>
    <t>298,19</t>
  </si>
  <si>
    <t>4,91</t>
  </si>
  <si>
    <t>1</t>
  </si>
  <si>
    <t>57</t>
  </si>
  <si>
    <t>312,71</t>
  </si>
  <si>
    <t>4,28</t>
  </si>
  <si>
    <t>SS2/SS1</t>
  </si>
  <si>
    <t>7</t>
  </si>
  <si>
    <t>370,62</t>
  </si>
  <si>
    <t>17</t>
  </si>
  <si>
    <t>297,36</t>
  </si>
  <si>
    <t>11</t>
  </si>
  <si>
    <t>359,54</t>
  </si>
  <si>
    <t>5,32</t>
  </si>
  <si>
    <t>20</t>
  </si>
  <si>
    <t>RT - Permutante</t>
  </si>
  <si>
    <t>8</t>
  </si>
  <si>
    <t>371,59</t>
  </si>
  <si>
    <t>5,88</t>
  </si>
  <si>
    <t>21</t>
  </si>
  <si>
    <t>297,53</t>
  </si>
  <si>
    <t>4,25</t>
  </si>
  <si>
    <t>9</t>
  </si>
  <si>
    <t>358,66</t>
  </si>
  <si>
    <t>4,44</t>
  </si>
  <si>
    <t>22</t>
  </si>
  <si>
    <t>312,88</t>
  </si>
  <si>
    <t>4,45</t>
  </si>
  <si>
    <t>10</t>
  </si>
  <si>
    <t>369,98</t>
  </si>
  <si>
    <t>23</t>
  </si>
  <si>
    <t>297,27</t>
  </si>
  <si>
    <t>3,99</t>
  </si>
  <si>
    <t>50</t>
  </si>
  <si>
    <t>686,7</t>
  </si>
  <si>
    <t>681</t>
  </si>
  <si>
    <t>5,7</t>
  </si>
  <si>
    <t>186/187/211/143/143A</t>
  </si>
  <si>
    <t>TER/SS1</t>
  </si>
  <si>
    <t>35</t>
  </si>
  <si>
    <t>57,6</t>
  </si>
  <si>
    <t>370</t>
  </si>
  <si>
    <t>4,29</t>
  </si>
  <si>
    <t>24</t>
  </si>
  <si>
    <t>270,98</t>
  </si>
  <si>
    <t>266,95</t>
  </si>
  <si>
    <t>4,03</t>
  </si>
  <si>
    <t>34</t>
  </si>
  <si>
    <t>327</t>
  </si>
  <si>
    <t>322,86</t>
  </si>
  <si>
    <t>4,14</t>
  </si>
  <si>
    <t>49</t>
  </si>
  <si>
    <t>314,03</t>
  </si>
  <si>
    <t>5,6</t>
  </si>
  <si>
    <t>16</t>
  </si>
  <si>
    <t>689,88</t>
  </si>
  <si>
    <t>684</t>
  </si>
  <si>
    <t>214/216/217/142/142A</t>
  </si>
  <si>
    <t>37</t>
  </si>
  <si>
    <t>327,41</t>
  </si>
  <si>
    <t>322,89</t>
  </si>
  <si>
    <t>4,52</t>
  </si>
  <si>
    <t>13</t>
  </si>
  <si>
    <t>312,72</t>
  </si>
  <si>
    <t>40</t>
  </si>
  <si>
    <t>25</t>
  </si>
  <si>
    <t>271,05</t>
  </si>
  <si>
    <t>266,88</t>
  </si>
  <si>
    <t>4,17</t>
  </si>
  <si>
    <t>31</t>
  </si>
  <si>
    <t>685,35</t>
  </si>
  <si>
    <t>4,35</t>
  </si>
  <si>
    <t>220/221/222/141/141A</t>
  </si>
  <si>
    <t>33</t>
  </si>
  <si>
    <t>59,83</t>
  </si>
  <si>
    <t>371,31</t>
  </si>
  <si>
    <t>18</t>
  </si>
  <si>
    <t>48,31</t>
  </si>
  <si>
    <t>270,94</t>
  </si>
  <si>
    <t>53</t>
  </si>
  <si>
    <t>326,93</t>
  </si>
  <si>
    <t>4,07</t>
  </si>
  <si>
    <t>14</t>
  </si>
  <si>
    <t>41</t>
  </si>
  <si>
    <t>691,92</t>
  </si>
  <si>
    <t>7,92</t>
  </si>
  <si>
    <t>54</t>
  </si>
  <si>
    <t>327,4</t>
  </si>
  <si>
    <t>4,51</t>
  </si>
  <si>
    <t>27</t>
  </si>
  <si>
    <t>312,68</t>
  </si>
  <si>
    <t>42</t>
  </si>
  <si>
    <t>371,41</t>
  </si>
  <si>
    <t>19</t>
  </si>
  <si>
    <t>270,87</t>
  </si>
  <si>
    <t>52</t>
  </si>
  <si>
    <t>UNIDADE JG</t>
  </si>
  <si>
    <t>688,01</t>
  </si>
  <si>
    <t>7,01</t>
  </si>
  <si>
    <t>64</t>
  </si>
  <si>
    <t>369,96</t>
  </si>
  <si>
    <t>26</t>
  </si>
  <si>
    <t>51</t>
  </si>
  <si>
    <t>327,05</t>
  </si>
  <si>
    <t>4,19</t>
  </si>
  <si>
    <t>28</t>
  </si>
  <si>
    <t>312,94</t>
  </si>
  <si>
    <t>43</t>
  </si>
  <si>
    <t>689,32</t>
  </si>
  <si>
    <t>TER/SS2</t>
  </si>
  <si>
    <t>36</t>
  </si>
  <si>
    <t>327,5</t>
  </si>
  <si>
    <t>4,61</t>
  </si>
  <si>
    <t>32</t>
  </si>
  <si>
    <t>312,62</t>
  </si>
  <si>
    <t>44</t>
  </si>
  <si>
    <t>370,37</t>
  </si>
  <si>
    <t>4,66</t>
  </si>
  <si>
    <t>30</t>
  </si>
  <si>
    <t>271,88</t>
  </si>
  <si>
    <t>48</t>
  </si>
  <si>
    <t>UNIDADE VT</t>
  </si>
  <si>
    <t>688,03</t>
  </si>
  <si>
    <t>7,03</t>
  </si>
  <si>
    <t>63</t>
  </si>
  <si>
    <t>369,9</t>
  </si>
  <si>
    <t>29</t>
  </si>
  <si>
    <t>271,02</t>
  </si>
  <si>
    <t>15</t>
  </si>
  <si>
    <t>327,13</t>
  </si>
  <si>
    <t>39</t>
  </si>
  <si>
    <t>INVESTIDOR</t>
  </si>
  <si>
    <t>45</t>
  </si>
  <si>
    <t>689,03</t>
  </si>
  <si>
    <t>5,03</t>
  </si>
  <si>
    <t>47</t>
  </si>
  <si>
    <t>327,35</t>
  </si>
  <si>
    <t>322,91</t>
  </si>
  <si>
    <t>38</t>
  </si>
  <si>
    <t>312,7</t>
  </si>
  <si>
    <t>46</t>
  </si>
  <si>
    <t>1106,66</t>
  </si>
  <si>
    <t>1099,64</t>
  </si>
  <si>
    <t>7,02</t>
  </si>
  <si>
    <t>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</si>
</sst>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\-??_);_(@_)"/>
    <numFmt numFmtId="165" formatCode="[$-416]mmm\-yy;@"/>
    <numFmt numFmtId="166" formatCode="_(* #,##0.00_);_(* \(#,##0.00\);_(* &quot;-&quot;??_);_(@_)"/>
    <numFmt numFmtId="167" formatCode="d/m/yy;@"/>
    <numFmt numFmtId="168" formatCode="dd/mm/yy;@"/>
    <numFmt numFmtId="169" formatCode="_(* #,##0_);_(* \(#,##0\);_(* \-??_);_(@_)"/>
    <numFmt numFmtId="170" formatCode="_(* #,##0_);_(* \(#,##0\);_(* &quot;-&quot;??_);_(@_)"/>
    <numFmt numFmtId="171" formatCode="_(&quot;R$ &quot;* #,##0.00_);_(&quot;R$ &quot;* \(#,##0.00\);_(&quot;R$ &quot;* &quot;-&quot;??_);_(@_)"/>
    <numFmt numFmtId="172" formatCode="_(&quot;R$ &quot;* #,##0_);_(&quot;R$ &quot;* \(#,##0\);_(&quot;R$ &quot;* &quot;-&quot;??_);_(@_)"/>
    <numFmt numFmtId="173" formatCode="0.0%"/>
    <numFmt numFmtId="174" formatCode="0.000"/>
    <numFmt numFmtId="175" formatCode="_(&quot;R$ &quot;* #,##0.00000_);_(&quot;R$ &quot;* \(#,##0.00000\);_(&quot;R$ &quot;* &quot;-&quot;??_);_(@_)"/>
    <numFmt numFmtId="176" formatCode="0.000%"/>
    <numFmt numFmtId="177" formatCode="0.0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color indexed="8"/>
      <name val="Calibri"/>
      <family val="2"/>
    </font>
    <font>
      <b/>
      <sz val="18"/>
      <name val="Arial"/>
      <family val="2"/>
    </font>
    <font>
      <sz val="18"/>
      <color indexed="8"/>
      <name val="Calibri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theme="1"/>
      <name val="Tahoma"/>
      <family val="2"/>
    </font>
    <font>
      <sz val="10"/>
      <color indexed="8"/>
      <name val="Arial"/>
      <family val="2"/>
    </font>
    <font>
      <b/>
      <sz val="14"/>
      <color indexed="8"/>
      <name val="Calibri"/>
      <family val="2"/>
    </font>
    <font>
      <b/>
      <sz val="14"/>
      <color theme="0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0"/>
      <name val="MS Sans Serif"/>
      <family val="2"/>
    </font>
    <font>
      <b/>
      <sz val="10"/>
      <color indexed="9"/>
      <name val="Arial"/>
      <family val="2"/>
    </font>
    <font>
      <sz val="7"/>
      <color indexed="8"/>
      <name val="Arial"/>
      <family val="2"/>
    </font>
    <font>
      <sz val="10"/>
      <color indexed="10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Calibri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4" fillId="0" borderId="0" applyFill="0" applyBorder="0" applyAlignment="0" applyProtection="0"/>
    <xf numFmtId="0" fontId="5" fillId="0" borderId="0"/>
    <xf numFmtId="9" fontId="4" fillId="0" borderId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2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6" fillId="0" borderId="0" xfId="3" applyFont="1"/>
    <xf numFmtId="0" fontId="7" fillId="0" borderId="0" xfId="3" applyFont="1"/>
    <xf numFmtId="0" fontId="8" fillId="3" borderId="1" xfId="3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8" fillId="3" borderId="6" xfId="3" applyFont="1" applyFill="1" applyBorder="1" applyAlignment="1">
      <alignment horizontal="center" vertical="center"/>
    </xf>
    <xf numFmtId="0" fontId="9" fillId="0" borderId="6" xfId="3" applyFont="1" applyBorder="1" applyAlignment="1">
      <alignment horizontal="center" vertical="center"/>
    </xf>
    <xf numFmtId="0" fontId="9" fillId="0" borderId="7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10" fillId="0" borderId="6" xfId="3" applyFont="1" applyBorder="1" applyAlignment="1">
      <alignment vertical="center"/>
    </xf>
    <xf numFmtId="0" fontId="12" fillId="0" borderId="6" xfId="3" applyFont="1" applyBorder="1" applyAlignment="1">
      <alignment vertical="center"/>
    </xf>
    <xf numFmtId="0" fontId="12" fillId="0" borderId="4" xfId="3" applyFont="1" applyBorder="1" applyAlignment="1">
      <alignment horizontal="center" vertical="center"/>
    </xf>
    <xf numFmtId="0" fontId="14" fillId="4" borderId="12" xfId="3" applyFont="1" applyFill="1" applyBorder="1" applyAlignment="1">
      <alignment horizontal="center" vertical="center"/>
    </xf>
    <xf numFmtId="0" fontId="5" fillId="0" borderId="12" xfId="3" applyBorder="1" applyAlignment="1">
      <alignment horizontal="center" vertical="center"/>
    </xf>
    <xf numFmtId="3" fontId="5" fillId="0" borderId="12" xfId="3" applyNumberFormat="1" applyBorder="1" applyAlignment="1">
      <alignment horizontal="center" vertical="center"/>
    </xf>
    <xf numFmtId="0" fontId="15" fillId="4" borderId="13" xfId="3" applyFont="1" applyFill="1" applyBorder="1" applyAlignment="1">
      <alignment vertical="center"/>
    </xf>
    <xf numFmtId="165" fontId="13" fillId="0" borderId="13" xfId="3" applyNumberFormat="1" applyFont="1" applyBorder="1" applyAlignment="1">
      <alignment horizontal="center" vertical="center"/>
    </xf>
    <xf numFmtId="0" fontId="16" fillId="0" borderId="13" xfId="3" applyFont="1" applyBorder="1" applyAlignment="1">
      <alignment horizontal="center"/>
    </xf>
    <xf numFmtId="0" fontId="16" fillId="5" borderId="13" xfId="3" applyFont="1" applyFill="1" applyBorder="1" applyAlignment="1">
      <alignment horizontal="center"/>
    </xf>
    <xf numFmtId="0" fontId="16" fillId="5" borderId="12" xfId="3" applyFont="1" applyFill="1" applyBorder="1" applyAlignment="1">
      <alignment horizontal="center"/>
    </xf>
    <xf numFmtId="0" fontId="16" fillId="3" borderId="12" xfId="3" applyFont="1" applyFill="1" applyBorder="1" applyAlignment="1">
      <alignment horizontal="center"/>
    </xf>
    <xf numFmtId="166" fontId="0" fillId="0" borderId="12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left"/>
    </xf>
    <xf numFmtId="0" fontId="16" fillId="3" borderId="13" xfId="3" applyFont="1" applyFill="1" applyBorder="1" applyAlignment="1">
      <alignment horizontal="center"/>
    </xf>
    <xf numFmtId="0" fontId="5" fillId="0" borderId="13" xfId="3" applyBorder="1" applyAlignment="1">
      <alignment horizontal="center" vertical="center"/>
    </xf>
    <xf numFmtId="3" fontId="5" fillId="0" borderId="13" xfId="3" applyNumberFormat="1" applyBorder="1" applyAlignment="1">
      <alignment horizontal="center" vertical="center"/>
    </xf>
    <xf numFmtId="0" fontId="5" fillId="0" borderId="0" xfId="3" applyAlignment="1">
      <alignment horizontal="left"/>
    </xf>
    <xf numFmtId="0" fontId="15" fillId="4" borderId="14" xfId="3" applyFont="1" applyFill="1" applyBorder="1" applyAlignment="1">
      <alignment vertical="center"/>
    </xf>
    <xf numFmtId="165" fontId="13" fillId="0" borderId="15" xfId="3" applyNumberFormat="1" applyFont="1" applyBorder="1" applyAlignment="1">
      <alignment horizontal="center" vertical="center"/>
    </xf>
    <xf numFmtId="0" fontId="16" fillId="0" borderId="15" xfId="3" applyFont="1" applyBorder="1" applyAlignment="1">
      <alignment horizontal="center"/>
    </xf>
    <xf numFmtId="0" fontId="16" fillId="5" borderId="15" xfId="3" applyFont="1" applyFill="1" applyBorder="1" applyAlignment="1">
      <alignment horizontal="center"/>
    </xf>
    <xf numFmtId="0" fontId="16" fillId="3" borderId="15" xfId="3" applyFont="1" applyFill="1" applyBorder="1" applyAlignment="1">
      <alignment horizontal="center"/>
    </xf>
    <xf numFmtId="167" fontId="5" fillId="0" borderId="13" xfId="3" applyNumberFormat="1" applyBorder="1" applyAlignment="1">
      <alignment horizontal="center" vertical="center"/>
    </xf>
    <xf numFmtId="0" fontId="17" fillId="0" borderId="4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14" fontId="9" fillId="0" borderId="13" xfId="3" applyNumberFormat="1" applyFont="1" applyBorder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3" fontId="8" fillId="0" borderId="13" xfId="3" applyNumberFormat="1" applyFont="1" applyBorder="1" applyAlignment="1">
      <alignment horizontal="center" vertical="center"/>
    </xf>
    <xf numFmtId="10" fontId="8" fillId="0" borderId="13" xfId="3" applyNumberFormat="1" applyFont="1" applyBorder="1" applyAlignment="1">
      <alignment horizontal="center" vertical="center"/>
    </xf>
    <xf numFmtId="10" fontId="8" fillId="0" borderId="13" xfId="4" applyNumberFormat="1" applyFont="1" applyBorder="1" applyAlignment="1">
      <alignment horizontal="center" vertical="center"/>
    </xf>
    <xf numFmtId="10" fontId="8" fillId="0" borderId="16" xfId="4" applyNumberFormat="1" applyFont="1" applyBorder="1" applyAlignment="1">
      <alignment horizontal="center" vertical="center"/>
    </xf>
    <xf numFmtId="10" fontId="8" fillId="0" borderId="0" xfId="4" applyNumberFormat="1" applyFont="1" applyAlignment="1">
      <alignment horizontal="center" vertical="center"/>
    </xf>
    <xf numFmtId="2" fontId="9" fillId="0" borderId="0" xfId="3" applyNumberFormat="1" applyFont="1" applyAlignment="1">
      <alignment horizontal="center" vertical="center"/>
    </xf>
    <xf numFmtId="14" fontId="9" fillId="0" borderId="0" xfId="3" applyNumberFormat="1" applyFont="1" applyAlignment="1">
      <alignment horizontal="center" vertical="center"/>
    </xf>
    <xf numFmtId="10" fontId="18" fillId="6" borderId="17" xfId="4" applyNumberFormat="1" applyFont="1" applyFill="1" applyBorder="1" applyAlignment="1">
      <alignment horizontal="center" vertical="center"/>
    </xf>
    <xf numFmtId="0" fontId="19" fillId="0" borderId="1" xfId="3" applyFont="1" applyBorder="1" applyAlignment="1">
      <alignment horizontal="center" vertical="center" wrapText="1"/>
    </xf>
    <xf numFmtId="166" fontId="20" fillId="0" borderId="18" xfId="2" applyNumberFormat="1" applyFont="1" applyBorder="1" applyAlignment="1">
      <alignment horizontal="center" vertical="center" wrapText="1"/>
    </xf>
    <xf numFmtId="0" fontId="19" fillId="0" borderId="3" xfId="3" applyFont="1" applyBorder="1" applyAlignment="1">
      <alignment horizontal="center" vertical="center" wrapText="1"/>
    </xf>
    <xf numFmtId="0" fontId="19" fillId="0" borderId="18" xfId="3" applyFont="1" applyBorder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19" fillId="0" borderId="4" xfId="3" applyFont="1" applyBorder="1" applyAlignment="1">
      <alignment horizontal="center" vertical="center" wrapText="1"/>
    </xf>
    <xf numFmtId="3" fontId="19" fillId="0" borderId="20" xfId="3" applyNumberFormat="1" applyFont="1" applyBorder="1" applyAlignment="1">
      <alignment horizontal="center" vertical="center" wrapText="1"/>
    </xf>
    <xf numFmtId="3" fontId="20" fillId="0" borderId="20" xfId="2" applyNumberFormat="1" applyFont="1" applyBorder="1" applyAlignment="1">
      <alignment horizontal="center" vertical="center" wrapText="1"/>
    </xf>
    <xf numFmtId="3" fontId="19" fillId="0" borderId="5" xfId="3" applyNumberFormat="1" applyFont="1" applyBorder="1" applyAlignment="1">
      <alignment horizontal="center" vertical="center" wrapText="1"/>
    </xf>
    <xf numFmtId="0" fontId="19" fillId="0" borderId="6" xfId="3" applyFont="1" applyBorder="1" applyAlignment="1">
      <alignment horizontal="center" vertical="center" wrapText="1"/>
    </xf>
    <xf numFmtId="49" fontId="18" fillId="0" borderId="0" xfId="2" applyNumberFormat="1" applyFont="1" applyFill="1" applyBorder="1" applyAlignment="1" applyProtection="1">
      <alignment horizontal="center" vertical="center" textRotation="90"/>
      <protection hidden="1"/>
    </xf>
    <xf numFmtId="2" fontId="21" fillId="0" borderId="19" xfId="3" applyNumberFormat="1" applyFont="1" applyBorder="1" applyAlignment="1" applyProtection="1">
      <alignment horizontal="center" vertical="center"/>
      <protection hidden="1"/>
    </xf>
    <xf numFmtId="2" fontId="9" fillId="0" borderId="19" xfId="3" applyNumberFormat="1" applyFont="1" applyBorder="1" applyAlignment="1" applyProtection="1">
      <alignment horizontal="center" vertical="center"/>
      <protection hidden="1"/>
    </xf>
    <xf numFmtId="1" fontId="9" fillId="0" borderId="19" xfId="3" applyNumberFormat="1" applyFont="1" applyBorder="1" applyAlignment="1" applyProtection="1">
      <alignment horizontal="center" vertical="center"/>
      <protection hidden="1"/>
    </xf>
    <xf numFmtId="3" fontId="8" fillId="0" borderId="24" xfId="3" applyNumberFormat="1" applyFont="1" applyBorder="1" applyAlignment="1" applyProtection="1">
      <alignment horizontal="center" vertical="center"/>
      <protection hidden="1"/>
    </xf>
    <xf numFmtId="3" fontId="9" fillId="0" borderId="21" xfId="3" applyNumberFormat="1" applyFont="1" applyBorder="1" applyAlignment="1" applyProtection="1">
      <alignment horizontal="center" vertical="center"/>
      <protection hidden="1"/>
    </xf>
    <xf numFmtId="3" fontId="9" fillId="0" borderId="15" xfId="3" applyNumberFormat="1" applyFont="1" applyBorder="1" applyAlignment="1" applyProtection="1">
      <alignment horizontal="center" vertical="center"/>
      <protection hidden="1"/>
    </xf>
    <xf numFmtId="3" fontId="9" fillId="0" borderId="25" xfId="3" applyNumberFormat="1" applyFont="1" applyBorder="1" applyAlignment="1" applyProtection="1">
      <alignment horizontal="center" vertical="center"/>
      <protection hidden="1"/>
    </xf>
    <xf numFmtId="3" fontId="9" fillId="0" borderId="0" xfId="3" applyNumberFormat="1" applyFont="1" applyAlignment="1" applyProtection="1">
      <alignment horizontal="center" vertical="center"/>
      <protection hidden="1"/>
    </xf>
    <xf numFmtId="164" fontId="4" fillId="0" borderId="0" xfId="2" applyFill="1"/>
    <xf numFmtId="43" fontId="5" fillId="0" borderId="0" xfId="3" applyNumberFormat="1"/>
    <xf numFmtId="2" fontId="21" fillId="0" borderId="25" xfId="3" applyNumberFormat="1" applyFont="1" applyBorder="1" applyAlignment="1" applyProtection="1">
      <alignment horizontal="center" vertical="center"/>
      <protection hidden="1"/>
    </xf>
    <xf numFmtId="0" fontId="4" fillId="0" borderId="0" xfId="3" applyFont="1"/>
    <xf numFmtId="14" fontId="5" fillId="0" borderId="0" xfId="3" applyNumberFormat="1"/>
    <xf numFmtId="49" fontId="18" fillId="6" borderId="0" xfId="2" applyNumberFormat="1" applyFont="1" applyFill="1" applyBorder="1" applyAlignment="1" applyProtection="1">
      <alignment horizontal="center" vertical="center" textRotation="90"/>
      <protection hidden="1"/>
    </xf>
    <xf numFmtId="169" fontId="4" fillId="0" borderId="0" xfId="2" applyNumberFormat="1"/>
    <xf numFmtId="4" fontId="0" fillId="0" borderId="0" xfId="0" applyNumberFormat="1"/>
    <xf numFmtId="2" fontId="21" fillId="0" borderId="26" xfId="3" applyNumberFormat="1" applyFont="1" applyBorder="1" applyAlignment="1" applyProtection="1">
      <alignment horizontal="center" vertical="center"/>
      <protection hidden="1"/>
    </xf>
    <xf numFmtId="2" fontId="9" fillId="0" borderId="26" xfId="3" applyNumberFormat="1" applyFont="1" applyBorder="1" applyAlignment="1" applyProtection="1">
      <alignment horizontal="center" vertical="center"/>
      <protection hidden="1"/>
    </xf>
    <xf numFmtId="1" fontId="9" fillId="0" borderId="26" xfId="3" applyNumberFormat="1" applyFont="1" applyBorder="1" applyAlignment="1" applyProtection="1">
      <alignment horizontal="center" vertical="center"/>
      <protection hidden="1"/>
    </xf>
    <xf numFmtId="3" fontId="8" fillId="0" borderId="17" xfId="3" applyNumberFormat="1" applyFont="1" applyBorder="1" applyAlignment="1" applyProtection="1">
      <alignment horizontal="center" vertical="center"/>
      <protection hidden="1"/>
    </xf>
    <xf numFmtId="3" fontId="9" fillId="0" borderId="23" xfId="3" applyNumberFormat="1" applyFont="1" applyBorder="1" applyAlignment="1" applyProtection="1">
      <alignment horizontal="center" vertical="center"/>
      <protection hidden="1"/>
    </xf>
    <xf numFmtId="3" fontId="9" fillId="0" borderId="28" xfId="3" applyNumberFormat="1" applyFont="1" applyBorder="1" applyAlignment="1" applyProtection="1">
      <alignment horizontal="center" vertical="center"/>
      <protection hidden="1"/>
    </xf>
    <xf numFmtId="3" fontId="9" fillId="0" borderId="29" xfId="3" applyNumberFormat="1" applyFont="1" applyBorder="1" applyAlignment="1" applyProtection="1">
      <alignment horizontal="center" vertical="center"/>
      <protection hidden="1"/>
    </xf>
    <xf numFmtId="4" fontId="0" fillId="2" borderId="0" xfId="0" applyNumberFormat="1" applyFill="1" applyAlignment="1">
      <alignment horizontal="center" vertical="center"/>
    </xf>
    <xf numFmtId="2" fontId="9" fillId="0" borderId="24" xfId="3" applyNumberFormat="1" applyFont="1" applyBorder="1" applyAlignment="1" applyProtection="1">
      <alignment horizontal="center" vertical="center"/>
      <protection hidden="1"/>
    </xf>
    <xf numFmtId="2" fontId="9" fillId="0" borderId="17" xfId="3" applyNumberFormat="1" applyFont="1" applyBorder="1" applyAlignment="1" applyProtection="1">
      <alignment horizontal="center" vertical="center"/>
      <protection hidden="1"/>
    </xf>
    <xf numFmtId="2" fontId="21" fillId="0" borderId="30" xfId="3" applyNumberFormat="1" applyFont="1" applyBorder="1" applyAlignment="1" applyProtection="1">
      <alignment horizontal="center" vertical="center"/>
      <protection hidden="1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43" fontId="0" fillId="7" borderId="0" xfId="1" applyFont="1" applyFill="1" applyAlignment="1">
      <alignment horizontal="right"/>
    </xf>
    <xf numFmtId="0" fontId="0" fillId="7" borderId="0" xfId="0" applyFill="1" applyAlignment="1">
      <alignment horizontal="center" vertical="center"/>
    </xf>
    <xf numFmtId="3" fontId="0" fillId="7" borderId="0" xfId="0" applyNumberFormat="1" applyFill="1"/>
    <xf numFmtId="13" fontId="0" fillId="7" borderId="0" xfId="1" applyNumberFormat="1" applyFont="1" applyFill="1" applyAlignment="1">
      <alignment horizontal="right"/>
    </xf>
    <xf numFmtId="43" fontId="0" fillId="7" borderId="0" xfId="1" applyFont="1" applyFill="1" applyAlignment="1">
      <alignment horizontal="center" vertical="center"/>
    </xf>
    <xf numFmtId="0" fontId="0" fillId="7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49" fontId="18" fillId="8" borderId="0" xfId="2" applyNumberFormat="1" applyFont="1" applyFill="1" applyBorder="1" applyAlignment="1" applyProtection="1">
      <alignment horizontal="center" vertical="center" textRotation="90"/>
      <protection hidden="1"/>
    </xf>
    <xf numFmtId="2" fontId="21" fillId="8" borderId="19" xfId="3" applyNumberFormat="1" applyFont="1" applyFill="1" applyBorder="1" applyAlignment="1" applyProtection="1">
      <alignment horizontal="center" vertical="center"/>
      <protection hidden="1"/>
    </xf>
    <xf numFmtId="2" fontId="21" fillId="8" borderId="30" xfId="3" applyNumberFormat="1" applyFont="1" applyFill="1" applyBorder="1" applyAlignment="1" applyProtection="1">
      <alignment horizontal="center" vertical="center"/>
      <protection hidden="1"/>
    </xf>
    <xf numFmtId="2" fontId="9" fillId="8" borderId="24" xfId="3" applyNumberFormat="1" applyFont="1" applyFill="1" applyBorder="1" applyAlignment="1" applyProtection="1">
      <alignment horizontal="center" vertical="center"/>
      <protection hidden="1"/>
    </xf>
    <xf numFmtId="3" fontId="8" fillId="8" borderId="24" xfId="3" applyNumberFormat="1" applyFont="1" applyFill="1" applyBorder="1" applyAlignment="1" applyProtection="1">
      <alignment horizontal="center" vertical="center"/>
      <protection hidden="1"/>
    </xf>
    <xf numFmtId="3" fontId="9" fillId="8" borderId="0" xfId="3" applyNumberFormat="1" applyFont="1" applyFill="1" applyAlignment="1" applyProtection="1">
      <alignment horizontal="center" vertical="center"/>
      <protection hidden="1"/>
    </xf>
    <xf numFmtId="0" fontId="5" fillId="8" borderId="0" xfId="3" applyFill="1"/>
    <xf numFmtId="0" fontId="4" fillId="8" borderId="0" xfId="3" applyFont="1" applyFill="1"/>
    <xf numFmtId="14" fontId="5" fillId="8" borderId="0" xfId="3" applyNumberFormat="1" applyFill="1"/>
    <xf numFmtId="49" fontId="18" fillId="9" borderId="0" xfId="2" applyNumberFormat="1" applyFont="1" applyFill="1" applyBorder="1" applyAlignment="1" applyProtection="1">
      <alignment horizontal="center" vertical="center" textRotation="90"/>
      <protection hidden="1"/>
    </xf>
    <xf numFmtId="2" fontId="21" fillId="9" borderId="19" xfId="3" applyNumberFormat="1" applyFont="1" applyFill="1" applyBorder="1" applyAlignment="1" applyProtection="1">
      <alignment horizontal="center" vertical="center"/>
      <protection hidden="1"/>
    </xf>
    <xf numFmtId="2" fontId="21" fillId="9" borderId="30" xfId="3" applyNumberFormat="1" applyFont="1" applyFill="1" applyBorder="1" applyAlignment="1" applyProtection="1">
      <alignment horizontal="center" vertical="center"/>
      <protection hidden="1"/>
    </xf>
    <xf numFmtId="2" fontId="9" fillId="9" borderId="24" xfId="3" applyNumberFormat="1" applyFont="1" applyFill="1" applyBorder="1" applyAlignment="1" applyProtection="1">
      <alignment horizontal="center" vertical="center"/>
      <protection hidden="1"/>
    </xf>
    <xf numFmtId="3" fontId="8" fillId="9" borderId="24" xfId="3" applyNumberFormat="1" applyFont="1" applyFill="1" applyBorder="1" applyAlignment="1" applyProtection="1">
      <alignment horizontal="center" vertical="center"/>
      <protection hidden="1"/>
    </xf>
    <xf numFmtId="3" fontId="9" fillId="9" borderId="0" xfId="3" applyNumberFormat="1" applyFont="1" applyFill="1" applyAlignment="1" applyProtection="1">
      <alignment horizontal="center" vertical="center"/>
      <protection hidden="1"/>
    </xf>
    <xf numFmtId="0" fontId="5" fillId="9" borderId="0" xfId="3" applyFill="1"/>
    <xf numFmtId="0" fontId="4" fillId="9" borderId="0" xfId="3" applyFont="1" applyFill="1"/>
    <xf numFmtId="14" fontId="5" fillId="9" borderId="0" xfId="3" applyNumberFormat="1" applyFill="1"/>
    <xf numFmtId="4" fontId="5" fillId="8" borderId="0" xfId="3" applyNumberFormat="1" applyFill="1"/>
    <xf numFmtId="4" fontId="5" fillId="0" borderId="0" xfId="3" applyNumberFormat="1"/>
    <xf numFmtId="0" fontId="0" fillId="8" borderId="0" xfId="0" applyFill="1"/>
    <xf numFmtId="0" fontId="23" fillId="0" borderId="19" xfId="3" applyFont="1" applyBorder="1" applyAlignment="1">
      <alignment horizontal="center" vertical="center"/>
    </xf>
    <xf numFmtId="0" fontId="9" fillId="10" borderId="19" xfId="3" applyFont="1" applyFill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1" fontId="21" fillId="0" borderId="19" xfId="3" applyNumberFormat="1" applyFont="1" applyBorder="1" applyAlignment="1" applyProtection="1">
      <alignment horizontal="center" vertical="center"/>
      <protection hidden="1"/>
    </xf>
    <xf numFmtId="1" fontId="21" fillId="0" borderId="26" xfId="3" applyNumberFormat="1" applyFont="1" applyBorder="1" applyAlignment="1" applyProtection="1">
      <alignment horizontal="center" vertical="center"/>
      <protection hidden="1"/>
    </xf>
    <xf numFmtId="0" fontId="25" fillId="11" borderId="0" xfId="0" applyFont="1" applyFill="1" applyAlignment="1">
      <alignment vertical="center"/>
    </xf>
    <xf numFmtId="0" fontId="26" fillId="11" borderId="0" xfId="0" applyFont="1" applyFill="1" applyAlignment="1">
      <alignment vertical="center"/>
    </xf>
    <xf numFmtId="0" fontId="13" fillId="11" borderId="0" xfId="0" applyFont="1" applyFill="1" applyAlignment="1">
      <alignment vertical="center"/>
    </xf>
    <xf numFmtId="0" fontId="0" fillId="11" borderId="0" xfId="0" applyFill="1"/>
    <xf numFmtId="0" fontId="25" fillId="5" borderId="0" xfId="0" applyFont="1" applyFill="1" applyAlignment="1">
      <alignment vertical="center"/>
    </xf>
    <xf numFmtId="0" fontId="26" fillId="5" borderId="0" xfId="0" applyFont="1" applyFill="1" applyAlignment="1">
      <alignment vertical="center"/>
    </xf>
    <xf numFmtId="0" fontId="26" fillId="5" borderId="31" xfId="0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0" fillId="5" borderId="0" xfId="0" applyFill="1"/>
    <xf numFmtId="0" fontId="14" fillId="4" borderId="12" xfId="0" applyFont="1" applyFill="1" applyBorder="1" applyAlignment="1">
      <alignment horizontal="center" vertical="center"/>
    </xf>
    <xf numFmtId="0" fontId="26" fillId="4" borderId="13" xfId="0" applyFont="1" applyFill="1" applyBorder="1" applyAlignment="1">
      <alignment vertical="center"/>
    </xf>
    <xf numFmtId="165" fontId="13" fillId="5" borderId="12" xfId="0" applyNumberFormat="1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/>
    </xf>
    <xf numFmtId="1" fontId="26" fillId="5" borderId="0" xfId="0" applyNumberFormat="1" applyFont="1" applyFill="1" applyAlignment="1">
      <alignment vertical="center"/>
    </xf>
    <xf numFmtId="165" fontId="13" fillId="8" borderId="13" xfId="0" applyNumberFormat="1" applyFont="1" applyFill="1" applyBorder="1" applyAlignment="1">
      <alignment horizontal="center" vertical="center"/>
    </xf>
    <xf numFmtId="165" fontId="13" fillId="0" borderId="13" xfId="0" applyNumberFormat="1" applyFont="1" applyBorder="1" applyAlignment="1">
      <alignment horizontal="center" vertical="center"/>
    </xf>
    <xf numFmtId="170" fontId="16" fillId="5" borderId="13" xfId="1" applyNumberFormat="1" applyFont="1" applyFill="1" applyBorder="1" applyAlignment="1" applyProtection="1">
      <alignment horizontal="center"/>
    </xf>
    <xf numFmtId="1" fontId="26" fillId="3" borderId="0" xfId="0" applyNumberFormat="1" applyFont="1" applyFill="1" applyAlignment="1">
      <alignment vertical="center"/>
    </xf>
    <xf numFmtId="1" fontId="27" fillId="3" borderId="0" xfId="0" applyNumberFormat="1" applyFont="1" applyFill="1" applyAlignment="1">
      <alignment vertical="center"/>
    </xf>
    <xf numFmtId="0" fontId="13" fillId="4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wrapText="1"/>
    </xf>
    <xf numFmtId="0" fontId="7" fillId="4" borderId="13" xfId="0" applyFont="1" applyFill="1" applyBorder="1" applyAlignment="1">
      <alignment horizontal="center"/>
    </xf>
    <xf numFmtId="0" fontId="0" fillId="3" borderId="0" xfId="0" applyFill="1"/>
    <xf numFmtId="0" fontId="26" fillId="8" borderId="13" xfId="0" applyFont="1" applyFill="1" applyBorder="1" applyAlignment="1">
      <alignment vertical="center"/>
    </xf>
    <xf numFmtId="172" fontId="26" fillId="8" borderId="13" xfId="5" applyNumberFormat="1" applyFont="1" applyFill="1" applyBorder="1" applyAlignment="1" applyProtection="1">
      <alignment vertical="center"/>
    </xf>
    <xf numFmtId="172" fontId="26" fillId="5" borderId="13" xfId="5" applyNumberFormat="1" applyFont="1" applyFill="1" applyBorder="1" applyAlignment="1" applyProtection="1">
      <alignment vertical="center"/>
    </xf>
    <xf numFmtId="0" fontId="0" fillId="5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4" borderId="13" xfId="0" applyFont="1" applyFill="1" applyBorder="1"/>
    <xf numFmtId="0" fontId="0" fillId="0" borderId="12" xfId="0" applyBorder="1" applyAlignment="1">
      <alignment horizontal="center"/>
    </xf>
    <xf numFmtId="0" fontId="0" fillId="5" borderId="12" xfId="0" applyFill="1" applyBorder="1" applyAlignment="1">
      <alignment horizontal="center"/>
    </xf>
    <xf numFmtId="1" fontId="0" fillId="5" borderId="0" xfId="0" applyNumberFormat="1" applyFill="1"/>
    <xf numFmtId="165" fontId="4" fillId="5" borderId="0" xfId="0" applyNumberFormat="1" applyFont="1" applyFill="1"/>
    <xf numFmtId="17" fontId="0" fillId="3" borderId="0" xfId="0" applyNumberFormat="1" applyFill="1"/>
    <xf numFmtId="0" fontId="7" fillId="4" borderId="33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 wrapText="1"/>
    </xf>
    <xf numFmtId="173" fontId="0" fillId="8" borderId="12" xfId="6" applyNumberFormat="1" applyFont="1" applyFill="1" applyBorder="1" applyAlignment="1" applyProtection="1">
      <alignment horizontal="center"/>
    </xf>
    <xf numFmtId="173" fontId="0" fillId="8" borderId="13" xfId="6" applyNumberFormat="1" applyFont="1" applyFill="1" applyBorder="1" applyAlignment="1" applyProtection="1">
      <alignment horizontal="center"/>
    </xf>
    <xf numFmtId="173" fontId="0" fillId="12" borderId="33" xfId="6" applyNumberFormat="1" applyFont="1" applyFill="1" applyBorder="1" applyAlignment="1" applyProtection="1">
      <alignment horizontal="center"/>
    </xf>
    <xf numFmtId="10" fontId="0" fillId="5" borderId="13" xfId="6" applyNumberFormat="1" applyFont="1" applyFill="1" applyBorder="1" applyAlignment="1" applyProtection="1">
      <alignment horizontal="center"/>
    </xf>
    <xf numFmtId="0" fontId="4" fillId="4" borderId="13" xfId="0" applyFont="1" applyFill="1" applyBorder="1" applyAlignment="1">
      <alignment wrapText="1"/>
    </xf>
    <xf numFmtId="10" fontId="4" fillId="5" borderId="13" xfId="6" applyNumberFormat="1" applyFont="1" applyFill="1" applyBorder="1" applyAlignment="1">
      <alignment horizontal="center" wrapText="1"/>
    </xf>
    <xf numFmtId="0" fontId="0" fillId="13" borderId="13" xfId="0" applyFill="1" applyBorder="1" applyAlignment="1">
      <alignment horizontal="center"/>
    </xf>
    <xf numFmtId="0" fontId="4" fillId="13" borderId="13" xfId="0" applyFont="1" applyFill="1" applyBorder="1" applyAlignment="1">
      <alignment horizontal="center"/>
    </xf>
    <xf numFmtId="10" fontId="0" fillId="5" borderId="13" xfId="6" applyNumberFormat="1" applyFont="1" applyFill="1" applyBorder="1" applyAlignment="1">
      <alignment horizontal="center"/>
    </xf>
    <xf numFmtId="1" fontId="4" fillId="5" borderId="0" xfId="0" applyNumberFormat="1" applyFont="1" applyFill="1"/>
    <xf numFmtId="168" fontId="0" fillId="5" borderId="13" xfId="0" applyNumberFormat="1" applyFill="1" applyBorder="1" applyAlignment="1">
      <alignment horizontal="center" wrapText="1"/>
    </xf>
    <xf numFmtId="0" fontId="4" fillId="5" borderId="13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vertical="center" wrapText="1"/>
    </xf>
    <xf numFmtId="166" fontId="4" fillId="5" borderId="13" xfId="0" applyNumberFormat="1" applyFont="1" applyFill="1" applyBorder="1" applyAlignment="1">
      <alignment horizontal="center" wrapText="1"/>
    </xf>
    <xf numFmtId="0" fontId="0" fillId="5" borderId="0" xfId="0" applyFill="1" applyAlignment="1">
      <alignment horizontal="left" wrapText="1"/>
    </xf>
    <xf numFmtId="44" fontId="0" fillId="3" borderId="0" xfId="5" applyFont="1" applyFill="1" applyBorder="1" applyProtection="1"/>
    <xf numFmtId="0" fontId="0" fillId="4" borderId="13" xfId="0" applyFill="1" applyBorder="1" applyAlignment="1">
      <alignment wrapText="1"/>
    </xf>
    <xf numFmtId="0" fontId="4" fillId="3" borderId="0" xfId="0" applyFont="1" applyFill="1"/>
    <xf numFmtId="9" fontId="4" fillId="3" borderId="0" xfId="6" applyFont="1" applyFill="1" applyBorder="1" applyAlignment="1" applyProtection="1"/>
    <xf numFmtId="9" fontId="28" fillId="3" borderId="0" xfId="6" quotePrefix="1" applyFont="1" applyFill="1" applyBorder="1" applyAlignment="1" applyProtection="1">
      <alignment wrapText="1"/>
      <protection hidden="1"/>
    </xf>
    <xf numFmtId="173" fontId="0" fillId="5" borderId="13" xfId="6" applyNumberFormat="1" applyFont="1" applyFill="1" applyBorder="1" applyAlignment="1" applyProtection="1">
      <alignment horizontal="center"/>
    </xf>
    <xf numFmtId="0" fontId="4" fillId="5" borderId="0" xfId="0" applyFont="1" applyFill="1" applyAlignment="1">
      <alignment horizontal="center" wrapText="1"/>
    </xf>
    <xf numFmtId="10" fontId="4" fillId="5" borderId="0" xfId="6" applyNumberFormat="1" applyFont="1" applyFill="1" applyBorder="1" applyAlignment="1" applyProtection="1">
      <alignment horizontal="center"/>
    </xf>
    <xf numFmtId="172" fontId="4" fillId="5" borderId="0" xfId="5" applyNumberFormat="1" applyFont="1" applyFill="1" applyBorder="1" applyAlignment="1" applyProtection="1">
      <alignment horizontal="center"/>
    </xf>
    <xf numFmtId="173" fontId="7" fillId="5" borderId="0" xfId="6" applyNumberFormat="1" applyFont="1" applyFill="1" applyBorder="1" applyAlignment="1" applyProtection="1">
      <alignment horizontal="center"/>
    </xf>
    <xf numFmtId="17" fontId="4" fillId="5" borderId="0" xfId="0" applyNumberFormat="1" applyFont="1" applyFill="1" applyAlignment="1">
      <alignment horizontal="center"/>
    </xf>
    <xf numFmtId="174" fontId="0" fillId="5" borderId="0" xfId="0" applyNumberFormat="1" applyFill="1" applyAlignment="1">
      <alignment horizontal="center"/>
    </xf>
    <xf numFmtId="44" fontId="4" fillId="5" borderId="0" xfId="5" applyFont="1" applyFill="1" applyBorder="1" applyAlignment="1" applyProtection="1">
      <alignment horizontal="center"/>
    </xf>
    <xf numFmtId="10" fontId="4" fillId="3" borderId="0" xfId="6" applyNumberFormat="1" applyFont="1" applyFill="1" applyBorder="1" applyAlignment="1" applyProtection="1">
      <alignment horizontal="center"/>
    </xf>
    <xf numFmtId="43" fontId="4" fillId="3" borderId="0" xfId="1" applyFont="1" applyFill="1" applyBorder="1" applyAlignment="1" applyProtection="1">
      <alignment horizontal="center"/>
    </xf>
    <xf numFmtId="172" fontId="0" fillId="3" borderId="0" xfId="0" applyNumberFormat="1" applyFill="1"/>
    <xf numFmtId="0" fontId="0" fillId="4" borderId="13" xfId="0" applyFill="1" applyBorder="1" applyAlignment="1">
      <alignment horizontal="center"/>
    </xf>
    <xf numFmtId="10" fontId="4" fillId="4" borderId="13" xfId="6" applyNumberFormat="1" applyFont="1" applyFill="1" applyBorder="1" applyAlignment="1" applyProtection="1">
      <alignment horizontal="center"/>
    </xf>
    <xf numFmtId="10" fontId="0" fillId="3" borderId="0" xfId="6" applyNumberFormat="1" applyFont="1" applyFill="1" applyProtection="1"/>
    <xf numFmtId="170" fontId="4" fillId="5" borderId="0" xfId="1" applyNumberFormat="1" applyFont="1" applyFill="1" applyBorder="1" applyAlignment="1" applyProtection="1">
      <alignment horizontal="right"/>
    </xf>
    <xf numFmtId="0" fontId="0" fillId="0" borderId="12" xfId="0" applyBorder="1"/>
    <xf numFmtId="2" fontId="0" fillId="0" borderId="12" xfId="0" applyNumberFormat="1" applyBorder="1" applyAlignment="1">
      <alignment horizontal="center"/>
    </xf>
    <xf numFmtId="172" fontId="0" fillId="0" borderId="12" xfId="0" applyNumberFormat="1" applyBorder="1"/>
    <xf numFmtId="172" fontId="4" fillId="5" borderId="13" xfId="5" applyNumberFormat="1" applyFont="1" applyFill="1" applyBorder="1" applyAlignment="1" applyProtection="1">
      <alignment horizontal="center"/>
    </xf>
    <xf numFmtId="172" fontId="4" fillId="3" borderId="0" xfId="5" applyNumberFormat="1" applyFont="1" applyFill="1" applyBorder="1" applyAlignment="1" applyProtection="1">
      <alignment horizontal="center"/>
    </xf>
    <xf numFmtId="10" fontId="4" fillId="3" borderId="0" xfId="6" applyNumberFormat="1" applyFont="1" applyFill="1" applyBorder="1" applyAlignment="1" applyProtection="1"/>
    <xf numFmtId="10" fontId="4" fillId="5" borderId="0" xfId="6" applyNumberFormat="1" applyFont="1" applyFill="1" applyBorder="1" applyAlignment="1" applyProtection="1"/>
    <xf numFmtId="9" fontId="4" fillId="5" borderId="0" xfId="6" applyFont="1" applyFill="1" applyProtection="1"/>
    <xf numFmtId="39" fontId="13" fillId="0" borderId="0" xfId="0" applyNumberFormat="1" applyFont="1" applyAlignment="1">
      <alignment horizontal="center" vertical="center"/>
    </xf>
    <xf numFmtId="0" fontId="29" fillId="11" borderId="0" xfId="0" applyFont="1" applyFill="1"/>
    <xf numFmtId="0" fontId="29" fillId="11" borderId="0" xfId="0" applyFont="1" applyFill="1" applyAlignment="1">
      <alignment horizontal="center"/>
    </xf>
    <xf numFmtId="0" fontId="7" fillId="5" borderId="0" xfId="0" applyFont="1" applyFill="1"/>
    <xf numFmtId="0" fontId="0" fillId="4" borderId="16" xfId="0" applyFill="1" applyBorder="1" applyAlignment="1">
      <alignment horizontal="center"/>
    </xf>
    <xf numFmtId="0" fontId="0" fillId="4" borderId="13" xfId="0" applyFill="1" applyBorder="1" applyAlignment="1">
      <alignment horizontal="center" wrapText="1"/>
    </xf>
    <xf numFmtId="172" fontId="0" fillId="0" borderId="0" xfId="0" applyNumberFormat="1"/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0" fontId="4" fillId="0" borderId="13" xfId="6" applyNumberFormat="1" applyFont="1" applyBorder="1" applyAlignment="1" applyProtection="1">
      <alignment horizontal="center"/>
    </xf>
    <xf numFmtId="10" fontId="0" fillId="12" borderId="13" xfId="6" applyNumberFormat="1" applyFont="1" applyFill="1" applyBorder="1" applyAlignment="1" applyProtection="1">
      <alignment horizontal="center"/>
    </xf>
    <xf numFmtId="43" fontId="0" fillId="0" borderId="12" xfId="1" applyFont="1" applyBorder="1" applyAlignment="1" applyProtection="1">
      <alignment horizontal="center"/>
    </xf>
    <xf numFmtId="0" fontId="4" fillId="0" borderId="13" xfId="0" applyFont="1" applyBorder="1" applyAlignment="1">
      <alignment horizontal="center"/>
    </xf>
    <xf numFmtId="17" fontId="0" fillId="12" borderId="13" xfId="0" applyNumberFormat="1" applyFill="1" applyBorder="1" applyAlignment="1">
      <alignment horizontal="center"/>
    </xf>
    <xf numFmtId="17" fontId="0" fillId="3" borderId="13" xfId="0" applyNumberFormat="1" applyFill="1" applyBorder="1" applyAlignment="1">
      <alignment horizontal="center"/>
    </xf>
    <xf numFmtId="10" fontId="0" fillId="5" borderId="0" xfId="6" applyNumberFormat="1" applyFont="1" applyFill="1" applyProtection="1"/>
    <xf numFmtId="43" fontId="0" fillId="0" borderId="13" xfId="1" applyFont="1" applyBorder="1" applyAlignment="1" applyProtection="1">
      <alignment horizontal="center"/>
    </xf>
    <xf numFmtId="2" fontId="0" fillId="5" borderId="0" xfId="6" applyNumberFormat="1" applyFont="1" applyFill="1" applyProtection="1"/>
    <xf numFmtId="0" fontId="0" fillId="14" borderId="13" xfId="0" applyFill="1" applyBorder="1" applyAlignment="1">
      <alignment horizontal="center"/>
    </xf>
    <xf numFmtId="10" fontId="7" fillId="14" borderId="13" xfId="6" applyNumberFormat="1" applyFont="1" applyFill="1" applyBorder="1" applyAlignment="1" applyProtection="1">
      <alignment horizontal="center"/>
    </xf>
    <xf numFmtId="10" fontId="0" fillId="14" borderId="14" xfId="6" applyNumberFormat="1" applyFont="1" applyFill="1" applyBorder="1" applyAlignment="1" applyProtection="1"/>
    <xf numFmtId="10" fontId="0" fillId="14" borderId="15" xfId="6" applyNumberFormat="1" applyFont="1" applyFill="1" applyBorder="1" applyAlignment="1" applyProtection="1"/>
    <xf numFmtId="10" fontId="0" fillId="14" borderId="33" xfId="6" applyNumberFormat="1" applyFont="1" applyFill="1" applyBorder="1" applyAlignment="1" applyProtection="1"/>
    <xf numFmtId="10" fontId="0" fillId="5" borderId="0" xfId="6" applyNumberFormat="1" applyFont="1" applyFill="1" applyBorder="1" applyAlignment="1" applyProtection="1"/>
    <xf numFmtId="171" fontId="7" fillId="5" borderId="0" xfId="0" applyNumberFormat="1" applyFont="1" applyFill="1" applyAlignment="1">
      <alignment horizontal="center"/>
    </xf>
    <xf numFmtId="10" fontId="7" fillId="5" borderId="0" xfId="6" applyNumberFormat="1" applyFont="1" applyFill="1" applyBorder="1" applyAlignment="1" applyProtection="1">
      <alignment horizontal="center"/>
    </xf>
    <xf numFmtId="10" fontId="0" fillId="5" borderId="0" xfId="6" applyNumberFormat="1" applyFont="1" applyFill="1" applyBorder="1" applyAlignment="1" applyProtection="1">
      <alignment horizontal="center"/>
    </xf>
    <xf numFmtId="0" fontId="7" fillId="5" borderId="0" xfId="0" applyFont="1" applyFill="1" applyAlignment="1">
      <alignment horizontal="center"/>
    </xf>
    <xf numFmtId="0" fontId="29" fillId="5" borderId="0" xfId="0" applyFont="1" applyFill="1"/>
    <xf numFmtId="0" fontId="29" fillId="5" borderId="0" xfId="0" applyFont="1" applyFill="1" applyAlignment="1">
      <alignment horizontal="center"/>
    </xf>
    <xf numFmtId="173" fontId="0" fillId="5" borderId="0" xfId="6" applyNumberFormat="1" applyFont="1" applyFill="1" applyBorder="1" applyAlignment="1" applyProtection="1">
      <alignment horizontal="center"/>
    </xf>
    <xf numFmtId="43" fontId="7" fillId="5" borderId="0" xfId="1" applyFont="1" applyFill="1" applyBorder="1" applyAlignment="1" applyProtection="1">
      <alignment horizontal="center"/>
    </xf>
    <xf numFmtId="43" fontId="7" fillId="5" borderId="0" xfId="1" applyFont="1" applyFill="1" applyBorder="1" applyAlignment="1" applyProtection="1">
      <alignment horizontal="center" wrapText="1"/>
    </xf>
    <xf numFmtId="0" fontId="4" fillId="5" borderId="0" xfId="0" applyFont="1" applyFill="1"/>
    <xf numFmtId="10" fontId="7" fillId="5" borderId="0" xfId="6" applyNumberFormat="1" applyFont="1" applyFill="1" applyBorder="1" applyAlignment="1" applyProtection="1">
      <alignment horizontal="center" wrapText="1"/>
    </xf>
    <xf numFmtId="0" fontId="7" fillId="0" borderId="0" xfId="0" applyFont="1" applyAlignment="1">
      <alignment horizontal="center"/>
    </xf>
    <xf numFmtId="10" fontId="0" fillId="12" borderId="12" xfId="0" applyNumberForma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37" fontId="0" fillId="12" borderId="13" xfId="0" applyNumberFormat="1" applyFill="1" applyBorder="1" applyAlignment="1">
      <alignment horizontal="center"/>
    </xf>
    <xf numFmtId="2" fontId="0" fillId="15" borderId="12" xfId="0" applyNumberFormat="1" applyFill="1" applyBorder="1" applyAlignment="1">
      <alignment horizontal="center"/>
    </xf>
    <xf numFmtId="10" fontId="0" fillId="0" borderId="0" xfId="6" applyNumberFormat="1" applyFont="1" applyProtection="1"/>
    <xf numFmtId="10" fontId="0" fillId="0" borderId="0" xfId="1" applyNumberFormat="1" applyFont="1" applyBorder="1" applyProtection="1">
      <protection hidden="1"/>
    </xf>
    <xf numFmtId="173" fontId="0" fillId="0" borderId="0" xfId="6" applyNumberFormat="1" applyFont="1" applyAlignment="1" applyProtection="1">
      <alignment horizontal="center"/>
    </xf>
    <xf numFmtId="43" fontId="0" fillId="0" borderId="0" xfId="1" applyFont="1" applyProtection="1"/>
    <xf numFmtId="43" fontId="4" fillId="0" borderId="0" xfId="1" applyFont="1" applyProtection="1"/>
    <xf numFmtId="43" fontId="0" fillId="0" borderId="0" xfId="0" applyNumberFormat="1"/>
    <xf numFmtId="166" fontId="0" fillId="0" borderId="0" xfId="0" applyNumberFormat="1"/>
    <xf numFmtId="10" fontId="0" fillId="12" borderId="13" xfId="0" applyNumberFormat="1" applyFill="1" applyBorder="1" applyAlignment="1">
      <alignment horizontal="center"/>
    </xf>
    <xf numFmtId="2" fontId="0" fillId="15" borderId="13" xfId="0" applyNumberForma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172" fontId="0" fillId="5" borderId="0" xfId="5" applyNumberFormat="1" applyFont="1" applyFill="1" applyBorder="1" applyAlignment="1" applyProtection="1">
      <alignment horizontal="center"/>
    </xf>
    <xf numFmtId="0" fontId="30" fillId="5" borderId="0" xfId="0" applyFont="1" applyFill="1" applyAlignment="1">
      <alignment horizontal="center" vertical="top"/>
    </xf>
    <xf numFmtId="0" fontId="4" fillId="0" borderId="0" xfId="0" applyFont="1"/>
    <xf numFmtId="0" fontId="0" fillId="14" borderId="34" xfId="0" applyFill="1" applyBorder="1" applyAlignment="1">
      <alignment horizontal="center"/>
    </xf>
    <xf numFmtId="0" fontId="0" fillId="14" borderId="13" xfId="0" applyFill="1" applyBorder="1" applyAlignment="1">
      <alignment horizontal="center" wrapText="1"/>
    </xf>
    <xf numFmtId="0" fontId="0" fillId="14" borderId="34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13" xfId="0" applyBorder="1"/>
    <xf numFmtId="2" fontId="0" fillId="0" borderId="13" xfId="0" applyNumberFormat="1" applyBorder="1" applyAlignment="1">
      <alignment horizontal="center"/>
    </xf>
    <xf numFmtId="172" fontId="0" fillId="0" borderId="13" xfId="5" applyNumberFormat="1" applyFont="1" applyBorder="1" applyAlignment="1" applyProtection="1">
      <alignment horizontal="center"/>
    </xf>
    <xf numFmtId="172" fontId="0" fillId="0" borderId="14" xfId="5" applyNumberFormat="1" applyFont="1" applyBorder="1" applyProtection="1"/>
    <xf numFmtId="172" fontId="0" fillId="0" borderId="13" xfId="5" applyNumberFormat="1" applyFont="1" applyBorder="1" applyProtection="1"/>
    <xf numFmtId="172" fontId="0" fillId="3" borderId="0" xfId="5" applyNumberFormat="1" applyFont="1" applyFill="1" applyBorder="1" applyProtection="1"/>
    <xf numFmtId="0" fontId="7" fillId="0" borderId="13" xfId="0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172" fontId="7" fillId="0" borderId="13" xfId="0" applyNumberFormat="1" applyFont="1" applyBorder="1" applyAlignment="1">
      <alignment horizontal="center"/>
    </xf>
    <xf numFmtId="172" fontId="7" fillId="0" borderId="14" xfId="5" applyNumberFormat="1" applyFont="1" applyBorder="1" applyAlignment="1" applyProtection="1">
      <alignment horizontal="center"/>
    </xf>
    <xf numFmtId="172" fontId="7" fillId="3" borderId="0" xfId="5" applyNumberFormat="1" applyFont="1" applyFill="1" applyBorder="1" applyAlignment="1" applyProtection="1">
      <alignment horizontal="center"/>
    </xf>
    <xf numFmtId="175" fontId="0" fillId="3" borderId="0" xfId="0" applyNumberFormat="1" applyFill="1"/>
    <xf numFmtId="176" fontId="0" fillId="5" borderId="0" xfId="6" applyNumberFormat="1" applyFont="1" applyFill="1" applyProtection="1"/>
    <xf numFmtId="9" fontId="0" fillId="5" borderId="0" xfId="6" applyFont="1" applyFill="1" applyProtection="1"/>
    <xf numFmtId="0" fontId="4" fillId="11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13" xfId="0" applyFont="1" applyFill="1" applyBorder="1" applyAlignment="1">
      <alignment horizontal="center" wrapText="1"/>
    </xf>
    <xf numFmtId="17" fontId="4" fillId="0" borderId="13" xfId="0" applyNumberFormat="1" applyFont="1" applyBorder="1" applyAlignment="1">
      <alignment horizontal="center"/>
    </xf>
    <xf numFmtId="10" fontId="0" fillId="0" borderId="12" xfId="6" applyNumberFormat="1" applyFont="1" applyBorder="1" applyAlignment="1" applyProtection="1">
      <alignment horizontal="center"/>
    </xf>
    <xf numFmtId="172" fontId="4" fillId="12" borderId="13" xfId="5" applyNumberFormat="1" applyFont="1" applyFill="1" applyBorder="1" applyAlignment="1" applyProtection="1">
      <alignment horizontal="center"/>
    </xf>
    <xf numFmtId="172" fontId="4" fillId="0" borderId="13" xfId="5" applyNumberFormat="1" applyFont="1" applyFill="1" applyBorder="1" applyAlignment="1" applyProtection="1">
      <alignment horizontal="center"/>
    </xf>
    <xf numFmtId="177" fontId="0" fillId="12" borderId="12" xfId="0" applyNumberFormat="1" applyFill="1" applyBorder="1" applyAlignment="1">
      <alignment horizontal="center"/>
    </xf>
    <xf numFmtId="17" fontId="31" fillId="0" borderId="13" xfId="0" applyNumberFormat="1" applyFont="1" applyBorder="1" applyAlignment="1">
      <alignment horizontal="center"/>
    </xf>
    <xf numFmtId="10" fontId="0" fillId="0" borderId="13" xfId="6" applyNumberFormat="1" applyFont="1" applyBorder="1" applyAlignment="1" applyProtection="1">
      <alignment horizontal="center"/>
    </xf>
    <xf numFmtId="17" fontId="7" fillId="4" borderId="14" xfId="0" applyNumberFormat="1" applyFont="1" applyFill="1" applyBorder="1" applyAlignment="1">
      <alignment horizontal="center"/>
    </xf>
    <xf numFmtId="10" fontId="7" fillId="4" borderId="13" xfId="6" applyNumberFormat="1" applyFont="1" applyFill="1" applyBorder="1" applyAlignment="1" applyProtection="1">
      <alignment horizontal="center"/>
    </xf>
    <xf numFmtId="173" fontId="7" fillId="4" borderId="13" xfId="6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22" fontId="0" fillId="0" borderId="0" xfId="0" applyNumberFormat="1"/>
    <xf numFmtId="0" fontId="33" fillId="0" borderId="0" xfId="3" applyFont="1"/>
    <xf numFmtId="0" fontId="34" fillId="0" borderId="2" xfId="3" applyFont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4" fillId="0" borderId="7" xfId="3" applyFont="1" applyBorder="1" applyAlignment="1">
      <alignment horizontal="center" vertical="center"/>
    </xf>
    <xf numFmtId="0" fontId="37" fillId="0" borderId="12" xfId="3" applyFont="1" applyBorder="1" applyAlignment="1">
      <alignment horizontal="center" vertical="center"/>
    </xf>
    <xf numFmtId="0" fontId="33" fillId="0" borderId="13" xfId="3" applyFont="1" applyBorder="1" applyAlignment="1">
      <alignment horizontal="center"/>
    </xf>
    <xf numFmtId="0" fontId="33" fillId="0" borderId="15" xfId="3" applyFont="1" applyBorder="1" applyAlignment="1">
      <alignment horizontal="center"/>
    </xf>
    <xf numFmtId="0" fontId="24" fillId="0" borderId="1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2" fontId="21" fillId="16" borderId="30" xfId="3" applyNumberFormat="1" applyFont="1" applyFill="1" applyBorder="1" applyAlignment="1" applyProtection="1">
      <alignment horizontal="center" vertical="center"/>
      <protection hidden="1"/>
    </xf>
    <xf numFmtId="2" fontId="9" fillId="16" borderId="24" xfId="3" applyNumberFormat="1" applyFont="1" applyFill="1" applyBorder="1" applyAlignment="1" applyProtection="1">
      <alignment horizontal="center" vertical="center"/>
      <protection hidden="1"/>
    </xf>
    <xf numFmtId="3" fontId="9" fillId="16" borderId="0" xfId="3" applyNumberFormat="1" applyFont="1" applyFill="1" applyAlignment="1" applyProtection="1">
      <alignment horizontal="center" vertical="center"/>
      <protection hidden="1"/>
    </xf>
    <xf numFmtId="170" fontId="16" fillId="5" borderId="13" xfId="0" applyNumberFormat="1" applyFont="1" applyFill="1" applyBorder="1" applyAlignment="1">
      <alignment horizontal="center"/>
    </xf>
    <xf numFmtId="0" fontId="6" fillId="13" borderId="0" xfId="3" applyFont="1" applyFill="1"/>
    <xf numFmtId="0" fontId="19" fillId="0" borderId="20" xfId="3" applyFont="1" applyBorder="1" applyAlignment="1">
      <alignment horizontal="center" vertical="center" wrapText="1"/>
    </xf>
    <xf numFmtId="3" fontId="11" fillId="0" borderId="0" xfId="3" applyNumberFormat="1" applyFont="1" applyAlignment="1" applyProtection="1">
      <alignment horizontal="center" vertical="center"/>
      <protection hidden="1"/>
    </xf>
    <xf numFmtId="3" fontId="11" fillId="13" borderId="0" xfId="3" applyNumberFormat="1" applyFont="1" applyFill="1" applyAlignment="1" applyProtection="1">
      <alignment horizontal="center" vertical="center"/>
      <protection hidden="1"/>
    </xf>
    <xf numFmtId="3" fontId="11" fillId="17" borderId="0" xfId="3" applyNumberFormat="1" applyFont="1" applyFill="1" applyAlignment="1" applyProtection="1">
      <alignment horizontal="center" vertical="center"/>
      <protection hidden="1"/>
    </xf>
    <xf numFmtId="2" fontId="21" fillId="0" borderId="27" xfId="3" applyNumberFormat="1" applyFont="1" applyBorder="1" applyAlignment="1" applyProtection="1">
      <alignment horizontal="center" vertical="center"/>
      <protection hidden="1"/>
    </xf>
    <xf numFmtId="2" fontId="21" fillId="0" borderId="31" xfId="3" applyNumberFormat="1" applyFont="1" applyBorder="1" applyAlignment="1" applyProtection="1">
      <alignment horizontal="center" vertical="center"/>
      <protection hidden="1"/>
    </xf>
    <xf numFmtId="2" fontId="21" fillId="8" borderId="31" xfId="3" applyNumberFormat="1" applyFont="1" applyFill="1" applyBorder="1" applyAlignment="1" applyProtection="1">
      <alignment horizontal="center" vertical="center"/>
      <protection hidden="1"/>
    </xf>
    <xf numFmtId="3" fontId="8" fillId="0" borderId="27" xfId="3" applyNumberFormat="1" applyFont="1" applyBorder="1" applyAlignment="1" applyProtection="1">
      <alignment horizontal="center" vertical="center"/>
      <protection hidden="1"/>
    </xf>
    <xf numFmtId="3" fontId="8" fillId="0" borderId="31" xfId="3" applyNumberFormat="1" applyFont="1" applyBorder="1" applyAlignment="1" applyProtection="1">
      <alignment horizontal="center" vertical="center"/>
      <protection hidden="1"/>
    </xf>
    <xf numFmtId="166" fontId="20" fillId="0" borderId="20" xfId="2" applyNumberFormat="1" applyFont="1" applyBorder="1" applyAlignment="1">
      <alignment horizontal="center" vertical="center" wrapText="1"/>
    </xf>
    <xf numFmtId="168" fontId="19" fillId="0" borderId="5" xfId="3" applyNumberFormat="1" applyFont="1" applyBorder="1" applyAlignment="1">
      <alignment horizontal="center" vertical="center" wrapText="1"/>
    </xf>
    <xf numFmtId="168" fontId="19" fillId="0" borderId="20" xfId="3" applyNumberFormat="1" applyFont="1" applyBorder="1" applyAlignment="1">
      <alignment horizontal="center" vertical="center" wrapText="1"/>
    </xf>
    <xf numFmtId="1" fontId="21" fillId="0" borderId="18" xfId="3" applyNumberFormat="1" applyFont="1" applyBorder="1" applyAlignment="1" applyProtection="1">
      <alignment horizontal="center" vertical="center"/>
      <protection hidden="1"/>
    </xf>
    <xf numFmtId="2" fontId="21" fillId="0" borderId="18" xfId="3" applyNumberFormat="1" applyFont="1" applyBorder="1" applyAlignment="1" applyProtection="1">
      <alignment horizontal="center" vertical="center"/>
      <protection hidden="1"/>
    </xf>
    <xf numFmtId="2" fontId="21" fillId="0" borderId="35" xfId="3" applyNumberFormat="1" applyFont="1" applyBorder="1" applyAlignment="1" applyProtection="1">
      <alignment horizontal="center" vertical="center"/>
      <protection hidden="1"/>
    </xf>
    <xf numFmtId="2" fontId="21" fillId="0" borderId="5" xfId="3" applyNumberFormat="1" applyFont="1" applyBorder="1" applyAlignment="1" applyProtection="1">
      <alignment horizontal="center" vertical="center"/>
      <protection hidden="1"/>
    </xf>
    <xf numFmtId="0" fontId="24" fillId="0" borderId="18" xfId="3" applyFont="1" applyBorder="1" applyAlignment="1">
      <alignment horizontal="center" vertical="center"/>
    </xf>
    <xf numFmtId="2" fontId="9" fillId="0" borderId="18" xfId="3" applyNumberFormat="1" applyFont="1" applyBorder="1" applyAlignment="1" applyProtection="1">
      <alignment horizontal="center" vertical="center"/>
      <protection hidden="1"/>
    </xf>
    <xf numFmtId="1" fontId="9" fillId="0" borderId="18" xfId="3" applyNumberFormat="1" applyFont="1" applyBorder="1" applyAlignment="1" applyProtection="1">
      <alignment horizontal="center" vertical="center"/>
      <protection hidden="1"/>
    </xf>
    <xf numFmtId="2" fontId="9" fillId="0" borderId="20" xfId="3" applyNumberFormat="1" applyFont="1" applyBorder="1" applyAlignment="1" applyProtection="1">
      <alignment horizontal="center" vertical="center"/>
      <protection hidden="1"/>
    </xf>
    <xf numFmtId="3" fontId="9" fillId="0" borderId="22" xfId="3" applyNumberFormat="1" applyFont="1" applyBorder="1" applyAlignment="1" applyProtection="1">
      <alignment horizontal="center" vertical="center"/>
      <protection hidden="1"/>
    </xf>
    <xf numFmtId="3" fontId="9" fillId="0" borderId="36" xfId="3" applyNumberFormat="1" applyFont="1" applyBorder="1" applyAlignment="1" applyProtection="1">
      <alignment horizontal="center" vertical="center"/>
      <protection hidden="1"/>
    </xf>
    <xf numFmtId="3" fontId="9" fillId="0" borderId="35" xfId="3" applyNumberFormat="1" applyFont="1" applyBorder="1" applyAlignment="1" applyProtection="1">
      <alignment horizontal="center" vertical="center"/>
      <protection hidden="1"/>
    </xf>
    <xf numFmtId="0" fontId="23" fillId="0" borderId="18" xfId="3" applyFont="1" applyBorder="1" applyAlignment="1">
      <alignment horizontal="center" vertical="center"/>
    </xf>
    <xf numFmtId="0" fontId="9" fillId="10" borderId="18" xfId="3" applyFont="1" applyFill="1" applyBorder="1" applyAlignment="1">
      <alignment horizontal="center" vertical="center"/>
    </xf>
    <xf numFmtId="1" fontId="21" fillId="8" borderId="18" xfId="3" applyNumberFormat="1" applyFont="1" applyFill="1" applyBorder="1" applyAlignment="1" applyProtection="1">
      <alignment horizontal="center" vertical="center"/>
      <protection hidden="1"/>
    </xf>
    <xf numFmtId="2" fontId="21" fillId="8" borderId="18" xfId="3" applyNumberFormat="1" applyFont="1" applyFill="1" applyBorder="1" applyAlignment="1" applyProtection="1">
      <alignment horizontal="center" vertical="center"/>
      <protection hidden="1"/>
    </xf>
    <xf numFmtId="2" fontId="21" fillId="8" borderId="35" xfId="3" applyNumberFormat="1" applyFont="1" applyFill="1" applyBorder="1" applyAlignment="1" applyProtection="1">
      <alignment horizontal="center" vertical="center"/>
      <protection hidden="1"/>
    </xf>
    <xf numFmtId="2" fontId="21" fillId="8" borderId="5" xfId="3" applyNumberFormat="1" applyFont="1" applyFill="1" applyBorder="1" applyAlignment="1" applyProtection="1">
      <alignment horizontal="center" vertical="center"/>
      <protection hidden="1"/>
    </xf>
    <xf numFmtId="0" fontId="23" fillId="8" borderId="18" xfId="3" applyFont="1" applyFill="1" applyBorder="1" applyAlignment="1">
      <alignment horizontal="center" vertical="center"/>
    </xf>
    <xf numFmtId="2" fontId="9" fillId="8" borderId="18" xfId="3" applyNumberFormat="1" applyFont="1" applyFill="1" applyBorder="1" applyAlignment="1" applyProtection="1">
      <alignment horizontal="center" vertical="center"/>
      <protection hidden="1"/>
    </xf>
    <xf numFmtId="1" fontId="9" fillId="8" borderId="18" xfId="3" applyNumberFormat="1" applyFont="1" applyFill="1" applyBorder="1" applyAlignment="1" applyProtection="1">
      <alignment horizontal="center" vertical="center"/>
      <protection hidden="1"/>
    </xf>
    <xf numFmtId="2" fontId="9" fillId="8" borderId="20" xfId="3" applyNumberFormat="1" applyFont="1" applyFill="1" applyBorder="1" applyAlignment="1" applyProtection="1">
      <alignment horizontal="center" vertical="center"/>
      <protection hidden="1"/>
    </xf>
    <xf numFmtId="3" fontId="9" fillId="8" borderId="22" xfId="3" applyNumberFormat="1" applyFont="1" applyFill="1" applyBorder="1" applyAlignment="1" applyProtection="1">
      <alignment horizontal="center" vertical="center"/>
      <protection hidden="1"/>
    </xf>
    <xf numFmtId="3" fontId="9" fillId="8" borderId="36" xfId="3" applyNumberFormat="1" applyFont="1" applyFill="1" applyBorder="1" applyAlignment="1" applyProtection="1">
      <alignment horizontal="center" vertical="center"/>
      <protection hidden="1"/>
    </xf>
    <xf numFmtId="3" fontId="9" fillId="8" borderId="35" xfId="3" applyNumberFormat="1" applyFont="1" applyFill="1" applyBorder="1" applyAlignment="1" applyProtection="1">
      <alignment horizontal="center" vertical="center"/>
      <protection hidden="1"/>
    </xf>
    <xf numFmtId="1" fontId="21" fillId="9" borderId="18" xfId="3" applyNumberFormat="1" applyFont="1" applyFill="1" applyBorder="1" applyAlignment="1" applyProtection="1">
      <alignment horizontal="center" vertical="center"/>
      <protection hidden="1"/>
    </xf>
    <xf numFmtId="2" fontId="21" fillId="9" borderId="18" xfId="3" applyNumberFormat="1" applyFont="1" applyFill="1" applyBorder="1" applyAlignment="1" applyProtection="1">
      <alignment horizontal="center" vertical="center"/>
      <protection hidden="1"/>
    </xf>
    <xf numFmtId="2" fontId="21" fillId="9" borderId="35" xfId="3" applyNumberFormat="1" applyFont="1" applyFill="1" applyBorder="1" applyAlignment="1" applyProtection="1">
      <alignment horizontal="center" vertical="center"/>
      <protection hidden="1"/>
    </xf>
    <xf numFmtId="2" fontId="21" fillId="9" borderId="5" xfId="3" applyNumberFormat="1" applyFont="1" applyFill="1" applyBorder="1" applyAlignment="1" applyProtection="1">
      <alignment horizontal="center" vertical="center"/>
      <protection hidden="1"/>
    </xf>
    <xf numFmtId="2" fontId="9" fillId="9" borderId="18" xfId="3" applyNumberFormat="1" applyFont="1" applyFill="1" applyBorder="1" applyAlignment="1" applyProtection="1">
      <alignment horizontal="center" vertical="center"/>
      <protection hidden="1"/>
    </xf>
    <xf numFmtId="1" fontId="9" fillId="9" borderId="18" xfId="3" applyNumberFormat="1" applyFont="1" applyFill="1" applyBorder="1" applyAlignment="1" applyProtection="1">
      <alignment horizontal="center" vertical="center"/>
      <protection hidden="1"/>
    </xf>
    <xf numFmtId="2" fontId="9" fillId="9" borderId="20" xfId="3" applyNumberFormat="1" applyFont="1" applyFill="1" applyBorder="1" applyAlignment="1" applyProtection="1">
      <alignment horizontal="center" vertical="center"/>
      <protection hidden="1"/>
    </xf>
    <xf numFmtId="3" fontId="9" fillId="9" borderId="22" xfId="3" applyNumberFormat="1" applyFont="1" applyFill="1" applyBorder="1" applyAlignment="1" applyProtection="1">
      <alignment horizontal="center" vertical="center"/>
      <protection hidden="1"/>
    </xf>
    <xf numFmtId="3" fontId="9" fillId="9" borderId="36" xfId="3" applyNumberFormat="1" applyFont="1" applyFill="1" applyBorder="1" applyAlignment="1" applyProtection="1">
      <alignment horizontal="center" vertical="center"/>
      <protection hidden="1"/>
    </xf>
    <xf numFmtId="3" fontId="9" fillId="9" borderId="35" xfId="3" applyNumberFormat="1" applyFont="1" applyFill="1" applyBorder="1" applyAlignment="1" applyProtection="1">
      <alignment horizontal="center" vertical="center"/>
      <protection hidden="1"/>
    </xf>
    <xf numFmtId="1" fontId="21" fillId="0" borderId="20" xfId="3" applyNumberFormat="1" applyFont="1" applyBorder="1" applyAlignment="1" applyProtection="1">
      <alignment horizontal="center" vertical="center"/>
      <protection hidden="1"/>
    </xf>
    <xf numFmtId="2" fontId="21" fillId="0" borderId="20" xfId="3" applyNumberFormat="1" applyFont="1" applyBorder="1" applyAlignment="1" applyProtection="1">
      <alignment horizontal="center" vertical="center"/>
      <protection hidden="1"/>
    </xf>
    <xf numFmtId="0" fontId="24" fillId="0" borderId="20" xfId="3" applyFont="1" applyBorder="1" applyAlignment="1">
      <alignment horizontal="center" vertical="center"/>
    </xf>
    <xf numFmtId="1" fontId="9" fillId="0" borderId="20" xfId="3" applyNumberFormat="1" applyFont="1" applyBorder="1" applyAlignment="1" applyProtection="1">
      <alignment horizontal="center" vertical="center"/>
      <protection hidden="1"/>
    </xf>
    <xf numFmtId="3" fontId="9" fillId="0" borderId="20" xfId="3" applyNumberFormat="1" applyFont="1" applyBorder="1" applyAlignment="1" applyProtection="1">
      <alignment horizontal="center" vertical="center"/>
      <protection hidden="1"/>
    </xf>
    <xf numFmtId="3" fontId="9" fillId="0" borderId="5" xfId="3" applyNumberFormat="1" applyFont="1" applyBorder="1" applyAlignment="1" applyProtection="1">
      <alignment horizontal="center" vertical="center"/>
      <protection hidden="1"/>
    </xf>
    <xf numFmtId="1" fontId="21" fillId="0" borderId="24" xfId="3" applyNumberFormat="1" applyFont="1" applyBorder="1" applyAlignment="1" applyProtection="1">
      <alignment horizontal="center" vertical="center"/>
      <protection hidden="1"/>
    </xf>
    <xf numFmtId="2" fontId="21" fillId="0" borderId="24" xfId="3" applyNumberFormat="1" applyFont="1" applyBorder="1" applyAlignment="1" applyProtection="1">
      <alignment horizontal="center" vertical="center"/>
      <protection hidden="1"/>
    </xf>
    <xf numFmtId="0" fontId="24" fillId="0" borderId="24" xfId="3" applyFont="1" applyBorder="1" applyAlignment="1">
      <alignment horizontal="center" vertical="center"/>
    </xf>
    <xf numFmtId="1" fontId="9" fillId="0" borderId="24" xfId="3" applyNumberFormat="1" applyFont="1" applyBorder="1" applyAlignment="1" applyProtection="1">
      <alignment horizontal="center" vertical="center"/>
      <protection hidden="1"/>
    </xf>
    <xf numFmtId="3" fontId="9" fillId="0" borderId="24" xfId="3" applyNumberFormat="1" applyFont="1" applyBorder="1" applyAlignment="1" applyProtection="1">
      <alignment horizontal="center" vertical="center"/>
      <protection hidden="1"/>
    </xf>
    <xf numFmtId="3" fontId="9" fillId="0" borderId="31" xfId="3" applyNumberFormat="1" applyFont="1" applyBorder="1" applyAlignment="1" applyProtection="1">
      <alignment horizontal="center" vertical="center"/>
      <protection hidden="1"/>
    </xf>
    <xf numFmtId="3" fontId="9" fillId="0" borderId="30" xfId="3" applyNumberFormat="1" applyFont="1" applyBorder="1" applyAlignment="1" applyProtection="1">
      <alignment horizontal="center" vertical="center"/>
      <protection hidden="1"/>
    </xf>
    <xf numFmtId="0" fontId="23" fillId="0" borderId="24" xfId="3" applyFont="1" applyBorder="1" applyAlignment="1">
      <alignment horizontal="center" vertical="center"/>
    </xf>
    <xf numFmtId="1" fontId="21" fillId="16" borderId="24" xfId="3" applyNumberFormat="1" applyFont="1" applyFill="1" applyBorder="1" applyAlignment="1" applyProtection="1">
      <alignment horizontal="center" vertical="center"/>
      <protection hidden="1"/>
    </xf>
    <xf numFmtId="2" fontId="21" fillId="16" borderId="24" xfId="3" applyNumberFormat="1" applyFont="1" applyFill="1" applyBorder="1" applyAlignment="1" applyProtection="1">
      <alignment horizontal="center" vertical="center"/>
      <protection hidden="1"/>
    </xf>
    <xf numFmtId="0" fontId="24" fillId="16" borderId="24" xfId="3" applyFont="1" applyFill="1" applyBorder="1" applyAlignment="1">
      <alignment horizontal="center" vertical="center"/>
    </xf>
    <xf numFmtId="1" fontId="9" fillId="16" borderId="24" xfId="3" applyNumberFormat="1" applyFont="1" applyFill="1" applyBorder="1" applyAlignment="1" applyProtection="1">
      <alignment horizontal="center" vertical="center"/>
      <protection hidden="1"/>
    </xf>
    <xf numFmtId="3" fontId="9" fillId="16" borderId="24" xfId="3" applyNumberFormat="1" applyFont="1" applyFill="1" applyBorder="1" applyAlignment="1" applyProtection="1">
      <alignment horizontal="center" vertical="center"/>
      <protection hidden="1"/>
    </xf>
    <xf numFmtId="3" fontId="9" fillId="16" borderId="31" xfId="3" applyNumberFormat="1" applyFont="1" applyFill="1" applyBorder="1" applyAlignment="1" applyProtection="1">
      <alignment horizontal="center" vertical="center"/>
      <protection hidden="1"/>
    </xf>
    <xf numFmtId="3" fontId="9" fillId="16" borderId="30" xfId="3" applyNumberFormat="1" applyFont="1" applyFill="1" applyBorder="1" applyAlignment="1" applyProtection="1">
      <alignment horizontal="center" vertical="center"/>
      <protection hidden="1"/>
    </xf>
    <xf numFmtId="1" fontId="21" fillId="9" borderId="24" xfId="3" applyNumberFormat="1" applyFont="1" applyFill="1" applyBorder="1" applyAlignment="1" applyProtection="1">
      <alignment horizontal="center" vertical="center"/>
      <protection hidden="1"/>
    </xf>
    <xf numFmtId="2" fontId="21" fillId="9" borderId="24" xfId="3" applyNumberFormat="1" applyFont="1" applyFill="1" applyBorder="1" applyAlignment="1" applyProtection="1">
      <alignment horizontal="center" vertical="center"/>
      <protection hidden="1"/>
    </xf>
    <xf numFmtId="0" fontId="23" fillId="9" borderId="24" xfId="3" applyFont="1" applyFill="1" applyBorder="1" applyAlignment="1">
      <alignment horizontal="center" vertical="center"/>
    </xf>
    <xf numFmtId="1" fontId="9" fillId="9" borderId="24" xfId="3" applyNumberFormat="1" applyFont="1" applyFill="1" applyBorder="1" applyAlignment="1" applyProtection="1">
      <alignment horizontal="center" vertical="center"/>
      <protection hidden="1"/>
    </xf>
    <xf numFmtId="3" fontId="9" fillId="9" borderId="24" xfId="3" applyNumberFormat="1" applyFont="1" applyFill="1" applyBorder="1" applyAlignment="1" applyProtection="1">
      <alignment horizontal="center" vertical="center"/>
      <protection hidden="1"/>
    </xf>
    <xf numFmtId="3" fontId="9" fillId="9" borderId="31" xfId="3" applyNumberFormat="1" applyFont="1" applyFill="1" applyBorder="1" applyAlignment="1" applyProtection="1">
      <alignment horizontal="center" vertical="center"/>
      <protection hidden="1"/>
    </xf>
    <xf numFmtId="3" fontId="9" fillId="9" borderId="30" xfId="3" applyNumberFormat="1" applyFont="1" applyFill="1" applyBorder="1" applyAlignment="1" applyProtection="1">
      <alignment horizontal="center" vertical="center"/>
      <protection hidden="1"/>
    </xf>
    <xf numFmtId="1" fontId="21" fillId="8" borderId="24" xfId="3" applyNumberFormat="1" applyFont="1" applyFill="1" applyBorder="1" applyAlignment="1" applyProtection="1">
      <alignment horizontal="center" vertical="center"/>
      <protection hidden="1"/>
    </xf>
    <xf numFmtId="2" fontId="21" fillId="8" borderId="24" xfId="3" applyNumberFormat="1" applyFont="1" applyFill="1" applyBorder="1" applyAlignment="1" applyProtection="1">
      <alignment horizontal="center" vertical="center"/>
      <protection hidden="1"/>
    </xf>
    <xf numFmtId="0" fontId="23" fillId="8" borderId="24" xfId="3" applyFont="1" applyFill="1" applyBorder="1" applyAlignment="1">
      <alignment horizontal="center" vertical="center"/>
    </xf>
    <xf numFmtId="1" fontId="9" fillId="8" borderId="24" xfId="3" applyNumberFormat="1" applyFont="1" applyFill="1" applyBorder="1" applyAlignment="1" applyProtection="1">
      <alignment horizontal="center" vertical="center"/>
      <protection hidden="1"/>
    </xf>
    <xf numFmtId="3" fontId="9" fillId="8" borderId="24" xfId="3" applyNumberFormat="1" applyFont="1" applyFill="1" applyBorder="1" applyAlignment="1" applyProtection="1">
      <alignment horizontal="center" vertical="center"/>
      <protection hidden="1"/>
    </xf>
    <xf numFmtId="3" fontId="9" fillId="8" borderId="31" xfId="3" applyNumberFormat="1" applyFont="1" applyFill="1" applyBorder="1" applyAlignment="1" applyProtection="1">
      <alignment horizontal="center" vertical="center"/>
      <protection hidden="1"/>
    </xf>
    <xf numFmtId="3" fontId="9" fillId="8" borderId="30" xfId="3" applyNumberFormat="1" applyFont="1" applyFill="1" applyBorder="1" applyAlignment="1" applyProtection="1">
      <alignment horizontal="center" vertical="center"/>
      <protection hidden="1"/>
    </xf>
    <xf numFmtId="1" fontId="21" fillId="8" borderId="20" xfId="3" applyNumberFormat="1" applyFont="1" applyFill="1" applyBorder="1" applyAlignment="1" applyProtection="1">
      <alignment horizontal="center" vertical="center"/>
      <protection hidden="1"/>
    </xf>
    <xf numFmtId="2" fontId="21" fillId="8" borderId="20" xfId="3" applyNumberFormat="1" applyFont="1" applyFill="1" applyBorder="1" applyAlignment="1" applyProtection="1">
      <alignment horizontal="center" vertical="center"/>
      <protection hidden="1"/>
    </xf>
    <xf numFmtId="0" fontId="23" fillId="8" borderId="20" xfId="3" applyFont="1" applyFill="1" applyBorder="1" applyAlignment="1">
      <alignment horizontal="center" vertical="center"/>
    </xf>
    <xf numFmtId="1" fontId="9" fillId="8" borderId="20" xfId="3" applyNumberFormat="1" applyFont="1" applyFill="1" applyBorder="1" applyAlignment="1" applyProtection="1">
      <alignment horizontal="center" vertical="center"/>
      <protection hidden="1"/>
    </xf>
    <xf numFmtId="3" fontId="9" fillId="8" borderId="20" xfId="3" applyNumberFormat="1" applyFont="1" applyFill="1" applyBorder="1" applyAlignment="1" applyProtection="1">
      <alignment horizontal="center" vertical="center"/>
      <protection hidden="1"/>
    </xf>
    <xf numFmtId="3" fontId="9" fillId="8" borderId="5" xfId="3" applyNumberFormat="1" applyFont="1" applyFill="1" applyBorder="1" applyAlignment="1" applyProtection="1">
      <alignment horizontal="center" vertical="center"/>
      <protection hidden="1"/>
    </xf>
    <xf numFmtId="1" fontId="11" fillId="0" borderId="13" xfId="3" applyNumberFormat="1" applyFont="1" applyBorder="1" applyAlignment="1" applyProtection="1">
      <alignment horizontal="center" vertical="center"/>
      <protection hidden="1"/>
    </xf>
    <xf numFmtId="2" fontId="11" fillId="0" borderId="13" xfId="3" applyNumberFormat="1" applyFont="1" applyBorder="1" applyAlignment="1" applyProtection="1">
      <alignment horizontal="center" vertical="center"/>
      <protection hidden="1"/>
    </xf>
    <xf numFmtId="0" fontId="35" fillId="0" borderId="13" xfId="3" applyFont="1" applyBorder="1" applyAlignment="1">
      <alignment horizontal="center" vertical="center"/>
    </xf>
    <xf numFmtId="3" fontId="11" fillId="0" borderId="13" xfId="3" applyNumberFormat="1" applyFont="1" applyBorder="1" applyAlignment="1" applyProtection="1">
      <alignment horizontal="center" vertical="center"/>
      <protection hidden="1"/>
    </xf>
    <xf numFmtId="1" fontId="11" fillId="13" borderId="13" xfId="3" applyNumberFormat="1" applyFont="1" applyFill="1" applyBorder="1" applyAlignment="1" applyProtection="1">
      <alignment horizontal="center" vertical="center"/>
      <protection hidden="1"/>
    </xf>
    <xf numFmtId="2" fontId="11" fillId="13" borderId="13" xfId="3" applyNumberFormat="1" applyFont="1" applyFill="1" applyBorder="1" applyAlignment="1" applyProtection="1">
      <alignment horizontal="center" vertical="center"/>
      <protection hidden="1"/>
    </xf>
    <xf numFmtId="0" fontId="11" fillId="13" borderId="13" xfId="3" applyFont="1" applyFill="1" applyBorder="1" applyAlignment="1">
      <alignment horizontal="center" vertical="center"/>
    </xf>
    <xf numFmtId="3" fontId="11" fillId="13" borderId="13" xfId="3" applyNumberFormat="1" applyFont="1" applyFill="1" applyBorder="1" applyAlignment="1" applyProtection="1">
      <alignment horizontal="center" vertical="center"/>
      <protection hidden="1"/>
    </xf>
    <xf numFmtId="1" fontId="11" fillId="17" borderId="13" xfId="3" applyNumberFormat="1" applyFont="1" applyFill="1" applyBorder="1" applyAlignment="1" applyProtection="1">
      <alignment horizontal="center" vertical="center"/>
      <protection hidden="1"/>
    </xf>
    <xf numFmtId="2" fontId="11" fillId="17" borderId="13" xfId="3" applyNumberFormat="1" applyFont="1" applyFill="1" applyBorder="1" applyAlignment="1" applyProtection="1">
      <alignment horizontal="center" vertical="center"/>
      <protection hidden="1"/>
    </xf>
    <xf numFmtId="0" fontId="35" fillId="17" borderId="13" xfId="3" applyFont="1" applyFill="1" applyBorder="1" applyAlignment="1">
      <alignment horizontal="center" vertical="center"/>
    </xf>
    <xf numFmtId="3" fontId="11" fillId="17" borderId="13" xfId="3" applyNumberFormat="1" applyFont="1" applyFill="1" applyBorder="1" applyAlignment="1" applyProtection="1">
      <alignment horizontal="center" vertical="center"/>
      <protection hidden="1"/>
    </xf>
    <xf numFmtId="2" fontId="11" fillId="0" borderId="24" xfId="3" applyNumberFormat="1" applyFont="1" applyBorder="1" applyAlignment="1" applyProtection="1">
      <alignment horizontal="center" vertical="center"/>
      <protection hidden="1"/>
    </xf>
    <xf numFmtId="2" fontId="11" fillId="0" borderId="30" xfId="3" applyNumberFormat="1" applyFont="1" applyBorder="1" applyAlignment="1" applyProtection="1">
      <alignment horizontal="center" vertical="center"/>
      <protection hidden="1"/>
    </xf>
    <xf numFmtId="1" fontId="11" fillId="0" borderId="24" xfId="3" applyNumberFormat="1" applyFont="1" applyBorder="1" applyAlignment="1" applyProtection="1">
      <alignment horizontal="center" vertical="center"/>
      <protection hidden="1"/>
    </xf>
    <xf numFmtId="3" fontId="11" fillId="0" borderId="24" xfId="3" applyNumberFormat="1" applyFont="1" applyBorder="1" applyAlignment="1" applyProtection="1">
      <alignment horizontal="center" vertical="center"/>
      <protection hidden="1"/>
    </xf>
    <xf numFmtId="3" fontId="11" fillId="0" borderId="31" xfId="3" applyNumberFormat="1" applyFont="1" applyBorder="1" applyAlignment="1" applyProtection="1">
      <alignment horizontal="center" vertical="center"/>
      <protection hidden="1"/>
    </xf>
    <xf numFmtId="3" fontId="11" fillId="0" borderId="30" xfId="3" applyNumberFormat="1" applyFont="1" applyBorder="1" applyAlignment="1" applyProtection="1">
      <alignment horizontal="center" vertical="center"/>
      <protection hidden="1"/>
    </xf>
    <xf numFmtId="0" fontId="35" fillId="0" borderId="24" xfId="3" applyFont="1" applyBorder="1" applyAlignment="1">
      <alignment horizontal="center" vertical="center"/>
    </xf>
    <xf numFmtId="43" fontId="4" fillId="18" borderId="0" xfId="1" applyFont="1" applyFill="1" applyBorder="1" applyAlignment="1" applyProtection="1">
      <alignment horizontal="center"/>
    </xf>
    <xf numFmtId="0" fontId="7" fillId="14" borderId="1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174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3" fillId="4" borderId="13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/>
    </xf>
    <xf numFmtId="0" fontId="19" fillId="0" borderId="1" xfId="3" applyFont="1" applyBorder="1" applyAlignment="1">
      <alignment horizontal="center" vertical="center" wrapText="1"/>
    </xf>
    <xf numFmtId="0" fontId="19" fillId="0" borderId="4" xfId="3" applyFont="1" applyBorder="1" applyAlignment="1">
      <alignment horizontal="center" vertical="center" wrapText="1"/>
    </xf>
    <xf numFmtId="3" fontId="19" fillId="0" borderId="18" xfId="3" applyNumberFormat="1" applyFont="1" applyBorder="1" applyAlignment="1">
      <alignment horizontal="center" vertical="center" wrapText="1"/>
    </xf>
    <xf numFmtId="3" fontId="19" fillId="0" borderId="20" xfId="3" applyNumberFormat="1" applyFont="1" applyBorder="1" applyAlignment="1">
      <alignment horizontal="center" vertical="center" wrapText="1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35" fillId="0" borderId="10" xfId="3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36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3" fillId="4" borderId="12" xfId="3" applyFont="1" applyFill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20" fillId="0" borderId="18" xfId="3" applyFont="1" applyBorder="1" applyAlignment="1">
      <alignment horizontal="center" vertical="center" wrapText="1"/>
    </xf>
    <xf numFmtId="0" fontId="20" fillId="0" borderId="20" xfId="3" applyFont="1" applyBorder="1" applyAlignment="1">
      <alignment horizontal="center" vertical="center" wrapText="1"/>
    </xf>
    <xf numFmtId="0" fontId="19" fillId="0" borderId="18" xfId="3" applyFont="1" applyBorder="1" applyAlignment="1">
      <alignment horizontal="center" vertical="center" wrapText="1"/>
    </xf>
    <xf numFmtId="0" fontId="19" fillId="0" borderId="20" xfId="3" applyFont="1" applyBorder="1" applyAlignment="1">
      <alignment horizontal="center" vertical="center" wrapText="1"/>
    </xf>
    <xf numFmtId="0" fontId="19" fillId="0" borderId="3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center" vertical="center" wrapText="1"/>
    </xf>
    <xf numFmtId="10" fontId="18" fillId="6" borderId="9" xfId="4" applyNumberFormat="1" applyFont="1" applyFill="1" applyBorder="1" applyAlignment="1">
      <alignment horizontal="center" vertical="center"/>
    </xf>
    <xf numFmtId="10" fontId="18" fillId="6" borderId="10" xfId="4" applyNumberFormat="1" applyFont="1" applyFill="1" applyBorder="1" applyAlignment="1">
      <alignment horizontal="center" vertical="center"/>
    </xf>
    <xf numFmtId="10" fontId="18" fillId="6" borderId="8" xfId="4" applyNumberFormat="1" applyFont="1" applyFill="1" applyBorder="1" applyAlignment="1">
      <alignment horizontal="center" vertical="center"/>
    </xf>
    <xf numFmtId="0" fontId="19" fillId="0" borderId="19" xfId="3" applyFont="1" applyBorder="1" applyAlignment="1">
      <alignment horizontal="center" vertical="center" wrapText="1"/>
    </xf>
    <xf numFmtId="0" fontId="19" fillId="0" borderId="21" xfId="3" applyFont="1" applyBorder="1" applyAlignment="1">
      <alignment horizontal="center" vertical="center" wrapText="1"/>
    </xf>
    <xf numFmtId="0" fontId="19" fillId="0" borderId="22" xfId="3" applyFont="1" applyBorder="1" applyAlignment="1">
      <alignment horizontal="center" vertical="center" wrapText="1"/>
    </xf>
    <xf numFmtId="0" fontId="19" fillId="3" borderId="18" xfId="3" applyFont="1" applyFill="1" applyBorder="1" applyAlignment="1">
      <alignment horizontal="center" vertical="center" wrapText="1"/>
    </xf>
    <xf numFmtId="0" fontId="19" fillId="3" borderId="20" xfId="3" applyFont="1" applyFill="1" applyBorder="1" applyAlignment="1">
      <alignment horizontal="center" vertical="center" wrapText="1"/>
    </xf>
    <xf numFmtId="0" fontId="19" fillId="3" borderId="17" xfId="3" applyFont="1" applyFill="1" applyBorder="1" applyAlignment="1">
      <alignment horizontal="center" vertical="center" wrapText="1"/>
    </xf>
    <xf numFmtId="0" fontId="38" fillId="0" borderId="18" xfId="3" applyFont="1" applyBorder="1" applyAlignment="1">
      <alignment horizontal="center" vertical="center" wrapText="1"/>
    </xf>
    <xf numFmtId="0" fontId="38" fillId="0" borderId="20" xfId="3" applyFont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172" fontId="0" fillId="15" borderId="34" xfId="5" applyNumberFormat="1" applyFont="1" applyFill="1" applyBorder="1" applyAlignment="1" applyProtection="1">
      <alignment horizontal="center"/>
    </xf>
    <xf numFmtId="172" fontId="0" fillId="15" borderId="14" xfId="5" applyNumberFormat="1" applyFont="1" applyFill="1" applyBorder="1" applyAlignment="1" applyProtection="1">
      <alignment horizontal="center"/>
    </xf>
    <xf numFmtId="0" fontId="7" fillId="4" borderId="38" xfId="0" applyFont="1" applyFill="1" applyBorder="1" applyAlignment="1">
      <alignment horizontal="center" wrapText="1"/>
    </xf>
    <xf numFmtId="0" fontId="7" fillId="4" borderId="39" xfId="0" applyFont="1" applyFill="1" applyBorder="1" applyAlignment="1">
      <alignment horizontal="center" wrapText="1"/>
    </xf>
    <xf numFmtId="10" fontId="7" fillId="4" borderId="39" xfId="6" applyNumberFormat="1" applyFont="1" applyFill="1" applyBorder="1" applyAlignment="1" applyProtection="1">
      <alignment horizontal="center" wrapText="1"/>
    </xf>
    <xf numFmtId="0" fontId="7" fillId="4" borderId="40" xfId="0" applyFont="1" applyFill="1" applyBorder="1" applyAlignment="1">
      <alignment horizontal="center" wrapText="1"/>
    </xf>
    <xf numFmtId="0" fontId="4" fillId="12" borderId="41" xfId="0" applyFont="1" applyFill="1" applyBorder="1" applyAlignment="1">
      <alignment horizontal="center"/>
    </xf>
    <xf numFmtId="10" fontId="0" fillId="12" borderId="16" xfId="0" applyNumberFormat="1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37" fontId="0" fillId="12" borderId="16" xfId="0" applyNumberFormat="1" applyFill="1" applyBorder="1" applyAlignment="1">
      <alignment horizontal="center"/>
    </xf>
    <xf numFmtId="2" fontId="0" fillId="15" borderId="16" xfId="0" applyNumberFormat="1" applyFill="1" applyBorder="1" applyAlignment="1">
      <alignment horizontal="center"/>
    </xf>
    <xf numFmtId="172" fontId="0" fillId="15" borderId="42" xfId="5" applyNumberFormat="1" applyFont="1" applyFill="1" applyBorder="1" applyAlignment="1" applyProtection="1">
      <alignment horizontal="center"/>
    </xf>
  </cellXfs>
  <cellStyles count="7">
    <cellStyle name="Moeda" xfId="5" builtinId="4"/>
    <cellStyle name="Normal" xfId="0" builtinId="0"/>
    <cellStyle name="Normal 2" xfId="3" xr:uid="{00000000-0005-0000-0000-000001000000}"/>
    <cellStyle name="Porcentagem" xfId="6" builtinId="5"/>
    <cellStyle name="Porcentagem 2" xfId="4" xr:uid="{00000000-0005-0000-0000-000002000000}"/>
    <cellStyle name="Vírgula" xfId="1" builtinId="3"/>
    <cellStyle name="Vírgula 2 2" xfId="2" xr:uid="{00000000-0005-0000-0000-000004000000}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&quot;R$ &quot;* #,##0_);_(&quot;R$ &quot;* \(#,##0\);_(&quot;R$ &quot;* &quot;-&quot;??_);_(@_)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2" formatCode="0.0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5" formatCode="#,##0;\-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588017</xdr:colOff>
      <xdr:row>2</xdr:row>
      <xdr:rowOff>36285</xdr:rowOff>
    </xdr:from>
    <xdr:to>
      <xdr:col>13</xdr:col>
      <xdr:colOff>711201</xdr:colOff>
      <xdr:row>8</xdr:row>
      <xdr:rowOff>357029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58D6D4-A9F4-4317-BEE4-EE5C0846B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08517" y="455385"/>
          <a:ext cx="4403084" cy="1692344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254001</xdr:colOff>
      <xdr:row>1</xdr:row>
      <xdr:rowOff>15875</xdr:rowOff>
    </xdr:from>
    <xdr:to>
      <xdr:col>6</xdr:col>
      <xdr:colOff>5881</xdr:colOff>
      <xdr:row>9</xdr:row>
      <xdr:rowOff>212918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4F6142-4790-AC46-BF06-041A931E9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126" y="206375"/>
          <a:ext cx="4260380" cy="2149668"/>
        </a:xfrm>
        <a:prstGeom prst="rect">
          <a:avLst/>
        </a:prstGeom>
      </xdr:spPr>
    </xdr:pic>
    <xdr:clientData/>
  </xdr:twoCellAnchor>
  <xdr:twoCellAnchor editAs="oneCell">
    <xdr:from>
      <xdr:col>15</xdr:col>
      <xdr:colOff>241300</xdr:colOff>
      <xdr:row>1</xdr:row>
      <xdr:rowOff>38100</xdr:rowOff>
    </xdr:from>
    <xdr:to>
      <xdr:col>18</xdr:col>
      <xdr:colOff>647700</xdr:colOff>
      <xdr:row>9</xdr:row>
      <xdr:rowOff>141055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E74EBFD-A2E9-45F0-C7B8-28DAAB5B1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57900" y="228600"/>
          <a:ext cx="4051300" cy="20968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duto\EMPREENDIMENTOS\CITY%2012%20AREI&#195;O%20QD.%20218%20ST.%20MARISTA\Arei&#227;o%20-%20Verifica&#231;&#227;o%20NBRxMatriculaxProjetosxContratos%2021.03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ral"/>
      <sheetName val="PROJETO"/>
      <sheetName val="Matricula"/>
      <sheetName val="Planilha1"/>
      <sheetName val="Banco de Dados"/>
      <sheetName val="Vagas e Escaninho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N° VAGA</v>
          </cell>
          <cell r="B2" t="str">
            <v>SIM OU GAV</v>
          </cell>
          <cell r="C2" t="str">
            <v>PAV</v>
          </cell>
          <cell r="D2" t="str">
            <v>APTO</v>
          </cell>
        </row>
        <row r="3">
          <cell r="A3" t="str">
            <v>142/142A</v>
          </cell>
          <cell r="B3" t="str">
            <v>G</v>
          </cell>
          <cell r="C3" t="str">
            <v>SS1</v>
          </cell>
          <cell r="D3">
            <v>201</v>
          </cell>
        </row>
        <row r="4">
          <cell r="A4" t="str">
            <v>143/143A</v>
          </cell>
          <cell r="B4" t="str">
            <v>G</v>
          </cell>
          <cell r="C4" t="str">
            <v>SS1</v>
          </cell>
          <cell r="D4">
            <v>201</v>
          </cell>
        </row>
        <row r="5">
          <cell r="A5">
            <v>106</v>
          </cell>
          <cell r="B5" t="str">
            <v>S</v>
          </cell>
          <cell r="C5" t="str">
            <v>SS1</v>
          </cell>
          <cell r="D5">
            <v>202</v>
          </cell>
        </row>
        <row r="6">
          <cell r="A6">
            <v>107</v>
          </cell>
          <cell r="B6" t="str">
            <v>S</v>
          </cell>
          <cell r="C6" t="str">
            <v>SS1</v>
          </cell>
          <cell r="D6">
            <v>202</v>
          </cell>
        </row>
        <row r="7">
          <cell r="A7">
            <v>123</v>
          </cell>
          <cell r="B7" t="str">
            <v>S</v>
          </cell>
          <cell r="C7" t="str">
            <v>SS1</v>
          </cell>
          <cell r="D7">
            <v>202</v>
          </cell>
        </row>
        <row r="8">
          <cell r="A8">
            <v>124</v>
          </cell>
          <cell r="B8" t="str">
            <v>S</v>
          </cell>
          <cell r="C8" t="str">
            <v>SS1</v>
          </cell>
          <cell r="D8">
            <v>202</v>
          </cell>
        </row>
        <row r="9">
          <cell r="A9" t="str">
            <v>90/90A</v>
          </cell>
          <cell r="B9" t="str">
            <v>G</v>
          </cell>
          <cell r="C9" t="str">
            <v>SS1</v>
          </cell>
          <cell r="D9">
            <v>301</v>
          </cell>
        </row>
        <row r="10">
          <cell r="A10" t="str">
            <v>91/91A</v>
          </cell>
          <cell r="B10" t="str">
            <v>G</v>
          </cell>
          <cell r="C10" t="str">
            <v>SS1</v>
          </cell>
          <cell r="D10">
            <v>301</v>
          </cell>
        </row>
        <row r="11">
          <cell r="A11" t="str">
            <v>144/144A</v>
          </cell>
          <cell r="B11" t="str">
            <v>G</v>
          </cell>
          <cell r="C11" t="str">
            <v>SS1</v>
          </cell>
          <cell r="D11">
            <v>302</v>
          </cell>
        </row>
        <row r="12">
          <cell r="A12" t="str">
            <v>145/145A</v>
          </cell>
          <cell r="B12" t="str">
            <v>G</v>
          </cell>
          <cell r="C12" t="str">
            <v>SS1</v>
          </cell>
          <cell r="D12">
            <v>302</v>
          </cell>
        </row>
        <row r="13">
          <cell r="A13">
            <v>103</v>
          </cell>
          <cell r="B13" t="str">
            <v>S</v>
          </cell>
          <cell r="C13" t="str">
            <v>SS1</v>
          </cell>
          <cell r="D13">
            <v>401</v>
          </cell>
        </row>
        <row r="14">
          <cell r="A14">
            <v>104</v>
          </cell>
          <cell r="B14" t="str">
            <v>S</v>
          </cell>
          <cell r="C14" t="str">
            <v>SS1</v>
          </cell>
          <cell r="D14">
            <v>401</v>
          </cell>
        </row>
        <row r="15">
          <cell r="A15">
            <v>126</v>
          </cell>
          <cell r="B15" t="str">
            <v>S</v>
          </cell>
          <cell r="C15" t="str">
            <v>SS1</v>
          </cell>
          <cell r="D15">
            <v>401</v>
          </cell>
        </row>
        <row r="16">
          <cell r="A16">
            <v>127</v>
          </cell>
          <cell r="B16" t="str">
            <v>S</v>
          </cell>
          <cell r="C16" t="str">
            <v>SS1</v>
          </cell>
          <cell r="D16">
            <v>401</v>
          </cell>
        </row>
        <row r="17">
          <cell r="A17" t="str">
            <v>97/97A</v>
          </cell>
          <cell r="B17" t="str">
            <v>G</v>
          </cell>
          <cell r="C17" t="str">
            <v>SS1</v>
          </cell>
          <cell r="D17">
            <v>402</v>
          </cell>
        </row>
        <row r="18">
          <cell r="A18" t="str">
            <v>98/98A</v>
          </cell>
          <cell r="B18" t="str">
            <v>G</v>
          </cell>
          <cell r="C18" t="str">
            <v>SS1</v>
          </cell>
          <cell r="D18">
            <v>402</v>
          </cell>
        </row>
        <row r="19">
          <cell r="A19">
            <v>23</v>
          </cell>
          <cell r="B19" t="str">
            <v>S</v>
          </cell>
          <cell r="C19" t="str">
            <v>SS2</v>
          </cell>
          <cell r="D19">
            <v>501</v>
          </cell>
        </row>
        <row r="20">
          <cell r="A20">
            <v>24</v>
          </cell>
          <cell r="B20" t="str">
            <v>S</v>
          </cell>
          <cell r="C20" t="str">
            <v>SS2</v>
          </cell>
          <cell r="D20">
            <v>501</v>
          </cell>
        </row>
        <row r="21">
          <cell r="A21">
            <v>31</v>
          </cell>
          <cell r="B21" t="str">
            <v>S</v>
          </cell>
          <cell r="C21" t="str">
            <v>SS2</v>
          </cell>
          <cell r="D21">
            <v>501</v>
          </cell>
        </row>
        <row r="22">
          <cell r="A22">
            <v>32</v>
          </cell>
          <cell r="B22" t="str">
            <v>S</v>
          </cell>
          <cell r="C22" t="str">
            <v>SS2</v>
          </cell>
          <cell r="D22">
            <v>501</v>
          </cell>
        </row>
        <row r="23">
          <cell r="A23">
            <v>170</v>
          </cell>
          <cell r="B23" t="str">
            <v>S</v>
          </cell>
          <cell r="C23" t="str">
            <v>SS1</v>
          </cell>
          <cell r="D23">
            <v>502</v>
          </cell>
        </row>
        <row r="24">
          <cell r="A24">
            <v>171</v>
          </cell>
          <cell r="B24" t="str">
            <v>S</v>
          </cell>
          <cell r="C24" t="str">
            <v>SS1</v>
          </cell>
          <cell r="D24">
            <v>502</v>
          </cell>
        </row>
        <row r="25">
          <cell r="A25">
            <v>175</v>
          </cell>
          <cell r="B25" t="str">
            <v>S</v>
          </cell>
          <cell r="C25" t="str">
            <v>SS1</v>
          </cell>
          <cell r="D25">
            <v>502</v>
          </cell>
        </row>
        <row r="26">
          <cell r="A26">
            <v>176</v>
          </cell>
          <cell r="B26" t="str">
            <v>S</v>
          </cell>
          <cell r="C26" t="str">
            <v>SS1</v>
          </cell>
          <cell r="D26">
            <v>502</v>
          </cell>
        </row>
        <row r="27">
          <cell r="A27">
            <v>105</v>
          </cell>
          <cell r="B27" t="str">
            <v>S</v>
          </cell>
          <cell r="C27" t="str">
            <v>SS1</v>
          </cell>
          <cell r="D27">
            <v>601</v>
          </cell>
        </row>
        <row r="28">
          <cell r="A28">
            <v>125</v>
          </cell>
          <cell r="B28" t="str">
            <v>S</v>
          </cell>
          <cell r="C28" t="str">
            <v>SS1</v>
          </cell>
          <cell r="D28">
            <v>601</v>
          </cell>
        </row>
        <row r="29">
          <cell r="A29" t="str">
            <v>138/138A</v>
          </cell>
          <cell r="B29" t="str">
            <v>G</v>
          </cell>
          <cell r="C29" t="str">
            <v>SS1</v>
          </cell>
          <cell r="D29">
            <v>601</v>
          </cell>
        </row>
        <row r="30">
          <cell r="A30" t="str">
            <v>149/149A</v>
          </cell>
          <cell r="B30" t="str">
            <v>G</v>
          </cell>
          <cell r="C30" t="str">
            <v>SS1</v>
          </cell>
          <cell r="D30">
            <v>602</v>
          </cell>
        </row>
        <row r="31">
          <cell r="A31">
            <v>152</v>
          </cell>
          <cell r="B31" t="str">
            <v>S</v>
          </cell>
          <cell r="C31" t="str">
            <v>SS1</v>
          </cell>
          <cell r="D31">
            <v>602</v>
          </cell>
        </row>
        <row r="32">
          <cell r="A32">
            <v>153</v>
          </cell>
          <cell r="B32" t="str">
            <v>S</v>
          </cell>
          <cell r="C32" t="str">
            <v>SS1</v>
          </cell>
          <cell r="D32">
            <v>602</v>
          </cell>
        </row>
        <row r="33">
          <cell r="A33" t="str">
            <v>57/57A</v>
          </cell>
          <cell r="B33" t="str">
            <v>G</v>
          </cell>
          <cell r="C33" t="str">
            <v>SS2</v>
          </cell>
          <cell r="D33">
            <v>701</v>
          </cell>
        </row>
        <row r="34">
          <cell r="A34">
            <v>69</v>
          </cell>
          <cell r="B34" t="str">
            <v>S</v>
          </cell>
          <cell r="C34" t="str">
            <v>SS2</v>
          </cell>
          <cell r="D34">
            <v>701</v>
          </cell>
        </row>
        <row r="35">
          <cell r="A35">
            <v>70</v>
          </cell>
          <cell r="B35" t="str">
            <v>S</v>
          </cell>
          <cell r="C35" t="str">
            <v>SS2</v>
          </cell>
          <cell r="D35">
            <v>701</v>
          </cell>
        </row>
        <row r="36">
          <cell r="A36">
            <v>110</v>
          </cell>
          <cell r="B36" t="str">
            <v>S</v>
          </cell>
          <cell r="C36" t="str">
            <v>SS1</v>
          </cell>
          <cell r="D36">
            <v>702</v>
          </cell>
        </row>
        <row r="37">
          <cell r="A37">
            <v>111</v>
          </cell>
          <cell r="B37" t="str">
            <v>S</v>
          </cell>
          <cell r="C37" t="str">
            <v>SS1</v>
          </cell>
          <cell r="D37">
            <v>702</v>
          </cell>
        </row>
        <row r="38">
          <cell r="A38">
            <v>118</v>
          </cell>
          <cell r="B38" t="str">
            <v>S</v>
          </cell>
          <cell r="C38" t="str">
            <v>SS1</v>
          </cell>
          <cell r="D38">
            <v>702</v>
          </cell>
        </row>
        <row r="39">
          <cell r="A39">
            <v>119</v>
          </cell>
          <cell r="B39" t="str">
            <v>S</v>
          </cell>
          <cell r="C39" t="str">
            <v>SS1</v>
          </cell>
          <cell r="D39">
            <v>702</v>
          </cell>
        </row>
        <row r="40">
          <cell r="A40" t="str">
            <v>139/139A</v>
          </cell>
          <cell r="B40" t="str">
            <v>G</v>
          </cell>
          <cell r="C40" t="str">
            <v>SS1</v>
          </cell>
          <cell r="D40">
            <v>801</v>
          </cell>
        </row>
        <row r="41">
          <cell r="A41" t="str">
            <v>140/140A</v>
          </cell>
          <cell r="B41" t="str">
            <v>G</v>
          </cell>
          <cell r="C41" t="str">
            <v>SS1</v>
          </cell>
          <cell r="D41">
            <v>801</v>
          </cell>
        </row>
        <row r="42">
          <cell r="A42">
            <v>154</v>
          </cell>
          <cell r="B42" t="str">
            <v>S</v>
          </cell>
          <cell r="C42" t="str">
            <v>SS1</v>
          </cell>
          <cell r="D42">
            <v>802</v>
          </cell>
        </row>
        <row r="43">
          <cell r="A43">
            <v>155</v>
          </cell>
          <cell r="B43" t="str">
            <v>S</v>
          </cell>
          <cell r="C43" t="str">
            <v>SS1</v>
          </cell>
          <cell r="D43">
            <v>802</v>
          </cell>
        </row>
        <row r="44">
          <cell r="A44">
            <v>156</v>
          </cell>
          <cell r="B44" t="str">
            <v>S</v>
          </cell>
          <cell r="C44" t="str">
            <v>SS1</v>
          </cell>
          <cell r="D44">
            <v>802</v>
          </cell>
        </row>
        <row r="45">
          <cell r="A45">
            <v>157</v>
          </cell>
          <cell r="B45" t="str">
            <v>S</v>
          </cell>
          <cell r="C45" t="str">
            <v>SS1</v>
          </cell>
          <cell r="D45">
            <v>802</v>
          </cell>
        </row>
        <row r="46">
          <cell r="A46" t="str">
            <v>61/61A</v>
          </cell>
          <cell r="B46" t="str">
            <v>G</v>
          </cell>
          <cell r="C46" t="str">
            <v>SS2</v>
          </cell>
          <cell r="D46">
            <v>901</v>
          </cell>
        </row>
        <row r="47">
          <cell r="A47" t="str">
            <v>62/62A</v>
          </cell>
          <cell r="B47" t="str">
            <v>G</v>
          </cell>
          <cell r="C47" t="str">
            <v>SS2</v>
          </cell>
          <cell r="D47">
            <v>901</v>
          </cell>
        </row>
        <row r="48">
          <cell r="A48">
            <v>108</v>
          </cell>
          <cell r="B48" t="str">
            <v>S</v>
          </cell>
          <cell r="C48" t="str">
            <v>SS1</v>
          </cell>
          <cell r="D48">
            <v>902</v>
          </cell>
        </row>
        <row r="49">
          <cell r="A49">
            <v>172</v>
          </cell>
          <cell r="B49" t="str">
            <v>S</v>
          </cell>
          <cell r="C49" t="str">
            <v>SS1</v>
          </cell>
          <cell r="D49">
            <v>902</v>
          </cell>
        </row>
        <row r="50">
          <cell r="A50">
            <v>173</v>
          </cell>
          <cell r="B50" t="str">
            <v>S</v>
          </cell>
          <cell r="C50" t="str">
            <v>SS1</v>
          </cell>
          <cell r="D50">
            <v>902</v>
          </cell>
        </row>
        <row r="51">
          <cell r="A51">
            <v>174</v>
          </cell>
          <cell r="B51" t="str">
            <v>S</v>
          </cell>
          <cell r="C51" t="str">
            <v>SS1</v>
          </cell>
          <cell r="D51">
            <v>902</v>
          </cell>
        </row>
        <row r="52">
          <cell r="A52">
            <v>132</v>
          </cell>
          <cell r="B52" t="str">
            <v>S</v>
          </cell>
          <cell r="C52" t="str">
            <v>SS1</v>
          </cell>
          <cell r="D52">
            <v>1001</v>
          </cell>
        </row>
        <row r="53">
          <cell r="A53">
            <v>133</v>
          </cell>
          <cell r="B53" t="str">
            <v>S</v>
          </cell>
          <cell r="C53" t="str">
            <v>SS1</v>
          </cell>
          <cell r="D53">
            <v>1001</v>
          </cell>
        </row>
        <row r="54">
          <cell r="A54" t="str">
            <v>146/146A</v>
          </cell>
          <cell r="B54" t="str">
            <v>G</v>
          </cell>
          <cell r="C54" t="str">
            <v>SS1</v>
          </cell>
          <cell r="D54">
            <v>1001</v>
          </cell>
        </row>
        <row r="55">
          <cell r="A55">
            <v>101</v>
          </cell>
          <cell r="B55" t="str">
            <v>S</v>
          </cell>
          <cell r="C55" t="str">
            <v>SS1</v>
          </cell>
          <cell r="D55">
            <v>1002</v>
          </cell>
        </row>
        <row r="56">
          <cell r="A56">
            <v>102</v>
          </cell>
          <cell r="B56" t="str">
            <v>S</v>
          </cell>
          <cell r="C56" t="str">
            <v>SS1</v>
          </cell>
          <cell r="D56">
            <v>1002</v>
          </cell>
        </row>
        <row r="57">
          <cell r="A57">
            <v>128</v>
          </cell>
          <cell r="B57" t="str">
            <v>S</v>
          </cell>
          <cell r="C57" t="str">
            <v>SS1</v>
          </cell>
          <cell r="D57">
            <v>1002</v>
          </cell>
        </row>
        <row r="58">
          <cell r="A58">
            <v>129</v>
          </cell>
          <cell r="B58" t="str">
            <v>S</v>
          </cell>
          <cell r="C58" t="str">
            <v>SS1</v>
          </cell>
          <cell r="D58">
            <v>1002</v>
          </cell>
        </row>
        <row r="59">
          <cell r="A59" t="str">
            <v>59/59A</v>
          </cell>
          <cell r="B59" t="str">
            <v>G</v>
          </cell>
          <cell r="C59" t="str">
            <v>SS2</v>
          </cell>
          <cell r="D59">
            <v>1101</v>
          </cell>
        </row>
        <row r="60">
          <cell r="A60" t="str">
            <v>60/60A</v>
          </cell>
          <cell r="B60" t="str">
            <v>G</v>
          </cell>
          <cell r="C60" t="str">
            <v>SS2</v>
          </cell>
          <cell r="D60">
            <v>1101</v>
          </cell>
        </row>
        <row r="61">
          <cell r="A61">
            <v>113</v>
          </cell>
          <cell r="B61" t="str">
            <v>S</v>
          </cell>
          <cell r="C61" t="str">
            <v>SS1</v>
          </cell>
          <cell r="D61">
            <v>1102</v>
          </cell>
        </row>
        <row r="62">
          <cell r="A62">
            <v>114</v>
          </cell>
          <cell r="B62" t="str">
            <v>S</v>
          </cell>
          <cell r="C62" t="str">
            <v>SS1</v>
          </cell>
          <cell r="D62">
            <v>1102</v>
          </cell>
        </row>
        <row r="63">
          <cell r="A63">
            <v>115</v>
          </cell>
          <cell r="B63" t="str">
            <v>S</v>
          </cell>
          <cell r="C63" t="str">
            <v>SS1</v>
          </cell>
          <cell r="D63">
            <v>1102</v>
          </cell>
        </row>
        <row r="64">
          <cell r="A64">
            <v>116</v>
          </cell>
          <cell r="B64" t="str">
            <v>S</v>
          </cell>
          <cell r="C64" t="str">
            <v>SS1</v>
          </cell>
          <cell r="D64">
            <v>1102</v>
          </cell>
        </row>
        <row r="65">
          <cell r="A65" t="str">
            <v>136/136A</v>
          </cell>
          <cell r="B65" t="str">
            <v>G</v>
          </cell>
          <cell r="C65" t="str">
            <v>SS1</v>
          </cell>
          <cell r="D65">
            <v>1201</v>
          </cell>
        </row>
        <row r="66">
          <cell r="A66" t="str">
            <v>137/137A</v>
          </cell>
          <cell r="B66" t="str">
            <v>G</v>
          </cell>
          <cell r="C66" t="str">
            <v>SS1</v>
          </cell>
          <cell r="D66">
            <v>1201</v>
          </cell>
        </row>
        <row r="67">
          <cell r="A67" t="str">
            <v>147/147A</v>
          </cell>
          <cell r="B67" t="str">
            <v>G</v>
          </cell>
          <cell r="C67" t="str">
            <v>SS1</v>
          </cell>
          <cell r="D67">
            <v>1202</v>
          </cell>
        </row>
        <row r="68">
          <cell r="A68" t="str">
            <v>148/148A</v>
          </cell>
          <cell r="B68" t="str">
            <v>G</v>
          </cell>
          <cell r="C68" t="str">
            <v>SS1</v>
          </cell>
          <cell r="D68">
            <v>1202</v>
          </cell>
        </row>
        <row r="69">
          <cell r="A69">
            <v>63</v>
          </cell>
          <cell r="B69" t="str">
            <v>S</v>
          </cell>
          <cell r="C69" t="str">
            <v>SS2</v>
          </cell>
          <cell r="D69">
            <v>1301</v>
          </cell>
        </row>
        <row r="70">
          <cell r="A70">
            <v>64</v>
          </cell>
          <cell r="B70" t="str">
            <v>S</v>
          </cell>
          <cell r="C70" t="str">
            <v>SS2</v>
          </cell>
          <cell r="D70">
            <v>1301</v>
          </cell>
        </row>
        <row r="71">
          <cell r="A71">
            <v>65</v>
          </cell>
          <cell r="B71" t="str">
            <v>S</v>
          </cell>
          <cell r="C71" t="str">
            <v>SS2</v>
          </cell>
          <cell r="D71">
            <v>1301</v>
          </cell>
        </row>
        <row r="72">
          <cell r="A72">
            <v>66</v>
          </cell>
          <cell r="B72" t="str">
            <v>S</v>
          </cell>
          <cell r="C72" t="str">
            <v>SS2</v>
          </cell>
          <cell r="D72">
            <v>1301</v>
          </cell>
        </row>
        <row r="73">
          <cell r="A73">
            <v>112</v>
          </cell>
          <cell r="B73" t="str">
            <v>S</v>
          </cell>
          <cell r="C73" t="str">
            <v>SS1</v>
          </cell>
          <cell r="D73">
            <v>1302</v>
          </cell>
        </row>
        <row r="74">
          <cell r="A74">
            <v>117</v>
          </cell>
          <cell r="B74" t="str">
            <v>S</v>
          </cell>
          <cell r="C74" t="str">
            <v>SS1</v>
          </cell>
          <cell r="D74">
            <v>1302</v>
          </cell>
        </row>
        <row r="75">
          <cell r="A75">
            <v>121</v>
          </cell>
          <cell r="B75" t="str">
            <v>S</v>
          </cell>
          <cell r="C75" t="str">
            <v>SS1</v>
          </cell>
          <cell r="D75">
            <v>1302</v>
          </cell>
        </row>
        <row r="76">
          <cell r="A76">
            <v>122</v>
          </cell>
          <cell r="B76" t="str">
            <v>S</v>
          </cell>
          <cell r="C76" t="str">
            <v>SS1</v>
          </cell>
          <cell r="D76">
            <v>1302</v>
          </cell>
        </row>
        <row r="77">
          <cell r="A77">
            <v>99</v>
          </cell>
          <cell r="B77" t="str">
            <v>S</v>
          </cell>
          <cell r="C77" t="str">
            <v>SS1</v>
          </cell>
          <cell r="D77">
            <v>1401</v>
          </cell>
        </row>
        <row r="78">
          <cell r="A78">
            <v>100</v>
          </cell>
          <cell r="B78" t="str">
            <v>S</v>
          </cell>
          <cell r="C78" t="str">
            <v>SS1</v>
          </cell>
          <cell r="D78">
            <v>1401</v>
          </cell>
        </row>
        <row r="79">
          <cell r="A79">
            <v>130</v>
          </cell>
          <cell r="B79" t="str">
            <v>S</v>
          </cell>
          <cell r="C79" t="str">
            <v>SS1</v>
          </cell>
          <cell r="D79">
            <v>1401</v>
          </cell>
        </row>
        <row r="80">
          <cell r="A80">
            <v>131</v>
          </cell>
          <cell r="B80" t="str">
            <v>S</v>
          </cell>
          <cell r="C80" t="str">
            <v>SS1</v>
          </cell>
          <cell r="D80">
            <v>1401</v>
          </cell>
        </row>
        <row r="81">
          <cell r="A81">
            <v>92</v>
          </cell>
          <cell r="B81" t="str">
            <v>S</v>
          </cell>
          <cell r="C81" t="str">
            <v>SS1</v>
          </cell>
          <cell r="D81">
            <v>1402</v>
          </cell>
        </row>
        <row r="82">
          <cell r="A82">
            <v>93</v>
          </cell>
          <cell r="B82" t="str">
            <v>S</v>
          </cell>
          <cell r="C82" t="str">
            <v>SS1</v>
          </cell>
          <cell r="D82">
            <v>1402</v>
          </cell>
        </row>
        <row r="83">
          <cell r="A83" t="str">
            <v>141/141A</v>
          </cell>
          <cell r="B83" t="str">
            <v>G</v>
          </cell>
          <cell r="C83" t="str">
            <v>SS1</v>
          </cell>
          <cell r="D83">
            <v>1402</v>
          </cell>
        </row>
        <row r="84">
          <cell r="A84">
            <v>83</v>
          </cell>
          <cell r="B84" t="str">
            <v>S</v>
          </cell>
          <cell r="C84" t="str">
            <v>SS2</v>
          </cell>
          <cell r="D84">
            <v>1501</v>
          </cell>
        </row>
        <row r="85">
          <cell r="A85">
            <v>84</v>
          </cell>
          <cell r="B85" t="str">
            <v>S</v>
          </cell>
          <cell r="C85" t="str">
            <v>SS2</v>
          </cell>
          <cell r="D85">
            <v>1501</v>
          </cell>
        </row>
        <row r="86">
          <cell r="A86">
            <v>88</v>
          </cell>
          <cell r="B86" t="str">
            <v>S</v>
          </cell>
          <cell r="C86" t="str">
            <v>SS2</v>
          </cell>
          <cell r="D86">
            <v>1501</v>
          </cell>
        </row>
        <row r="87">
          <cell r="A87">
            <v>89</v>
          </cell>
          <cell r="B87" t="str">
            <v>S</v>
          </cell>
          <cell r="C87" t="str">
            <v>SS2</v>
          </cell>
          <cell r="D87">
            <v>1501</v>
          </cell>
        </row>
        <row r="88">
          <cell r="A88" t="str">
            <v>135/135A</v>
          </cell>
          <cell r="B88" t="str">
            <v>G</v>
          </cell>
          <cell r="C88" t="str">
            <v>SS1</v>
          </cell>
          <cell r="D88">
            <v>1502</v>
          </cell>
        </row>
        <row r="89">
          <cell r="A89">
            <v>150</v>
          </cell>
          <cell r="B89" t="str">
            <v>S</v>
          </cell>
          <cell r="C89" t="str">
            <v>SS1</v>
          </cell>
          <cell r="D89">
            <v>1502</v>
          </cell>
        </row>
        <row r="90">
          <cell r="A90">
            <v>151</v>
          </cell>
          <cell r="B90" t="str">
            <v>S</v>
          </cell>
          <cell r="C90" t="str">
            <v>SS1</v>
          </cell>
          <cell r="D90">
            <v>1502</v>
          </cell>
        </row>
        <row r="91">
          <cell r="A91">
            <v>185</v>
          </cell>
          <cell r="B91" t="str">
            <v>S</v>
          </cell>
          <cell r="C91" t="str">
            <v>TER</v>
          </cell>
          <cell r="D91">
            <v>1600</v>
          </cell>
        </row>
        <row r="92">
          <cell r="A92">
            <v>186</v>
          </cell>
          <cell r="B92" t="str">
            <v>S</v>
          </cell>
          <cell r="C92" t="str">
            <v>TER</v>
          </cell>
          <cell r="D92">
            <v>1600</v>
          </cell>
        </row>
        <row r="93">
          <cell r="A93">
            <v>187</v>
          </cell>
          <cell r="B93" t="str">
            <v>S</v>
          </cell>
          <cell r="C93" t="str">
            <v>TER</v>
          </cell>
          <cell r="D93">
            <v>1600</v>
          </cell>
        </row>
        <row r="94">
          <cell r="A94" t="str">
            <v>204/204A</v>
          </cell>
          <cell r="B94" t="str">
            <v>G</v>
          </cell>
          <cell r="C94" t="str">
            <v>TER</v>
          </cell>
          <cell r="D94">
            <v>1600</v>
          </cell>
        </row>
        <row r="95">
          <cell r="A95" t="str">
            <v>52/52A</v>
          </cell>
          <cell r="B95" t="str">
            <v>G</v>
          </cell>
          <cell r="C95" t="str">
            <v>SS2</v>
          </cell>
          <cell r="D95">
            <v>1701</v>
          </cell>
        </row>
        <row r="96">
          <cell r="A96">
            <v>73</v>
          </cell>
          <cell r="B96" t="str">
            <v>S</v>
          </cell>
          <cell r="C96" t="str">
            <v>SS2</v>
          </cell>
          <cell r="D96">
            <v>1701</v>
          </cell>
        </row>
        <row r="97">
          <cell r="A97">
            <v>74</v>
          </cell>
          <cell r="B97" t="str">
            <v>S</v>
          </cell>
          <cell r="C97" t="str">
            <v>SS2</v>
          </cell>
          <cell r="D97">
            <v>1701</v>
          </cell>
        </row>
        <row r="98">
          <cell r="A98">
            <v>109</v>
          </cell>
          <cell r="B98" t="str">
            <v>S</v>
          </cell>
          <cell r="C98" t="str">
            <v>SS1</v>
          </cell>
          <cell r="D98">
            <v>1702</v>
          </cell>
        </row>
        <row r="99">
          <cell r="A99">
            <v>120</v>
          </cell>
          <cell r="B99" t="str">
            <v>S</v>
          </cell>
          <cell r="C99" t="str">
            <v>SS1</v>
          </cell>
          <cell r="D99">
            <v>1702</v>
          </cell>
        </row>
        <row r="100">
          <cell r="A100" t="str">
            <v>201/201A</v>
          </cell>
          <cell r="B100" t="str">
            <v>G</v>
          </cell>
          <cell r="C100" t="str">
            <v>TER</v>
          </cell>
          <cell r="D100">
            <v>1702</v>
          </cell>
        </row>
        <row r="101">
          <cell r="A101" t="str">
            <v>3/3A</v>
          </cell>
          <cell r="B101" t="str">
            <v>G</v>
          </cell>
          <cell r="C101" t="str">
            <v>SS2</v>
          </cell>
          <cell r="D101">
            <v>1801</v>
          </cell>
        </row>
        <row r="102">
          <cell r="A102" t="str">
            <v>4/4A</v>
          </cell>
          <cell r="B102" t="str">
            <v>G</v>
          </cell>
          <cell r="C102" t="str">
            <v>SS2</v>
          </cell>
          <cell r="D102">
            <v>1801</v>
          </cell>
        </row>
        <row r="103">
          <cell r="A103" t="str">
            <v>58/58A</v>
          </cell>
          <cell r="B103" t="str">
            <v>G</v>
          </cell>
          <cell r="C103" t="str">
            <v>SS2</v>
          </cell>
          <cell r="D103">
            <v>1802</v>
          </cell>
        </row>
        <row r="104">
          <cell r="A104">
            <v>67</v>
          </cell>
          <cell r="B104" t="str">
            <v>S</v>
          </cell>
          <cell r="C104" t="str">
            <v>SS2</v>
          </cell>
          <cell r="D104">
            <v>1802</v>
          </cell>
        </row>
        <row r="105">
          <cell r="A105">
            <v>68</v>
          </cell>
          <cell r="B105" t="str">
            <v>S</v>
          </cell>
          <cell r="C105" t="str">
            <v>SS2</v>
          </cell>
          <cell r="D105">
            <v>1802</v>
          </cell>
        </row>
        <row r="106">
          <cell r="A106">
            <v>189</v>
          </cell>
          <cell r="B106" t="str">
            <v>S</v>
          </cell>
          <cell r="C106" t="str">
            <v>TER</v>
          </cell>
          <cell r="D106">
            <v>1900</v>
          </cell>
        </row>
        <row r="107">
          <cell r="A107">
            <v>190</v>
          </cell>
          <cell r="B107" t="str">
            <v>S</v>
          </cell>
          <cell r="C107" t="str">
            <v>TER</v>
          </cell>
          <cell r="D107">
            <v>1900</v>
          </cell>
        </row>
        <row r="108">
          <cell r="A108">
            <v>191</v>
          </cell>
          <cell r="B108" t="str">
            <v>S</v>
          </cell>
          <cell r="C108" t="str">
            <v>TER</v>
          </cell>
          <cell r="D108">
            <v>1900</v>
          </cell>
        </row>
        <row r="109">
          <cell r="A109" t="str">
            <v>198/198A</v>
          </cell>
          <cell r="B109" t="str">
            <v>G</v>
          </cell>
          <cell r="C109" t="str">
            <v>TER</v>
          </cell>
          <cell r="D109">
            <v>1900</v>
          </cell>
        </row>
        <row r="110">
          <cell r="A110">
            <v>39</v>
          </cell>
          <cell r="B110" t="str">
            <v>S</v>
          </cell>
          <cell r="C110" t="str">
            <v>SS2</v>
          </cell>
          <cell r="D110">
            <v>2001</v>
          </cell>
        </row>
        <row r="111">
          <cell r="A111">
            <v>40</v>
          </cell>
          <cell r="B111" t="str">
            <v>S</v>
          </cell>
          <cell r="C111" t="str">
            <v>SS2</v>
          </cell>
          <cell r="D111">
            <v>2001</v>
          </cell>
        </row>
        <row r="112">
          <cell r="A112" t="str">
            <v>55/55A</v>
          </cell>
          <cell r="B112" t="str">
            <v>G</v>
          </cell>
          <cell r="C112" t="str">
            <v>SS2</v>
          </cell>
          <cell r="D112">
            <v>2001</v>
          </cell>
        </row>
        <row r="113">
          <cell r="A113">
            <v>36</v>
          </cell>
          <cell r="B113" t="str">
            <v>S</v>
          </cell>
          <cell r="C113" t="str">
            <v>SS2</v>
          </cell>
          <cell r="D113">
            <v>2002</v>
          </cell>
        </row>
        <row r="114">
          <cell r="A114">
            <v>37</v>
          </cell>
          <cell r="B114" t="str">
            <v>S</v>
          </cell>
          <cell r="C114" t="str">
            <v>SS2</v>
          </cell>
          <cell r="D114">
            <v>2002</v>
          </cell>
        </row>
        <row r="115">
          <cell r="A115" t="str">
            <v>54/54A</v>
          </cell>
          <cell r="B115" t="str">
            <v>G</v>
          </cell>
          <cell r="C115" t="str">
            <v>SS2</v>
          </cell>
          <cell r="D115">
            <v>2002</v>
          </cell>
        </row>
        <row r="116">
          <cell r="A116">
            <v>28</v>
          </cell>
          <cell r="B116" t="str">
            <v>S</v>
          </cell>
          <cell r="C116" t="str">
            <v>SS2</v>
          </cell>
          <cell r="D116">
            <v>2101</v>
          </cell>
        </row>
        <row r="117">
          <cell r="A117">
            <v>29</v>
          </cell>
          <cell r="B117" t="str">
            <v>S</v>
          </cell>
          <cell r="C117" t="str">
            <v>SS2</v>
          </cell>
          <cell r="D117">
            <v>2101</v>
          </cell>
        </row>
        <row r="118">
          <cell r="A118" t="str">
            <v>53/53A</v>
          </cell>
          <cell r="B118" t="str">
            <v>G</v>
          </cell>
          <cell r="C118" t="str">
            <v>SS2</v>
          </cell>
          <cell r="D118">
            <v>2101</v>
          </cell>
        </row>
        <row r="119">
          <cell r="A119">
            <v>158</v>
          </cell>
          <cell r="B119" t="str">
            <v>S</v>
          </cell>
          <cell r="C119" t="str">
            <v>SS1</v>
          </cell>
          <cell r="D119">
            <v>2102</v>
          </cell>
        </row>
        <row r="120">
          <cell r="A120">
            <v>159</v>
          </cell>
          <cell r="B120" t="str">
            <v>S</v>
          </cell>
          <cell r="C120" t="str">
            <v>SS1</v>
          </cell>
          <cell r="D120">
            <v>2102</v>
          </cell>
        </row>
        <row r="121">
          <cell r="A121" t="str">
            <v>196/196A</v>
          </cell>
          <cell r="B121" t="str">
            <v>G</v>
          </cell>
          <cell r="C121" t="str">
            <v>TER</v>
          </cell>
          <cell r="D121">
            <v>2102</v>
          </cell>
        </row>
        <row r="122">
          <cell r="A122">
            <v>177</v>
          </cell>
          <cell r="B122" t="str">
            <v>S</v>
          </cell>
          <cell r="C122" t="str">
            <v>TER</v>
          </cell>
          <cell r="D122">
            <v>2200</v>
          </cell>
        </row>
        <row r="123">
          <cell r="A123">
            <v>178</v>
          </cell>
          <cell r="B123" t="str">
            <v>S</v>
          </cell>
          <cell r="C123" t="str">
            <v>TER</v>
          </cell>
          <cell r="D123">
            <v>2200</v>
          </cell>
        </row>
        <row r="124">
          <cell r="A124">
            <v>179</v>
          </cell>
          <cell r="B124" t="str">
            <v>S</v>
          </cell>
          <cell r="C124" t="str">
            <v>TER</v>
          </cell>
          <cell r="D124">
            <v>2200</v>
          </cell>
        </row>
        <row r="125">
          <cell r="A125" t="str">
            <v>203/203A</v>
          </cell>
          <cell r="B125" t="str">
            <v>G</v>
          </cell>
          <cell r="C125" t="str">
            <v>TER</v>
          </cell>
          <cell r="D125">
            <v>2200</v>
          </cell>
        </row>
        <row r="126">
          <cell r="A126">
            <v>85</v>
          </cell>
          <cell r="B126" t="str">
            <v>S</v>
          </cell>
          <cell r="C126" t="str">
            <v>SS2</v>
          </cell>
          <cell r="D126">
            <v>2301</v>
          </cell>
        </row>
        <row r="127">
          <cell r="A127">
            <v>86</v>
          </cell>
          <cell r="B127" t="str">
            <v>S</v>
          </cell>
          <cell r="C127" t="str">
            <v>SS2</v>
          </cell>
          <cell r="D127">
            <v>2301</v>
          </cell>
        </row>
        <row r="128">
          <cell r="A128">
            <v>87</v>
          </cell>
          <cell r="B128" t="str">
            <v>S</v>
          </cell>
          <cell r="C128" t="str">
            <v>SS2</v>
          </cell>
          <cell r="D128">
            <v>2301</v>
          </cell>
        </row>
        <row r="129">
          <cell r="A129">
            <v>134</v>
          </cell>
          <cell r="B129" t="str">
            <v>S</v>
          </cell>
          <cell r="C129" t="str">
            <v>SS1</v>
          </cell>
          <cell r="D129">
            <v>2301</v>
          </cell>
        </row>
        <row r="130">
          <cell r="A130">
            <v>160</v>
          </cell>
          <cell r="B130" t="str">
            <v>S</v>
          </cell>
          <cell r="C130" t="str">
            <v>SS1</v>
          </cell>
          <cell r="D130">
            <v>2302</v>
          </cell>
        </row>
        <row r="131">
          <cell r="A131">
            <v>161</v>
          </cell>
          <cell r="B131" t="str">
            <v>S</v>
          </cell>
          <cell r="C131" t="str">
            <v>SS1</v>
          </cell>
          <cell r="D131">
            <v>2302</v>
          </cell>
        </row>
        <row r="132">
          <cell r="A132" t="str">
            <v>195/195A</v>
          </cell>
          <cell r="B132" t="str">
            <v>G</v>
          </cell>
          <cell r="C132" t="str">
            <v>TER</v>
          </cell>
          <cell r="D132">
            <v>2302</v>
          </cell>
        </row>
        <row r="133">
          <cell r="A133">
            <v>5</v>
          </cell>
          <cell r="B133" t="str">
            <v>S</v>
          </cell>
          <cell r="C133" t="str">
            <v>SS2</v>
          </cell>
          <cell r="D133">
            <v>2401</v>
          </cell>
        </row>
        <row r="134">
          <cell r="A134">
            <v>21</v>
          </cell>
          <cell r="B134" t="str">
            <v>S</v>
          </cell>
          <cell r="C134" t="str">
            <v>SS2</v>
          </cell>
          <cell r="D134">
            <v>2401</v>
          </cell>
        </row>
        <row r="135">
          <cell r="A135">
            <v>34</v>
          </cell>
          <cell r="B135" t="str">
            <v>S</v>
          </cell>
          <cell r="C135" t="str">
            <v>SS2</v>
          </cell>
          <cell r="D135">
            <v>2401</v>
          </cell>
        </row>
        <row r="136">
          <cell r="A136">
            <v>35</v>
          </cell>
          <cell r="B136" t="str">
            <v>S</v>
          </cell>
          <cell r="C136" t="str">
            <v>SS2</v>
          </cell>
          <cell r="D136">
            <v>2401</v>
          </cell>
        </row>
        <row r="137">
          <cell r="A137">
            <v>18</v>
          </cell>
          <cell r="B137" t="str">
            <v>S</v>
          </cell>
          <cell r="C137" t="str">
            <v>SS2</v>
          </cell>
          <cell r="D137">
            <v>2402</v>
          </cell>
        </row>
        <row r="138">
          <cell r="A138">
            <v>19</v>
          </cell>
          <cell r="B138" t="str">
            <v>S</v>
          </cell>
          <cell r="C138" t="str">
            <v>SS2</v>
          </cell>
          <cell r="D138">
            <v>2402</v>
          </cell>
        </row>
        <row r="139">
          <cell r="A139">
            <v>20</v>
          </cell>
          <cell r="B139" t="str">
            <v>S</v>
          </cell>
          <cell r="C139" t="str">
            <v>SS2</v>
          </cell>
          <cell r="D139">
            <v>2402</v>
          </cell>
        </row>
        <row r="140">
          <cell r="A140">
            <v>38</v>
          </cell>
          <cell r="B140" t="str">
            <v>S</v>
          </cell>
          <cell r="C140" t="str">
            <v>SS2</v>
          </cell>
          <cell r="D140">
            <v>2402</v>
          </cell>
        </row>
        <row r="141">
          <cell r="A141">
            <v>223</v>
          </cell>
          <cell r="B141" t="str">
            <v>S</v>
          </cell>
          <cell r="C141" t="str">
            <v>TER</v>
          </cell>
          <cell r="D141">
            <v>2500</v>
          </cell>
        </row>
        <row r="142">
          <cell r="A142" t="str">
            <v>224/224A</v>
          </cell>
          <cell r="B142" t="str">
            <v>G</v>
          </cell>
          <cell r="C142" t="str">
            <v>TER</v>
          </cell>
          <cell r="D142">
            <v>2500</v>
          </cell>
        </row>
        <row r="143">
          <cell r="A143" t="str">
            <v>225/225A</v>
          </cell>
          <cell r="B143" t="str">
            <v>G</v>
          </cell>
          <cell r="C143" t="str">
            <v>TER</v>
          </cell>
          <cell r="D143">
            <v>2500</v>
          </cell>
        </row>
        <row r="144">
          <cell r="A144" t="str">
            <v>10/10A</v>
          </cell>
          <cell r="B144" t="str">
            <v>G</v>
          </cell>
          <cell r="C144" t="str">
            <v>SS2</v>
          </cell>
          <cell r="D144">
            <v>2601</v>
          </cell>
        </row>
        <row r="145">
          <cell r="A145" t="str">
            <v>11/11A</v>
          </cell>
          <cell r="B145" t="str">
            <v>G</v>
          </cell>
          <cell r="C145" t="str">
            <v>SS2</v>
          </cell>
          <cell r="D145">
            <v>2601</v>
          </cell>
        </row>
        <row r="146">
          <cell r="A146">
            <v>14</v>
          </cell>
          <cell r="B146" t="str">
            <v>S</v>
          </cell>
          <cell r="C146" t="str">
            <v>SS2</v>
          </cell>
          <cell r="D146">
            <v>2602</v>
          </cell>
        </row>
        <row r="147">
          <cell r="A147">
            <v>15</v>
          </cell>
          <cell r="B147" t="str">
            <v>S</v>
          </cell>
          <cell r="C147" t="str">
            <v>SS2</v>
          </cell>
          <cell r="D147">
            <v>2602</v>
          </cell>
        </row>
        <row r="148">
          <cell r="A148">
            <v>41</v>
          </cell>
          <cell r="B148" t="str">
            <v>S</v>
          </cell>
          <cell r="C148" t="str">
            <v>SS2</v>
          </cell>
          <cell r="D148">
            <v>2602</v>
          </cell>
        </row>
        <row r="149">
          <cell r="A149">
            <v>42</v>
          </cell>
          <cell r="B149" t="str">
            <v>S</v>
          </cell>
          <cell r="C149" t="str">
            <v>SS2</v>
          </cell>
          <cell r="D149">
            <v>2602</v>
          </cell>
        </row>
        <row r="150">
          <cell r="A150">
            <v>25</v>
          </cell>
          <cell r="B150" t="str">
            <v>S</v>
          </cell>
          <cell r="C150" t="str">
            <v>SS2</v>
          </cell>
          <cell r="D150">
            <v>2701</v>
          </cell>
        </row>
        <row r="151">
          <cell r="A151">
            <v>30</v>
          </cell>
          <cell r="B151" t="str">
            <v>S</v>
          </cell>
          <cell r="C151" t="str">
            <v>SS2</v>
          </cell>
          <cell r="D151">
            <v>2701</v>
          </cell>
        </row>
        <row r="152">
          <cell r="A152">
            <v>75</v>
          </cell>
          <cell r="B152" t="str">
            <v>S</v>
          </cell>
          <cell r="C152" t="str">
            <v>SS2</v>
          </cell>
          <cell r="D152">
            <v>2701</v>
          </cell>
        </row>
        <row r="153">
          <cell r="A153">
            <v>76</v>
          </cell>
          <cell r="B153" t="str">
            <v>S</v>
          </cell>
          <cell r="C153" t="str">
            <v>SS2</v>
          </cell>
          <cell r="D153">
            <v>2701</v>
          </cell>
        </row>
        <row r="154">
          <cell r="A154">
            <v>162</v>
          </cell>
          <cell r="B154" t="str">
            <v>S</v>
          </cell>
          <cell r="C154" t="str">
            <v>SS1</v>
          </cell>
          <cell r="D154">
            <v>2702</v>
          </cell>
        </row>
        <row r="155">
          <cell r="A155">
            <v>163</v>
          </cell>
          <cell r="B155" t="str">
            <v>S</v>
          </cell>
          <cell r="C155" t="str">
            <v>SS1</v>
          </cell>
          <cell r="D155">
            <v>2702</v>
          </cell>
        </row>
        <row r="156">
          <cell r="A156" t="str">
            <v>200/200A</v>
          </cell>
          <cell r="B156" t="str">
            <v>G</v>
          </cell>
          <cell r="C156" t="str">
            <v>TER</v>
          </cell>
          <cell r="D156">
            <v>2702</v>
          </cell>
        </row>
        <row r="157">
          <cell r="A157">
            <v>180</v>
          </cell>
          <cell r="B157" t="str">
            <v>S</v>
          </cell>
          <cell r="C157" t="str">
            <v>TER</v>
          </cell>
          <cell r="D157">
            <v>2800</v>
          </cell>
        </row>
        <row r="158">
          <cell r="A158">
            <v>181</v>
          </cell>
          <cell r="B158" t="str">
            <v>S</v>
          </cell>
          <cell r="C158" t="str">
            <v>TER</v>
          </cell>
          <cell r="D158">
            <v>2800</v>
          </cell>
        </row>
        <row r="159">
          <cell r="A159">
            <v>182</v>
          </cell>
          <cell r="B159" t="str">
            <v>S</v>
          </cell>
          <cell r="C159" t="str">
            <v>TER</v>
          </cell>
          <cell r="D159">
            <v>2800</v>
          </cell>
        </row>
        <row r="160">
          <cell r="A160">
            <v>183</v>
          </cell>
          <cell r="B160" t="str">
            <v>S</v>
          </cell>
          <cell r="C160" t="str">
            <v>TER</v>
          </cell>
          <cell r="D160">
            <v>2800</v>
          </cell>
        </row>
        <row r="161">
          <cell r="A161">
            <v>184</v>
          </cell>
          <cell r="B161" t="str">
            <v>S</v>
          </cell>
          <cell r="C161" t="str">
            <v>TER</v>
          </cell>
          <cell r="D161">
            <v>2800</v>
          </cell>
        </row>
        <row r="162">
          <cell r="A162">
            <v>1</v>
          </cell>
          <cell r="B162" t="str">
            <v>S</v>
          </cell>
          <cell r="C162" t="str">
            <v>SS2</v>
          </cell>
          <cell r="D162">
            <v>2901</v>
          </cell>
        </row>
        <row r="163">
          <cell r="A163">
            <v>2</v>
          </cell>
          <cell r="B163" t="str">
            <v>S</v>
          </cell>
          <cell r="C163" t="str">
            <v>SS2</v>
          </cell>
          <cell r="D163">
            <v>2901</v>
          </cell>
        </row>
        <row r="164">
          <cell r="A164">
            <v>16</v>
          </cell>
          <cell r="B164" t="str">
            <v>S</v>
          </cell>
          <cell r="C164" t="str">
            <v>SS2</v>
          </cell>
          <cell r="D164">
            <v>2901</v>
          </cell>
        </row>
        <row r="165">
          <cell r="A165">
            <v>17</v>
          </cell>
          <cell r="B165" t="str">
            <v>S</v>
          </cell>
          <cell r="C165" t="str">
            <v>SS2</v>
          </cell>
          <cell r="D165">
            <v>2901</v>
          </cell>
        </row>
        <row r="166">
          <cell r="A166">
            <v>164</v>
          </cell>
          <cell r="B166" t="str">
            <v>S</v>
          </cell>
          <cell r="C166" t="str">
            <v>SS1</v>
          </cell>
          <cell r="D166">
            <v>2902</v>
          </cell>
        </row>
        <row r="167">
          <cell r="A167">
            <v>165</v>
          </cell>
          <cell r="B167" t="str">
            <v>S</v>
          </cell>
          <cell r="C167" t="str">
            <v>SS1</v>
          </cell>
          <cell r="D167">
            <v>2902</v>
          </cell>
        </row>
        <row r="168">
          <cell r="A168" t="str">
            <v>199/199A</v>
          </cell>
          <cell r="B168" t="str">
            <v>G</v>
          </cell>
          <cell r="C168" t="str">
            <v>TER</v>
          </cell>
          <cell r="D168">
            <v>2902</v>
          </cell>
        </row>
        <row r="169">
          <cell r="A169">
            <v>8</v>
          </cell>
          <cell r="B169" t="str">
            <v>S</v>
          </cell>
          <cell r="C169" t="str">
            <v>SS2</v>
          </cell>
          <cell r="D169">
            <v>3001</v>
          </cell>
        </row>
        <row r="170">
          <cell r="A170" t="str">
            <v>9/9A</v>
          </cell>
          <cell r="B170" t="str">
            <v>G</v>
          </cell>
          <cell r="C170" t="str">
            <v>SS2</v>
          </cell>
          <cell r="D170">
            <v>3001</v>
          </cell>
        </row>
        <row r="171">
          <cell r="A171">
            <v>13</v>
          </cell>
          <cell r="B171" t="str">
            <v>S</v>
          </cell>
          <cell r="C171" t="str">
            <v>SS2</v>
          </cell>
          <cell r="D171">
            <v>3001</v>
          </cell>
        </row>
        <row r="172">
          <cell r="A172" t="str">
            <v>51/51A</v>
          </cell>
          <cell r="B172" t="str">
            <v>G</v>
          </cell>
          <cell r="C172" t="str">
            <v>SS2</v>
          </cell>
          <cell r="D172">
            <v>3002</v>
          </cell>
        </row>
        <row r="173">
          <cell r="A173">
            <v>71</v>
          </cell>
          <cell r="B173" t="str">
            <v>S</v>
          </cell>
          <cell r="C173" t="str">
            <v>SS2</v>
          </cell>
          <cell r="D173">
            <v>3002</v>
          </cell>
        </row>
        <row r="174">
          <cell r="A174">
            <v>72</v>
          </cell>
          <cell r="B174" t="str">
            <v>S</v>
          </cell>
          <cell r="C174" t="str">
            <v>SS2</v>
          </cell>
          <cell r="D174">
            <v>3002</v>
          </cell>
        </row>
        <row r="175">
          <cell r="A175" t="str">
            <v>205/205A</v>
          </cell>
          <cell r="B175" t="str">
            <v>G</v>
          </cell>
          <cell r="C175" t="str">
            <v>TER</v>
          </cell>
          <cell r="D175">
            <v>3100</v>
          </cell>
        </row>
        <row r="176">
          <cell r="A176">
            <v>212</v>
          </cell>
          <cell r="B176" t="str">
            <v>S</v>
          </cell>
          <cell r="C176" t="str">
            <v>TER</v>
          </cell>
          <cell r="D176">
            <v>3100</v>
          </cell>
        </row>
        <row r="177">
          <cell r="A177">
            <v>213</v>
          </cell>
          <cell r="B177" t="str">
            <v>S</v>
          </cell>
          <cell r="C177" t="str">
            <v>TER</v>
          </cell>
          <cell r="D177">
            <v>3100</v>
          </cell>
        </row>
        <row r="178">
          <cell r="A178">
            <v>214</v>
          </cell>
          <cell r="B178" t="str">
            <v>S</v>
          </cell>
          <cell r="C178" t="str">
            <v>TER</v>
          </cell>
          <cell r="D178">
            <v>3100</v>
          </cell>
        </row>
        <row r="179">
          <cell r="A179">
            <v>12</v>
          </cell>
          <cell r="B179" t="str">
            <v>S</v>
          </cell>
          <cell r="C179" t="str">
            <v>SS2</v>
          </cell>
          <cell r="D179">
            <v>3201</v>
          </cell>
        </row>
        <row r="180">
          <cell r="A180">
            <v>44</v>
          </cell>
          <cell r="B180" t="str">
            <v>S</v>
          </cell>
          <cell r="C180" t="str">
            <v>SS2</v>
          </cell>
          <cell r="D180">
            <v>3201</v>
          </cell>
        </row>
        <row r="181">
          <cell r="A181">
            <v>45</v>
          </cell>
          <cell r="B181" t="str">
            <v>S</v>
          </cell>
          <cell r="C181" t="str">
            <v>SS2</v>
          </cell>
          <cell r="D181">
            <v>3201</v>
          </cell>
        </row>
        <row r="182">
          <cell r="A182">
            <v>46</v>
          </cell>
          <cell r="B182" t="str">
            <v>S</v>
          </cell>
          <cell r="C182" t="str">
            <v>SS2</v>
          </cell>
          <cell r="D182">
            <v>3201</v>
          </cell>
        </row>
        <row r="183">
          <cell r="A183">
            <v>43</v>
          </cell>
          <cell r="B183" t="str">
            <v>S</v>
          </cell>
          <cell r="C183" t="str">
            <v>SS2</v>
          </cell>
          <cell r="D183">
            <v>3202</v>
          </cell>
        </row>
        <row r="184">
          <cell r="A184">
            <v>47</v>
          </cell>
          <cell r="B184" t="str">
            <v>S</v>
          </cell>
          <cell r="C184" t="str">
            <v>SS2</v>
          </cell>
          <cell r="D184">
            <v>3202</v>
          </cell>
        </row>
        <row r="185">
          <cell r="A185" t="str">
            <v>48/48A</v>
          </cell>
          <cell r="B185" t="str">
            <v>G</v>
          </cell>
          <cell r="C185" t="str">
            <v>SS2</v>
          </cell>
          <cell r="D185">
            <v>3202</v>
          </cell>
        </row>
        <row r="186">
          <cell r="A186">
            <v>22</v>
          </cell>
          <cell r="B186" t="str">
            <v>S</v>
          </cell>
          <cell r="C186" t="str">
            <v>SS2</v>
          </cell>
          <cell r="D186">
            <v>3301</v>
          </cell>
        </row>
        <row r="187">
          <cell r="A187">
            <v>26</v>
          </cell>
          <cell r="B187" t="str">
            <v>S</v>
          </cell>
          <cell r="C187" t="str">
            <v>SS2</v>
          </cell>
          <cell r="D187">
            <v>3301</v>
          </cell>
        </row>
        <row r="188">
          <cell r="A188">
            <v>27</v>
          </cell>
          <cell r="B188" t="str">
            <v>S</v>
          </cell>
          <cell r="C188" t="str">
            <v>SS2</v>
          </cell>
          <cell r="D188">
            <v>3301</v>
          </cell>
        </row>
        <row r="189">
          <cell r="A189">
            <v>33</v>
          </cell>
          <cell r="B189" t="str">
            <v>S</v>
          </cell>
          <cell r="C189" t="str">
            <v>SS2</v>
          </cell>
          <cell r="D189">
            <v>3301</v>
          </cell>
        </row>
        <row r="190">
          <cell r="A190">
            <v>166</v>
          </cell>
          <cell r="B190" t="str">
            <v>S</v>
          </cell>
          <cell r="C190" t="str">
            <v>SS1</v>
          </cell>
          <cell r="D190">
            <v>3302</v>
          </cell>
        </row>
        <row r="191">
          <cell r="A191">
            <v>167</v>
          </cell>
          <cell r="B191" t="str">
            <v>S</v>
          </cell>
          <cell r="C191" t="str">
            <v>SS1</v>
          </cell>
          <cell r="D191">
            <v>3302</v>
          </cell>
        </row>
        <row r="192">
          <cell r="A192">
            <v>188</v>
          </cell>
          <cell r="B192" t="str">
            <v>S</v>
          </cell>
          <cell r="C192" t="str">
            <v>TER</v>
          </cell>
          <cell r="D192">
            <v>3302</v>
          </cell>
        </row>
        <row r="193">
          <cell r="A193">
            <v>219</v>
          </cell>
          <cell r="B193" t="str">
            <v>S</v>
          </cell>
          <cell r="C193" t="str">
            <v>TER</v>
          </cell>
          <cell r="D193">
            <v>3302</v>
          </cell>
        </row>
        <row r="194">
          <cell r="A194">
            <v>192</v>
          </cell>
          <cell r="B194" t="str">
            <v>S</v>
          </cell>
          <cell r="C194" t="str">
            <v>TER</v>
          </cell>
          <cell r="D194">
            <v>3400</v>
          </cell>
        </row>
        <row r="195">
          <cell r="A195">
            <v>193</v>
          </cell>
          <cell r="B195" t="str">
            <v>S</v>
          </cell>
          <cell r="C195" t="str">
            <v>TER</v>
          </cell>
          <cell r="D195">
            <v>3400</v>
          </cell>
        </row>
        <row r="196">
          <cell r="A196">
            <v>194</v>
          </cell>
          <cell r="B196" t="str">
            <v>S</v>
          </cell>
          <cell r="C196" t="str">
            <v>TER</v>
          </cell>
          <cell r="D196">
            <v>3400</v>
          </cell>
        </row>
        <row r="197">
          <cell r="A197" t="str">
            <v>197/197A</v>
          </cell>
          <cell r="B197" t="str">
            <v>G</v>
          </cell>
          <cell r="C197" t="str">
            <v>TER</v>
          </cell>
          <cell r="D197">
            <v>3400</v>
          </cell>
        </row>
        <row r="198">
          <cell r="A198">
            <v>94</v>
          </cell>
          <cell r="B198" t="str">
            <v>S</v>
          </cell>
          <cell r="C198" t="str">
            <v>SS1</v>
          </cell>
          <cell r="D198">
            <v>3501</v>
          </cell>
        </row>
        <row r="199">
          <cell r="A199">
            <v>95</v>
          </cell>
          <cell r="B199" t="str">
            <v>S</v>
          </cell>
          <cell r="C199" t="str">
            <v>SS1</v>
          </cell>
          <cell r="D199">
            <v>3501</v>
          </cell>
        </row>
        <row r="200">
          <cell r="A200" t="str">
            <v>96/96A</v>
          </cell>
          <cell r="B200" t="str">
            <v>G</v>
          </cell>
          <cell r="C200" t="str">
            <v>SS1</v>
          </cell>
          <cell r="D200">
            <v>3501</v>
          </cell>
        </row>
        <row r="201">
          <cell r="A201" t="str">
            <v>202/202A</v>
          </cell>
          <cell r="B201" t="str">
            <v>G</v>
          </cell>
          <cell r="C201" t="str">
            <v>TER</v>
          </cell>
          <cell r="D201">
            <v>3502</v>
          </cell>
        </row>
        <row r="202">
          <cell r="A202">
            <v>221</v>
          </cell>
          <cell r="B202" t="str">
            <v>S</v>
          </cell>
          <cell r="C202" t="str">
            <v>TER</v>
          </cell>
          <cell r="D202">
            <v>3502</v>
          </cell>
        </row>
        <row r="203">
          <cell r="A203">
            <v>222</v>
          </cell>
          <cell r="B203" t="str">
            <v>S</v>
          </cell>
          <cell r="C203" t="str">
            <v>TER</v>
          </cell>
          <cell r="D203">
            <v>3502</v>
          </cell>
        </row>
        <row r="204">
          <cell r="A204" t="str">
            <v>49/49A</v>
          </cell>
          <cell r="B204" t="str">
            <v>G</v>
          </cell>
          <cell r="C204" t="str">
            <v>SS2</v>
          </cell>
          <cell r="D204">
            <v>3601</v>
          </cell>
        </row>
        <row r="205">
          <cell r="A205" t="str">
            <v>50/50A</v>
          </cell>
          <cell r="B205" t="str">
            <v>G</v>
          </cell>
          <cell r="C205" t="str">
            <v>SS2</v>
          </cell>
          <cell r="D205">
            <v>3601</v>
          </cell>
        </row>
        <row r="206">
          <cell r="A206">
            <v>6</v>
          </cell>
          <cell r="B206" t="str">
            <v>S</v>
          </cell>
          <cell r="C206" t="str">
            <v>SS2</v>
          </cell>
          <cell r="D206">
            <v>3602</v>
          </cell>
        </row>
        <row r="207">
          <cell r="A207">
            <v>7</v>
          </cell>
          <cell r="B207" t="str">
            <v>S</v>
          </cell>
          <cell r="C207" t="str">
            <v>SS2</v>
          </cell>
          <cell r="D207">
            <v>3602</v>
          </cell>
        </row>
        <row r="208">
          <cell r="A208" t="str">
            <v>56/56A</v>
          </cell>
          <cell r="B208" t="str">
            <v>G</v>
          </cell>
          <cell r="C208" t="str">
            <v>SS2</v>
          </cell>
          <cell r="D208">
            <v>3602</v>
          </cell>
        </row>
        <row r="209">
          <cell r="A209">
            <v>208</v>
          </cell>
          <cell r="B209" t="str">
            <v>S</v>
          </cell>
          <cell r="C209" t="str">
            <v>TER</v>
          </cell>
          <cell r="D209">
            <v>3700</v>
          </cell>
        </row>
        <row r="210">
          <cell r="A210">
            <v>209</v>
          </cell>
          <cell r="B210" t="str">
            <v>S</v>
          </cell>
          <cell r="C210" t="str">
            <v>TER</v>
          </cell>
          <cell r="D210">
            <v>3700</v>
          </cell>
        </row>
        <row r="211">
          <cell r="A211">
            <v>210</v>
          </cell>
          <cell r="B211" t="str">
            <v>S</v>
          </cell>
          <cell r="C211" t="str">
            <v>TER</v>
          </cell>
          <cell r="D211">
            <v>3700</v>
          </cell>
        </row>
        <row r="212">
          <cell r="A212">
            <v>211</v>
          </cell>
          <cell r="B212" t="str">
            <v>S</v>
          </cell>
          <cell r="C212" t="str">
            <v>TER</v>
          </cell>
          <cell r="D212">
            <v>3700</v>
          </cell>
        </row>
        <row r="213">
          <cell r="A213">
            <v>216</v>
          </cell>
          <cell r="B213" t="str">
            <v>S</v>
          </cell>
          <cell r="C213" t="str">
            <v>TER</v>
          </cell>
          <cell r="D213">
            <v>3700</v>
          </cell>
        </row>
        <row r="214">
          <cell r="A214">
            <v>77</v>
          </cell>
          <cell r="B214" t="str">
            <v>S</v>
          </cell>
          <cell r="C214" t="str">
            <v>SS2</v>
          </cell>
          <cell r="D214">
            <v>3801</v>
          </cell>
        </row>
        <row r="215">
          <cell r="A215">
            <v>78</v>
          </cell>
          <cell r="B215" t="str">
            <v>S</v>
          </cell>
          <cell r="C215" t="str">
            <v>SS2</v>
          </cell>
          <cell r="D215">
            <v>3801</v>
          </cell>
        </row>
        <row r="216">
          <cell r="A216">
            <v>168</v>
          </cell>
          <cell r="B216" t="str">
            <v>S</v>
          </cell>
          <cell r="C216" t="str">
            <v>SS1</v>
          </cell>
          <cell r="D216">
            <v>3801</v>
          </cell>
        </row>
        <row r="217">
          <cell r="A217">
            <v>169</v>
          </cell>
          <cell r="B217" t="str">
            <v>S</v>
          </cell>
          <cell r="C217" t="str">
            <v>SS1</v>
          </cell>
          <cell r="D217">
            <v>3801</v>
          </cell>
        </row>
        <row r="218">
          <cell r="A218">
            <v>79</v>
          </cell>
          <cell r="B218" t="str">
            <v>S</v>
          </cell>
          <cell r="C218" t="str">
            <v>SS2</v>
          </cell>
          <cell r="D218">
            <v>3802</v>
          </cell>
        </row>
        <row r="219">
          <cell r="A219">
            <v>80</v>
          </cell>
          <cell r="B219" t="str">
            <v>S</v>
          </cell>
          <cell r="C219" t="str">
            <v>SS2</v>
          </cell>
          <cell r="D219">
            <v>3802</v>
          </cell>
        </row>
        <row r="220">
          <cell r="A220">
            <v>81</v>
          </cell>
          <cell r="B220" t="str">
            <v>S</v>
          </cell>
          <cell r="C220" t="str">
            <v>SS2</v>
          </cell>
          <cell r="D220">
            <v>3802</v>
          </cell>
        </row>
        <row r="221">
          <cell r="A221">
            <v>82</v>
          </cell>
          <cell r="B221" t="str">
            <v>S</v>
          </cell>
          <cell r="C221" t="str">
            <v>SS2</v>
          </cell>
          <cell r="D221">
            <v>3802</v>
          </cell>
        </row>
        <row r="222">
          <cell r="A222" t="str">
            <v>206/206A</v>
          </cell>
          <cell r="B222" t="str">
            <v>G</v>
          </cell>
          <cell r="C222" t="str">
            <v>TER</v>
          </cell>
          <cell r="D222">
            <v>3900</v>
          </cell>
        </row>
        <row r="223">
          <cell r="A223" t="str">
            <v>207/207A</v>
          </cell>
          <cell r="B223" t="str">
            <v>G</v>
          </cell>
          <cell r="C223" t="str">
            <v>TER</v>
          </cell>
          <cell r="D223">
            <v>3900</v>
          </cell>
        </row>
        <row r="224">
          <cell r="A224">
            <v>217</v>
          </cell>
          <cell r="B224" t="str">
            <v>S</v>
          </cell>
          <cell r="C224" t="str">
            <v>TER</v>
          </cell>
          <cell r="D224">
            <v>3900</v>
          </cell>
        </row>
        <row r="225">
          <cell r="A225">
            <v>218</v>
          </cell>
          <cell r="B225" t="str">
            <v>S</v>
          </cell>
          <cell r="C225" t="str">
            <v>TER</v>
          </cell>
          <cell r="D225">
            <v>3900</v>
          </cell>
        </row>
        <row r="226">
          <cell r="A226">
            <v>220</v>
          </cell>
          <cell r="B226" t="str">
            <v>S</v>
          </cell>
          <cell r="C226" t="str">
            <v>TER</v>
          </cell>
          <cell r="D226">
            <v>3900</v>
          </cell>
        </row>
        <row r="227">
          <cell r="A227">
            <v>215</v>
          </cell>
          <cell r="B227" t="str">
            <v>S</v>
          </cell>
          <cell r="C227" t="str">
            <v>TER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D8F6167-8D16-41E2-BA22-0F019AF8F541}" autoFormatId="16" applyNumberFormats="0" applyBorderFormats="0" applyFontFormats="0" applyPatternFormats="0" applyAlignmentFormats="0" applyWidthHeightFormats="0">
  <queryTableRefresh nextId="39">
    <queryTableFields count="38">
      <queryTableField id="1" name="anexos_unid" tableColumnId="1"/>
      <queryTableField id="2" name="Prod_unid" tableColumnId="2"/>
      <queryTableField id="3" name="Empresa_unid" tableColumnId="3"/>
      <queryTableField id="4" name="NumPer_unid" tableColumnId="4"/>
      <queryTableField id="5" name="Obra_unid" tableColumnId="5"/>
      <queryTableField id="6" name="NumObe_unid" tableColumnId="6"/>
      <queryTableField id="7" name="Cod_obe" tableColumnId="7"/>
      <queryTableField id="8" name="FracaoIdeal_unid" tableColumnId="8"/>
      <queryTableField id="9" name="FracaoIdealDecimal_unid" tableColumnId="9"/>
      <queryTableField id="10" name="Identificador_unid" tableColumnId="10"/>
      <queryTableField id="11" name="Qtde_unid" tableColumnId="11"/>
      <queryTableField id="12" name="Codigo_Unid" tableColumnId="12"/>
      <queryTableField id="13" name="PorcentPr_Unid" tableColumnId="13"/>
      <queryTableField id="14" name="Vendido_unid" tableColumnId="14"/>
      <queryTableField id="15" name="TipoContrato_udt" tableColumnId="15"/>
      <queryTableField id="16" name="NumCategStatus_unid" tableColumnId="16"/>
      <queryTableField id="17" name="Desc_csup" tableColumnId="17"/>
      <queryTableField id="18" name="CodTipProd_unid" tableColumnId="18"/>
      <queryTableField id="19" name="Descricao_tipprod" tableColumnId="19"/>
      <queryTableField id="20" name="ReterPrimAluguel_udt" tableColumnId="20"/>
      <queryTableField id="21" name="PorcentComissao_unid" tableColumnId="21"/>
      <queryTableField id="22" name="DataReconhecimentoReceitaMapa_unid" tableColumnId="22"/>
      <queryTableField id="23" name="DataEntregaChaves_unid" tableColumnId="23"/>
      <queryTableField id="24" name="DataCad_unid" tableColumnId="24"/>
      <queryTableField id="25" name="UsrCad_unid" tableColumnId="25"/>
      <queryTableField id="26" name="C1_unid" tableColumnId="26"/>
      <queryTableField id="27" name="C2_unid" tableColumnId="27"/>
      <queryTableField id="28" name="C3_unid" tableColumnId="28"/>
      <queryTableField id="29" name="C4_unid" tableColumnId="29"/>
      <queryTableField id="30" name="C5_unid" tableColumnId="30"/>
      <queryTableField id="31" name="C6_unid" tableColumnId="31"/>
      <queryTableField id="32" name="C7_unid" tableColumnId="32"/>
      <queryTableField id="33" name="C8_unid" tableColumnId="33"/>
      <queryTableField id="34" name="C9_unid" tableColumnId="34"/>
      <queryTableField id="35" name="PrecoMin" tableColumnId="35"/>
      <queryTableField id="36" name="Descr_status" tableColumnId="36"/>
      <queryTableField id="37" name="ObjEspelhoTop_unid" tableColumnId="37"/>
      <queryTableField id="38" name="ObjEspelhoLeft_unid" tableColumnId="3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2AD5E-2C59-41D7-A9DF-F543FD34FFAE}" name="TV_Legacy" displayName="TV_Legacy" ref="B72:H140" totalsRowShown="0" headerRowDxfId="29" headerRowBorderDxfId="27" tableBorderDxfId="28">
  <autoFilter ref="B72:H140" xr:uid="{3682AD5E-2C59-41D7-A9DF-F543FD34FFAE}">
    <filterColumn colId="3">
      <filters>
        <filter val="Disponível"/>
      </filters>
    </filterColumn>
  </autoFilter>
  <tableColumns count="7">
    <tableColumn id="1" xr3:uid="{020E9EB0-EA25-4FC5-A58B-6FE813D7F9C1}" name="UNIDADE" dataDxfId="26"/>
    <tableColumn id="2" xr3:uid="{E5F49FD4-6B12-4C83-8CF6-4333E4EBBE28}" name="Peso %" dataDxfId="25">
      <calculatedColumnFormula>L73</calculatedColumnFormula>
    </tableColumn>
    <tableColumn id="3" xr3:uid="{FF450695-76AF-44AC-A7B7-D6027DB4B85B}" name="Descrição" dataDxfId="24"/>
    <tableColumn id="4" xr3:uid="{21CE4220-2E7C-4F6F-87F0-DA80323713A6}" name="Status" dataDxfId="23"/>
    <tableColumn id="5" xr3:uid="{382615F6-EAA7-4DAD-ACC9-F64CD81CF8C5}" name="VGV Tabela" dataDxfId="22">
      <calculatedColumnFormula>ROUND((VLOOKUP(D73,$B$41:$E$53,4,FALSE)*G73)*C73,0)</calculatedColumnFormula>
    </tableColumn>
    <tableColumn id="6" xr3:uid="{B48DCE1C-C67F-4CCE-8642-2139195BADAD}" name="Area Privativa" dataDxfId="21"/>
    <tableColumn id="7" xr3:uid="{B68BDA18-A542-4242-8076-023EA813F725}" name="Preço/m2 Tabela" dataDxfId="20" dataCellStyle="Moeda">
      <calculatedColumnFormula>F73/G73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77EBEF-34F0-43F7-A26E-1EBDB0C14E5E}" name="Consulta1" displayName="Consulta1" ref="A1:AL68" tableType="queryTable" totalsRowShown="0">
  <autoFilter ref="A1:AL68" xr:uid="{AF77EBEF-34F0-43F7-A26E-1EBDB0C14E5E}"/>
  <tableColumns count="38">
    <tableColumn id="1" xr3:uid="{80629206-702D-4E23-A50E-C0ACF9BE3F6B}" uniqueName="1" name="anexos_unid" queryTableFieldId="1"/>
    <tableColumn id="2" xr3:uid="{0D5B1723-33C9-4528-94C5-7F36E02D419A}" uniqueName="2" name="Prod_unid" queryTableFieldId="2"/>
    <tableColumn id="3" xr3:uid="{B80487DD-3B08-461B-AD9D-9403C0272FC9}" uniqueName="3" name="Empresa_unid" queryTableFieldId="3"/>
    <tableColumn id="4" xr3:uid="{21200572-E179-4AAF-BED2-365B12496AC3}" uniqueName="4" name="NumPer_unid" queryTableFieldId="4"/>
    <tableColumn id="5" xr3:uid="{4A0784C5-8C69-44F4-B159-D369D4D7C8F1}" uniqueName="5" name="Obra_unid" queryTableFieldId="5" dataDxfId="19"/>
    <tableColumn id="6" xr3:uid="{B1A0B70B-2139-4DCF-8EE1-337B430039A0}" uniqueName="6" name="NumObe_unid" queryTableFieldId="6"/>
    <tableColumn id="7" xr3:uid="{CB153030-B1D8-413F-91B3-A31DC6DEE653}" uniqueName="7" name="Cod_obe" queryTableFieldId="7" dataDxfId="18"/>
    <tableColumn id="8" xr3:uid="{64EECB67-0E75-4F8A-8EC8-B5A62BC9BE5E}" uniqueName="8" name="FracaoIdeal_unid" queryTableFieldId="8"/>
    <tableColumn id="9" xr3:uid="{3738E294-E6F6-40B4-9CC6-8E11D89971B8}" uniqueName="9" name="FracaoIdealDecimal_unid" queryTableFieldId="9"/>
    <tableColumn id="10" xr3:uid="{6CAC2943-D9E7-4579-A9CE-BB2F49EF13AB}" uniqueName="10" name="Identificador_unid" queryTableFieldId="10"/>
    <tableColumn id="11" xr3:uid="{77867CEA-7F9E-4444-A8FF-518C53C44FE1}" uniqueName="11" name="Qtde_unid" queryTableFieldId="11"/>
    <tableColumn id="12" xr3:uid="{0F484E4F-5A68-4778-898E-2C1F8F73D745}" uniqueName="12" name="Codigo_Unid" queryTableFieldId="12" dataDxfId="17"/>
    <tableColumn id="13" xr3:uid="{0DA7ABCD-C31A-4F9A-AD80-5251C1A1D4AA}" uniqueName="13" name="PorcentPr_Unid" queryTableFieldId="13"/>
    <tableColumn id="14" xr3:uid="{5A99A1F2-73FB-42EF-A59A-3C4F5C4C44A1}" uniqueName="14" name="Vendido_unid" queryTableFieldId="14"/>
    <tableColumn id="15" xr3:uid="{2EAFFBC0-7300-439B-B806-01BB147DF2AC}" uniqueName="15" name="TipoContrato_udt" queryTableFieldId="15"/>
    <tableColumn id="16" xr3:uid="{9CE35B26-06F3-472D-B06F-8BEFB0625634}" uniqueName="16" name="NumCategStatus_unid" queryTableFieldId="16"/>
    <tableColumn id="17" xr3:uid="{F52EC412-43A2-49FD-85C1-D7D700C6FC97}" uniqueName="17" name="Desc_csup" queryTableFieldId="17" dataDxfId="16"/>
    <tableColumn id="18" xr3:uid="{CE8B75F6-20E1-43C1-9C26-7B0E1EB562A4}" uniqueName="18" name="CodTipProd_unid" queryTableFieldId="18" dataDxfId="15"/>
    <tableColumn id="19" xr3:uid="{43B5A802-B17A-45C7-9917-322650D86F88}" uniqueName="19" name="Descricao_tipprod" queryTableFieldId="19" dataDxfId="14"/>
    <tableColumn id="20" xr3:uid="{3524CF93-9D79-4E33-8F5F-371AD3BB334D}" uniqueName="20" name="ReterPrimAluguel_udt" queryTableFieldId="20"/>
    <tableColumn id="21" xr3:uid="{71DF0BCE-2CB7-47E9-95A8-98D0E580D9F4}" uniqueName="21" name="PorcentComissao_unid" queryTableFieldId="21"/>
    <tableColumn id="22" xr3:uid="{6EEED754-709B-4341-9FCA-CEAEEC5ED4B6}" uniqueName="22" name="DataReconhecimentoReceitaMapa_unid" queryTableFieldId="22" dataDxfId="13"/>
    <tableColumn id="23" xr3:uid="{3635AA5B-2790-459D-A721-CE89205D899F}" uniqueName="23" name="DataEntregaChaves_unid" queryTableFieldId="23" dataDxfId="12"/>
    <tableColumn id="24" xr3:uid="{A7346973-F458-4CF7-BEDD-B7D20A9837B8}" uniqueName="24" name="DataCad_unid" queryTableFieldId="24" dataDxfId="11"/>
    <tableColumn id="25" xr3:uid="{7556200B-E72C-4260-95F4-EE057143C9DA}" uniqueName="25" name="UsrCad_unid" queryTableFieldId="25" dataDxfId="10"/>
    <tableColumn id="26" xr3:uid="{C55C8C55-5A55-4D06-8F66-131C818FDACA}" uniqueName="26" name="C1_unid" queryTableFieldId="26" dataDxfId="9"/>
    <tableColumn id="27" xr3:uid="{48F62565-3775-4F90-B9F5-A2AC8F779EDA}" uniqueName="27" name="C2_unid" queryTableFieldId="27" dataDxfId="8"/>
    <tableColumn id="28" xr3:uid="{B74E0E91-AC2E-49E5-A8AF-8EA7EEA115CE}" uniqueName="28" name="C3_unid" queryTableFieldId="28" dataDxfId="7"/>
    <tableColumn id="29" xr3:uid="{AAB45E03-1DF3-4D0E-A0B2-4877E13041BA}" uniqueName="29" name="C4_unid" queryTableFieldId="29" dataDxfId="6"/>
    <tableColumn id="30" xr3:uid="{EB8FCB7C-4313-449F-83A5-11549EE5971A}" uniqueName="30" name="C5_unid" queryTableFieldId="30" dataDxfId="5"/>
    <tableColumn id="31" xr3:uid="{BA627EBA-253C-4D05-9120-04185CD324A4}" uniqueName="31" name="C6_unid" queryTableFieldId="31" dataDxfId="4"/>
    <tableColumn id="32" xr3:uid="{690D9ECF-5F8A-4EBD-8588-0B4012A9952F}" uniqueName="32" name="C7_unid" queryTableFieldId="32" dataDxfId="3"/>
    <tableColumn id="33" xr3:uid="{11091300-5126-46D1-807A-BFAC0E68A96B}" uniqueName="33" name="C8_unid" queryTableFieldId="33" dataDxfId="2"/>
    <tableColumn id="34" xr3:uid="{6A23C721-06D8-43B3-AACD-5F4090497ACA}" uniqueName="34" name="C9_unid" queryTableFieldId="34" dataDxfId="1"/>
    <tableColumn id="35" xr3:uid="{4697F898-F93F-40A9-809E-97160D4C6329}" uniqueName="35" name="PrecoMin" queryTableFieldId="35"/>
    <tableColumn id="36" xr3:uid="{1A0BB75B-0931-4CD4-B8DB-2CE1F31E3EBD}" uniqueName="36" name="Descr_status" queryTableFieldId="36" dataDxfId="0"/>
    <tableColumn id="37" xr3:uid="{C90304CB-7177-4BBE-8443-ADFB4B24C32A}" uniqueName="37" name="ObjEspelhoTop_unid" queryTableFieldId="37"/>
    <tableColumn id="38" xr3:uid="{DAF451E6-2528-44E4-8167-263E1618ABCA}" uniqueName="38" name="ObjEspelhoLeft_unid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06A3-FC97-4716-BF53-19927C7017E5}">
  <dimension ref="A1:AC660"/>
  <sheetViews>
    <sheetView tabSelected="1" topLeftCell="A71" zoomScale="133" workbookViewId="0">
      <selection activeCell="F82" sqref="F82"/>
    </sheetView>
  </sheetViews>
  <sheetFormatPr defaultColWidth="9.140625" defaultRowHeight="15"/>
  <cols>
    <col min="1" max="1" width="14.140625" customWidth="1"/>
    <col min="2" max="2" width="16" customWidth="1"/>
    <col min="3" max="3" width="18.7109375" bestFit="1" customWidth="1"/>
    <col min="4" max="4" width="19.42578125" customWidth="1"/>
    <col min="5" max="5" width="15.7109375" customWidth="1"/>
    <col min="6" max="6" width="14.42578125" customWidth="1"/>
    <col min="7" max="7" width="22.28515625" customWidth="1"/>
    <col min="8" max="8" width="16.5703125" customWidth="1"/>
    <col min="9" max="9" width="14.85546875" customWidth="1"/>
    <col min="10" max="10" width="12.7109375" customWidth="1"/>
    <col min="11" max="11" width="14.7109375" customWidth="1"/>
    <col min="12" max="12" width="12.85546875" customWidth="1"/>
    <col min="13" max="13" width="13.85546875" customWidth="1"/>
    <col min="14" max="14" width="13.42578125" customWidth="1"/>
    <col min="15" max="15" width="14.28515625" bestFit="1" customWidth="1"/>
    <col min="16" max="16" width="14.42578125" bestFit="1" customWidth="1"/>
    <col min="17" max="17" width="15.28515625" customWidth="1"/>
    <col min="18" max="21" width="15.7109375" customWidth="1"/>
    <col min="23" max="23" width="10.42578125" customWidth="1"/>
    <col min="25" max="25" width="11" customWidth="1"/>
    <col min="27" max="27" width="11.140625" customWidth="1"/>
    <col min="29" max="29" width="11.7109375" customWidth="1"/>
    <col min="31" max="31" width="11.42578125" bestFit="1" customWidth="1"/>
    <col min="33" max="33" width="11.42578125" bestFit="1" customWidth="1"/>
    <col min="35" max="35" width="11.42578125" bestFit="1" customWidth="1"/>
    <col min="36" max="36" width="12.140625" bestFit="1" customWidth="1"/>
    <col min="37" max="37" width="11.42578125" bestFit="1" customWidth="1"/>
    <col min="39" max="39" width="11.42578125" bestFit="1" customWidth="1"/>
    <col min="41" max="41" width="11.42578125" bestFit="1" customWidth="1"/>
    <col min="43" max="43" width="11.42578125" bestFit="1" customWidth="1"/>
    <col min="45" max="45" width="11.42578125" bestFit="1" customWidth="1"/>
    <col min="47" max="47" width="11.42578125" bestFit="1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42578125" bestFit="1" customWidth="1"/>
  </cols>
  <sheetData>
    <row r="1" spans="1:18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2"/>
      <c r="M1" s="143"/>
      <c r="N1" s="143"/>
      <c r="O1" s="143"/>
      <c r="P1" s="143"/>
      <c r="Q1" s="143"/>
    </row>
    <row r="2" spans="1:18" s="148" customFormat="1">
      <c r="A2" s="144"/>
      <c r="B2" s="145"/>
      <c r="C2" s="145"/>
      <c r="D2" s="146"/>
      <c r="E2" s="146"/>
      <c r="F2" s="145"/>
      <c r="G2" s="145"/>
      <c r="H2" s="145"/>
      <c r="I2" s="145"/>
      <c r="J2" s="145"/>
      <c r="K2" s="145"/>
      <c r="L2" s="147"/>
    </row>
    <row r="3" spans="1:18" ht="12.75" customHeight="1">
      <c r="A3" s="145"/>
      <c r="B3" s="440" t="s">
        <v>1</v>
      </c>
      <c r="C3" s="440"/>
      <c r="D3" s="149" t="s">
        <v>2</v>
      </c>
      <c r="E3" s="149" t="s">
        <v>3</v>
      </c>
      <c r="F3" s="441" t="s">
        <v>4</v>
      </c>
      <c r="G3" s="441" t="s">
        <v>5</v>
      </c>
      <c r="H3" s="145"/>
      <c r="I3" s="145"/>
      <c r="J3" s="145"/>
      <c r="K3" s="145"/>
      <c r="L3" s="147"/>
      <c r="M3" s="148"/>
      <c r="N3" s="148"/>
      <c r="O3" s="148"/>
      <c r="P3" s="148"/>
      <c r="Q3" s="148"/>
    </row>
    <row r="4" spans="1:18" ht="12.75" customHeight="1">
      <c r="A4" s="145"/>
      <c r="B4" s="150" t="s">
        <v>6</v>
      </c>
      <c r="C4" s="151"/>
      <c r="D4" s="152">
        <v>2021</v>
      </c>
      <c r="E4" s="152">
        <v>2</v>
      </c>
      <c r="F4" s="442"/>
      <c r="G4" s="442"/>
      <c r="H4" s="153"/>
      <c r="I4" s="153"/>
      <c r="J4" s="153"/>
      <c r="K4" s="153"/>
      <c r="L4" s="147"/>
      <c r="M4" s="148"/>
      <c r="N4" s="148"/>
      <c r="O4" s="148"/>
      <c r="P4" s="148"/>
      <c r="Q4" s="148"/>
    </row>
    <row r="5" spans="1:18" ht="12.75" customHeight="1">
      <c r="A5" s="145"/>
      <c r="B5" s="150" t="s">
        <v>7</v>
      </c>
      <c r="C5" s="154">
        <v>45108</v>
      </c>
      <c r="D5" s="152">
        <f>YEAR(C5)</f>
        <v>2023</v>
      </c>
      <c r="E5" s="152">
        <v>7</v>
      </c>
      <c r="F5" s="443"/>
      <c r="G5" s="443"/>
      <c r="H5" s="145"/>
      <c r="I5" s="145"/>
      <c r="J5" s="145"/>
      <c r="K5" s="145"/>
      <c r="L5" s="147"/>
      <c r="M5" s="148"/>
      <c r="N5" s="148"/>
      <c r="O5" s="148"/>
      <c r="P5" s="148"/>
      <c r="Q5" s="148"/>
    </row>
    <row r="6" spans="1:18" ht="12.75" customHeight="1">
      <c r="A6" s="145"/>
      <c r="B6" s="150" t="s">
        <v>8</v>
      </c>
      <c r="C6" s="155">
        <v>45809</v>
      </c>
      <c r="D6" s="152">
        <f>YEAR(C6)</f>
        <v>2025</v>
      </c>
      <c r="E6" s="152">
        <f>MONTH(C6)</f>
        <v>6</v>
      </c>
      <c r="F6" s="156">
        <f>IF(DAYS360(DATE(D5,E5,1),C6)/30&lt;0,0,DAYS360(DATE(D5,E5,1),C6)/30)</f>
        <v>23</v>
      </c>
      <c r="G6" s="317">
        <f>F6-2</f>
        <v>21</v>
      </c>
      <c r="H6" s="157"/>
      <c r="I6" s="158"/>
      <c r="J6" s="153"/>
      <c r="K6" s="153"/>
      <c r="L6" s="147"/>
      <c r="M6" s="148"/>
      <c r="N6" s="148"/>
      <c r="O6" s="148"/>
      <c r="P6" s="148"/>
      <c r="Q6" s="148"/>
    </row>
    <row r="7" spans="1:18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7"/>
      <c r="M7" s="148"/>
      <c r="N7" s="148"/>
      <c r="O7" s="148"/>
      <c r="P7" s="148"/>
      <c r="Q7" s="148"/>
    </row>
    <row r="8" spans="1:18">
      <c r="A8" s="145"/>
      <c r="B8" s="159" t="s">
        <v>9</v>
      </c>
      <c r="C8" s="159" t="s">
        <v>10</v>
      </c>
      <c r="D8" s="159" t="s">
        <v>11</v>
      </c>
      <c r="E8" s="160" t="s">
        <v>12</v>
      </c>
      <c r="F8" s="145"/>
      <c r="G8" s="148"/>
      <c r="H8" s="161" t="s">
        <v>13</v>
      </c>
      <c r="I8" s="161" t="s">
        <v>14</v>
      </c>
      <c r="J8" s="161" t="s">
        <v>15</v>
      </c>
      <c r="K8" s="161" t="s">
        <v>16</v>
      </c>
      <c r="L8" s="145"/>
      <c r="M8" s="147"/>
      <c r="N8" s="148"/>
      <c r="O8" s="162"/>
      <c r="P8" s="162"/>
      <c r="Q8" s="148"/>
      <c r="R8" s="148"/>
    </row>
    <row r="9" spans="1:18">
      <c r="A9" s="145"/>
      <c r="B9" s="163" t="s">
        <v>17</v>
      </c>
      <c r="C9" s="164"/>
      <c r="D9" s="165">
        <f>C9*$C$202</f>
        <v>0</v>
      </c>
      <c r="E9" s="166" t="s">
        <v>18</v>
      </c>
      <c r="F9" s="167"/>
      <c r="G9" s="168" t="s">
        <v>19</v>
      </c>
      <c r="H9" s="169">
        <f>COUNTA(B74:B140)</f>
        <v>67</v>
      </c>
      <c r="I9" s="170"/>
      <c r="J9" s="170">
        <f>COUNTIF(E74:E140,"&lt;&gt;Disponível")</f>
        <v>48</v>
      </c>
      <c r="K9" s="166">
        <f>H9-I9-J9</f>
        <v>19</v>
      </c>
      <c r="L9" s="153"/>
      <c r="M9" s="147"/>
      <c r="N9" s="171"/>
      <c r="O9" s="162"/>
      <c r="P9" s="162"/>
      <c r="Q9" s="148"/>
      <c r="R9" s="148"/>
    </row>
    <row r="10" spans="1:18">
      <c r="A10" s="145"/>
      <c r="B10" s="150" t="s">
        <v>20</v>
      </c>
      <c r="C10" s="165"/>
      <c r="D10" s="165">
        <f>C10*(1+0.9489%)^(ROUND((DATE(D5,E5,1)-DATE(D4,E4,1))/30,0))</f>
        <v>0</v>
      </c>
      <c r="E10" s="167"/>
      <c r="F10" s="167"/>
      <c r="G10" s="167"/>
      <c r="H10" s="145"/>
      <c r="I10" s="172"/>
      <c r="J10" s="172"/>
      <c r="K10" s="172"/>
      <c r="L10" s="172"/>
      <c r="M10" s="172"/>
      <c r="N10" s="173"/>
      <c r="O10" s="162"/>
      <c r="P10" s="148"/>
      <c r="Q10" s="148"/>
    </row>
    <row r="11" spans="1:18">
      <c r="A11" s="145"/>
      <c r="B11" s="145"/>
      <c r="D11" s="145"/>
      <c r="E11" s="145"/>
      <c r="F11" s="145"/>
      <c r="G11" s="145"/>
      <c r="H11" s="145"/>
      <c r="I11" s="153"/>
      <c r="J11" s="153"/>
      <c r="K11" s="153"/>
      <c r="L11" s="147"/>
      <c r="M11" s="148"/>
      <c r="N11" s="162"/>
      <c r="O11" s="162"/>
      <c r="P11" s="148"/>
      <c r="Q11" s="148"/>
    </row>
    <row r="12" spans="1:18" ht="6" customHeight="1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</row>
    <row r="13" spans="1:18" ht="27" customHeight="1">
      <c r="A13" s="148"/>
      <c r="B13" s="148"/>
      <c r="C13" s="161" t="s">
        <v>21</v>
      </c>
      <c r="D13" s="161" t="s">
        <v>22</v>
      </c>
      <c r="E13" s="161" t="s">
        <v>23</v>
      </c>
      <c r="F13" s="174" t="s">
        <v>13</v>
      </c>
      <c r="G13" s="175" t="s">
        <v>24</v>
      </c>
      <c r="H13" s="148"/>
      <c r="I13" s="148"/>
      <c r="J13" s="148"/>
      <c r="K13" s="148"/>
      <c r="L13" s="148"/>
      <c r="M13" s="148"/>
      <c r="N13" s="148"/>
      <c r="O13" s="148"/>
      <c r="P13" s="148"/>
      <c r="Q13" s="148"/>
    </row>
    <row r="14" spans="1:18">
      <c r="A14" s="148"/>
      <c r="B14" s="168" t="s">
        <v>25</v>
      </c>
      <c r="C14" s="176">
        <v>0.04</v>
      </c>
      <c r="D14" s="176">
        <v>0</v>
      </c>
      <c r="E14" s="177">
        <v>0.01</v>
      </c>
      <c r="F14" s="178">
        <f>SUM(C14:D14)+(E14)</f>
        <v>0.05</v>
      </c>
      <c r="G14" s="179">
        <v>0</v>
      </c>
      <c r="H14" s="148"/>
      <c r="I14" s="148"/>
      <c r="J14" s="148"/>
      <c r="K14" s="148"/>
      <c r="L14" s="148"/>
      <c r="M14" s="148"/>
      <c r="N14" s="148"/>
      <c r="O14" s="148"/>
      <c r="P14" s="148"/>
      <c r="Q14" s="148"/>
    </row>
    <row r="15" spans="1:18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</row>
    <row r="16" spans="1:18">
      <c r="A16" s="148"/>
      <c r="B16" s="444" t="s">
        <v>26</v>
      </c>
      <c r="C16" s="444"/>
      <c r="D16" s="444"/>
      <c r="E16" s="444"/>
      <c r="F16" s="444"/>
      <c r="G16" s="162"/>
      <c r="H16" s="180" t="s">
        <v>27</v>
      </c>
      <c r="I16" s="181"/>
      <c r="J16" s="153"/>
      <c r="K16" s="147"/>
      <c r="L16" s="153"/>
      <c r="M16" s="148"/>
      <c r="N16" s="148"/>
      <c r="O16" s="148"/>
      <c r="P16" s="148"/>
      <c r="Q16" s="148"/>
    </row>
    <row r="17" spans="1:21">
      <c r="A17" s="148"/>
      <c r="B17" s="182" t="s">
        <v>28</v>
      </c>
      <c r="C17" s="182" t="s">
        <v>29</v>
      </c>
      <c r="D17" s="183" t="s">
        <v>30</v>
      </c>
      <c r="E17" s="182" t="s">
        <v>31</v>
      </c>
      <c r="F17" s="182" t="s">
        <v>32</v>
      </c>
      <c r="G17" s="162"/>
      <c r="H17" s="180" t="s">
        <v>33</v>
      </c>
      <c r="I17" s="184"/>
      <c r="J17" s="185"/>
      <c r="K17" s="172"/>
      <c r="L17" s="172"/>
      <c r="M17" s="148"/>
      <c r="N17" s="148"/>
      <c r="O17" s="148"/>
      <c r="P17" s="148"/>
      <c r="Q17" s="148"/>
    </row>
    <row r="18" spans="1:21" ht="50.25" customHeight="1">
      <c r="A18" s="148"/>
      <c r="B18" s="186"/>
      <c r="C18" s="186"/>
      <c r="D18" s="187"/>
      <c r="E18" s="187"/>
      <c r="F18" s="187"/>
      <c r="G18" s="162"/>
      <c r="H18" s="188" t="s">
        <v>34</v>
      </c>
      <c r="I18" s="189" t="s">
        <v>35</v>
      </c>
      <c r="J18" s="153"/>
      <c r="K18" s="147"/>
      <c r="L18" s="153"/>
      <c r="M18" s="148"/>
      <c r="N18" s="148"/>
      <c r="O18" s="148"/>
      <c r="P18" s="148"/>
      <c r="Q18" s="148"/>
    </row>
    <row r="19" spans="1:21" ht="25.5" customHeight="1">
      <c r="A19" s="148"/>
      <c r="B19" s="190"/>
      <c r="C19" s="190"/>
      <c r="D19" s="190"/>
      <c r="E19" s="190"/>
      <c r="F19" s="190"/>
      <c r="H19" s="191"/>
      <c r="I19" s="153"/>
      <c r="J19" s="153"/>
      <c r="K19" s="147"/>
      <c r="L19" s="153"/>
      <c r="M19" s="148"/>
      <c r="N19" s="148"/>
      <c r="O19" s="148"/>
      <c r="P19" s="148"/>
      <c r="Q19" s="148"/>
    </row>
    <row r="20" spans="1:21" ht="25.5" customHeight="1">
      <c r="A20" s="148"/>
      <c r="B20" s="192" t="s">
        <v>36</v>
      </c>
      <c r="C20" s="179" t="s">
        <v>37</v>
      </c>
      <c r="D20" s="148"/>
      <c r="E20" s="148"/>
      <c r="F20" s="162"/>
      <c r="G20" s="193"/>
      <c r="H20" s="162"/>
      <c r="I20" s="194"/>
      <c r="J20" s="194"/>
      <c r="K20" s="194"/>
      <c r="L20" s="195"/>
      <c r="M20" s="162"/>
      <c r="N20" s="162"/>
      <c r="O20" s="148"/>
      <c r="P20" s="148"/>
      <c r="Q20" s="148"/>
    </row>
    <row r="21" spans="1:21" ht="25.5" customHeight="1">
      <c r="A21" s="148"/>
      <c r="B21" s="192" t="s">
        <v>38</v>
      </c>
      <c r="C21" s="196">
        <v>0.03</v>
      </c>
      <c r="D21" s="148"/>
      <c r="E21" s="148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48"/>
      <c r="Q21" s="148"/>
    </row>
    <row r="22" spans="1:21" ht="22.5" customHeight="1">
      <c r="A22" s="148"/>
      <c r="B22" s="192" t="s">
        <v>39</v>
      </c>
      <c r="C22" s="196">
        <v>0</v>
      </c>
      <c r="D22" s="148"/>
      <c r="E22" s="148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48"/>
      <c r="Q22" s="148"/>
    </row>
    <row r="23" spans="1:21" ht="12.75" customHeight="1">
      <c r="F23" s="162"/>
      <c r="G23" s="162"/>
      <c r="H23" s="162"/>
      <c r="I23" s="162"/>
      <c r="J23" s="162"/>
      <c r="K23" s="162"/>
      <c r="L23" s="162"/>
      <c r="M23" s="162"/>
      <c r="N23" s="162"/>
      <c r="O23" s="162"/>
    </row>
    <row r="24" spans="1:21" ht="12.75" hidden="1" customHeight="1">
      <c r="F24" s="162"/>
      <c r="G24" s="162"/>
      <c r="H24" s="162"/>
      <c r="I24" s="162"/>
      <c r="J24" s="162"/>
      <c r="K24" s="162"/>
      <c r="L24" s="162"/>
      <c r="M24" s="162"/>
      <c r="N24" s="162"/>
      <c r="O24" s="162"/>
    </row>
    <row r="25" spans="1:21" ht="12.75" hidden="1" customHeight="1"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R25" s="439"/>
      <c r="S25" s="439"/>
      <c r="T25" s="439"/>
      <c r="U25" s="439"/>
    </row>
    <row r="26" spans="1:21" ht="25.5" hidden="1" customHeight="1"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R26" s="197"/>
      <c r="S26" s="197"/>
      <c r="T26" s="197"/>
      <c r="U26" s="197"/>
    </row>
    <row r="27" spans="1:21" ht="12.75" hidden="1" customHeight="1"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R27" s="198"/>
      <c r="S27" s="199"/>
      <c r="T27" s="198"/>
      <c r="U27" s="199"/>
    </row>
    <row r="28" spans="1:21" ht="12.75" hidden="1" customHeight="1"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R28" s="198"/>
      <c r="S28" s="199"/>
      <c r="T28" s="198"/>
      <c r="U28" s="199"/>
    </row>
    <row r="29" spans="1:21" ht="12.75" hidden="1" customHeight="1"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R29" s="198"/>
      <c r="S29" s="199"/>
      <c r="T29" s="198"/>
      <c r="U29" s="199"/>
    </row>
    <row r="30" spans="1:21" ht="12.75" hidden="1" customHeight="1"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R30" s="198"/>
      <c r="S30" s="199"/>
      <c r="T30" s="198"/>
      <c r="U30" s="199"/>
    </row>
    <row r="31" spans="1:21" ht="12.75" hidden="1" customHeight="1"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R31" s="198"/>
      <c r="S31" s="199"/>
      <c r="T31" s="198"/>
      <c r="U31" s="199"/>
    </row>
    <row r="32" spans="1:21" ht="12.75" hidden="1" customHeight="1"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R32" s="198"/>
      <c r="S32" s="199"/>
      <c r="T32" s="198"/>
      <c r="U32" s="199"/>
    </row>
    <row r="33" spans="1:21" ht="12.75" hidden="1" customHeight="1"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R33" s="198"/>
      <c r="S33" s="199"/>
      <c r="T33" s="198"/>
      <c r="U33" s="199"/>
    </row>
    <row r="34" spans="1:21" ht="12.75" hidden="1" customHeight="1"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R34" s="198"/>
      <c r="S34" s="199"/>
      <c r="T34" s="198"/>
      <c r="U34" s="199"/>
    </row>
    <row r="35" spans="1:21" ht="12.75" hidden="1" customHeight="1"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R35" s="198"/>
      <c r="S35" s="199"/>
      <c r="T35" s="198"/>
      <c r="U35" s="199"/>
    </row>
    <row r="36" spans="1:21" ht="12.75" hidden="1" customHeight="1"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R36" s="198"/>
      <c r="S36" s="199"/>
      <c r="T36" s="198"/>
      <c r="U36" s="199"/>
    </row>
    <row r="37" spans="1:21" ht="12.75" hidden="1" customHeight="1"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R37" s="200"/>
      <c r="S37" s="200"/>
      <c r="T37" s="200"/>
      <c r="U37" s="200"/>
    </row>
    <row r="38" spans="1:21" ht="12.75" customHeight="1">
      <c r="A38" s="201"/>
      <c r="B38" s="202"/>
      <c r="C38" s="198"/>
      <c r="D38" s="203"/>
      <c r="E38" s="198"/>
      <c r="F38" s="204"/>
      <c r="G38" s="205"/>
      <c r="H38" s="193"/>
      <c r="I38" s="206"/>
      <c r="J38" s="206"/>
      <c r="K38" s="206"/>
      <c r="L38" s="162"/>
      <c r="M38" s="162"/>
      <c r="N38" s="162"/>
      <c r="O38" s="162"/>
      <c r="P38" s="148"/>
      <c r="Q38" s="148"/>
    </row>
    <row r="39" spans="1:21" ht="12.75" customHeight="1">
      <c r="A39" s="201"/>
      <c r="B39" s="430" t="s">
        <v>40</v>
      </c>
      <c r="C39" s="430"/>
      <c r="D39" s="430"/>
      <c r="E39" s="430"/>
      <c r="F39" s="193"/>
      <c r="G39" s="162"/>
      <c r="H39" s="193"/>
      <c r="I39" s="162"/>
      <c r="J39" s="162"/>
      <c r="K39" s="162"/>
      <c r="L39" s="162"/>
      <c r="M39" s="162"/>
      <c r="N39" s="162"/>
      <c r="O39" s="162"/>
      <c r="P39" s="148"/>
      <c r="Q39" s="148"/>
    </row>
    <row r="40" spans="1:21" ht="12.75" customHeight="1">
      <c r="A40" s="201"/>
      <c r="B40" s="207" t="s">
        <v>41</v>
      </c>
      <c r="C40" s="207" t="s">
        <v>42</v>
      </c>
      <c r="D40" s="207" t="s">
        <v>43</v>
      </c>
      <c r="E40" s="208" t="s">
        <v>44</v>
      </c>
      <c r="F40" s="193"/>
      <c r="G40" s="162"/>
      <c r="H40" s="193"/>
      <c r="I40" s="162"/>
      <c r="J40" s="162"/>
      <c r="K40" s="162"/>
      <c r="L40" s="206"/>
      <c r="M40" s="162"/>
      <c r="N40" s="209"/>
      <c r="O40" s="162"/>
      <c r="P40" s="148"/>
      <c r="Q40" s="148"/>
    </row>
    <row r="41" spans="1:21" ht="12.75" customHeight="1">
      <c r="A41" s="210">
        <v>1</v>
      </c>
      <c r="B41" s="211" t="s">
        <v>45</v>
      </c>
      <c r="C41" s="212">
        <f t="shared" ref="C41:C53" si="0">SUMIF($D$74:$D$140,B41,$G$74:$G$140)/COUNTIF($D$74:$D$140,B41)</f>
        <v>550.33000000000004</v>
      </c>
      <c r="D41" s="213">
        <f>E201*C41</f>
        <v>5931437.5741408551</v>
      </c>
      <c r="E41" s="214">
        <f>D41/C41</f>
        <v>10777.965173879045</v>
      </c>
      <c r="F41" s="215"/>
      <c r="G41" s="215"/>
      <c r="H41" s="216"/>
      <c r="I41" s="162"/>
      <c r="J41" s="162"/>
      <c r="K41" s="162"/>
      <c r="L41" s="162"/>
      <c r="M41" s="162"/>
      <c r="N41" s="162"/>
      <c r="O41" s="162"/>
      <c r="P41" s="148"/>
      <c r="Q41" s="148"/>
    </row>
    <row r="42" spans="1:21" ht="12.75" customHeight="1">
      <c r="A42" s="210">
        <v>2</v>
      </c>
      <c r="B42" s="211" t="s">
        <v>46</v>
      </c>
      <c r="C42" s="212">
        <f t="shared" si="0"/>
        <v>499.49</v>
      </c>
      <c r="D42" s="213">
        <f>G201*C42</f>
        <v>5383485.8247008445</v>
      </c>
      <c r="E42" s="214">
        <f t="shared" ref="E42:E53" si="1">D42/C42</f>
        <v>10777.965173879045</v>
      </c>
      <c r="F42" s="215"/>
      <c r="G42" s="215"/>
      <c r="H42" s="216"/>
      <c r="I42" s="162"/>
      <c r="J42" s="162"/>
      <c r="K42" s="162"/>
      <c r="L42" s="162"/>
      <c r="M42" s="162"/>
      <c r="N42" s="162"/>
      <c r="O42" s="162"/>
      <c r="P42" s="148"/>
      <c r="Q42" s="148"/>
    </row>
    <row r="43" spans="1:21" ht="12.75" customHeight="1">
      <c r="A43" s="210">
        <v>3</v>
      </c>
      <c r="B43" s="211" t="s">
        <v>47</v>
      </c>
      <c r="C43" s="212">
        <f t="shared" si="0"/>
        <v>338.41463414634148</v>
      </c>
      <c r="D43" s="213">
        <f>I201*C43</f>
        <v>4192438.0932876868</v>
      </c>
      <c r="E43" s="214">
        <f t="shared" si="1"/>
        <v>12388.465717102354</v>
      </c>
      <c r="F43" s="215"/>
      <c r="G43" s="215"/>
      <c r="H43" s="216"/>
      <c r="I43" s="162"/>
      <c r="J43" s="162"/>
      <c r="K43" s="162"/>
      <c r="L43" s="162"/>
      <c r="M43" s="162"/>
      <c r="N43" s="162"/>
      <c r="O43" s="162"/>
      <c r="P43" s="148"/>
      <c r="Q43" s="148"/>
    </row>
    <row r="44" spans="1:21" ht="12.75" customHeight="1">
      <c r="A44" s="210">
        <v>4</v>
      </c>
      <c r="B44" s="211" t="s">
        <v>48</v>
      </c>
      <c r="C44" s="212">
        <f t="shared" si="0"/>
        <v>688.52999999999986</v>
      </c>
      <c r="D44" s="213">
        <f>K201*C44</f>
        <v>8978768.7370489296</v>
      </c>
      <c r="E44" s="214">
        <f t="shared" si="1"/>
        <v>13040.490228528795</v>
      </c>
      <c r="F44" s="199"/>
      <c r="G44" s="199"/>
      <c r="H44" s="217"/>
      <c r="I44" s="148"/>
      <c r="J44" s="218"/>
      <c r="K44" s="148"/>
      <c r="L44" s="148"/>
      <c r="M44" s="148"/>
      <c r="N44" s="148"/>
      <c r="O44" s="148"/>
      <c r="P44" s="148"/>
      <c r="Q44" s="148"/>
    </row>
    <row r="45" spans="1:21" ht="12.75" customHeight="1">
      <c r="A45" s="210">
        <v>5</v>
      </c>
      <c r="B45" s="211" t="s">
        <v>49</v>
      </c>
      <c r="C45" s="212">
        <f t="shared" si="0"/>
        <v>301.03000000000003</v>
      </c>
      <c r="D45" s="213">
        <f>M201*C45</f>
        <v>3533020.8961446206</v>
      </c>
      <c r="E45" s="214">
        <f t="shared" si="1"/>
        <v>11736.441205675914</v>
      </c>
      <c r="F45" s="199"/>
      <c r="G45" s="199"/>
      <c r="H45" s="217"/>
      <c r="I45" s="148"/>
      <c r="J45" s="148"/>
      <c r="K45" s="148"/>
      <c r="L45" s="148"/>
      <c r="M45" s="148"/>
      <c r="N45" s="148"/>
      <c r="O45" s="148"/>
      <c r="P45" s="148"/>
      <c r="Q45" s="148"/>
    </row>
    <row r="46" spans="1:21" ht="12.75" customHeight="1">
      <c r="A46" s="210">
        <v>6</v>
      </c>
      <c r="B46" s="211" t="s">
        <v>50</v>
      </c>
      <c r="C46" s="212">
        <f t="shared" si="0"/>
        <v>1106.6600000000001</v>
      </c>
      <c r="D46" s="213">
        <f>O201*C46</f>
        <v>15874527.807934038</v>
      </c>
      <c r="E46" s="214">
        <f t="shared" si="1"/>
        <v>14344.539251381668</v>
      </c>
      <c r="F46" s="199"/>
      <c r="G46" s="199"/>
      <c r="H46" s="217"/>
      <c r="I46" s="148"/>
      <c r="J46" s="148"/>
      <c r="K46" s="148"/>
      <c r="L46" s="148"/>
      <c r="M46" s="148"/>
      <c r="N46" s="148"/>
      <c r="O46" s="148"/>
      <c r="P46" s="148"/>
      <c r="Q46" s="148"/>
    </row>
    <row r="47" spans="1:21" ht="12.75" customHeight="1">
      <c r="A47" s="210">
        <v>7</v>
      </c>
      <c r="B47" s="211" t="s">
        <v>51</v>
      </c>
      <c r="C47" s="212" t="e">
        <f t="shared" si="0"/>
        <v>#DIV/0!</v>
      </c>
      <c r="D47" s="213" t="e">
        <f>Q201*C47</f>
        <v>#DIV/0!</v>
      </c>
      <c r="E47" s="214" t="e">
        <f t="shared" si="1"/>
        <v>#DIV/0!</v>
      </c>
      <c r="F47" s="199"/>
      <c r="G47" s="199"/>
      <c r="H47" s="217"/>
      <c r="I47" s="148"/>
      <c r="J47" s="148"/>
      <c r="K47" s="148"/>
      <c r="L47" s="148"/>
      <c r="M47" s="148"/>
      <c r="N47" s="148"/>
      <c r="O47" s="148"/>
      <c r="P47" s="148"/>
      <c r="Q47" s="148"/>
    </row>
    <row r="48" spans="1:21" ht="12.75" customHeight="1">
      <c r="A48" s="210">
        <v>8</v>
      </c>
      <c r="B48" s="211" t="s">
        <v>52</v>
      </c>
      <c r="C48" s="212" t="e">
        <f t="shared" si="0"/>
        <v>#DIV/0!</v>
      </c>
      <c r="D48" s="213" t="e">
        <f>S201*C48</f>
        <v>#DIV/0!</v>
      </c>
      <c r="E48" s="214" t="e">
        <f t="shared" si="1"/>
        <v>#DIV/0!</v>
      </c>
      <c r="F48" s="199"/>
      <c r="G48" s="199"/>
      <c r="H48" s="217"/>
      <c r="I48" s="148"/>
      <c r="J48" s="148"/>
      <c r="K48" s="148"/>
      <c r="L48" s="148"/>
      <c r="M48" s="148"/>
      <c r="N48" s="148"/>
      <c r="O48" s="148"/>
      <c r="P48" s="148"/>
      <c r="Q48" s="148"/>
    </row>
    <row r="49" spans="1:17" ht="12.75" customHeight="1">
      <c r="A49" s="210">
        <v>9</v>
      </c>
      <c r="B49" s="211" t="s">
        <v>53</v>
      </c>
      <c r="C49" s="212" t="e">
        <f t="shared" si="0"/>
        <v>#DIV/0!</v>
      </c>
      <c r="D49" s="213" t="e">
        <f>U201*C49</f>
        <v>#DIV/0!</v>
      </c>
      <c r="E49" s="214" t="e">
        <f t="shared" si="1"/>
        <v>#DIV/0!</v>
      </c>
      <c r="F49" s="199"/>
      <c r="G49" s="199"/>
      <c r="H49" s="217"/>
      <c r="I49" s="148"/>
      <c r="J49" s="148"/>
      <c r="K49" s="148"/>
      <c r="L49" s="148"/>
      <c r="M49" s="148"/>
      <c r="N49" s="148"/>
      <c r="O49" s="148"/>
      <c r="P49" s="148"/>
      <c r="Q49" s="148"/>
    </row>
    <row r="50" spans="1:17" ht="12.75" customHeight="1">
      <c r="A50" s="210">
        <v>10</v>
      </c>
      <c r="B50" s="211" t="s">
        <v>54</v>
      </c>
      <c r="C50" s="212" t="e">
        <f t="shared" si="0"/>
        <v>#DIV/0!</v>
      </c>
      <c r="D50" s="213" t="e">
        <f>W201*C50</f>
        <v>#DIV/0!</v>
      </c>
      <c r="E50" s="214" t="e">
        <f t="shared" si="1"/>
        <v>#DIV/0!</v>
      </c>
      <c r="F50" s="199"/>
      <c r="G50" s="199"/>
      <c r="H50" s="217"/>
      <c r="I50" s="148"/>
      <c r="J50" s="148"/>
      <c r="K50" s="148"/>
      <c r="L50" s="148"/>
      <c r="M50" s="148"/>
      <c r="N50" s="148"/>
      <c r="O50" s="148"/>
      <c r="P50" s="148"/>
      <c r="Q50" s="148"/>
    </row>
    <row r="51" spans="1:17" ht="12.75" customHeight="1">
      <c r="A51" s="210">
        <v>11</v>
      </c>
      <c r="B51" s="211" t="s">
        <v>55</v>
      </c>
      <c r="C51" s="212" t="e">
        <f t="shared" si="0"/>
        <v>#DIV/0!</v>
      </c>
      <c r="D51" s="213" t="e">
        <f>Y201*C51</f>
        <v>#DIV/0!</v>
      </c>
      <c r="E51" s="214" t="e">
        <f t="shared" si="1"/>
        <v>#DIV/0!</v>
      </c>
      <c r="F51" s="199"/>
      <c r="G51" s="199"/>
      <c r="H51" s="217"/>
      <c r="I51" s="148"/>
      <c r="J51" s="148"/>
      <c r="K51" s="148"/>
      <c r="L51" s="148"/>
      <c r="M51" s="148"/>
      <c r="N51" s="148"/>
      <c r="O51" s="148"/>
      <c r="P51" s="148"/>
      <c r="Q51" s="148"/>
    </row>
    <row r="52" spans="1:17" ht="12.75" customHeight="1">
      <c r="A52" s="210">
        <v>12</v>
      </c>
      <c r="B52" s="211" t="s">
        <v>56</v>
      </c>
      <c r="C52" s="212" t="e">
        <f t="shared" si="0"/>
        <v>#DIV/0!</v>
      </c>
      <c r="D52" s="213" t="e">
        <f>AA201*C52</f>
        <v>#DIV/0!</v>
      </c>
      <c r="E52" s="214" t="e">
        <f t="shared" si="1"/>
        <v>#DIV/0!</v>
      </c>
      <c r="F52" s="199"/>
      <c r="G52" s="199"/>
      <c r="H52" s="217"/>
      <c r="I52" s="148"/>
      <c r="J52" s="148"/>
      <c r="K52" s="148"/>
      <c r="L52" s="148"/>
      <c r="M52" s="148"/>
      <c r="N52" s="148"/>
      <c r="O52" s="148"/>
      <c r="P52" s="148"/>
      <c r="Q52" s="148"/>
    </row>
    <row r="53" spans="1:17" ht="12.75" customHeight="1">
      <c r="A53" s="210">
        <v>13</v>
      </c>
      <c r="B53" s="211" t="s">
        <v>57</v>
      </c>
      <c r="C53" s="212" t="e">
        <f t="shared" si="0"/>
        <v>#DIV/0!</v>
      </c>
      <c r="D53" s="213" t="e">
        <f>AC201*C53</f>
        <v>#DIV/0!</v>
      </c>
      <c r="E53" s="214" t="e">
        <f t="shared" si="1"/>
        <v>#DIV/0!</v>
      </c>
      <c r="F53" s="199"/>
      <c r="G53" s="199"/>
      <c r="H53" s="217"/>
      <c r="I53" s="148"/>
      <c r="J53" s="148"/>
      <c r="K53" s="148"/>
      <c r="L53" s="148"/>
      <c r="M53" s="148"/>
      <c r="N53" s="148"/>
      <c r="O53" s="148"/>
      <c r="P53" s="148"/>
      <c r="Q53" s="148"/>
    </row>
    <row r="54" spans="1:17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219"/>
      <c r="O54" s="148"/>
      <c r="P54" s="148"/>
      <c r="Q54" s="148"/>
    </row>
    <row r="55" spans="1:17">
      <c r="A55" s="220" t="s">
        <v>58</v>
      </c>
      <c r="B55" s="221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143"/>
      <c r="P55" s="143"/>
      <c r="Q55" s="143"/>
    </row>
    <row r="56" spans="1:17">
      <c r="A56" s="148"/>
      <c r="B56" s="167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</row>
    <row r="57" spans="1:17">
      <c r="A57" s="222" t="s">
        <v>59</v>
      </c>
      <c r="B57" s="167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 spans="1:17" ht="15.95">
      <c r="A58" s="223" t="s">
        <v>60</v>
      </c>
      <c r="B58" s="431" t="s">
        <v>61</v>
      </c>
      <c r="C58" s="432"/>
      <c r="D58" s="223" t="s">
        <v>62</v>
      </c>
      <c r="E58" s="433" t="s">
        <v>63</v>
      </c>
      <c r="F58" s="433"/>
      <c r="G58" s="224" t="s">
        <v>64</v>
      </c>
      <c r="H58" s="207" t="s">
        <v>65</v>
      </c>
      <c r="I58" s="148"/>
      <c r="J58" s="225"/>
      <c r="K58" s="148"/>
      <c r="L58" s="225"/>
      <c r="M58" s="167"/>
      <c r="N58" s="167"/>
      <c r="O58" s="148"/>
      <c r="P58" s="148"/>
      <c r="Q58" s="148"/>
    </row>
    <row r="59" spans="1:17">
      <c r="A59" s="226"/>
      <c r="B59" s="207" t="s">
        <v>66</v>
      </c>
      <c r="C59" s="207" t="s">
        <v>67</v>
      </c>
      <c r="D59" s="226"/>
      <c r="E59" s="433"/>
      <c r="F59" s="433"/>
      <c r="G59" s="224"/>
      <c r="H59" s="207"/>
      <c r="I59" s="148"/>
      <c r="J59" s="148"/>
      <c r="K59" s="148"/>
      <c r="L59" s="148"/>
      <c r="M59" s="434"/>
      <c r="N59" s="434"/>
      <c r="O59" s="148"/>
      <c r="P59" s="148"/>
      <c r="Q59" s="148"/>
    </row>
    <row r="60" spans="1:17">
      <c r="A60" s="227">
        <v>1</v>
      </c>
      <c r="B60" s="228">
        <f>C60*A60</f>
        <v>0.02</v>
      </c>
      <c r="C60" s="229">
        <v>0.02</v>
      </c>
      <c r="D60" s="227">
        <v>1</v>
      </c>
      <c r="E60" s="230" t="s">
        <v>68</v>
      </c>
      <c r="F60" s="227">
        <v>0</v>
      </c>
      <c r="G60" s="231" t="s">
        <v>69</v>
      </c>
      <c r="H60" s="232">
        <f t="shared" ref="H60:H65" si="2">IF(E60="Pós Venda",DATE($D$5,$E$5+F60,1),DATE($D$6,$E$6+F60,1))</f>
        <v>45108</v>
      </c>
      <c r="I60" s="233"/>
      <c r="J60" s="234"/>
    </row>
    <row r="61" spans="1:17">
      <c r="A61" s="227">
        <v>3</v>
      </c>
      <c r="B61" s="228">
        <f t="shared" ref="B61:B65" si="3">C61*A61</f>
        <v>7.5000000000000011E-2</v>
      </c>
      <c r="C61" s="229">
        <v>2.5000000000000001E-2</v>
      </c>
      <c r="D61" s="227">
        <v>1</v>
      </c>
      <c r="E61" s="235" t="s">
        <v>68</v>
      </c>
      <c r="F61" s="227">
        <v>1</v>
      </c>
      <c r="G61" s="231" t="s">
        <v>70</v>
      </c>
      <c r="H61" s="232">
        <f t="shared" si="2"/>
        <v>45139</v>
      </c>
      <c r="I61" s="233"/>
      <c r="J61" s="234"/>
    </row>
    <row r="62" spans="1:17">
      <c r="A62" s="227">
        <v>20</v>
      </c>
      <c r="B62" s="228">
        <f t="shared" si="3"/>
        <v>0.15049999999999999</v>
      </c>
      <c r="C62" s="229">
        <v>7.5249999999999996E-3</v>
      </c>
      <c r="D62" s="227">
        <v>1</v>
      </c>
      <c r="E62" s="235" t="s">
        <v>68</v>
      </c>
      <c r="F62" s="227">
        <v>4</v>
      </c>
      <c r="G62" s="231" t="s">
        <v>71</v>
      </c>
      <c r="H62" s="232">
        <f t="shared" si="2"/>
        <v>45231</v>
      </c>
      <c r="I62" s="233"/>
      <c r="J62" s="225"/>
    </row>
    <row r="63" spans="1:17">
      <c r="A63" s="227">
        <v>3</v>
      </c>
      <c r="B63" s="228">
        <f t="shared" si="3"/>
        <v>0.14450099999999999</v>
      </c>
      <c r="C63" s="229">
        <v>4.8167000000000001E-2</v>
      </c>
      <c r="D63" s="227">
        <v>6</v>
      </c>
      <c r="E63" s="235" t="s">
        <v>68</v>
      </c>
      <c r="F63" s="227">
        <v>6</v>
      </c>
      <c r="G63" s="231" t="s">
        <v>72</v>
      </c>
      <c r="H63" s="232">
        <f t="shared" si="2"/>
        <v>45292</v>
      </c>
      <c r="I63" s="233"/>
      <c r="J63" s="148"/>
    </row>
    <row r="64" spans="1:17">
      <c r="A64" s="227">
        <v>1</v>
      </c>
      <c r="B64" s="228">
        <f t="shared" si="3"/>
        <v>0.06</v>
      </c>
      <c r="C64" s="229">
        <v>0.06</v>
      </c>
      <c r="D64" s="227">
        <v>1</v>
      </c>
      <c r="E64" s="235" t="s">
        <v>68</v>
      </c>
      <c r="F64" s="227">
        <v>20</v>
      </c>
      <c r="G64" s="231" t="s">
        <v>73</v>
      </c>
      <c r="H64" s="232">
        <f t="shared" si="2"/>
        <v>45717</v>
      </c>
      <c r="I64" s="233"/>
      <c r="J64" s="236"/>
    </row>
    <row r="65" spans="1:21">
      <c r="A65" s="227">
        <v>1</v>
      </c>
      <c r="B65" s="228">
        <f t="shared" si="3"/>
        <v>0.55000000000000004</v>
      </c>
      <c r="C65" s="229">
        <v>0.55000000000000004</v>
      </c>
      <c r="D65" s="227">
        <v>1</v>
      </c>
      <c r="E65" s="235" t="s">
        <v>74</v>
      </c>
      <c r="F65" s="227">
        <v>2</v>
      </c>
      <c r="G65" s="231" t="s">
        <v>75</v>
      </c>
      <c r="H65" s="232">
        <f t="shared" si="2"/>
        <v>45870</v>
      </c>
      <c r="I65" s="233"/>
      <c r="J65" s="234"/>
    </row>
    <row r="66" spans="1:21">
      <c r="A66" s="237" t="s">
        <v>13</v>
      </c>
      <c r="B66" s="238">
        <f>SUM(B60:B65)</f>
        <v>1.0000010000000001</v>
      </c>
      <c r="C66" s="239"/>
      <c r="D66" s="240"/>
      <c r="E66" s="240"/>
      <c r="F66" s="240"/>
      <c r="G66" s="240"/>
      <c r="H66" s="241"/>
      <c r="I66" s="148"/>
      <c r="J66" s="225"/>
      <c r="K66" s="148"/>
      <c r="L66" s="225"/>
      <c r="M66" s="242"/>
      <c r="N66" s="243"/>
      <c r="O66" s="148"/>
      <c r="P66" s="148"/>
      <c r="Q66" s="148"/>
    </row>
    <row r="67" spans="1:21" s="148" customFormat="1" ht="15.75" customHeight="1">
      <c r="A67" s="167"/>
      <c r="B67" s="244"/>
      <c r="C67" s="245"/>
      <c r="D67" s="245"/>
      <c r="E67" s="245"/>
      <c r="F67" s="245"/>
      <c r="G67" s="245"/>
      <c r="H67" s="245"/>
      <c r="I67" s="245"/>
      <c r="J67" s="245"/>
      <c r="K67" s="245"/>
      <c r="L67" s="245"/>
      <c r="M67" s="245"/>
      <c r="N67" s="243"/>
    </row>
    <row r="68" spans="1:21" s="148" customFormat="1" ht="15.75" customHeight="1"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</row>
    <row r="69" spans="1:21">
      <c r="A69" s="220" t="s">
        <v>76</v>
      </c>
      <c r="B69" s="221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143"/>
      <c r="P69" s="143"/>
      <c r="Q69" s="143"/>
    </row>
    <row r="70" spans="1:21" s="148" customFormat="1">
      <c r="A70" s="247"/>
      <c r="B70" s="248"/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  <c r="N70" s="247"/>
    </row>
    <row r="71" spans="1:21" s="148" customFormat="1" ht="15.75" customHeight="1">
      <c r="C71" s="246"/>
      <c r="D71" s="246"/>
      <c r="E71" s="246"/>
      <c r="F71" s="246"/>
      <c r="G71" s="246"/>
      <c r="H71" s="246"/>
      <c r="I71" s="246"/>
      <c r="J71" s="246"/>
      <c r="K71" s="246"/>
      <c r="L71" s="246"/>
      <c r="N71" s="435"/>
      <c r="O71" s="435"/>
      <c r="P71" s="435"/>
      <c r="Q71" s="435"/>
    </row>
    <row r="72" spans="1:21" ht="30" customHeight="1">
      <c r="A72" s="148"/>
      <c r="B72" s="481" t="s">
        <v>77</v>
      </c>
      <c r="C72" s="482" t="s">
        <v>78</v>
      </c>
      <c r="D72" s="482" t="s">
        <v>41</v>
      </c>
      <c r="E72" s="482" t="s">
        <v>79</v>
      </c>
      <c r="F72" s="483" t="s">
        <v>80</v>
      </c>
      <c r="G72" s="482" t="s">
        <v>81</v>
      </c>
      <c r="H72" s="484" t="s">
        <v>82</v>
      </c>
      <c r="M72" s="249"/>
      <c r="N72" s="250"/>
      <c r="O72" s="251"/>
      <c r="P72" s="244"/>
    </row>
    <row r="73" spans="1:21" ht="12.75" hidden="1" customHeight="1">
      <c r="A73" s="252"/>
      <c r="B73" s="426"/>
      <c r="C73" s="426"/>
      <c r="D73" s="426"/>
      <c r="E73" s="426"/>
      <c r="F73" s="426"/>
      <c r="G73" s="426"/>
      <c r="H73" s="426"/>
      <c r="I73" s="200" t="s">
        <v>83</v>
      </c>
      <c r="J73" s="244" t="s">
        <v>84</v>
      </c>
      <c r="K73" s="253" t="s">
        <v>85</v>
      </c>
      <c r="L73" s="254" t="s">
        <v>86</v>
      </c>
      <c r="M73" s="244" t="s">
        <v>87</v>
      </c>
      <c r="N73" t="s">
        <v>88</v>
      </c>
    </row>
    <row r="74" spans="1:21">
      <c r="A74" s="205"/>
      <c r="B74" s="477">
        <v>401</v>
      </c>
      <c r="C74" s="255">
        <f t="shared" ref="C74:C140" si="4">L74</f>
        <v>1</v>
      </c>
      <c r="D74" s="256" t="s">
        <v>45</v>
      </c>
      <c r="E74" s="170" t="str">
        <f>VLOOKUP(B74,'Consulta1'!J:AJ,27,0)</f>
        <v>Disponível</v>
      </c>
      <c r="F74" s="257">
        <f>ROUND((VLOOKUP(D74,$B$41:$E$53,4,FALSE)*G74)*C74,0)</f>
        <v>5931438</v>
      </c>
      <c r="G74" s="258">
        <v>550.33000000000004</v>
      </c>
      <c r="H74" s="479">
        <f t="shared" ref="H74:H140" si="5">F74/G74</f>
        <v>10777.965947704104</v>
      </c>
      <c r="I74" s="259"/>
      <c r="J74" s="260"/>
      <c r="K74" s="261">
        <v>1</v>
      </c>
      <c r="L74" s="249">
        <f>SUM(I74:K74)</f>
        <v>1</v>
      </c>
      <c r="M74" s="261"/>
      <c r="N74" t="str">
        <f>RIGHT(B74,1)</f>
        <v>1</v>
      </c>
      <c r="O74" s="262"/>
      <c r="P74" s="263"/>
      <c r="Q74" s="264"/>
      <c r="R74" s="265"/>
      <c r="T74" s="265"/>
      <c r="U74" s="259"/>
    </row>
    <row r="75" spans="1:21">
      <c r="A75" s="205"/>
      <c r="B75" s="478">
        <v>402</v>
      </c>
      <c r="C75" s="266">
        <f t="shared" si="4"/>
        <v>1</v>
      </c>
      <c r="D75" s="256" t="s">
        <v>46</v>
      </c>
      <c r="E75" s="170" t="str">
        <f>VLOOKUP(B75,'Consulta1'!J:AJ,27,0)</f>
        <v>Disponível</v>
      </c>
      <c r="F75" s="257">
        <f>ROUND((VLOOKUP(D75,$B$41:$E$53,4,FALSE)*G75)*C75,0)</f>
        <v>5383486</v>
      </c>
      <c r="G75" s="267">
        <v>499.49</v>
      </c>
      <c r="H75" s="480">
        <f t="shared" si="5"/>
        <v>10777.965524835332</v>
      </c>
      <c r="I75" s="259"/>
      <c r="J75" s="260"/>
      <c r="K75" s="261">
        <v>1</v>
      </c>
      <c r="L75" s="249">
        <f t="shared" ref="L75:L88" si="6">SUM(I75:K75)</f>
        <v>1</v>
      </c>
      <c r="M75" s="261"/>
      <c r="N75" t="str">
        <f t="shared" ref="N75:N138" si="7">RIGHT(B75,1)</f>
        <v>2</v>
      </c>
      <c r="O75" s="262"/>
      <c r="P75" s="263"/>
      <c r="Q75" s="264"/>
      <c r="R75" s="265"/>
      <c r="T75" s="265"/>
      <c r="U75" s="259"/>
    </row>
    <row r="76" spans="1:21" hidden="1">
      <c r="A76" s="205"/>
      <c r="B76" s="478">
        <v>501</v>
      </c>
      <c r="C76" s="266">
        <f t="shared" si="4"/>
        <v>1</v>
      </c>
      <c r="D76" s="256" t="s">
        <v>47</v>
      </c>
      <c r="E76" s="170" t="s">
        <v>89</v>
      </c>
      <c r="F76" s="257">
        <f t="shared" ref="F76:F139" si="8">ROUND((VLOOKUP(D76,$B$41:$E$53,4,FALSE)*G76)*C76,0)</f>
        <v>5012249</v>
      </c>
      <c r="G76" s="267">
        <v>404.59</v>
      </c>
      <c r="H76" s="480">
        <f t="shared" si="5"/>
        <v>12388.464865666478</v>
      </c>
      <c r="I76" s="259"/>
      <c r="J76" s="260"/>
      <c r="K76" s="261">
        <v>1</v>
      </c>
      <c r="L76" s="249">
        <f t="shared" si="6"/>
        <v>1</v>
      </c>
      <c r="M76" s="261"/>
      <c r="N76" t="str">
        <f t="shared" si="7"/>
        <v>1</v>
      </c>
      <c r="O76" s="262"/>
      <c r="P76" s="263"/>
      <c r="Q76" s="264"/>
      <c r="R76" s="265"/>
      <c r="T76" s="265"/>
      <c r="U76" s="259"/>
    </row>
    <row r="77" spans="1:21">
      <c r="A77" s="205"/>
      <c r="B77" s="478">
        <v>502</v>
      </c>
      <c r="C77" s="266">
        <f t="shared" si="4"/>
        <v>1</v>
      </c>
      <c r="D77" s="268" t="s">
        <v>47</v>
      </c>
      <c r="E77" s="170" t="str">
        <f>VLOOKUP(B77,'Consulta1'!J:AJ,27,0)</f>
        <v>Disponível</v>
      </c>
      <c r="F77" s="257">
        <f t="shared" si="8"/>
        <v>4077663</v>
      </c>
      <c r="G77" s="267">
        <v>329.15</v>
      </c>
      <c r="H77" s="480">
        <f t="shared" si="5"/>
        <v>12388.464226036762</v>
      </c>
      <c r="I77" s="259"/>
      <c r="J77" s="260"/>
      <c r="K77" s="261">
        <v>1</v>
      </c>
      <c r="L77" s="249">
        <f t="shared" si="6"/>
        <v>1</v>
      </c>
      <c r="M77" s="261"/>
      <c r="N77" t="str">
        <f t="shared" si="7"/>
        <v>2</v>
      </c>
      <c r="O77" s="262"/>
      <c r="P77" s="263"/>
      <c r="Q77" s="264"/>
      <c r="R77" s="265"/>
      <c r="T77" s="265"/>
      <c r="U77" s="259"/>
    </row>
    <row r="78" spans="1:21">
      <c r="A78" s="205"/>
      <c r="B78" s="478">
        <v>601</v>
      </c>
      <c r="C78" s="266">
        <f t="shared" si="4"/>
        <v>1</v>
      </c>
      <c r="D78" s="268" t="s">
        <v>47</v>
      </c>
      <c r="E78" s="170" t="str">
        <f>VLOOKUP(B78,'Consulta1'!J:AJ,27,0)</f>
        <v>Disponível</v>
      </c>
      <c r="F78" s="257">
        <f t="shared" si="8"/>
        <v>4460467</v>
      </c>
      <c r="G78" s="267">
        <v>360.05</v>
      </c>
      <c r="H78" s="480">
        <f t="shared" si="5"/>
        <v>12388.46549090404</v>
      </c>
      <c r="I78" s="259"/>
      <c r="J78" s="260"/>
      <c r="K78" s="261">
        <v>1</v>
      </c>
      <c r="L78" s="249">
        <f t="shared" si="6"/>
        <v>1</v>
      </c>
      <c r="M78" s="261"/>
      <c r="N78" t="str">
        <f t="shared" si="7"/>
        <v>1</v>
      </c>
      <c r="O78" s="262"/>
      <c r="P78" s="263"/>
      <c r="Q78" s="264"/>
      <c r="R78" s="265"/>
      <c r="T78" s="265"/>
      <c r="U78" s="259"/>
    </row>
    <row r="79" spans="1:21" hidden="1">
      <c r="A79" s="205"/>
      <c r="B79" s="478">
        <v>602</v>
      </c>
      <c r="C79" s="266">
        <f t="shared" si="4"/>
        <v>1</v>
      </c>
      <c r="D79" s="268" t="s">
        <v>47</v>
      </c>
      <c r="E79" s="170" t="s">
        <v>89</v>
      </c>
      <c r="F79" s="257">
        <f t="shared" si="8"/>
        <v>3887129</v>
      </c>
      <c r="G79" s="267">
        <v>313.77</v>
      </c>
      <c r="H79" s="480">
        <f t="shared" si="5"/>
        <v>12388.46607387577</v>
      </c>
      <c r="I79" s="259"/>
      <c r="J79" s="260"/>
      <c r="K79" s="261">
        <v>1</v>
      </c>
      <c r="L79" s="249">
        <f t="shared" si="6"/>
        <v>1</v>
      </c>
      <c r="M79" s="261"/>
      <c r="N79" t="str">
        <f t="shared" si="7"/>
        <v>2</v>
      </c>
      <c r="O79" s="262"/>
      <c r="P79" s="263"/>
      <c r="Q79" s="264"/>
      <c r="R79" s="265"/>
      <c r="T79" s="265"/>
      <c r="U79" s="259"/>
    </row>
    <row r="80" spans="1:21" hidden="1">
      <c r="A80" s="205"/>
      <c r="B80" s="478">
        <v>701</v>
      </c>
      <c r="C80" s="266">
        <f t="shared" si="4"/>
        <v>1</v>
      </c>
      <c r="D80" s="268" t="s">
        <v>47</v>
      </c>
      <c r="E80" s="170" t="s">
        <v>89</v>
      </c>
      <c r="F80" s="257">
        <f t="shared" si="8"/>
        <v>4593767</v>
      </c>
      <c r="G80" s="267">
        <v>370.81</v>
      </c>
      <c r="H80" s="480">
        <f t="shared" si="5"/>
        <v>12388.465791105957</v>
      </c>
      <c r="I80" s="259"/>
      <c r="J80" s="260"/>
      <c r="K80" s="261">
        <v>1</v>
      </c>
      <c r="L80" s="249">
        <f t="shared" si="6"/>
        <v>1</v>
      </c>
      <c r="M80" s="261"/>
      <c r="N80" t="str">
        <f t="shared" si="7"/>
        <v>1</v>
      </c>
      <c r="O80" s="262"/>
      <c r="P80" s="263"/>
      <c r="Q80" s="264"/>
      <c r="R80" s="265"/>
      <c r="T80" s="265"/>
      <c r="U80" s="259"/>
    </row>
    <row r="81" spans="1:21">
      <c r="A81" s="205"/>
      <c r="B81" s="478">
        <v>702</v>
      </c>
      <c r="C81" s="266">
        <f t="shared" si="4"/>
        <v>1</v>
      </c>
      <c r="D81" s="268" t="s">
        <v>47</v>
      </c>
      <c r="E81" s="170" t="str">
        <f>VLOOKUP(B81,'Consulta1'!J:AJ,27,0)</f>
        <v>Disponível</v>
      </c>
      <c r="F81" s="257">
        <f t="shared" si="8"/>
        <v>3695479</v>
      </c>
      <c r="G81" s="267">
        <v>298.29999999999995</v>
      </c>
      <c r="H81" s="480">
        <f t="shared" si="5"/>
        <v>12388.46463291988</v>
      </c>
      <c r="I81" s="259"/>
      <c r="J81" s="260"/>
      <c r="K81" s="261">
        <v>1</v>
      </c>
      <c r="L81" s="249">
        <f t="shared" si="6"/>
        <v>1</v>
      </c>
      <c r="M81" s="261"/>
      <c r="N81" t="str">
        <f t="shared" si="7"/>
        <v>2</v>
      </c>
      <c r="O81" s="262"/>
      <c r="P81" s="263"/>
      <c r="Q81" s="264"/>
      <c r="R81" s="265"/>
      <c r="T81" s="265"/>
      <c r="U81" s="259"/>
    </row>
    <row r="82" spans="1:21">
      <c r="A82" s="205"/>
      <c r="B82" s="478">
        <v>801</v>
      </c>
      <c r="C82" s="266">
        <f t="shared" si="4"/>
        <v>1</v>
      </c>
      <c r="D82" s="268" t="s">
        <v>47</v>
      </c>
      <c r="E82" s="170" t="str">
        <f>VLOOKUP(B82,'Consulta1'!J:AJ,27,0)</f>
        <v>Disponível</v>
      </c>
      <c r="F82" s="257">
        <f t="shared" si="8"/>
        <v>4451300</v>
      </c>
      <c r="G82" s="267">
        <v>359.31</v>
      </c>
      <c r="H82" s="480">
        <f t="shared" si="5"/>
        <v>12388.466783557375</v>
      </c>
      <c r="I82" s="259"/>
      <c r="J82" s="260"/>
      <c r="K82" s="261">
        <v>1</v>
      </c>
      <c r="L82" s="249">
        <f t="shared" si="6"/>
        <v>1</v>
      </c>
      <c r="M82" s="261"/>
      <c r="N82" t="str">
        <f t="shared" si="7"/>
        <v>1</v>
      </c>
      <c r="O82" s="262"/>
      <c r="P82" s="263"/>
      <c r="Q82" s="264"/>
      <c r="R82" s="265"/>
      <c r="T82" s="265"/>
      <c r="U82" s="259"/>
    </row>
    <row r="83" spans="1:21" hidden="1">
      <c r="A83" s="205"/>
      <c r="B83" s="478">
        <v>802</v>
      </c>
      <c r="C83" s="266">
        <f t="shared" si="4"/>
        <v>1</v>
      </c>
      <c r="D83" s="268" t="s">
        <v>47</v>
      </c>
      <c r="E83" s="170" t="s">
        <v>89</v>
      </c>
      <c r="F83" s="257">
        <f t="shared" si="8"/>
        <v>3886509</v>
      </c>
      <c r="G83" s="267">
        <v>313.72000000000003</v>
      </c>
      <c r="H83" s="480">
        <f t="shared" si="5"/>
        <v>12388.464235624122</v>
      </c>
      <c r="I83" s="259"/>
      <c r="J83" s="260"/>
      <c r="K83" s="261">
        <v>1</v>
      </c>
      <c r="L83" s="249">
        <f t="shared" si="6"/>
        <v>1</v>
      </c>
      <c r="M83" s="261"/>
      <c r="N83" t="str">
        <f t="shared" si="7"/>
        <v>2</v>
      </c>
      <c r="O83" s="262"/>
      <c r="P83" s="263"/>
      <c r="Q83" s="264"/>
      <c r="R83" s="265"/>
      <c r="T83" s="265"/>
      <c r="U83" s="259"/>
    </row>
    <row r="84" spans="1:21" hidden="1">
      <c r="A84" s="205"/>
      <c r="B84" s="478">
        <v>901</v>
      </c>
      <c r="C84" s="266">
        <f t="shared" si="4"/>
        <v>1</v>
      </c>
      <c r="D84" s="268" t="s">
        <v>47</v>
      </c>
      <c r="E84" s="170" t="str">
        <f>VLOOKUP(B84,'Consulta1'!J:AJ,27,0)</f>
        <v>Vendida</v>
      </c>
      <c r="F84" s="257">
        <f t="shared" si="8"/>
        <v>4593643</v>
      </c>
      <c r="G84" s="267">
        <v>370.79999999999995</v>
      </c>
      <c r="H84" s="480">
        <f t="shared" si="5"/>
        <v>12388.465480043151</v>
      </c>
      <c r="I84" s="259"/>
      <c r="J84" s="260"/>
      <c r="K84" s="261">
        <v>1</v>
      </c>
      <c r="L84" s="249">
        <f t="shared" si="6"/>
        <v>1</v>
      </c>
      <c r="M84" s="261"/>
      <c r="N84" t="str">
        <f t="shared" si="7"/>
        <v>1</v>
      </c>
      <c r="O84" s="262"/>
      <c r="P84" s="263"/>
      <c r="Q84" s="264"/>
      <c r="R84" s="265"/>
      <c r="T84" s="265"/>
      <c r="U84" s="259"/>
    </row>
    <row r="85" spans="1:21">
      <c r="A85" s="205"/>
      <c r="B85" s="478">
        <v>902</v>
      </c>
      <c r="C85" s="266">
        <f t="shared" si="4"/>
        <v>1</v>
      </c>
      <c r="D85" s="268" t="s">
        <v>47</v>
      </c>
      <c r="E85" s="170" t="str">
        <f>VLOOKUP(B85,'Consulta1'!J:AJ,27,0)</f>
        <v>Disponível</v>
      </c>
      <c r="F85" s="257">
        <f t="shared" si="8"/>
        <v>3686188</v>
      </c>
      <c r="G85" s="267">
        <v>297.54999999999995</v>
      </c>
      <c r="H85" s="480">
        <f t="shared" si="5"/>
        <v>12388.465804066545</v>
      </c>
      <c r="I85" s="259"/>
      <c r="J85" s="260"/>
      <c r="K85" s="261">
        <v>1</v>
      </c>
      <c r="L85" s="249">
        <f t="shared" si="6"/>
        <v>1</v>
      </c>
      <c r="M85" s="261"/>
      <c r="N85" t="str">
        <f t="shared" si="7"/>
        <v>2</v>
      </c>
      <c r="O85" s="262"/>
      <c r="P85" s="263"/>
      <c r="Q85" s="264"/>
      <c r="R85" s="265"/>
      <c r="T85" s="265"/>
      <c r="U85" s="259"/>
    </row>
    <row r="86" spans="1:21" hidden="1">
      <c r="A86" s="205"/>
      <c r="B86" s="478">
        <v>1001</v>
      </c>
      <c r="C86" s="266">
        <f t="shared" si="4"/>
        <v>1</v>
      </c>
      <c r="D86" s="268" t="s">
        <v>47</v>
      </c>
      <c r="E86" s="170" t="s">
        <v>89</v>
      </c>
      <c r="F86" s="257">
        <f t="shared" si="8"/>
        <v>4451300</v>
      </c>
      <c r="G86" s="267">
        <v>359.31</v>
      </c>
      <c r="H86" s="480">
        <f t="shared" si="5"/>
        <v>12388.466783557375</v>
      </c>
      <c r="I86" s="259"/>
      <c r="J86" s="260"/>
      <c r="K86" s="261">
        <v>1</v>
      </c>
      <c r="L86" s="249">
        <f t="shared" si="6"/>
        <v>1</v>
      </c>
      <c r="M86" s="261"/>
      <c r="N86" t="str">
        <f t="shared" si="7"/>
        <v>1</v>
      </c>
      <c r="O86" s="262"/>
      <c r="P86" s="263"/>
      <c r="Q86" s="264"/>
      <c r="R86" s="265"/>
      <c r="T86" s="265"/>
      <c r="U86" s="259"/>
    </row>
    <row r="87" spans="1:21" hidden="1">
      <c r="A87" s="205"/>
      <c r="B87" s="478">
        <v>1002</v>
      </c>
      <c r="C87" s="266">
        <f t="shared" si="4"/>
        <v>1</v>
      </c>
      <c r="D87" s="268" t="s">
        <v>47</v>
      </c>
      <c r="E87" s="170" t="s">
        <v>89</v>
      </c>
      <c r="F87" s="257">
        <f t="shared" si="8"/>
        <v>3871519</v>
      </c>
      <c r="G87" s="267">
        <v>312.51</v>
      </c>
      <c r="H87" s="480">
        <f t="shared" si="5"/>
        <v>12388.464369140187</v>
      </c>
      <c r="I87" s="259"/>
      <c r="J87" s="260"/>
      <c r="K87" s="261">
        <v>1</v>
      </c>
      <c r="L87" s="249">
        <f t="shared" si="6"/>
        <v>1</v>
      </c>
      <c r="M87" s="261"/>
      <c r="N87" t="str">
        <f t="shared" si="7"/>
        <v>2</v>
      </c>
      <c r="O87" s="262"/>
      <c r="P87" s="263"/>
      <c r="Q87" s="264"/>
      <c r="R87" s="265"/>
      <c r="T87" s="265"/>
      <c r="U87" s="259"/>
    </row>
    <row r="88" spans="1:21" hidden="1">
      <c r="A88" s="205"/>
      <c r="B88" s="478">
        <v>1101</v>
      </c>
      <c r="C88" s="266">
        <f t="shared" si="4"/>
        <v>1.08</v>
      </c>
      <c r="D88" s="268" t="s">
        <v>47</v>
      </c>
      <c r="E88" s="170" t="s">
        <v>89</v>
      </c>
      <c r="F88" s="257">
        <f t="shared" si="8"/>
        <v>4961135</v>
      </c>
      <c r="G88" s="267">
        <v>370.79999999999995</v>
      </c>
      <c r="H88" s="480">
        <f t="shared" si="5"/>
        <v>13379.544228694716</v>
      </c>
      <c r="I88" s="259">
        <v>0.08</v>
      </c>
      <c r="J88" s="260"/>
      <c r="K88" s="261">
        <v>1</v>
      </c>
      <c r="L88" s="249">
        <f t="shared" si="6"/>
        <v>1.08</v>
      </c>
      <c r="M88" s="261"/>
      <c r="N88" t="str">
        <f t="shared" si="7"/>
        <v>1</v>
      </c>
      <c r="O88" s="262"/>
      <c r="P88" s="263"/>
      <c r="Q88" s="264"/>
      <c r="R88" s="265"/>
      <c r="T88" s="265"/>
      <c r="U88" s="259"/>
    </row>
    <row r="89" spans="1:21">
      <c r="A89" s="425"/>
      <c r="B89" s="478">
        <v>1102</v>
      </c>
      <c r="C89" s="266">
        <f t="shared" si="4"/>
        <v>1</v>
      </c>
      <c r="D89" s="268" t="s">
        <v>47</v>
      </c>
      <c r="E89" s="170" t="str">
        <f>VLOOKUP(B89,'Consulta1'!J:AJ,27,0)</f>
        <v>Disponível</v>
      </c>
      <c r="F89" s="257">
        <f t="shared" si="8"/>
        <v>3694117</v>
      </c>
      <c r="G89" s="267">
        <v>298.19</v>
      </c>
      <c r="H89" s="480">
        <f t="shared" si="5"/>
        <v>12388.467084744627</v>
      </c>
      <c r="I89" s="259"/>
      <c r="J89" s="260"/>
      <c r="K89" s="261">
        <v>1</v>
      </c>
      <c r="L89" s="249">
        <f t="shared" ref="L89:L140" si="9">SUM(I89:K89)</f>
        <v>1</v>
      </c>
      <c r="M89" s="261"/>
      <c r="N89" t="str">
        <f t="shared" si="7"/>
        <v>2</v>
      </c>
      <c r="O89" s="262"/>
      <c r="P89" s="263"/>
      <c r="Q89" s="264"/>
      <c r="R89" s="265"/>
      <c r="T89" s="265"/>
      <c r="U89" s="259"/>
    </row>
    <row r="90" spans="1:21" hidden="1">
      <c r="A90" s="205"/>
      <c r="B90" s="478">
        <v>1201</v>
      </c>
      <c r="C90" s="266">
        <f t="shared" si="4"/>
        <v>1</v>
      </c>
      <c r="D90" s="268" t="s">
        <v>47</v>
      </c>
      <c r="E90" s="170" t="s">
        <v>89</v>
      </c>
      <c r="F90" s="257">
        <f t="shared" si="8"/>
        <v>4451300</v>
      </c>
      <c r="G90" s="267">
        <v>359.31</v>
      </c>
      <c r="H90" s="480">
        <f t="shared" si="5"/>
        <v>12388.466783557375</v>
      </c>
      <c r="I90" s="259"/>
      <c r="J90" s="260"/>
      <c r="K90" s="261">
        <v>1</v>
      </c>
      <c r="L90" s="249">
        <f t="shared" si="9"/>
        <v>1</v>
      </c>
      <c r="M90" s="261"/>
      <c r="N90" t="str">
        <f t="shared" si="7"/>
        <v>1</v>
      </c>
      <c r="O90" s="262"/>
      <c r="P90" s="263"/>
      <c r="Q90" s="264"/>
      <c r="R90" s="265"/>
      <c r="T90" s="265"/>
      <c r="U90" s="259"/>
    </row>
    <row r="91" spans="1:21" hidden="1">
      <c r="A91" s="205"/>
      <c r="B91" s="478">
        <v>1202</v>
      </c>
      <c r="C91" s="266">
        <f t="shared" si="4"/>
        <v>1</v>
      </c>
      <c r="D91" s="268" t="s">
        <v>47</v>
      </c>
      <c r="E91" s="170" t="s">
        <v>89</v>
      </c>
      <c r="F91" s="257">
        <f t="shared" si="8"/>
        <v>3873997</v>
      </c>
      <c r="G91" s="267">
        <v>312.70999999999998</v>
      </c>
      <c r="H91" s="480">
        <f t="shared" si="5"/>
        <v>12388.465351283938</v>
      </c>
      <c r="I91" s="259"/>
      <c r="J91" s="260"/>
      <c r="K91" s="261">
        <v>1</v>
      </c>
      <c r="L91" s="249">
        <f t="shared" si="9"/>
        <v>1</v>
      </c>
      <c r="M91" s="261"/>
      <c r="N91" t="str">
        <f t="shared" si="7"/>
        <v>2</v>
      </c>
      <c r="O91" s="262"/>
      <c r="P91" s="263"/>
      <c r="Q91" s="264"/>
      <c r="R91" s="265"/>
      <c r="T91" s="265"/>
      <c r="U91" s="259"/>
    </row>
    <row r="92" spans="1:21" hidden="1">
      <c r="A92" s="205"/>
      <c r="B92" s="478">
        <v>1301</v>
      </c>
      <c r="C92" s="266">
        <f t="shared" si="4"/>
        <v>1</v>
      </c>
      <c r="D92" s="268" t="s">
        <v>47</v>
      </c>
      <c r="E92" s="170" t="str">
        <f>VLOOKUP(B92,'Consulta1'!J:AJ,27,0)</f>
        <v>Vendida</v>
      </c>
      <c r="F92" s="257">
        <f t="shared" si="8"/>
        <v>4601200</v>
      </c>
      <c r="G92" s="267">
        <v>371.40999999999997</v>
      </c>
      <c r="H92" s="480">
        <f t="shared" si="5"/>
        <v>12388.465577125011</v>
      </c>
      <c r="I92" s="259"/>
      <c r="J92" s="260"/>
      <c r="K92" s="261">
        <v>1</v>
      </c>
      <c r="L92" s="249">
        <f t="shared" si="9"/>
        <v>1</v>
      </c>
      <c r="M92" s="261"/>
      <c r="N92" t="str">
        <f t="shared" si="7"/>
        <v>1</v>
      </c>
      <c r="O92" s="262"/>
      <c r="P92" s="263"/>
      <c r="Q92" s="264"/>
      <c r="R92" s="265"/>
      <c r="T92" s="265"/>
      <c r="U92" s="259"/>
    </row>
    <row r="93" spans="1:21">
      <c r="A93" s="205"/>
      <c r="B93" s="478">
        <v>1302</v>
      </c>
      <c r="C93" s="266">
        <f t="shared" si="4"/>
        <v>1</v>
      </c>
      <c r="D93" s="268" t="s">
        <v>47</v>
      </c>
      <c r="E93" s="170" t="str">
        <f>VLOOKUP(B93,'Consulta1'!J:AJ,27,0)</f>
        <v>Disponível</v>
      </c>
      <c r="F93" s="257">
        <f t="shared" si="8"/>
        <v>3683834</v>
      </c>
      <c r="G93" s="267">
        <v>297.35999999999996</v>
      </c>
      <c r="H93" s="480">
        <f t="shared" si="5"/>
        <v>12388.465160075331</v>
      </c>
      <c r="I93" s="259"/>
      <c r="J93" s="260"/>
      <c r="K93" s="261">
        <v>1</v>
      </c>
      <c r="L93" s="249">
        <f t="shared" si="9"/>
        <v>1</v>
      </c>
      <c r="M93" s="261"/>
      <c r="N93" t="str">
        <f t="shared" si="7"/>
        <v>2</v>
      </c>
      <c r="O93" s="262"/>
      <c r="P93" s="263"/>
      <c r="Q93" s="264"/>
      <c r="R93" s="265"/>
      <c r="T93" s="265"/>
      <c r="U93" s="259"/>
    </row>
    <row r="94" spans="1:21" hidden="1">
      <c r="A94" s="205"/>
      <c r="B94" s="478">
        <v>1401</v>
      </c>
      <c r="C94" s="266">
        <f t="shared" si="4"/>
        <v>1</v>
      </c>
      <c r="D94" s="268" t="s">
        <v>47</v>
      </c>
      <c r="E94" s="170" t="s">
        <v>89</v>
      </c>
      <c r="F94" s="257">
        <f t="shared" si="8"/>
        <v>4454149</v>
      </c>
      <c r="G94" s="267">
        <v>359.54</v>
      </c>
      <c r="H94" s="480">
        <f t="shared" si="5"/>
        <v>12388.465817433387</v>
      </c>
      <c r="I94" s="259"/>
      <c r="J94" s="260"/>
      <c r="K94" s="261">
        <v>1</v>
      </c>
      <c r="L94" s="249">
        <f t="shared" si="9"/>
        <v>1</v>
      </c>
      <c r="M94" s="261"/>
      <c r="N94" t="str">
        <f t="shared" si="7"/>
        <v>1</v>
      </c>
      <c r="O94" s="262"/>
      <c r="P94" s="263"/>
      <c r="Q94" s="264"/>
      <c r="R94" s="265"/>
      <c r="T94" s="265"/>
      <c r="U94" s="259"/>
    </row>
    <row r="95" spans="1:21" hidden="1">
      <c r="A95" s="205"/>
      <c r="B95" s="478">
        <v>1402</v>
      </c>
      <c r="C95" s="266">
        <f t="shared" si="4"/>
        <v>1</v>
      </c>
      <c r="D95" s="268" t="s">
        <v>47</v>
      </c>
      <c r="E95" s="170" t="s">
        <v>89</v>
      </c>
      <c r="F95" s="257">
        <f t="shared" si="8"/>
        <v>3873997</v>
      </c>
      <c r="G95" s="267">
        <v>312.70999999999998</v>
      </c>
      <c r="H95" s="480">
        <f t="shared" si="5"/>
        <v>12388.465351283938</v>
      </c>
      <c r="I95" s="259"/>
      <c r="J95" s="260"/>
      <c r="K95" s="261">
        <v>1</v>
      </c>
      <c r="L95" s="249">
        <f t="shared" si="9"/>
        <v>1</v>
      </c>
      <c r="M95" s="261"/>
      <c r="N95" t="str">
        <f t="shared" si="7"/>
        <v>2</v>
      </c>
      <c r="O95" s="262"/>
      <c r="P95" s="263"/>
      <c r="Q95" s="264"/>
      <c r="R95" s="265"/>
      <c r="T95" s="265"/>
      <c r="U95" s="259"/>
    </row>
    <row r="96" spans="1:21" hidden="1">
      <c r="A96" s="205"/>
      <c r="B96" s="478">
        <v>1501</v>
      </c>
      <c r="C96" s="266">
        <f t="shared" si="4"/>
        <v>1.08</v>
      </c>
      <c r="D96" s="268" t="s">
        <v>47</v>
      </c>
      <c r="E96" s="170" t="s">
        <v>89</v>
      </c>
      <c r="F96" s="257">
        <f t="shared" si="8"/>
        <v>4971704</v>
      </c>
      <c r="G96" s="267">
        <v>371.59</v>
      </c>
      <c r="H96" s="480">
        <f t="shared" si="5"/>
        <v>13379.541968298394</v>
      </c>
      <c r="I96" s="259">
        <v>0.08</v>
      </c>
      <c r="J96" s="260"/>
      <c r="K96" s="261">
        <v>1</v>
      </c>
      <c r="L96" s="249">
        <f t="shared" si="9"/>
        <v>1.08</v>
      </c>
      <c r="M96" s="261"/>
      <c r="N96" t="str">
        <f t="shared" si="7"/>
        <v>1</v>
      </c>
      <c r="O96" s="262"/>
      <c r="P96" s="263"/>
      <c r="Q96" s="264"/>
      <c r="R96" s="265"/>
      <c r="T96" s="265"/>
      <c r="U96" s="259"/>
    </row>
    <row r="97" spans="1:21" hidden="1">
      <c r="A97" s="205"/>
      <c r="B97" s="478">
        <v>1502</v>
      </c>
      <c r="C97" s="266">
        <f t="shared" si="4"/>
        <v>1</v>
      </c>
      <c r="D97" s="268" t="s">
        <v>47</v>
      </c>
      <c r="E97" s="170" t="s">
        <v>89</v>
      </c>
      <c r="F97" s="257">
        <f t="shared" si="8"/>
        <v>3685940</v>
      </c>
      <c r="G97" s="267">
        <v>297.52999999999997</v>
      </c>
      <c r="H97" s="480">
        <f t="shared" si="5"/>
        <v>12388.465028736598</v>
      </c>
      <c r="I97" s="259"/>
      <c r="J97" s="260"/>
      <c r="K97" s="261">
        <v>1</v>
      </c>
      <c r="L97" s="249">
        <f t="shared" si="9"/>
        <v>1</v>
      </c>
      <c r="M97" s="261"/>
      <c r="N97" t="str">
        <f t="shared" si="7"/>
        <v>2</v>
      </c>
      <c r="O97" s="262"/>
      <c r="P97" s="263"/>
      <c r="Q97" s="264"/>
      <c r="R97" s="265"/>
      <c r="T97" s="265"/>
      <c r="U97" s="259"/>
    </row>
    <row r="98" spans="1:21">
      <c r="A98" s="205"/>
      <c r="B98" s="478">
        <v>1601</v>
      </c>
      <c r="C98" s="266">
        <f t="shared" si="4"/>
        <v>1</v>
      </c>
      <c r="D98" s="268" t="s">
        <v>47</v>
      </c>
      <c r="E98" s="170" t="s">
        <v>90</v>
      </c>
      <c r="F98" s="257">
        <f t="shared" si="8"/>
        <v>4443247</v>
      </c>
      <c r="G98" s="267">
        <v>358.66</v>
      </c>
      <c r="H98" s="480">
        <f t="shared" si="5"/>
        <v>12388.46539898511</v>
      </c>
      <c r="I98" s="259"/>
      <c r="J98" s="260"/>
      <c r="K98" s="261">
        <v>1</v>
      </c>
      <c r="L98" s="249">
        <f t="shared" si="9"/>
        <v>1</v>
      </c>
      <c r="M98" s="261"/>
      <c r="N98" t="str">
        <f t="shared" si="7"/>
        <v>1</v>
      </c>
      <c r="O98" s="262"/>
      <c r="P98" s="263"/>
      <c r="Q98" s="264"/>
      <c r="R98" s="265"/>
      <c r="T98" s="265"/>
      <c r="U98" s="259"/>
    </row>
    <row r="99" spans="1:21" hidden="1">
      <c r="A99" s="205"/>
      <c r="B99" s="478">
        <v>1602</v>
      </c>
      <c r="C99" s="266">
        <f t="shared" si="4"/>
        <v>1</v>
      </c>
      <c r="D99" s="268" t="s">
        <v>47</v>
      </c>
      <c r="E99" s="170" t="str">
        <f>VLOOKUP(B99,'Consulta1'!J:AJ,27,0)</f>
        <v>Vendida</v>
      </c>
      <c r="F99" s="257">
        <f t="shared" si="8"/>
        <v>3876103</v>
      </c>
      <c r="G99" s="267">
        <v>312.88</v>
      </c>
      <c r="H99" s="480">
        <f t="shared" si="5"/>
        <v>12388.465226284838</v>
      </c>
      <c r="I99" s="259"/>
      <c r="J99" s="260"/>
      <c r="K99" s="261">
        <v>1</v>
      </c>
      <c r="L99" s="249">
        <f t="shared" si="9"/>
        <v>1</v>
      </c>
      <c r="M99" s="261"/>
      <c r="N99" t="str">
        <f t="shared" si="7"/>
        <v>2</v>
      </c>
      <c r="O99" s="262"/>
      <c r="P99" s="263"/>
      <c r="Q99" s="264"/>
      <c r="R99" s="265"/>
      <c r="T99" s="265"/>
      <c r="U99" s="259"/>
    </row>
    <row r="100" spans="1:21" hidden="1">
      <c r="A100" s="205"/>
      <c r="B100" s="478">
        <v>1701</v>
      </c>
      <c r="C100" s="266">
        <f t="shared" si="4"/>
        <v>1</v>
      </c>
      <c r="D100" s="268" t="s">
        <v>47</v>
      </c>
      <c r="E100" s="170" t="str">
        <f>VLOOKUP(B100,'Consulta1'!J:AJ,27,0)</f>
        <v>Vendida</v>
      </c>
      <c r="F100" s="257">
        <f t="shared" si="8"/>
        <v>4583485</v>
      </c>
      <c r="G100" s="267">
        <v>369.97999999999996</v>
      </c>
      <c r="H100" s="480">
        <f t="shared" si="5"/>
        <v>12388.466944159145</v>
      </c>
      <c r="I100" s="259"/>
      <c r="J100" s="260"/>
      <c r="K100" s="261">
        <v>1</v>
      </c>
      <c r="L100" s="249">
        <f t="shared" si="9"/>
        <v>1</v>
      </c>
      <c r="M100" s="261"/>
      <c r="N100" t="str">
        <f t="shared" si="7"/>
        <v>1</v>
      </c>
      <c r="O100" s="262"/>
      <c r="P100" s="263"/>
      <c r="Q100" s="264"/>
      <c r="R100" s="265"/>
      <c r="T100" s="265"/>
      <c r="U100" s="259"/>
    </row>
    <row r="101" spans="1:21">
      <c r="A101" s="205"/>
      <c r="B101" s="478">
        <v>1702</v>
      </c>
      <c r="C101" s="266">
        <f t="shared" si="4"/>
        <v>1</v>
      </c>
      <c r="D101" s="268" t="s">
        <v>47</v>
      </c>
      <c r="E101" s="170" t="str">
        <f>VLOOKUP(B101,'Consulta1'!J:AJ,27,0)</f>
        <v>Disponível</v>
      </c>
      <c r="F101" s="257">
        <f t="shared" si="8"/>
        <v>3682719</v>
      </c>
      <c r="G101" s="267">
        <v>297.27</v>
      </c>
      <c r="H101" s="480">
        <f t="shared" si="5"/>
        <v>12388.465031789283</v>
      </c>
      <c r="I101" s="259"/>
      <c r="J101" s="260"/>
      <c r="K101" s="261">
        <v>1</v>
      </c>
      <c r="L101" s="249">
        <f t="shared" si="9"/>
        <v>1</v>
      </c>
      <c r="M101" s="261"/>
      <c r="N101" t="str">
        <f t="shared" si="7"/>
        <v>2</v>
      </c>
      <c r="O101" s="262"/>
      <c r="P101" s="263"/>
      <c r="Q101" s="264"/>
      <c r="R101" s="265"/>
      <c r="T101" s="265"/>
      <c r="U101" s="259"/>
    </row>
    <row r="102" spans="1:21" hidden="1">
      <c r="A102" s="205"/>
      <c r="B102" s="478">
        <v>1800</v>
      </c>
      <c r="C102" s="266">
        <f t="shared" si="4"/>
        <v>1.01</v>
      </c>
      <c r="D102" s="268" t="s">
        <v>48</v>
      </c>
      <c r="E102" s="170" t="s">
        <v>89</v>
      </c>
      <c r="F102" s="257">
        <f t="shared" si="8"/>
        <v>9044454</v>
      </c>
      <c r="G102" s="267">
        <v>686.7</v>
      </c>
      <c r="H102" s="480">
        <f t="shared" si="5"/>
        <v>13170.895587592835</v>
      </c>
      <c r="I102" s="259">
        <v>0.01</v>
      </c>
      <c r="J102" s="260"/>
      <c r="K102" s="261">
        <v>1</v>
      </c>
      <c r="L102" s="249">
        <f t="shared" si="9"/>
        <v>1.01</v>
      </c>
      <c r="M102" s="261"/>
      <c r="N102" t="str">
        <f t="shared" si="7"/>
        <v>0</v>
      </c>
      <c r="O102" s="262"/>
      <c r="P102" s="263"/>
      <c r="Q102" s="264"/>
      <c r="R102" s="265"/>
      <c r="T102" s="265"/>
      <c r="U102" s="259"/>
    </row>
    <row r="103" spans="1:21" hidden="1">
      <c r="A103" s="205"/>
      <c r="B103" s="478">
        <v>1901</v>
      </c>
      <c r="C103" s="266">
        <f t="shared" si="4"/>
        <v>1</v>
      </c>
      <c r="D103" s="268" t="s">
        <v>47</v>
      </c>
      <c r="E103" s="170" t="str">
        <f>VLOOKUP(B103,'Consulta1'!J:AJ,27,0)</f>
        <v>Vendida</v>
      </c>
      <c r="F103" s="257">
        <f t="shared" si="8"/>
        <v>4583732</v>
      </c>
      <c r="G103" s="267">
        <v>370</v>
      </c>
      <c r="H103" s="480">
        <f t="shared" si="5"/>
        <v>12388.464864864865</v>
      </c>
      <c r="I103" s="259"/>
      <c r="J103" s="260"/>
      <c r="K103" s="261">
        <v>1</v>
      </c>
      <c r="L103" s="249">
        <f t="shared" si="9"/>
        <v>1</v>
      </c>
      <c r="M103" s="261"/>
      <c r="N103" t="str">
        <f t="shared" si="7"/>
        <v>1</v>
      </c>
      <c r="O103" s="262"/>
      <c r="P103" s="263"/>
      <c r="Q103" s="264"/>
      <c r="R103" s="265"/>
      <c r="T103" s="265"/>
      <c r="U103" s="259"/>
    </row>
    <row r="104" spans="1:21" hidden="1">
      <c r="A104" s="205"/>
      <c r="B104" s="478">
        <v>1902</v>
      </c>
      <c r="C104" s="266">
        <f t="shared" si="4"/>
        <v>1</v>
      </c>
      <c r="D104" s="268" t="s">
        <v>49</v>
      </c>
      <c r="E104" s="170" t="s">
        <v>91</v>
      </c>
      <c r="F104" s="257">
        <f t="shared" si="8"/>
        <v>3180341</v>
      </c>
      <c r="G104" s="267">
        <v>270.97999999999996</v>
      </c>
      <c r="H104" s="480">
        <f t="shared" si="5"/>
        <v>11736.441803823162</v>
      </c>
      <c r="I104" s="259"/>
      <c r="J104" s="260"/>
      <c r="K104" s="261">
        <v>1</v>
      </c>
      <c r="L104" s="249">
        <f t="shared" si="9"/>
        <v>1</v>
      </c>
      <c r="M104" s="261"/>
      <c r="N104" t="str">
        <f t="shared" si="7"/>
        <v>2</v>
      </c>
      <c r="O104" s="262"/>
      <c r="P104" s="263"/>
      <c r="Q104" s="264"/>
      <c r="R104" s="265"/>
      <c r="T104" s="265"/>
      <c r="U104" s="259"/>
    </row>
    <row r="105" spans="1:21">
      <c r="A105" s="205"/>
      <c r="B105" s="478">
        <v>2001</v>
      </c>
      <c r="C105" s="266">
        <f t="shared" si="4"/>
        <v>1</v>
      </c>
      <c r="D105" s="268" t="s">
        <v>49</v>
      </c>
      <c r="E105" s="170" t="str">
        <f>VLOOKUP(B105,'Consulta1'!J:AJ,27,0)</f>
        <v>Disponível</v>
      </c>
      <c r="F105" s="257">
        <f t="shared" si="8"/>
        <v>3837816</v>
      </c>
      <c r="G105" s="267">
        <v>327</v>
      </c>
      <c r="H105" s="480">
        <f t="shared" si="5"/>
        <v>11736.440366972478</v>
      </c>
      <c r="I105" s="259"/>
      <c r="J105" s="260"/>
      <c r="K105" s="261">
        <v>1</v>
      </c>
      <c r="L105" s="249">
        <f t="shared" si="9"/>
        <v>1</v>
      </c>
      <c r="M105" s="261"/>
      <c r="N105" t="str">
        <f t="shared" si="7"/>
        <v>1</v>
      </c>
      <c r="O105" s="262"/>
      <c r="P105" s="263"/>
      <c r="Q105" s="264"/>
      <c r="R105" s="265"/>
      <c r="T105" s="265"/>
      <c r="U105" s="259"/>
    </row>
    <row r="106" spans="1:21" hidden="1">
      <c r="A106" s="205"/>
      <c r="B106" s="478">
        <v>2002</v>
      </c>
      <c r="C106" s="266">
        <f t="shared" si="4"/>
        <v>1</v>
      </c>
      <c r="D106" s="268" t="s">
        <v>47</v>
      </c>
      <c r="E106" s="170" t="str">
        <f>VLOOKUP(B106,'Consulta1'!J:AJ,27,0)</f>
        <v>Vendida</v>
      </c>
      <c r="F106" s="257">
        <f t="shared" si="8"/>
        <v>3890350</v>
      </c>
      <c r="G106" s="267">
        <v>314.03000000000003</v>
      </c>
      <c r="H106" s="480">
        <f t="shared" si="5"/>
        <v>12388.466070120689</v>
      </c>
      <c r="I106" s="259"/>
      <c r="J106" s="260"/>
      <c r="K106" s="261">
        <v>1</v>
      </c>
      <c r="L106" s="249">
        <f t="shared" si="9"/>
        <v>1</v>
      </c>
      <c r="M106" s="261"/>
      <c r="N106" t="str">
        <f t="shared" si="7"/>
        <v>2</v>
      </c>
      <c r="O106" s="262"/>
      <c r="P106" s="263"/>
      <c r="Q106" s="264"/>
      <c r="R106" s="265"/>
      <c r="T106" s="265"/>
      <c r="U106" s="259"/>
    </row>
    <row r="107" spans="1:21" hidden="1">
      <c r="A107" s="205"/>
      <c r="B107" s="478">
        <v>2100</v>
      </c>
      <c r="C107" s="266">
        <f t="shared" si="4"/>
        <v>1</v>
      </c>
      <c r="D107" s="268" t="s">
        <v>48</v>
      </c>
      <c r="E107" s="170" t="str">
        <f>VLOOKUP(B107,'Consulta1'!J:AJ,27,0)</f>
        <v>Vendida</v>
      </c>
      <c r="F107" s="257">
        <f t="shared" si="8"/>
        <v>8996373</v>
      </c>
      <c r="G107" s="267">
        <v>689.88</v>
      </c>
      <c r="H107" s="480">
        <f t="shared" si="5"/>
        <v>13040.489650373978</v>
      </c>
      <c r="I107" s="259"/>
      <c r="J107" s="260"/>
      <c r="K107" s="261">
        <v>1</v>
      </c>
      <c r="L107" s="249">
        <f t="shared" si="9"/>
        <v>1</v>
      </c>
      <c r="M107" s="261"/>
      <c r="N107" t="str">
        <f t="shared" si="7"/>
        <v>0</v>
      </c>
      <c r="O107" s="262"/>
      <c r="P107" s="263"/>
      <c r="Q107" s="264"/>
      <c r="R107" s="265"/>
      <c r="T107" s="265"/>
      <c r="U107" s="259"/>
    </row>
    <row r="108" spans="1:21">
      <c r="A108" s="205"/>
      <c r="B108" s="478">
        <v>2201</v>
      </c>
      <c r="C108" s="266">
        <f t="shared" si="4"/>
        <v>1</v>
      </c>
      <c r="D108" s="268" t="s">
        <v>49</v>
      </c>
      <c r="E108" s="170" t="str">
        <f>VLOOKUP(B108,'Consulta1'!J:AJ,27,0)</f>
        <v>Disponível</v>
      </c>
      <c r="F108" s="257">
        <f t="shared" si="8"/>
        <v>3842628</v>
      </c>
      <c r="G108" s="267">
        <v>327.40999999999997</v>
      </c>
      <c r="H108" s="480">
        <f t="shared" si="5"/>
        <v>11736.440548547693</v>
      </c>
      <c r="I108" s="259"/>
      <c r="J108" s="260"/>
      <c r="K108" s="261">
        <v>1</v>
      </c>
      <c r="L108" s="249">
        <f t="shared" si="9"/>
        <v>1</v>
      </c>
      <c r="M108" s="261"/>
      <c r="N108" t="str">
        <f t="shared" si="7"/>
        <v>1</v>
      </c>
      <c r="O108" s="262"/>
      <c r="P108" s="263"/>
      <c r="Q108" s="264"/>
      <c r="R108" s="265"/>
      <c r="T108" s="265"/>
      <c r="U108" s="259"/>
    </row>
    <row r="109" spans="1:21" hidden="1">
      <c r="A109" s="205"/>
      <c r="B109" s="478">
        <v>2202</v>
      </c>
      <c r="C109" s="266">
        <f t="shared" si="4"/>
        <v>1</v>
      </c>
      <c r="D109" s="268" t="s">
        <v>47</v>
      </c>
      <c r="E109" s="170" t="str">
        <f>VLOOKUP(B109,'Consulta1'!J:AJ,27,0)</f>
        <v>Vendida</v>
      </c>
      <c r="F109" s="257">
        <f t="shared" si="8"/>
        <v>3874121</v>
      </c>
      <c r="G109" s="267">
        <v>312.72000000000003</v>
      </c>
      <c r="H109" s="480">
        <f t="shared" si="5"/>
        <v>12388.465720133025</v>
      </c>
      <c r="I109" s="259"/>
      <c r="J109" s="260"/>
      <c r="K109" s="261">
        <v>1</v>
      </c>
      <c r="L109" s="249">
        <f t="shared" si="9"/>
        <v>1</v>
      </c>
      <c r="M109" s="261"/>
      <c r="N109" t="str">
        <f t="shared" si="7"/>
        <v>2</v>
      </c>
      <c r="O109" s="262"/>
      <c r="P109" s="263"/>
      <c r="Q109" s="264"/>
      <c r="R109" s="265"/>
      <c r="T109" s="265"/>
      <c r="U109" s="259"/>
    </row>
    <row r="110" spans="1:21" hidden="1">
      <c r="A110" s="205"/>
      <c r="B110" s="478">
        <v>2301</v>
      </c>
      <c r="C110" s="266">
        <f t="shared" si="4"/>
        <v>1</v>
      </c>
      <c r="D110" s="268" t="s">
        <v>47</v>
      </c>
      <c r="E110" s="170" t="str">
        <f>VLOOKUP(B110,'Consulta1'!J:AJ,27,0)</f>
        <v>Vendida</v>
      </c>
      <c r="F110" s="257">
        <f t="shared" si="8"/>
        <v>4583732</v>
      </c>
      <c r="G110" s="267">
        <v>370</v>
      </c>
      <c r="H110" s="480">
        <f t="shared" si="5"/>
        <v>12388.464864864865</v>
      </c>
      <c r="I110" s="259"/>
      <c r="J110" s="260"/>
      <c r="K110" s="261">
        <v>1</v>
      </c>
      <c r="L110" s="249">
        <f t="shared" si="9"/>
        <v>1</v>
      </c>
      <c r="M110" s="261"/>
      <c r="N110" t="str">
        <f t="shared" si="7"/>
        <v>1</v>
      </c>
      <c r="O110" s="262"/>
      <c r="P110" s="263"/>
      <c r="Q110" s="264"/>
      <c r="R110" s="265"/>
      <c r="T110" s="265"/>
      <c r="U110" s="259"/>
    </row>
    <row r="111" spans="1:21" hidden="1">
      <c r="A111" s="205"/>
      <c r="B111" s="478">
        <v>2302</v>
      </c>
      <c r="C111" s="266">
        <f t="shared" si="4"/>
        <v>1</v>
      </c>
      <c r="D111" s="268" t="s">
        <v>49</v>
      </c>
      <c r="E111" s="170" t="s">
        <v>89</v>
      </c>
      <c r="F111" s="257">
        <f t="shared" si="8"/>
        <v>3181162</v>
      </c>
      <c r="G111" s="267">
        <v>271.05</v>
      </c>
      <c r="H111" s="480">
        <f t="shared" si="5"/>
        <v>11736.439771259915</v>
      </c>
      <c r="I111" s="259"/>
      <c r="J111" s="260"/>
      <c r="K111" s="261">
        <v>1</v>
      </c>
      <c r="L111" s="249">
        <f t="shared" si="9"/>
        <v>1</v>
      </c>
      <c r="M111" s="261"/>
      <c r="N111" t="str">
        <f t="shared" si="7"/>
        <v>2</v>
      </c>
      <c r="O111" s="262"/>
      <c r="P111" s="263"/>
      <c r="Q111" s="264"/>
      <c r="R111" s="265"/>
      <c r="T111" s="265"/>
      <c r="U111" s="259"/>
    </row>
    <row r="112" spans="1:21" hidden="1">
      <c r="A112" s="205"/>
      <c r="B112" s="478">
        <v>2400</v>
      </c>
      <c r="C112" s="266">
        <f t="shared" si="4"/>
        <v>1</v>
      </c>
      <c r="D112" s="268" t="s">
        <v>48</v>
      </c>
      <c r="E112" s="170" t="s">
        <v>89</v>
      </c>
      <c r="F112" s="257">
        <f t="shared" si="8"/>
        <v>8937300</v>
      </c>
      <c r="G112" s="267">
        <v>685.35</v>
      </c>
      <c r="H112" s="480">
        <f t="shared" si="5"/>
        <v>13040.490260450864</v>
      </c>
      <c r="I112" s="259"/>
      <c r="J112" s="260"/>
      <c r="K112" s="261">
        <v>1</v>
      </c>
      <c r="L112" s="249">
        <f t="shared" si="9"/>
        <v>1</v>
      </c>
      <c r="M112" s="261"/>
      <c r="N112" t="str">
        <f t="shared" si="7"/>
        <v>0</v>
      </c>
      <c r="O112" s="262"/>
      <c r="P112" s="263"/>
      <c r="Q112" s="264"/>
      <c r="R112" s="265"/>
      <c r="T112" s="265"/>
      <c r="U112" s="259"/>
    </row>
    <row r="113" spans="1:21" hidden="1">
      <c r="A113" s="205"/>
      <c r="B113" s="478">
        <v>2501</v>
      </c>
      <c r="C113" s="266">
        <f t="shared" si="4"/>
        <v>1</v>
      </c>
      <c r="D113" s="268" t="s">
        <v>47</v>
      </c>
      <c r="E113" s="170" t="str">
        <f>VLOOKUP(B113,'Consulta1'!J:AJ,27,0)</f>
        <v>Fora de venda</v>
      </c>
      <c r="F113" s="257">
        <f t="shared" si="8"/>
        <v>4599961</v>
      </c>
      <c r="G113" s="267">
        <v>371.31</v>
      </c>
      <c r="H113" s="480">
        <f t="shared" si="5"/>
        <v>12388.465163879238</v>
      </c>
      <c r="I113" s="259"/>
      <c r="J113" s="260"/>
      <c r="K113" s="261">
        <v>1</v>
      </c>
      <c r="L113" s="249">
        <f t="shared" si="9"/>
        <v>1</v>
      </c>
      <c r="M113" s="261"/>
      <c r="N113" t="str">
        <f t="shared" si="7"/>
        <v>1</v>
      </c>
      <c r="O113" s="262"/>
      <c r="P113" s="263"/>
      <c r="Q113" s="264"/>
      <c r="R113" s="265"/>
      <c r="T113" s="265"/>
      <c r="U113" s="259"/>
    </row>
    <row r="114" spans="1:21" hidden="1">
      <c r="A114" s="205"/>
      <c r="B114" s="478">
        <v>2502</v>
      </c>
      <c r="C114" s="266">
        <f t="shared" si="4"/>
        <v>1</v>
      </c>
      <c r="D114" s="268" t="s">
        <v>49</v>
      </c>
      <c r="E114" s="170" t="str">
        <f>VLOOKUP(B114,'Consulta1'!J:AJ,27,0)</f>
        <v>Fora de venda</v>
      </c>
      <c r="F114" s="257">
        <f t="shared" si="8"/>
        <v>3179871</v>
      </c>
      <c r="G114" s="267">
        <v>270.94</v>
      </c>
      <c r="H114" s="480">
        <f t="shared" si="5"/>
        <v>11736.439802170222</v>
      </c>
      <c r="I114" s="259"/>
      <c r="J114" s="260"/>
      <c r="K114" s="261">
        <v>1</v>
      </c>
      <c r="L114" s="249">
        <f t="shared" si="9"/>
        <v>1</v>
      </c>
      <c r="M114" s="261"/>
      <c r="N114" t="str">
        <f t="shared" si="7"/>
        <v>2</v>
      </c>
      <c r="O114" s="262"/>
      <c r="P114" s="263"/>
      <c r="Q114" s="264"/>
      <c r="R114" s="265"/>
      <c r="T114" s="265"/>
      <c r="U114" s="259"/>
    </row>
    <row r="115" spans="1:21">
      <c r="A115" s="205"/>
      <c r="B115" s="478">
        <v>2601</v>
      </c>
      <c r="C115" s="266">
        <f t="shared" si="4"/>
        <v>1</v>
      </c>
      <c r="D115" s="268" t="s">
        <v>49</v>
      </c>
      <c r="E115" s="170" t="str">
        <f>VLOOKUP(B115,'Consulta1'!J:AJ,27,0)</f>
        <v>Disponível</v>
      </c>
      <c r="F115" s="257">
        <f t="shared" si="8"/>
        <v>3836995</v>
      </c>
      <c r="G115" s="267">
        <v>326.93</v>
      </c>
      <c r="H115" s="480">
        <f t="shared" si="5"/>
        <v>11736.442051815373</v>
      </c>
      <c r="I115" s="259"/>
      <c r="J115" s="260"/>
      <c r="K115" s="261">
        <v>1</v>
      </c>
      <c r="L115" s="249">
        <f t="shared" si="9"/>
        <v>1</v>
      </c>
      <c r="M115" s="261"/>
      <c r="N115" t="str">
        <f t="shared" si="7"/>
        <v>1</v>
      </c>
      <c r="O115" s="262"/>
      <c r="P115" s="263"/>
      <c r="Q115" s="264"/>
      <c r="R115" s="265"/>
      <c r="T115" s="265"/>
      <c r="U115" s="259"/>
    </row>
    <row r="116" spans="1:21" hidden="1">
      <c r="A116" s="205"/>
      <c r="B116" s="478">
        <v>2602</v>
      </c>
      <c r="C116" s="266">
        <f t="shared" si="4"/>
        <v>1</v>
      </c>
      <c r="D116" s="268" t="s">
        <v>47</v>
      </c>
      <c r="E116" s="170" t="str">
        <f>VLOOKUP(B116,'Consulta1'!J:AJ,27,0)</f>
        <v>Vendida</v>
      </c>
      <c r="F116" s="257">
        <f t="shared" si="8"/>
        <v>3874121</v>
      </c>
      <c r="G116" s="267">
        <v>312.72000000000003</v>
      </c>
      <c r="H116" s="480">
        <f t="shared" si="5"/>
        <v>12388.465720133025</v>
      </c>
      <c r="I116" s="259"/>
      <c r="J116" s="260"/>
      <c r="K116" s="261">
        <v>1</v>
      </c>
      <c r="L116" s="249">
        <f t="shared" si="9"/>
        <v>1</v>
      </c>
      <c r="M116" s="261"/>
      <c r="N116" t="str">
        <f t="shared" si="7"/>
        <v>2</v>
      </c>
      <c r="O116" s="262"/>
      <c r="P116" s="263"/>
      <c r="Q116" s="264"/>
      <c r="R116" s="265"/>
      <c r="T116" s="265"/>
      <c r="U116" s="259"/>
    </row>
    <row r="117" spans="1:21" hidden="1">
      <c r="A117" s="205"/>
      <c r="B117" s="478">
        <v>2700</v>
      </c>
      <c r="C117" s="266">
        <f t="shared" si="4"/>
        <v>1</v>
      </c>
      <c r="D117" s="268" t="s">
        <v>48</v>
      </c>
      <c r="E117" s="170" t="s">
        <v>89</v>
      </c>
      <c r="F117" s="257">
        <f t="shared" si="8"/>
        <v>9022976</v>
      </c>
      <c r="G117" s="267">
        <v>691.92</v>
      </c>
      <c r="H117" s="480">
        <f t="shared" si="5"/>
        <v>13040.490230084404</v>
      </c>
      <c r="I117" s="259"/>
      <c r="J117" s="260"/>
      <c r="K117" s="261">
        <v>1</v>
      </c>
      <c r="L117" s="249">
        <f t="shared" si="9"/>
        <v>1</v>
      </c>
      <c r="M117" s="261"/>
      <c r="N117" t="str">
        <f t="shared" si="7"/>
        <v>0</v>
      </c>
      <c r="O117" s="262"/>
      <c r="P117" s="263"/>
      <c r="Q117" s="264"/>
      <c r="R117" s="265"/>
      <c r="T117" s="265"/>
      <c r="U117" s="259"/>
    </row>
    <row r="118" spans="1:21">
      <c r="A118" s="205"/>
      <c r="B118" s="478">
        <v>2801</v>
      </c>
      <c r="C118" s="266">
        <f t="shared" si="4"/>
        <v>1</v>
      </c>
      <c r="D118" s="268" t="s">
        <v>49</v>
      </c>
      <c r="E118" s="170" t="str">
        <f>VLOOKUP(B118,'Consulta1'!J:AJ,27,0)</f>
        <v>Disponível</v>
      </c>
      <c r="F118" s="257">
        <f t="shared" si="8"/>
        <v>3842511</v>
      </c>
      <c r="G118" s="267">
        <v>327.39999999999998</v>
      </c>
      <c r="H118" s="480">
        <f t="shared" si="5"/>
        <v>11736.441661576055</v>
      </c>
      <c r="I118" s="259"/>
      <c r="J118" s="260"/>
      <c r="K118" s="261">
        <v>1</v>
      </c>
      <c r="L118" s="249">
        <f t="shared" si="9"/>
        <v>1</v>
      </c>
      <c r="M118" s="261"/>
      <c r="N118" t="str">
        <f t="shared" si="7"/>
        <v>1</v>
      </c>
      <c r="O118" s="262"/>
      <c r="P118" s="263"/>
      <c r="Q118" s="264"/>
      <c r="R118" s="265"/>
      <c r="T118" s="265"/>
      <c r="U118" s="259"/>
    </row>
    <row r="119" spans="1:21" hidden="1">
      <c r="A119" s="205"/>
      <c r="B119" s="478">
        <v>2802</v>
      </c>
      <c r="C119" s="266">
        <f t="shared" si="4"/>
        <v>1</v>
      </c>
      <c r="D119" s="268" t="s">
        <v>47</v>
      </c>
      <c r="E119" s="170" t="str">
        <f>VLOOKUP(B119,'Consulta1'!J:AJ,27,0)</f>
        <v>Vendida</v>
      </c>
      <c r="F119" s="257">
        <f t="shared" si="8"/>
        <v>3873625</v>
      </c>
      <c r="G119" s="267">
        <v>312.68</v>
      </c>
      <c r="H119" s="480">
        <f t="shared" si="5"/>
        <v>12388.464244595112</v>
      </c>
      <c r="I119" s="259"/>
      <c r="J119" s="260"/>
      <c r="K119" s="261">
        <v>1</v>
      </c>
      <c r="L119" s="249">
        <f t="shared" si="9"/>
        <v>1</v>
      </c>
      <c r="M119" s="261"/>
      <c r="N119" t="str">
        <f t="shared" si="7"/>
        <v>2</v>
      </c>
      <c r="O119" s="262"/>
      <c r="P119" s="263"/>
      <c r="Q119" s="264"/>
      <c r="R119" s="265"/>
      <c r="T119" s="265"/>
      <c r="U119" s="259"/>
    </row>
    <row r="120" spans="1:21" hidden="1">
      <c r="A120" s="205"/>
      <c r="B120" s="478">
        <v>2901</v>
      </c>
      <c r="C120" s="266">
        <f t="shared" si="4"/>
        <v>1</v>
      </c>
      <c r="D120" s="268" t="s">
        <v>47</v>
      </c>
      <c r="E120" s="170" t="s">
        <v>89</v>
      </c>
      <c r="F120" s="257">
        <f t="shared" si="8"/>
        <v>4591413</v>
      </c>
      <c r="G120" s="267">
        <v>370.62</v>
      </c>
      <c r="H120" s="480">
        <f t="shared" si="5"/>
        <v>12388.465274405051</v>
      </c>
      <c r="I120" s="259"/>
      <c r="J120" s="260"/>
      <c r="K120" s="261">
        <v>1</v>
      </c>
      <c r="L120" s="249">
        <f t="shared" si="9"/>
        <v>1</v>
      </c>
      <c r="M120" s="261"/>
      <c r="N120" t="str">
        <f t="shared" si="7"/>
        <v>1</v>
      </c>
      <c r="O120" s="262"/>
      <c r="P120" s="263"/>
      <c r="Q120" s="264"/>
      <c r="R120" s="265"/>
      <c r="T120" s="265"/>
      <c r="U120" s="259"/>
    </row>
    <row r="121" spans="1:21">
      <c r="A121" s="205"/>
      <c r="B121" s="478">
        <v>2902</v>
      </c>
      <c r="C121" s="266">
        <f t="shared" si="4"/>
        <v>1</v>
      </c>
      <c r="D121" s="268" t="s">
        <v>49</v>
      </c>
      <c r="E121" s="170" t="s">
        <v>90</v>
      </c>
      <c r="F121" s="257">
        <f t="shared" si="8"/>
        <v>3179050</v>
      </c>
      <c r="G121" s="267">
        <v>270.87</v>
      </c>
      <c r="H121" s="480">
        <f t="shared" si="5"/>
        <v>11736.441835566877</v>
      </c>
      <c r="I121" s="259"/>
      <c r="J121" s="260"/>
      <c r="K121" s="261">
        <v>1</v>
      </c>
      <c r="L121" s="249">
        <f t="shared" si="9"/>
        <v>1</v>
      </c>
      <c r="M121" s="261"/>
      <c r="N121" t="str">
        <f t="shared" si="7"/>
        <v>2</v>
      </c>
      <c r="O121" s="262"/>
      <c r="P121" s="263"/>
      <c r="Q121" s="264"/>
      <c r="R121" s="265"/>
      <c r="T121" s="265"/>
      <c r="U121" s="259"/>
    </row>
    <row r="122" spans="1:21" hidden="1">
      <c r="A122" s="205"/>
      <c r="B122" s="478">
        <v>3000</v>
      </c>
      <c r="C122" s="266">
        <f t="shared" si="4"/>
        <v>1</v>
      </c>
      <c r="D122" s="268" t="s">
        <v>48</v>
      </c>
      <c r="E122" s="170" t="str">
        <f>VLOOKUP(B122,'Consulta1'!J:AJ,27,0)</f>
        <v>Fora de venda</v>
      </c>
      <c r="F122" s="257">
        <f t="shared" si="8"/>
        <v>8971988</v>
      </c>
      <c r="G122" s="267">
        <v>688.01</v>
      </c>
      <c r="H122" s="480">
        <f t="shared" si="5"/>
        <v>13040.490690542289</v>
      </c>
      <c r="I122" s="259"/>
      <c r="J122" s="260"/>
      <c r="K122" s="261">
        <v>1</v>
      </c>
      <c r="L122" s="249">
        <f t="shared" si="9"/>
        <v>1</v>
      </c>
      <c r="M122" s="261"/>
      <c r="N122" t="str">
        <f t="shared" si="7"/>
        <v>0</v>
      </c>
      <c r="O122" s="262"/>
      <c r="P122" s="263"/>
      <c r="Q122" s="264"/>
      <c r="R122" s="265"/>
      <c r="T122" s="265"/>
      <c r="U122" s="259"/>
    </row>
    <row r="123" spans="1:21" hidden="1">
      <c r="A123" s="205"/>
      <c r="B123" s="478">
        <v>3101</v>
      </c>
      <c r="C123" s="266">
        <f t="shared" si="4"/>
        <v>1</v>
      </c>
      <c r="D123" s="268" t="s">
        <v>47</v>
      </c>
      <c r="E123" s="170" t="str">
        <f>VLOOKUP(B123,'Consulta1'!J:AJ,27,0)</f>
        <v>Vendida</v>
      </c>
      <c r="F123" s="257">
        <f t="shared" si="8"/>
        <v>4583237</v>
      </c>
      <c r="G123" s="267">
        <v>369.96</v>
      </c>
      <c r="H123" s="480">
        <f t="shared" si="5"/>
        <v>12388.466320683317</v>
      </c>
      <c r="I123" s="259"/>
      <c r="J123" s="260"/>
      <c r="K123" s="261">
        <v>1</v>
      </c>
      <c r="L123" s="249">
        <f t="shared" si="9"/>
        <v>1</v>
      </c>
      <c r="M123" s="261"/>
      <c r="N123" t="str">
        <f t="shared" si="7"/>
        <v>1</v>
      </c>
      <c r="O123" s="262"/>
      <c r="P123" s="263"/>
      <c r="Q123" s="264"/>
      <c r="R123" s="265"/>
      <c r="T123" s="265"/>
      <c r="U123" s="259"/>
    </row>
    <row r="124" spans="1:21" hidden="1">
      <c r="A124" s="205"/>
      <c r="B124" s="478">
        <v>3102</v>
      </c>
      <c r="C124" s="266">
        <f t="shared" si="4"/>
        <v>1</v>
      </c>
      <c r="D124" s="268" t="s">
        <v>49</v>
      </c>
      <c r="E124" s="170" t="str">
        <f>VLOOKUP(B124,'Consulta1'!J:AJ,27,0)</f>
        <v>Fora de venda</v>
      </c>
      <c r="F124" s="257">
        <f t="shared" si="8"/>
        <v>3179871</v>
      </c>
      <c r="G124" s="267">
        <v>270.94</v>
      </c>
      <c r="H124" s="480">
        <f t="shared" si="5"/>
        <v>11736.439802170222</v>
      </c>
      <c r="I124" s="259"/>
      <c r="J124" s="260"/>
      <c r="K124" s="261">
        <v>1</v>
      </c>
      <c r="L124" s="249">
        <f t="shared" si="9"/>
        <v>1</v>
      </c>
      <c r="M124" s="261"/>
      <c r="N124" t="str">
        <f t="shared" si="7"/>
        <v>2</v>
      </c>
      <c r="O124" s="262"/>
      <c r="P124" s="263"/>
      <c r="Q124" s="264"/>
      <c r="R124" s="265"/>
      <c r="T124" s="265"/>
      <c r="U124" s="259"/>
    </row>
    <row r="125" spans="1:21" hidden="1">
      <c r="A125" s="205"/>
      <c r="B125" s="478">
        <v>3201</v>
      </c>
      <c r="C125" s="266">
        <f t="shared" si="4"/>
        <v>1</v>
      </c>
      <c r="D125" s="268" t="s">
        <v>49</v>
      </c>
      <c r="E125" s="170" t="s">
        <v>89</v>
      </c>
      <c r="F125" s="257">
        <f t="shared" si="8"/>
        <v>3838403</v>
      </c>
      <c r="G125" s="267">
        <v>327.05</v>
      </c>
      <c r="H125" s="480">
        <f t="shared" si="5"/>
        <v>11736.440911175661</v>
      </c>
      <c r="I125" s="259"/>
      <c r="J125" s="260"/>
      <c r="K125" s="261">
        <v>1</v>
      </c>
      <c r="L125" s="249">
        <f t="shared" si="9"/>
        <v>1</v>
      </c>
      <c r="M125" s="261"/>
      <c r="N125" t="str">
        <f t="shared" si="7"/>
        <v>1</v>
      </c>
      <c r="O125" s="262"/>
      <c r="P125" s="263"/>
      <c r="Q125" s="264"/>
      <c r="R125" s="265"/>
      <c r="T125" s="265"/>
      <c r="U125" s="259"/>
    </row>
    <row r="126" spans="1:21" hidden="1">
      <c r="A126" s="205"/>
      <c r="B126" s="478">
        <v>3202</v>
      </c>
      <c r="C126" s="266">
        <f t="shared" si="4"/>
        <v>1</v>
      </c>
      <c r="D126" s="268" t="s">
        <v>47</v>
      </c>
      <c r="E126" s="170" t="str">
        <f>VLOOKUP(B126,'Consulta1'!J:AJ,27,0)</f>
        <v>Vendida</v>
      </c>
      <c r="F126" s="257">
        <f t="shared" si="8"/>
        <v>3876846</v>
      </c>
      <c r="G126" s="267">
        <v>312.94</v>
      </c>
      <c r="H126" s="480">
        <f t="shared" si="5"/>
        <v>12388.464242346776</v>
      </c>
      <c r="I126" s="259"/>
      <c r="J126" s="260"/>
      <c r="K126" s="261">
        <v>1</v>
      </c>
      <c r="L126" s="249">
        <f t="shared" si="9"/>
        <v>1</v>
      </c>
      <c r="M126" s="261"/>
      <c r="N126" t="str">
        <f t="shared" si="7"/>
        <v>2</v>
      </c>
      <c r="O126" s="262"/>
      <c r="P126" s="263"/>
      <c r="Q126" s="264"/>
      <c r="R126" s="265"/>
      <c r="T126" s="265"/>
      <c r="U126" s="259"/>
    </row>
    <row r="127" spans="1:21" hidden="1">
      <c r="A127" s="205"/>
      <c r="B127" s="478">
        <v>3300</v>
      </c>
      <c r="C127" s="266">
        <f t="shared" si="4"/>
        <v>1</v>
      </c>
      <c r="D127" s="268" t="s">
        <v>48</v>
      </c>
      <c r="E127" s="170" t="s">
        <v>89</v>
      </c>
      <c r="F127" s="257">
        <f t="shared" si="8"/>
        <v>8989071</v>
      </c>
      <c r="G127" s="267">
        <v>689.32</v>
      </c>
      <c r="H127" s="480">
        <f t="shared" si="5"/>
        <v>13040.490628445423</v>
      </c>
      <c r="I127" s="259"/>
      <c r="J127" s="260"/>
      <c r="K127" s="261">
        <v>1</v>
      </c>
      <c r="L127" s="249">
        <f t="shared" si="9"/>
        <v>1</v>
      </c>
      <c r="M127" s="261"/>
      <c r="N127" t="str">
        <f t="shared" si="7"/>
        <v>0</v>
      </c>
      <c r="O127" s="262"/>
      <c r="P127" s="263"/>
      <c r="Q127" s="264"/>
      <c r="R127" s="265"/>
      <c r="T127" s="265"/>
      <c r="U127" s="259"/>
    </row>
    <row r="128" spans="1:21">
      <c r="A128" s="205"/>
      <c r="B128" s="478">
        <v>3401</v>
      </c>
      <c r="C128" s="266">
        <f t="shared" si="4"/>
        <v>1</v>
      </c>
      <c r="D128" s="268" t="s">
        <v>49</v>
      </c>
      <c r="E128" s="170" t="str">
        <f>VLOOKUP(B128,'Consulta1'!J:AJ,27,0)</f>
        <v>Disponível</v>
      </c>
      <c r="F128" s="257">
        <f t="shared" si="8"/>
        <v>3843684</v>
      </c>
      <c r="G128" s="267">
        <v>327.5</v>
      </c>
      <c r="H128" s="480">
        <f t="shared" si="5"/>
        <v>11736.439694656488</v>
      </c>
      <c r="I128" s="259"/>
      <c r="J128" s="260"/>
      <c r="K128" s="261">
        <v>1</v>
      </c>
      <c r="L128" s="249">
        <f t="shared" si="9"/>
        <v>1</v>
      </c>
      <c r="M128" s="261"/>
      <c r="N128" t="str">
        <f t="shared" si="7"/>
        <v>1</v>
      </c>
      <c r="O128" s="262"/>
      <c r="P128" s="263"/>
      <c r="Q128" s="264"/>
      <c r="R128" s="265"/>
      <c r="T128" s="265"/>
      <c r="U128" s="259"/>
    </row>
    <row r="129" spans="1:27" hidden="1">
      <c r="A129" s="205"/>
      <c r="B129" s="478">
        <v>3402</v>
      </c>
      <c r="C129" s="266">
        <f t="shared" si="4"/>
        <v>1</v>
      </c>
      <c r="D129" s="268" t="s">
        <v>47</v>
      </c>
      <c r="E129" s="170" t="str">
        <f>VLOOKUP(B129,'Consulta1'!J:AJ,27,0)</f>
        <v>Fora de venda</v>
      </c>
      <c r="F129" s="257">
        <f t="shared" si="8"/>
        <v>3872882</v>
      </c>
      <c r="G129" s="267">
        <v>312.62</v>
      </c>
      <c r="H129" s="480">
        <f t="shared" si="5"/>
        <v>12388.465229351928</v>
      </c>
      <c r="I129" s="259"/>
      <c r="J129" s="260"/>
      <c r="K129" s="261">
        <v>1</v>
      </c>
      <c r="L129" s="249">
        <f t="shared" si="9"/>
        <v>1</v>
      </c>
      <c r="M129" s="261"/>
      <c r="N129" t="str">
        <f t="shared" si="7"/>
        <v>2</v>
      </c>
      <c r="O129" s="262"/>
      <c r="P129" s="263"/>
      <c r="Q129" s="264"/>
      <c r="R129" s="265"/>
      <c r="T129" s="265"/>
      <c r="U129" s="259"/>
    </row>
    <row r="130" spans="1:27" hidden="1">
      <c r="A130" s="205"/>
      <c r="B130" s="478">
        <v>3501</v>
      </c>
      <c r="C130" s="266">
        <f t="shared" si="4"/>
        <v>1</v>
      </c>
      <c r="D130" s="268" t="s">
        <v>47</v>
      </c>
      <c r="E130" s="170" t="str">
        <f>VLOOKUP(B130,'Consulta1'!J:AJ,27,0)</f>
        <v>Vendida</v>
      </c>
      <c r="F130" s="257">
        <f t="shared" si="8"/>
        <v>4588316</v>
      </c>
      <c r="G130" s="267">
        <v>370.37</v>
      </c>
      <c r="H130" s="480">
        <f t="shared" si="5"/>
        <v>12388.465588465588</v>
      </c>
      <c r="I130" s="259"/>
      <c r="J130" s="260"/>
      <c r="K130" s="261">
        <v>1</v>
      </c>
      <c r="L130" s="249">
        <f t="shared" si="9"/>
        <v>1</v>
      </c>
      <c r="M130" s="261"/>
      <c r="N130" t="str">
        <f t="shared" si="7"/>
        <v>1</v>
      </c>
      <c r="O130" s="262"/>
      <c r="P130" s="263"/>
      <c r="Q130" s="264"/>
      <c r="R130" s="265"/>
      <c r="T130" s="265"/>
      <c r="U130" s="259"/>
    </row>
    <row r="131" spans="1:27" hidden="1">
      <c r="A131" s="205"/>
      <c r="B131" s="478">
        <v>3502</v>
      </c>
      <c r="C131" s="266">
        <f t="shared" si="4"/>
        <v>1</v>
      </c>
      <c r="D131" s="268" t="s">
        <v>49</v>
      </c>
      <c r="E131" s="170" t="s">
        <v>89</v>
      </c>
      <c r="F131" s="257">
        <f t="shared" si="8"/>
        <v>3190904</v>
      </c>
      <c r="G131" s="267">
        <v>271.88</v>
      </c>
      <c r="H131" s="480">
        <f t="shared" si="5"/>
        <v>11736.442548183022</v>
      </c>
      <c r="I131" s="259"/>
      <c r="J131" s="260"/>
      <c r="K131" s="261">
        <v>1</v>
      </c>
      <c r="L131" s="249">
        <f t="shared" si="9"/>
        <v>1</v>
      </c>
      <c r="M131" s="261"/>
      <c r="N131" t="str">
        <f t="shared" si="7"/>
        <v>2</v>
      </c>
      <c r="O131" s="262"/>
      <c r="P131" s="263"/>
      <c r="Q131" s="264"/>
      <c r="R131" s="265"/>
      <c r="T131" s="265"/>
      <c r="U131" s="259"/>
    </row>
    <row r="132" spans="1:27" hidden="1">
      <c r="A132" s="205"/>
      <c r="B132" s="478">
        <v>3600</v>
      </c>
      <c r="C132" s="266">
        <f t="shared" si="4"/>
        <v>1</v>
      </c>
      <c r="D132" s="268" t="s">
        <v>48</v>
      </c>
      <c r="E132" s="170" t="str">
        <f>VLOOKUP(B132,'Consulta1'!J:AJ,27,0)</f>
        <v>Fora de venda</v>
      </c>
      <c r="F132" s="257">
        <f t="shared" si="8"/>
        <v>8972248</v>
      </c>
      <c r="G132" s="267">
        <v>688.03</v>
      </c>
      <c r="H132" s="480">
        <f t="shared" si="5"/>
        <v>13040.489513538654</v>
      </c>
      <c r="I132" s="259"/>
      <c r="J132" s="260"/>
      <c r="K132" s="261">
        <v>1</v>
      </c>
      <c r="L132" s="249">
        <f t="shared" si="9"/>
        <v>1</v>
      </c>
      <c r="M132" s="261"/>
      <c r="N132" t="str">
        <f t="shared" si="7"/>
        <v>0</v>
      </c>
      <c r="O132" s="262"/>
      <c r="P132" s="263"/>
      <c r="Q132" s="264"/>
      <c r="R132" s="265"/>
      <c r="T132" s="265"/>
      <c r="U132" s="259"/>
    </row>
    <row r="133" spans="1:27" hidden="1">
      <c r="A133" s="205"/>
      <c r="B133" s="478">
        <v>3701</v>
      </c>
      <c r="C133" s="266">
        <f t="shared" si="4"/>
        <v>1</v>
      </c>
      <c r="D133" s="268" t="s">
        <v>47</v>
      </c>
      <c r="E133" s="170" t="str">
        <f>VLOOKUP(B133,'Consulta1'!J:AJ,27,0)</f>
        <v>Vendida</v>
      </c>
      <c r="F133" s="257">
        <f t="shared" si="8"/>
        <v>4582493</v>
      </c>
      <c r="G133" s="267">
        <v>369.9</v>
      </c>
      <c r="H133" s="480">
        <f t="shared" si="5"/>
        <v>12388.464449851312</v>
      </c>
      <c r="I133" s="259"/>
      <c r="J133" s="260"/>
      <c r="K133" s="261">
        <v>1</v>
      </c>
      <c r="L133" s="249">
        <f t="shared" si="9"/>
        <v>1</v>
      </c>
      <c r="M133" s="261"/>
      <c r="N133" t="str">
        <f t="shared" si="7"/>
        <v>1</v>
      </c>
      <c r="O133" s="262"/>
      <c r="P133" s="263"/>
      <c r="Q133" s="264"/>
      <c r="R133" s="265"/>
      <c r="T133" s="265"/>
      <c r="U133" s="259"/>
    </row>
    <row r="134" spans="1:27" hidden="1">
      <c r="A134" s="205"/>
      <c r="B134" s="478">
        <v>3702</v>
      </c>
      <c r="C134" s="266">
        <f t="shared" si="4"/>
        <v>1</v>
      </c>
      <c r="D134" s="268" t="s">
        <v>49</v>
      </c>
      <c r="E134" s="170" t="s">
        <v>89</v>
      </c>
      <c r="F134" s="257">
        <f t="shared" si="8"/>
        <v>3180810</v>
      </c>
      <c r="G134" s="267">
        <v>271.02</v>
      </c>
      <c r="H134" s="480">
        <f t="shared" si="5"/>
        <v>11736.440115120657</v>
      </c>
      <c r="I134" s="259"/>
      <c r="J134" s="260"/>
      <c r="K134" s="261">
        <v>1</v>
      </c>
      <c r="L134" s="249">
        <f t="shared" si="9"/>
        <v>1</v>
      </c>
      <c r="M134" s="261"/>
      <c r="N134" t="str">
        <f t="shared" si="7"/>
        <v>2</v>
      </c>
      <c r="O134" s="262"/>
      <c r="P134" s="263"/>
      <c r="Q134" s="264"/>
      <c r="R134" s="265"/>
      <c r="T134" s="265"/>
      <c r="U134" s="259"/>
    </row>
    <row r="135" spans="1:27">
      <c r="A135" s="205"/>
      <c r="B135" s="478">
        <v>3801</v>
      </c>
      <c r="C135" s="266">
        <f t="shared" si="4"/>
        <v>1</v>
      </c>
      <c r="D135" s="268" t="s">
        <v>49</v>
      </c>
      <c r="E135" s="170" t="str">
        <f>VLOOKUP(B135,'Consulta1'!J:AJ,27,0)</f>
        <v>Disponível</v>
      </c>
      <c r="F135" s="257">
        <f t="shared" si="8"/>
        <v>3839342</v>
      </c>
      <c r="G135" s="267">
        <v>327.13</v>
      </c>
      <c r="H135" s="480">
        <f t="shared" si="5"/>
        <v>11736.441170176993</v>
      </c>
      <c r="I135" s="259"/>
      <c r="J135" s="260"/>
      <c r="K135" s="261">
        <v>1</v>
      </c>
      <c r="L135" s="249">
        <f t="shared" si="9"/>
        <v>1</v>
      </c>
      <c r="M135" s="261"/>
      <c r="N135" t="str">
        <f t="shared" si="7"/>
        <v>1</v>
      </c>
      <c r="O135" s="262"/>
      <c r="P135" s="263"/>
      <c r="Q135" s="264"/>
      <c r="R135" s="265"/>
      <c r="T135" s="265"/>
      <c r="U135" s="259"/>
    </row>
    <row r="136" spans="1:27" hidden="1">
      <c r="A136" s="205"/>
      <c r="B136" s="478">
        <v>3802</v>
      </c>
      <c r="C136" s="266">
        <f t="shared" si="4"/>
        <v>1</v>
      </c>
      <c r="D136" s="268" t="s">
        <v>47</v>
      </c>
      <c r="E136" s="170" t="str">
        <f>VLOOKUP(B136,'Consulta1'!J:AJ,27,0)</f>
        <v>Fora de venda</v>
      </c>
      <c r="F136" s="257">
        <f t="shared" si="8"/>
        <v>3872882</v>
      </c>
      <c r="G136" s="267">
        <v>312.62</v>
      </c>
      <c r="H136" s="480">
        <f t="shared" si="5"/>
        <v>12388.465229351928</v>
      </c>
      <c r="I136" s="259"/>
      <c r="J136" s="260"/>
      <c r="K136" s="261">
        <v>1</v>
      </c>
      <c r="L136" s="249">
        <f t="shared" si="9"/>
        <v>1</v>
      </c>
      <c r="M136" s="261"/>
      <c r="N136" t="str">
        <f t="shared" si="7"/>
        <v>2</v>
      </c>
      <c r="O136" s="262"/>
      <c r="P136" s="263"/>
      <c r="Q136" s="264"/>
      <c r="R136" s="265"/>
      <c r="T136" s="265"/>
      <c r="U136" s="259"/>
    </row>
    <row r="137" spans="1:27">
      <c r="A137" s="205"/>
      <c r="B137" s="478">
        <v>3900</v>
      </c>
      <c r="C137" s="266">
        <f t="shared" si="4"/>
        <v>1.05</v>
      </c>
      <c r="D137" s="268" t="s">
        <v>48</v>
      </c>
      <c r="E137" s="170" t="s">
        <v>90</v>
      </c>
      <c r="F137" s="257">
        <f t="shared" si="8"/>
        <v>9434553</v>
      </c>
      <c r="G137" s="267">
        <v>689.03</v>
      </c>
      <c r="H137" s="480">
        <f t="shared" si="5"/>
        <v>13692.514114044381</v>
      </c>
      <c r="I137" s="259">
        <v>0.05</v>
      </c>
      <c r="J137" s="260"/>
      <c r="K137" s="261">
        <v>1</v>
      </c>
      <c r="L137" s="249">
        <f t="shared" si="9"/>
        <v>1.05</v>
      </c>
      <c r="M137" s="261"/>
      <c r="N137" t="str">
        <f t="shared" si="7"/>
        <v>0</v>
      </c>
      <c r="O137" s="262"/>
      <c r="P137" s="263"/>
      <c r="Q137" s="264"/>
      <c r="R137" s="265"/>
      <c r="T137" s="265"/>
      <c r="U137" s="259"/>
    </row>
    <row r="138" spans="1:27" hidden="1">
      <c r="A138" s="205"/>
      <c r="B138" s="478">
        <v>4001</v>
      </c>
      <c r="C138" s="266">
        <f t="shared" si="4"/>
        <v>1</v>
      </c>
      <c r="D138" s="268" t="s">
        <v>49</v>
      </c>
      <c r="E138" s="170" t="s">
        <v>89</v>
      </c>
      <c r="F138" s="257">
        <f t="shared" si="8"/>
        <v>3841924</v>
      </c>
      <c r="G138" s="267">
        <v>327.34999999999997</v>
      </c>
      <c r="H138" s="480">
        <f t="shared" si="5"/>
        <v>11736.441118069346</v>
      </c>
      <c r="I138" s="259"/>
      <c r="J138" s="260"/>
      <c r="K138" s="261">
        <v>1</v>
      </c>
      <c r="L138" s="249">
        <f t="shared" si="9"/>
        <v>1</v>
      </c>
      <c r="M138" s="261"/>
      <c r="N138" t="str">
        <f t="shared" si="7"/>
        <v>1</v>
      </c>
      <c r="O138" s="262"/>
      <c r="P138" s="263"/>
      <c r="Q138" s="264"/>
      <c r="R138" s="265"/>
      <c r="T138" s="265"/>
      <c r="U138" s="259"/>
    </row>
    <row r="139" spans="1:27" hidden="1">
      <c r="A139" s="205"/>
      <c r="B139" s="478">
        <v>4002</v>
      </c>
      <c r="C139" s="266">
        <f t="shared" si="4"/>
        <v>1</v>
      </c>
      <c r="D139" s="268" t="s">
        <v>47</v>
      </c>
      <c r="E139" s="170" t="str">
        <f>VLOOKUP(B139,'Consulta1'!J:AJ,27,0)</f>
        <v>Vendida</v>
      </c>
      <c r="F139" s="257">
        <f t="shared" si="8"/>
        <v>3873873</v>
      </c>
      <c r="G139" s="267">
        <v>312.7</v>
      </c>
      <c r="H139" s="480">
        <f t="shared" si="5"/>
        <v>12388.464982411257</v>
      </c>
      <c r="I139" s="259"/>
      <c r="J139" s="260"/>
      <c r="K139" s="261">
        <v>1</v>
      </c>
      <c r="L139" s="249">
        <f t="shared" si="9"/>
        <v>1</v>
      </c>
      <c r="M139" s="261"/>
      <c r="N139" t="str">
        <f t="shared" ref="N139:N140" si="10">RIGHT(B139,1)</f>
        <v>2</v>
      </c>
      <c r="O139" s="262"/>
      <c r="P139" s="263"/>
      <c r="Q139" s="264"/>
      <c r="R139" s="265"/>
      <c r="T139" s="265"/>
      <c r="U139" s="259"/>
    </row>
    <row r="140" spans="1:27" hidden="1">
      <c r="A140" s="205"/>
      <c r="B140" s="485">
        <v>4100</v>
      </c>
      <c r="C140" s="486">
        <f t="shared" si="4"/>
        <v>1</v>
      </c>
      <c r="D140" s="487" t="s">
        <v>50</v>
      </c>
      <c r="E140" s="488" t="str">
        <f>VLOOKUP(B140,'Consulta1'!J:AJ,27,0)</f>
        <v>Vendida</v>
      </c>
      <c r="F140" s="489">
        <f t="shared" ref="F140" si="11">ROUND((VLOOKUP(D140,$B$41:$E$53,4,FALSE)*G140)*C140,0)</f>
        <v>15874528</v>
      </c>
      <c r="G140" s="490">
        <v>1106.6600000000001</v>
      </c>
      <c r="H140" s="491">
        <f t="shared" si="5"/>
        <v>14344.539424936294</v>
      </c>
      <c r="I140" s="259"/>
      <c r="J140" s="260"/>
      <c r="K140" s="261">
        <v>1</v>
      </c>
      <c r="L140" s="249">
        <f t="shared" si="9"/>
        <v>1</v>
      </c>
      <c r="M140" s="261"/>
      <c r="N140" t="str">
        <f t="shared" si="10"/>
        <v>0</v>
      </c>
      <c r="O140" s="262"/>
      <c r="P140" s="263"/>
      <c r="Q140" s="264"/>
      <c r="R140" s="265"/>
      <c r="T140" s="265"/>
      <c r="U140" s="259"/>
    </row>
    <row r="141" spans="1:27">
      <c r="A141" s="204"/>
      <c r="B141" s="269"/>
      <c r="C141" s="269"/>
      <c r="D141" s="269"/>
      <c r="E141" s="269"/>
      <c r="F141" s="269"/>
      <c r="G141" s="269"/>
      <c r="H141" s="269"/>
      <c r="I141" s="269"/>
      <c r="J141" s="269"/>
      <c r="K141" s="269"/>
      <c r="L141" s="269"/>
      <c r="M141" s="269"/>
      <c r="N141" s="249"/>
      <c r="O141" s="249"/>
      <c r="P141" s="249"/>
      <c r="Q141" s="249"/>
      <c r="R141" s="262"/>
      <c r="S141" s="265"/>
      <c r="U141" s="265"/>
      <c r="V141" s="259"/>
    </row>
    <row r="142" spans="1:27">
      <c r="A142" s="204"/>
      <c r="B142" s="269"/>
      <c r="C142" s="269"/>
      <c r="D142" s="269"/>
      <c r="E142" s="269"/>
      <c r="F142" s="269"/>
      <c r="G142" s="269"/>
      <c r="H142" s="269"/>
      <c r="I142" s="269"/>
      <c r="J142" s="269"/>
      <c r="K142" s="269"/>
      <c r="L142" s="269"/>
      <c r="M142" s="269"/>
      <c r="N142" s="249"/>
      <c r="O142" s="249"/>
      <c r="P142" s="249"/>
      <c r="Q142" s="249"/>
      <c r="R142" s="262"/>
      <c r="S142" s="265"/>
      <c r="U142" s="265"/>
      <c r="V142" s="259"/>
    </row>
    <row r="143" spans="1:27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</row>
    <row r="144" spans="1:27">
      <c r="A144" s="220" t="s">
        <v>92</v>
      </c>
      <c r="B144" s="221"/>
      <c r="C144" s="220"/>
      <c r="D144" s="220"/>
      <c r="E144" s="220"/>
      <c r="F144" s="220"/>
      <c r="G144" s="220"/>
      <c r="H144" s="220"/>
      <c r="I144" s="220"/>
      <c r="J144" s="220"/>
      <c r="K144" s="220"/>
      <c r="L144" s="220"/>
      <c r="M144" s="220"/>
      <c r="N144" s="220"/>
      <c r="O144" s="143"/>
      <c r="P144" s="143"/>
      <c r="Q144" s="143"/>
      <c r="R144" s="265"/>
      <c r="Z144" s="270"/>
      <c r="AA144" s="271"/>
    </row>
    <row r="145" spans="1:27">
      <c r="A145" s="148"/>
      <c r="B145" s="148"/>
      <c r="C145" s="148"/>
      <c r="D145" s="167"/>
      <c r="E145" s="167"/>
      <c r="F145" s="167"/>
      <c r="G145" s="167"/>
      <c r="H145" s="167"/>
      <c r="I145" s="148"/>
      <c r="J145" s="148"/>
      <c r="K145" s="148"/>
      <c r="L145" s="148"/>
      <c r="M145" s="148"/>
      <c r="N145" s="148"/>
      <c r="O145" s="148"/>
      <c r="P145" s="148"/>
      <c r="Q145" s="148"/>
      <c r="Z145" s="270"/>
      <c r="AA145" s="271"/>
    </row>
    <row r="146" spans="1:27">
      <c r="A146" s="436" t="s">
        <v>93</v>
      </c>
      <c r="B146" s="437"/>
      <c r="C146" s="437"/>
      <c r="D146" s="437"/>
      <c r="E146" s="437"/>
      <c r="F146" s="438"/>
      <c r="G146" s="162"/>
      <c r="H146" s="162"/>
      <c r="I146" s="148"/>
      <c r="J146" s="148"/>
      <c r="K146" s="148"/>
      <c r="L146" s="148"/>
      <c r="M146" s="148"/>
      <c r="N146" s="148"/>
      <c r="O146" s="148"/>
      <c r="P146" s="148"/>
      <c r="Q146" s="148"/>
      <c r="R146" s="259"/>
      <c r="Z146" s="270"/>
      <c r="AA146" s="271"/>
    </row>
    <row r="147" spans="1:27" ht="32.1">
      <c r="A147" s="237" t="s">
        <v>41</v>
      </c>
      <c r="B147" s="272" t="s">
        <v>42</v>
      </c>
      <c r="C147" s="273" t="s">
        <v>94</v>
      </c>
      <c r="D147" s="237" t="s">
        <v>95</v>
      </c>
      <c r="E147" s="274" t="s">
        <v>96</v>
      </c>
      <c r="F147" s="237" t="s">
        <v>97</v>
      </c>
      <c r="G147" s="275"/>
      <c r="H147" s="162"/>
      <c r="I147" s="148"/>
      <c r="J147" s="148"/>
      <c r="K147" s="148"/>
      <c r="L147" s="148"/>
      <c r="M147" s="148"/>
      <c r="N147" s="148"/>
      <c r="O147" s="148"/>
      <c r="P147" s="148"/>
      <c r="Q147" s="148"/>
      <c r="Z147" s="270"/>
      <c r="AA147" s="271"/>
    </row>
    <row r="148" spans="1:27">
      <c r="A148" s="276" t="str">
        <f t="shared" ref="A148:B160" si="12">B41</f>
        <v>Preço Base 1</v>
      </c>
      <c r="B148" s="277">
        <f t="shared" si="12"/>
        <v>550.33000000000004</v>
      </c>
      <c r="C148" s="227">
        <f>COUNTIFS($D$74:$D$140,A148,$E$74:$E$140,"Disponível")</f>
        <v>1</v>
      </c>
      <c r="D148" s="278">
        <f>SUMIFS($F$74:$F$140,$D$74:$D$140,A148,$E$74:$E$140,"Disponível")</f>
        <v>5931438</v>
      </c>
      <c r="E148" s="279">
        <f>IF(C148=0,0,D148/C148)</f>
        <v>5931438</v>
      </c>
      <c r="F148" s="280">
        <f>E148/B148</f>
        <v>10777.965947704104</v>
      </c>
      <c r="G148" s="281"/>
      <c r="H148" s="162"/>
      <c r="I148" s="148"/>
      <c r="J148" s="148"/>
      <c r="K148" s="148"/>
      <c r="L148" s="148"/>
      <c r="M148" s="148"/>
      <c r="N148" s="148"/>
      <c r="O148" s="148"/>
      <c r="P148" s="148"/>
      <c r="Q148" s="148"/>
      <c r="Z148" s="270"/>
      <c r="AA148" s="271"/>
    </row>
    <row r="149" spans="1:27">
      <c r="A149" s="276" t="str">
        <f t="shared" si="12"/>
        <v>Preço Base 2</v>
      </c>
      <c r="B149" s="277">
        <f t="shared" si="12"/>
        <v>499.49</v>
      </c>
      <c r="C149" s="227">
        <f t="shared" ref="C149:C160" si="13">COUNTIFS($D$74:$D$140,A149,$E$74:$E$140,"Disponível")</f>
        <v>1</v>
      </c>
      <c r="D149" s="278">
        <f t="shared" ref="D149:D160" si="14">SUMIFS($F$74:$F$140,$D$74:$D$140,A149,$E$74:$E$140,"Disponível")</f>
        <v>5383486</v>
      </c>
      <c r="E149" s="279">
        <f t="shared" ref="E149:E160" si="15">IF(C149=0,0,D149/C149)</f>
        <v>5383486</v>
      </c>
      <c r="F149" s="280">
        <f t="shared" ref="F149:F160" si="16">E149/B149</f>
        <v>10777.965524835332</v>
      </c>
      <c r="G149" s="281"/>
      <c r="H149" s="162"/>
      <c r="I149" s="148"/>
      <c r="J149" s="148"/>
      <c r="K149" s="148"/>
      <c r="L149" s="148"/>
      <c r="M149" s="148"/>
      <c r="N149" s="148"/>
      <c r="O149" s="148"/>
      <c r="P149" s="148"/>
      <c r="Q149" s="148"/>
      <c r="Z149" s="270"/>
      <c r="AA149" s="271"/>
    </row>
    <row r="150" spans="1:27">
      <c r="A150" s="276" t="str">
        <f t="shared" si="12"/>
        <v>Preço Base 3</v>
      </c>
      <c r="B150" s="277">
        <f t="shared" si="12"/>
        <v>338.41463414634148</v>
      </c>
      <c r="C150" s="227">
        <f t="shared" si="13"/>
        <v>9</v>
      </c>
      <c r="D150" s="278">
        <f t="shared" si="14"/>
        <v>35875014</v>
      </c>
      <c r="E150" s="279">
        <f t="shared" si="15"/>
        <v>3986112.6666666665</v>
      </c>
      <c r="F150" s="280">
        <f t="shared" si="16"/>
        <v>11778.783375375375</v>
      </c>
      <c r="G150" s="281"/>
      <c r="H150" s="162"/>
      <c r="I150" s="148"/>
      <c r="J150" s="148"/>
      <c r="K150" s="148"/>
      <c r="L150" s="148"/>
      <c r="M150" s="148"/>
      <c r="N150" s="148"/>
      <c r="O150" s="148"/>
      <c r="P150" s="148"/>
      <c r="Q150" s="148"/>
      <c r="Z150" s="270"/>
      <c r="AA150" s="271"/>
    </row>
    <row r="151" spans="1:27">
      <c r="A151" s="276" t="str">
        <f t="shared" si="12"/>
        <v>Preço Base 4</v>
      </c>
      <c r="B151" s="277">
        <f t="shared" si="12"/>
        <v>688.52999999999986</v>
      </c>
      <c r="C151" s="227">
        <f t="shared" si="13"/>
        <v>1</v>
      </c>
      <c r="D151" s="278">
        <f t="shared" si="14"/>
        <v>9434553</v>
      </c>
      <c r="E151" s="279">
        <f t="shared" si="15"/>
        <v>9434553</v>
      </c>
      <c r="F151" s="280">
        <f t="shared" si="16"/>
        <v>13702.457409263216</v>
      </c>
      <c r="G151" s="281"/>
      <c r="H151" s="162"/>
      <c r="I151" s="148"/>
      <c r="J151" s="148"/>
      <c r="K151" s="148"/>
      <c r="L151" s="148"/>
      <c r="M151" s="148"/>
      <c r="N151" s="148"/>
      <c r="O151" s="148"/>
      <c r="P151" s="148"/>
      <c r="Q151" s="148"/>
      <c r="Z151" s="270"/>
      <c r="AA151" s="271"/>
    </row>
    <row r="152" spans="1:27">
      <c r="A152" s="276" t="str">
        <f t="shared" si="12"/>
        <v>Preço Base 5</v>
      </c>
      <c r="B152" s="277">
        <f t="shared" si="12"/>
        <v>301.03000000000003</v>
      </c>
      <c r="C152" s="227">
        <f t="shared" si="13"/>
        <v>7</v>
      </c>
      <c r="D152" s="278">
        <f t="shared" si="14"/>
        <v>26222026</v>
      </c>
      <c r="E152" s="279">
        <f t="shared" si="15"/>
        <v>3746003.7142857141</v>
      </c>
      <c r="F152" s="280">
        <f t="shared" si="16"/>
        <v>12443.954802796112</v>
      </c>
      <c r="G152" s="281"/>
      <c r="H152" s="162"/>
      <c r="I152" s="148"/>
      <c r="J152" s="148"/>
      <c r="K152" s="148"/>
      <c r="L152" s="148"/>
      <c r="M152" s="148"/>
      <c r="N152" s="148"/>
      <c r="O152" s="148"/>
      <c r="P152" s="148"/>
      <c r="Q152" s="148"/>
      <c r="Z152" s="270"/>
      <c r="AA152" s="271"/>
    </row>
    <row r="153" spans="1:27">
      <c r="A153" s="276" t="str">
        <f t="shared" si="12"/>
        <v>Preço Base 6</v>
      </c>
      <c r="B153" s="277">
        <f t="shared" si="12"/>
        <v>1106.6600000000001</v>
      </c>
      <c r="C153" s="227">
        <f t="shared" si="13"/>
        <v>0</v>
      </c>
      <c r="D153" s="278">
        <f t="shared" si="14"/>
        <v>0</v>
      </c>
      <c r="E153" s="279">
        <f t="shared" si="15"/>
        <v>0</v>
      </c>
      <c r="F153" s="280">
        <f t="shared" si="16"/>
        <v>0</v>
      </c>
      <c r="G153" s="281"/>
      <c r="H153" s="162"/>
      <c r="I153" s="148"/>
      <c r="J153" s="148"/>
      <c r="K153" s="148"/>
      <c r="L153" s="148"/>
      <c r="M153" s="148"/>
      <c r="N153" s="148"/>
      <c r="O153" s="148"/>
      <c r="P153" s="148"/>
      <c r="Q153" s="148"/>
      <c r="Z153" s="270"/>
      <c r="AA153" s="271"/>
    </row>
    <row r="154" spans="1:27">
      <c r="A154" s="276" t="str">
        <f t="shared" si="12"/>
        <v>Preço Base 7</v>
      </c>
      <c r="B154" s="277" t="e">
        <f t="shared" si="12"/>
        <v>#DIV/0!</v>
      </c>
      <c r="C154" s="227">
        <f t="shared" si="13"/>
        <v>0</v>
      </c>
      <c r="D154" s="278">
        <f t="shared" si="14"/>
        <v>0</v>
      </c>
      <c r="E154" s="279">
        <f t="shared" si="15"/>
        <v>0</v>
      </c>
      <c r="F154" s="280" t="e">
        <f t="shared" si="16"/>
        <v>#DIV/0!</v>
      </c>
      <c r="G154" s="281"/>
      <c r="H154" s="162"/>
      <c r="I154" s="148"/>
      <c r="J154" s="148"/>
      <c r="K154" s="148"/>
      <c r="L154" s="148"/>
      <c r="M154" s="148"/>
      <c r="N154" s="148"/>
      <c r="O154" s="148"/>
      <c r="P154" s="148"/>
      <c r="Q154" s="148"/>
      <c r="Z154" s="270"/>
      <c r="AA154" s="271"/>
    </row>
    <row r="155" spans="1:27">
      <c r="A155" s="276" t="str">
        <f t="shared" si="12"/>
        <v>Preço Base 8</v>
      </c>
      <c r="B155" s="277" t="e">
        <f t="shared" si="12"/>
        <v>#DIV/0!</v>
      </c>
      <c r="C155" s="227">
        <f t="shared" si="13"/>
        <v>0</v>
      </c>
      <c r="D155" s="278">
        <f t="shared" si="14"/>
        <v>0</v>
      </c>
      <c r="E155" s="279">
        <f t="shared" si="15"/>
        <v>0</v>
      </c>
      <c r="F155" s="280" t="e">
        <f t="shared" si="16"/>
        <v>#DIV/0!</v>
      </c>
      <c r="G155" s="281"/>
      <c r="H155" s="162"/>
      <c r="I155" s="148"/>
      <c r="J155" s="148"/>
      <c r="K155" s="148"/>
      <c r="L155" s="148"/>
      <c r="M155" s="148"/>
      <c r="N155" s="148"/>
      <c r="O155" s="148"/>
      <c r="P155" s="148"/>
      <c r="Q155" s="148"/>
      <c r="Z155" s="270"/>
      <c r="AA155" s="271"/>
    </row>
    <row r="156" spans="1:27">
      <c r="A156" s="276" t="str">
        <f t="shared" si="12"/>
        <v>Preço Base 9</v>
      </c>
      <c r="B156" s="277" t="e">
        <f t="shared" si="12"/>
        <v>#DIV/0!</v>
      </c>
      <c r="C156" s="227">
        <f t="shared" si="13"/>
        <v>0</v>
      </c>
      <c r="D156" s="278">
        <f t="shared" si="14"/>
        <v>0</v>
      </c>
      <c r="E156" s="279">
        <f t="shared" si="15"/>
        <v>0</v>
      </c>
      <c r="F156" s="280" t="e">
        <f t="shared" si="16"/>
        <v>#DIV/0!</v>
      </c>
      <c r="G156" s="281"/>
      <c r="H156" s="162"/>
      <c r="I156" s="148"/>
      <c r="J156" s="148"/>
      <c r="K156" s="148"/>
      <c r="L156" s="148"/>
      <c r="M156" s="148"/>
      <c r="N156" s="148"/>
      <c r="O156" s="148"/>
      <c r="P156" s="148"/>
      <c r="Q156" s="148"/>
      <c r="Z156" s="270"/>
      <c r="AA156" s="271"/>
    </row>
    <row r="157" spans="1:27">
      <c r="A157" s="276" t="str">
        <f t="shared" si="12"/>
        <v>Preço Base 10</v>
      </c>
      <c r="B157" s="277" t="e">
        <f t="shared" si="12"/>
        <v>#DIV/0!</v>
      </c>
      <c r="C157" s="227">
        <f t="shared" si="13"/>
        <v>0</v>
      </c>
      <c r="D157" s="278">
        <f t="shared" si="14"/>
        <v>0</v>
      </c>
      <c r="E157" s="279">
        <f t="shared" si="15"/>
        <v>0</v>
      </c>
      <c r="F157" s="280" t="e">
        <f t="shared" si="16"/>
        <v>#DIV/0!</v>
      </c>
      <c r="G157" s="281"/>
      <c r="H157" s="162"/>
      <c r="I157" s="148"/>
      <c r="J157" s="148"/>
      <c r="K157" s="148"/>
      <c r="L157" s="148"/>
      <c r="M157" s="148"/>
      <c r="N157" s="148"/>
      <c r="O157" s="148"/>
      <c r="P157" s="148"/>
      <c r="Q157" s="148"/>
      <c r="Z157" s="270"/>
      <c r="AA157" s="271"/>
    </row>
    <row r="158" spans="1:27">
      <c r="A158" s="276" t="str">
        <f t="shared" si="12"/>
        <v>Preço Base 11</v>
      </c>
      <c r="B158" s="277" t="e">
        <f t="shared" si="12"/>
        <v>#DIV/0!</v>
      </c>
      <c r="C158" s="227">
        <f t="shared" si="13"/>
        <v>0</v>
      </c>
      <c r="D158" s="278">
        <f t="shared" si="14"/>
        <v>0</v>
      </c>
      <c r="E158" s="279">
        <f t="shared" si="15"/>
        <v>0</v>
      </c>
      <c r="F158" s="280" t="e">
        <f t="shared" si="16"/>
        <v>#DIV/0!</v>
      </c>
      <c r="G158" s="281"/>
      <c r="H158" s="162"/>
      <c r="I158" s="148"/>
      <c r="J158" s="148"/>
      <c r="K158" s="148"/>
      <c r="L158" s="148"/>
      <c r="M158" s="148"/>
      <c r="N158" s="148"/>
      <c r="O158" s="148"/>
      <c r="P158" s="148"/>
      <c r="Q158" s="148"/>
      <c r="Z158" s="270"/>
      <c r="AA158" s="271"/>
    </row>
    <row r="159" spans="1:27">
      <c r="A159" s="276" t="str">
        <f t="shared" si="12"/>
        <v>Preço Base 12</v>
      </c>
      <c r="B159" s="277" t="e">
        <f t="shared" si="12"/>
        <v>#DIV/0!</v>
      </c>
      <c r="C159" s="227">
        <f t="shared" si="13"/>
        <v>0</v>
      </c>
      <c r="D159" s="278">
        <f t="shared" si="14"/>
        <v>0</v>
      </c>
      <c r="E159" s="279">
        <f t="shared" si="15"/>
        <v>0</v>
      </c>
      <c r="F159" s="280" t="e">
        <f t="shared" si="16"/>
        <v>#DIV/0!</v>
      </c>
      <c r="G159" s="281"/>
      <c r="H159" s="162"/>
      <c r="I159" s="148"/>
      <c r="J159" s="148"/>
      <c r="K159" s="148"/>
      <c r="L159" s="148"/>
      <c r="M159" s="148"/>
      <c r="N159" s="148"/>
      <c r="O159" s="148"/>
      <c r="P159" s="148"/>
      <c r="Q159" s="148"/>
      <c r="Z159" s="270"/>
      <c r="AA159" s="271"/>
    </row>
    <row r="160" spans="1:27">
      <c r="A160" s="276" t="str">
        <f t="shared" si="12"/>
        <v>Preço Base 13</v>
      </c>
      <c r="B160" s="277" t="e">
        <f t="shared" si="12"/>
        <v>#DIV/0!</v>
      </c>
      <c r="C160" s="227">
        <f t="shared" si="13"/>
        <v>0</v>
      </c>
      <c r="D160" s="278">
        <f t="shared" si="14"/>
        <v>0</v>
      </c>
      <c r="E160" s="279">
        <f t="shared" si="15"/>
        <v>0</v>
      </c>
      <c r="F160" s="280" t="e">
        <f t="shared" si="16"/>
        <v>#DIV/0!</v>
      </c>
      <c r="G160" s="281"/>
      <c r="H160" s="162"/>
      <c r="I160" s="148"/>
      <c r="J160" s="148"/>
      <c r="K160" s="148"/>
      <c r="L160" s="148"/>
      <c r="M160" s="148"/>
      <c r="N160" s="148"/>
      <c r="O160" s="148"/>
      <c r="P160" s="148"/>
      <c r="Q160" s="148"/>
      <c r="Z160" s="270"/>
      <c r="AA160" s="271"/>
    </row>
    <row r="161" spans="1:29">
      <c r="A161" s="282" t="s">
        <v>13</v>
      </c>
      <c r="B161" s="283"/>
      <c r="C161" s="282">
        <f>SUM(C148:C160)</f>
        <v>19</v>
      </c>
      <c r="D161" s="284">
        <f>SUM(D148:D160)</f>
        <v>82846517</v>
      </c>
      <c r="E161" s="285"/>
      <c r="F161" s="280"/>
      <c r="G161" s="286"/>
      <c r="H161" s="287"/>
      <c r="I161" s="206"/>
      <c r="J161" s="206"/>
      <c r="K161" s="206"/>
      <c r="L161" s="288"/>
      <c r="M161" s="148"/>
      <c r="N161" s="234"/>
      <c r="O161" s="148"/>
      <c r="P161" s="148"/>
      <c r="Q161" s="148"/>
      <c r="Z161" s="270"/>
      <c r="AA161" s="271"/>
    </row>
    <row r="162" spans="1:29">
      <c r="A162" s="148"/>
      <c r="B162" s="148"/>
      <c r="C162" s="148"/>
      <c r="D162" s="148"/>
      <c r="E162" s="148"/>
      <c r="F162" s="148"/>
      <c r="G162" s="148"/>
      <c r="H162" s="289"/>
      <c r="I162" s="162"/>
      <c r="J162" s="162"/>
      <c r="K162" s="162"/>
      <c r="L162" s="148"/>
      <c r="M162" s="148"/>
      <c r="N162" s="234"/>
      <c r="O162" s="148"/>
      <c r="P162" s="148"/>
      <c r="Q162" s="148"/>
      <c r="Z162" s="270"/>
      <c r="AA162" s="271"/>
    </row>
    <row r="163" spans="1:29">
      <c r="A163" s="162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Z163" s="270"/>
      <c r="AA163" s="270"/>
      <c r="AB163" s="271"/>
    </row>
    <row r="164" spans="1:29">
      <c r="A164" s="162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Z164" s="270"/>
      <c r="AA164" s="270"/>
      <c r="AB164" s="271"/>
    </row>
    <row r="165" spans="1:29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Z165" s="270"/>
      <c r="AA165" s="270"/>
      <c r="AB165" s="271"/>
    </row>
    <row r="166" spans="1:29">
      <c r="A166" s="220" t="s">
        <v>98</v>
      </c>
      <c r="B166" s="220"/>
      <c r="C166" s="220"/>
      <c r="D166" s="220"/>
      <c r="E166" s="220"/>
      <c r="F166" s="220"/>
      <c r="G166" s="220"/>
      <c r="H166" s="220"/>
      <c r="I166" s="220"/>
      <c r="J166" s="220"/>
      <c r="K166" s="220"/>
      <c r="L166" s="290"/>
      <c r="M166" s="290"/>
      <c r="N166" s="143"/>
      <c r="O166" s="143"/>
      <c r="P166" s="143"/>
      <c r="Q166" s="143"/>
      <c r="Z166" s="270"/>
      <c r="AA166" s="270"/>
      <c r="AB166" s="271"/>
    </row>
    <row r="167" spans="1:29">
      <c r="A167" s="291" t="s">
        <v>99</v>
      </c>
      <c r="B167" s="291"/>
      <c r="C167" s="291"/>
      <c r="D167" s="291"/>
      <c r="E167" s="291"/>
      <c r="F167" s="291"/>
      <c r="G167" s="291"/>
      <c r="H167" s="291"/>
      <c r="I167" s="291"/>
      <c r="J167" s="291"/>
      <c r="K167" s="291"/>
      <c r="L167" s="291"/>
      <c r="M167" s="291"/>
      <c r="N167" s="148"/>
      <c r="P167" s="148"/>
      <c r="Q167" s="148"/>
      <c r="Z167" s="270"/>
      <c r="AA167" s="270"/>
      <c r="AB167" s="271"/>
    </row>
    <row r="168" spans="1:29">
      <c r="A168" s="427" t="s">
        <v>100</v>
      </c>
      <c r="B168" s="433" t="s">
        <v>101</v>
      </c>
      <c r="C168" s="433"/>
      <c r="D168" s="428" t="str">
        <f>B41</f>
        <v>Preço Base 1</v>
      </c>
      <c r="E168" s="429"/>
      <c r="F168" s="428" t="str">
        <f>B42</f>
        <v>Preço Base 2</v>
      </c>
      <c r="G168" s="429"/>
      <c r="H168" s="427" t="str">
        <f>B43</f>
        <v>Preço Base 3</v>
      </c>
      <c r="I168" s="427"/>
      <c r="J168" s="428" t="str">
        <f>B44</f>
        <v>Preço Base 4</v>
      </c>
      <c r="K168" s="429"/>
      <c r="L168" s="427" t="str">
        <f>B45</f>
        <v>Preço Base 5</v>
      </c>
      <c r="M168" s="427"/>
      <c r="N168" s="427" t="str">
        <f>B46</f>
        <v>Preço Base 6</v>
      </c>
      <c r="O168" s="427"/>
      <c r="P168" s="427" t="str">
        <f>B47</f>
        <v>Preço Base 7</v>
      </c>
      <c r="Q168" s="427"/>
      <c r="R168" s="427" t="str">
        <f>B48</f>
        <v>Preço Base 8</v>
      </c>
      <c r="S168" s="427"/>
      <c r="T168" s="427" t="str">
        <f>B49</f>
        <v>Preço Base 9</v>
      </c>
      <c r="U168" s="427"/>
      <c r="V168" s="427" t="str">
        <f>B50</f>
        <v>Preço Base 10</v>
      </c>
      <c r="W168" s="427"/>
      <c r="X168" s="427" t="str">
        <f>B51</f>
        <v>Preço Base 11</v>
      </c>
      <c r="Y168" s="427"/>
      <c r="Z168" s="427" t="str">
        <f>B52</f>
        <v>Preço Base 12</v>
      </c>
      <c r="AA168" s="427"/>
      <c r="AB168" s="427" t="str">
        <f>B53</f>
        <v>Preço Base 13</v>
      </c>
      <c r="AC168" s="427"/>
    </row>
    <row r="169" spans="1:29" ht="36" customHeight="1">
      <c r="A169" s="427"/>
      <c r="B169" s="207" t="s">
        <v>102</v>
      </c>
      <c r="C169" s="207" t="s">
        <v>103</v>
      </c>
      <c r="D169" s="292" t="s">
        <v>104</v>
      </c>
      <c r="E169" s="292" t="s">
        <v>105</v>
      </c>
      <c r="F169" s="292" t="s">
        <v>104</v>
      </c>
      <c r="G169" s="292" t="s">
        <v>105</v>
      </c>
      <c r="H169" s="292" t="s">
        <v>104</v>
      </c>
      <c r="I169" s="292" t="s">
        <v>105</v>
      </c>
      <c r="J169" s="292" t="s">
        <v>104</v>
      </c>
      <c r="K169" s="292" t="s">
        <v>105</v>
      </c>
      <c r="L169" s="292" t="s">
        <v>104</v>
      </c>
      <c r="M169" s="292" t="s">
        <v>105</v>
      </c>
      <c r="N169" s="292" t="s">
        <v>104</v>
      </c>
      <c r="O169" s="292" t="s">
        <v>105</v>
      </c>
      <c r="P169" s="292" t="s">
        <v>104</v>
      </c>
      <c r="Q169" s="292" t="s">
        <v>105</v>
      </c>
      <c r="R169" s="292" t="s">
        <v>104</v>
      </c>
      <c r="S169" s="292" t="s">
        <v>105</v>
      </c>
      <c r="T169" s="292" t="s">
        <v>104</v>
      </c>
      <c r="U169" s="292" t="s">
        <v>105</v>
      </c>
      <c r="V169" s="292" t="s">
        <v>104</v>
      </c>
      <c r="W169" s="292" t="s">
        <v>105</v>
      </c>
      <c r="X169" s="292" t="s">
        <v>104</v>
      </c>
      <c r="Y169" s="292" t="s">
        <v>105</v>
      </c>
      <c r="Z169" s="292" t="s">
        <v>104</v>
      </c>
      <c r="AA169" s="292" t="s">
        <v>105</v>
      </c>
      <c r="AB169" s="292" t="s">
        <v>104</v>
      </c>
      <c r="AC169" s="292" t="s">
        <v>105</v>
      </c>
    </row>
    <row r="170" spans="1:29">
      <c r="A170" s="293">
        <v>44228</v>
      </c>
      <c r="B170" s="294"/>
      <c r="C170" s="256">
        <v>1</v>
      </c>
      <c r="D170" s="228"/>
      <c r="E170" s="295">
        <v>9595</v>
      </c>
      <c r="F170" s="296"/>
      <c r="G170" s="295">
        <v>9595</v>
      </c>
      <c r="H170" s="228"/>
      <c r="I170" s="295">
        <v>9595</v>
      </c>
      <c r="J170" s="296"/>
      <c r="K170" s="295">
        <v>10100</v>
      </c>
      <c r="L170" s="228"/>
      <c r="M170" s="295">
        <v>9090</v>
      </c>
      <c r="N170" s="228"/>
      <c r="O170" s="295">
        <v>11110</v>
      </c>
      <c r="P170" s="228"/>
      <c r="Q170" s="295"/>
      <c r="R170" s="228"/>
      <c r="S170" s="295"/>
      <c r="T170" s="228"/>
      <c r="U170" s="295"/>
      <c r="V170" s="228"/>
      <c r="W170" s="295"/>
      <c r="X170" s="228"/>
      <c r="Y170" s="295"/>
      <c r="Z170" s="228"/>
      <c r="AA170" s="295"/>
      <c r="AB170" s="228"/>
      <c r="AC170" s="295"/>
    </row>
    <row r="171" spans="1:29">
      <c r="A171" s="293">
        <f>EDATE(A170,1)</f>
        <v>44256</v>
      </c>
      <c r="B171" s="294"/>
      <c r="C171" s="256">
        <f t="shared" ref="C171:C202" si="17">C170+(B171*C170)</f>
        <v>1</v>
      </c>
      <c r="D171" s="228"/>
      <c r="E171" s="295">
        <f>E170*(1+D171)</f>
        <v>9595</v>
      </c>
      <c r="F171" s="296"/>
      <c r="G171" s="295">
        <f>G170*(1+F171)</f>
        <v>9595</v>
      </c>
      <c r="H171" s="228"/>
      <c r="I171" s="295">
        <f>I170*(1+H171)</f>
        <v>9595</v>
      </c>
      <c r="J171" s="296"/>
      <c r="K171" s="295">
        <f>K170*(1+J171)</f>
        <v>10100</v>
      </c>
      <c r="L171" s="228"/>
      <c r="M171" s="295">
        <f>M170*(1+L171)</f>
        <v>9090</v>
      </c>
      <c r="N171" s="228"/>
      <c r="O171" s="295">
        <f t="shared" ref="O171:O201" si="18">O170*(1+N171)</f>
        <v>11110</v>
      </c>
      <c r="P171" s="228"/>
      <c r="Q171" s="295"/>
      <c r="R171" s="228"/>
      <c r="S171" s="295"/>
      <c r="T171" s="228"/>
      <c r="U171" s="295"/>
      <c r="V171" s="228"/>
      <c r="W171" s="295"/>
      <c r="X171" s="228"/>
      <c r="Y171" s="295"/>
      <c r="Z171" s="228"/>
      <c r="AA171" s="295"/>
      <c r="AB171" s="228"/>
      <c r="AC171" s="295"/>
    </row>
    <row r="172" spans="1:29">
      <c r="A172" s="293">
        <f t="shared" ref="A172:A179" si="19">EDATE(A171,1)</f>
        <v>44287</v>
      </c>
      <c r="B172" s="294"/>
      <c r="C172" s="256">
        <f t="shared" si="17"/>
        <v>1</v>
      </c>
      <c r="D172" s="294"/>
      <c r="E172" s="295">
        <f>E171*(1+D172)</f>
        <v>9595</v>
      </c>
      <c r="F172" s="294"/>
      <c r="G172" s="295">
        <f>G171*(1+F172)</f>
        <v>9595</v>
      </c>
      <c r="H172" s="294"/>
      <c r="I172" s="295">
        <f>I171*(1+H172)</f>
        <v>9595</v>
      </c>
      <c r="J172" s="294"/>
      <c r="K172" s="295">
        <f>K171*(1+J172)</f>
        <v>10100</v>
      </c>
      <c r="L172" s="294"/>
      <c r="M172" s="295">
        <f>M171*(1+L172)</f>
        <v>9090</v>
      </c>
      <c r="N172" s="228"/>
      <c r="O172" s="295">
        <f t="shared" si="18"/>
        <v>11110</v>
      </c>
      <c r="P172" s="228"/>
      <c r="Q172" s="295"/>
      <c r="R172" s="228"/>
      <c r="S172" s="295"/>
      <c r="T172" s="228"/>
      <c r="U172" s="295"/>
      <c r="V172" s="228"/>
      <c r="W172" s="295"/>
      <c r="X172" s="228"/>
      <c r="Y172" s="295"/>
      <c r="Z172" s="294"/>
      <c r="AA172" s="295"/>
      <c r="AB172" s="294"/>
      <c r="AC172" s="295"/>
    </row>
    <row r="173" spans="1:29">
      <c r="A173" s="293">
        <f t="shared" si="19"/>
        <v>44317</v>
      </c>
      <c r="B173" s="294"/>
      <c r="C173" s="297">
        <f t="shared" si="17"/>
        <v>1</v>
      </c>
      <c r="D173" s="294"/>
      <c r="E173" s="295">
        <f>E172*(1+D173)</f>
        <v>9595</v>
      </c>
      <c r="F173" s="294"/>
      <c r="G173" s="295">
        <f>G172*(1+F173)</f>
        <v>9595</v>
      </c>
      <c r="H173" s="294"/>
      <c r="I173" s="295">
        <f>I172*(1+H173)</f>
        <v>9595</v>
      </c>
      <c r="J173" s="294"/>
      <c r="K173" s="295">
        <f>K172*(1+J173)</f>
        <v>10100</v>
      </c>
      <c r="L173" s="294"/>
      <c r="M173" s="295">
        <f>M172*(1+L173)</f>
        <v>9090</v>
      </c>
      <c r="N173" s="228"/>
      <c r="O173" s="295">
        <f t="shared" si="18"/>
        <v>11110</v>
      </c>
      <c r="P173" s="228"/>
      <c r="Q173" s="295"/>
      <c r="R173" s="228"/>
      <c r="S173" s="295"/>
      <c r="T173" s="228"/>
      <c r="U173" s="295"/>
      <c r="V173" s="228"/>
      <c r="W173" s="295"/>
      <c r="X173" s="228"/>
      <c r="Y173" s="295"/>
      <c r="Z173" s="294"/>
      <c r="AA173" s="295"/>
      <c r="AB173" s="294"/>
      <c r="AC173" s="295"/>
    </row>
    <row r="174" spans="1:29">
      <c r="A174" s="293">
        <f t="shared" si="19"/>
        <v>44348</v>
      </c>
      <c r="B174" s="294"/>
      <c r="C174" s="297">
        <f t="shared" si="17"/>
        <v>1</v>
      </c>
      <c r="D174" s="294"/>
      <c r="E174" s="295">
        <f t="shared" ref="E174:E176" si="20">E173*(1+D174)</f>
        <v>9595</v>
      </c>
      <c r="F174" s="294"/>
      <c r="G174" s="295">
        <f t="shared" ref="G174:G201" si="21">G173*(1+F174)</f>
        <v>9595</v>
      </c>
      <c r="H174" s="294"/>
      <c r="I174" s="295">
        <f t="shared" ref="I174:I201" si="22">I173*(1+H174)</f>
        <v>9595</v>
      </c>
      <c r="J174" s="294"/>
      <c r="K174" s="295">
        <f t="shared" ref="K174:K201" si="23">K173*(1+J174)</f>
        <v>10100</v>
      </c>
      <c r="L174" s="294"/>
      <c r="M174" s="295">
        <f t="shared" ref="M174:M201" si="24">M173*(1+L174)</f>
        <v>9090</v>
      </c>
      <c r="N174" s="228"/>
      <c r="O174" s="295">
        <f t="shared" si="18"/>
        <v>11110</v>
      </c>
      <c r="P174" s="228"/>
      <c r="Q174" s="295"/>
      <c r="R174" s="228"/>
      <c r="S174" s="295"/>
      <c r="T174" s="228"/>
      <c r="U174" s="295"/>
      <c r="V174" s="228"/>
      <c r="W174" s="295"/>
      <c r="X174" s="228"/>
      <c r="Y174" s="295"/>
      <c r="Z174" s="294"/>
      <c r="AA174" s="295"/>
      <c r="AB174" s="294"/>
      <c r="AC174" s="295"/>
    </row>
    <row r="175" spans="1:29">
      <c r="A175" s="293">
        <f t="shared" si="19"/>
        <v>44378</v>
      </c>
      <c r="B175" s="294">
        <v>2.1600000000000001E-2</v>
      </c>
      <c r="C175" s="297">
        <f t="shared" si="17"/>
        <v>1.0216000000000001</v>
      </c>
      <c r="D175" s="294">
        <v>2.1600000000000001E-2</v>
      </c>
      <c r="E175" s="295">
        <f t="shared" si="20"/>
        <v>9802.2520000000004</v>
      </c>
      <c r="F175" s="294">
        <v>2.1600000000000001E-2</v>
      </c>
      <c r="G175" s="295">
        <f t="shared" si="21"/>
        <v>9802.2520000000004</v>
      </c>
      <c r="H175" s="294">
        <v>2.1600000000000001E-2</v>
      </c>
      <c r="I175" s="295">
        <f t="shared" si="22"/>
        <v>9802.2520000000004</v>
      </c>
      <c r="J175" s="294">
        <v>2.1600000000000001E-2</v>
      </c>
      <c r="K175" s="295">
        <f t="shared" si="23"/>
        <v>10318.16</v>
      </c>
      <c r="L175" s="294">
        <v>2.1600000000000001E-2</v>
      </c>
      <c r="M175" s="295">
        <f t="shared" si="24"/>
        <v>9286.344000000001</v>
      </c>
      <c r="N175" s="294">
        <v>2.1600000000000001E-2</v>
      </c>
      <c r="O175" s="295">
        <f t="shared" si="18"/>
        <v>11349.976000000001</v>
      </c>
      <c r="P175" s="294"/>
      <c r="Q175" s="295"/>
      <c r="R175" s="294"/>
      <c r="S175" s="295"/>
      <c r="T175" s="294"/>
      <c r="U175" s="295"/>
      <c r="V175" s="294"/>
      <c r="W175" s="295"/>
      <c r="X175" s="294"/>
      <c r="Y175" s="295"/>
      <c r="Z175" s="294"/>
      <c r="AA175" s="295"/>
      <c r="AB175" s="294"/>
      <c r="AC175" s="295"/>
    </row>
    <row r="176" spans="1:29">
      <c r="A176" s="293">
        <f t="shared" si="19"/>
        <v>44409</v>
      </c>
      <c r="B176" s="294">
        <v>0.01</v>
      </c>
      <c r="C176" s="297">
        <f t="shared" si="17"/>
        <v>1.0318160000000001</v>
      </c>
      <c r="D176" s="294">
        <v>0.01</v>
      </c>
      <c r="E176" s="295">
        <f t="shared" si="20"/>
        <v>9900.2745200000008</v>
      </c>
      <c r="F176" s="294">
        <v>0.01</v>
      </c>
      <c r="G176" s="295">
        <f t="shared" si="21"/>
        <v>9900.2745200000008</v>
      </c>
      <c r="H176" s="294">
        <v>0.01</v>
      </c>
      <c r="I176" s="295">
        <f t="shared" si="22"/>
        <v>9900.2745200000008</v>
      </c>
      <c r="J176" s="294">
        <v>0.01</v>
      </c>
      <c r="K176" s="295">
        <f t="shared" si="23"/>
        <v>10421.3416</v>
      </c>
      <c r="L176" s="294">
        <v>0.01</v>
      </c>
      <c r="M176" s="295">
        <f t="shared" si="24"/>
        <v>9379.207440000002</v>
      </c>
      <c r="N176" s="294">
        <v>0.01</v>
      </c>
      <c r="O176" s="295">
        <f t="shared" si="18"/>
        <v>11463.475760000001</v>
      </c>
      <c r="P176" s="294"/>
      <c r="Q176" s="295"/>
      <c r="R176" s="294"/>
      <c r="S176" s="295"/>
      <c r="T176" s="294"/>
      <c r="U176" s="295"/>
      <c r="V176" s="294"/>
      <c r="W176" s="295"/>
      <c r="X176" s="294"/>
      <c r="Y176" s="295"/>
      <c r="Z176" s="294"/>
      <c r="AA176" s="295"/>
      <c r="AB176" s="294"/>
      <c r="AC176" s="295"/>
    </row>
    <row r="177" spans="1:29">
      <c r="A177" s="293">
        <f t="shared" si="19"/>
        <v>44440</v>
      </c>
      <c r="B177" s="294">
        <v>4.5999999999999999E-3</v>
      </c>
      <c r="C177" s="297">
        <f t="shared" ref="C177:C187" si="25">C176+(B177*C176)</f>
        <v>1.0365623536000002</v>
      </c>
      <c r="D177" s="294">
        <v>4.5999999999999999E-3</v>
      </c>
      <c r="E177" s="295">
        <f t="shared" ref="E177:E201" si="26">E176*(1+D177)</f>
        <v>9945.8157827920004</v>
      </c>
      <c r="F177" s="294">
        <v>4.5999999999999999E-3</v>
      </c>
      <c r="G177" s="295">
        <f t="shared" si="21"/>
        <v>9945.8157827920004</v>
      </c>
      <c r="H177" s="294">
        <v>4.5999999999999999E-3</v>
      </c>
      <c r="I177" s="295">
        <f t="shared" si="22"/>
        <v>9945.8157827920004</v>
      </c>
      <c r="J177" s="294">
        <v>4.5999999999999999E-3</v>
      </c>
      <c r="K177" s="295">
        <f t="shared" si="23"/>
        <v>10469.279771359999</v>
      </c>
      <c r="L177" s="294">
        <v>4.5999999999999999E-3</v>
      </c>
      <c r="M177" s="295">
        <f t="shared" si="24"/>
        <v>9422.3517942240014</v>
      </c>
      <c r="N177" s="294">
        <v>4.5999999999999999E-3</v>
      </c>
      <c r="O177" s="295">
        <f t="shared" si="18"/>
        <v>11516.207748496001</v>
      </c>
      <c r="P177" s="294"/>
      <c r="Q177" s="295"/>
      <c r="R177" s="294"/>
      <c r="S177" s="295"/>
      <c r="T177" s="294"/>
      <c r="U177" s="295"/>
      <c r="V177" s="294"/>
      <c r="W177" s="295"/>
      <c r="X177" s="294"/>
      <c r="Y177" s="295"/>
      <c r="Z177" s="294"/>
      <c r="AA177" s="295"/>
      <c r="AB177" s="294"/>
      <c r="AC177" s="295"/>
    </row>
    <row r="178" spans="1:29">
      <c r="A178" s="293">
        <f t="shared" si="19"/>
        <v>44470</v>
      </c>
      <c r="B178" s="294">
        <v>5.1000000000000004E-3</v>
      </c>
      <c r="C178" s="297">
        <f t="shared" si="25"/>
        <v>1.0418488216033601</v>
      </c>
      <c r="D178" s="294">
        <v>5.1000000000000004E-3</v>
      </c>
      <c r="E178" s="295">
        <f t="shared" si="26"/>
        <v>9996.5394432842404</v>
      </c>
      <c r="F178" s="294">
        <v>5.1000000000000004E-3</v>
      </c>
      <c r="G178" s="295">
        <f t="shared" si="21"/>
        <v>9996.5394432842404</v>
      </c>
      <c r="H178" s="294">
        <v>5.1000000000000004E-3</v>
      </c>
      <c r="I178" s="295">
        <f t="shared" si="22"/>
        <v>9996.5394432842404</v>
      </c>
      <c r="J178" s="294">
        <v>5.1000000000000004E-3</v>
      </c>
      <c r="K178" s="295">
        <f t="shared" si="23"/>
        <v>10522.673098193936</v>
      </c>
      <c r="L178" s="294">
        <v>5.1000000000000004E-3</v>
      </c>
      <c r="M178" s="295">
        <f t="shared" si="24"/>
        <v>9470.4057883745445</v>
      </c>
      <c r="N178" s="294">
        <v>5.1000000000000004E-3</v>
      </c>
      <c r="O178" s="295">
        <f t="shared" si="18"/>
        <v>11574.940408013332</v>
      </c>
      <c r="P178" s="294"/>
      <c r="Q178" s="295"/>
      <c r="R178" s="294"/>
      <c r="S178" s="295"/>
      <c r="T178" s="294"/>
      <c r="U178" s="295"/>
      <c r="V178" s="294"/>
      <c r="W178" s="295"/>
      <c r="X178" s="294"/>
      <c r="Y178" s="295"/>
      <c r="Z178" s="294"/>
      <c r="AA178" s="295"/>
      <c r="AB178" s="294"/>
      <c r="AC178" s="295"/>
    </row>
    <row r="179" spans="1:29">
      <c r="A179" s="293">
        <f t="shared" si="19"/>
        <v>44501</v>
      </c>
      <c r="B179" s="294">
        <v>7.1000000000000004E-3</v>
      </c>
      <c r="C179" s="297">
        <f t="shared" si="25"/>
        <v>1.049245948236744</v>
      </c>
      <c r="D179" s="294">
        <v>7.1000000000000004E-3</v>
      </c>
      <c r="E179" s="295">
        <f t="shared" si="26"/>
        <v>10067.51487333156</v>
      </c>
      <c r="F179" s="294">
        <v>7.1000000000000004E-3</v>
      </c>
      <c r="G179" s="295">
        <f t="shared" si="21"/>
        <v>10067.51487333156</v>
      </c>
      <c r="H179" s="294">
        <v>7.1000000000000004E-3</v>
      </c>
      <c r="I179" s="295">
        <f t="shared" si="22"/>
        <v>10067.51487333156</v>
      </c>
      <c r="J179" s="294">
        <v>7.1000000000000004E-3</v>
      </c>
      <c r="K179" s="295">
        <f t="shared" si="23"/>
        <v>10597.384077191115</v>
      </c>
      <c r="L179" s="294">
        <v>7.1000000000000004E-3</v>
      </c>
      <c r="M179" s="295">
        <f t="shared" si="24"/>
        <v>9537.6456694720055</v>
      </c>
      <c r="N179" s="294">
        <v>7.1000000000000004E-3</v>
      </c>
      <c r="O179" s="295">
        <f t="shared" si="18"/>
        <v>11657.122484910227</v>
      </c>
      <c r="P179" s="294"/>
      <c r="Q179" s="295"/>
      <c r="R179" s="294"/>
      <c r="S179" s="295"/>
      <c r="T179" s="294"/>
      <c r="U179" s="295"/>
      <c r="V179" s="294"/>
      <c r="W179" s="295"/>
      <c r="X179" s="294"/>
      <c r="Y179" s="295"/>
      <c r="Z179" s="294"/>
      <c r="AA179" s="295"/>
      <c r="AB179" s="294"/>
      <c r="AC179" s="295"/>
    </row>
    <row r="180" spans="1:29">
      <c r="A180" s="293">
        <v>44531</v>
      </c>
      <c r="B180" s="294">
        <v>6.7000000000000002E-3</v>
      </c>
      <c r="C180" s="297">
        <f t="shared" si="25"/>
        <v>1.0562758960899301</v>
      </c>
      <c r="D180" s="294">
        <v>6.7000000000000002E-3</v>
      </c>
      <c r="E180" s="295">
        <f t="shared" si="26"/>
        <v>10134.967222982881</v>
      </c>
      <c r="F180" s="294">
        <v>6.7000000000000002E-3</v>
      </c>
      <c r="G180" s="295">
        <f t="shared" si="21"/>
        <v>10134.967222982881</v>
      </c>
      <c r="H180" s="294">
        <v>6.7000000000000002E-3</v>
      </c>
      <c r="I180" s="295">
        <f t="shared" si="22"/>
        <v>10134.967222982881</v>
      </c>
      <c r="J180" s="294">
        <v>6.7000000000000002E-3</v>
      </c>
      <c r="K180" s="295">
        <f t="shared" si="23"/>
        <v>10668.386550508294</v>
      </c>
      <c r="L180" s="294">
        <v>6.7000000000000002E-3</v>
      </c>
      <c r="M180" s="295">
        <f t="shared" si="24"/>
        <v>9601.5478954574664</v>
      </c>
      <c r="N180" s="294">
        <v>6.7000000000000002E-3</v>
      </c>
      <c r="O180" s="295">
        <f t="shared" si="18"/>
        <v>11735.225205559125</v>
      </c>
      <c r="P180" s="294"/>
      <c r="Q180" s="295"/>
      <c r="R180" s="294"/>
      <c r="S180" s="295"/>
      <c r="T180" s="294"/>
      <c r="U180" s="295"/>
      <c r="V180" s="294"/>
      <c r="W180" s="295"/>
      <c r="X180" s="294"/>
      <c r="Y180" s="295"/>
      <c r="Z180" s="294"/>
      <c r="AA180" s="295"/>
      <c r="AB180" s="294"/>
      <c r="AC180" s="295"/>
    </row>
    <row r="181" spans="1:29">
      <c r="A181" s="293">
        <v>44562</v>
      </c>
      <c r="B181" s="294">
        <v>0.01</v>
      </c>
      <c r="C181" s="297">
        <f t="shared" si="25"/>
        <v>1.0668386550508293</v>
      </c>
      <c r="D181" s="294">
        <v>0.01</v>
      </c>
      <c r="E181" s="295">
        <f t="shared" si="26"/>
        <v>10236.316895212711</v>
      </c>
      <c r="F181" s="294">
        <v>0.01</v>
      </c>
      <c r="G181" s="295">
        <f t="shared" si="21"/>
        <v>10236.316895212711</v>
      </c>
      <c r="H181" s="294">
        <v>0.01</v>
      </c>
      <c r="I181" s="295">
        <f t="shared" si="22"/>
        <v>10236.316895212711</v>
      </c>
      <c r="J181" s="294">
        <v>0.01</v>
      </c>
      <c r="K181" s="295">
        <f t="shared" si="23"/>
        <v>10775.070416013377</v>
      </c>
      <c r="L181" s="294">
        <v>0.01</v>
      </c>
      <c r="M181" s="295">
        <f t="shared" si="24"/>
        <v>9697.5633744120405</v>
      </c>
      <c r="N181" s="294">
        <v>0.01</v>
      </c>
      <c r="O181" s="295">
        <f t="shared" si="18"/>
        <v>11852.577457614716</v>
      </c>
      <c r="P181" s="294"/>
      <c r="Q181" s="295"/>
      <c r="R181" s="294"/>
      <c r="S181" s="295"/>
      <c r="T181" s="294"/>
      <c r="U181" s="295"/>
      <c r="V181" s="294"/>
      <c r="W181" s="295"/>
      <c r="X181" s="294"/>
      <c r="Y181" s="295"/>
      <c r="Z181" s="294"/>
      <c r="AA181" s="295"/>
      <c r="AB181" s="294"/>
      <c r="AC181" s="295"/>
    </row>
    <row r="182" spans="1:29">
      <c r="A182" s="293">
        <v>44593</v>
      </c>
      <c r="B182" s="294">
        <v>7.0000000000000001E-3</v>
      </c>
      <c r="C182" s="297">
        <f t="shared" si="25"/>
        <v>1.074306525636185</v>
      </c>
      <c r="D182" s="294">
        <v>7.0000000000000001E-3</v>
      </c>
      <c r="E182" s="295">
        <f t="shared" si="26"/>
        <v>10307.971113479198</v>
      </c>
      <c r="F182" s="294">
        <v>7.0000000000000001E-3</v>
      </c>
      <c r="G182" s="295">
        <f t="shared" si="21"/>
        <v>10307.971113479198</v>
      </c>
      <c r="H182" s="294">
        <v>7.0000000000000001E-3</v>
      </c>
      <c r="I182" s="295">
        <f t="shared" si="22"/>
        <v>10307.971113479198</v>
      </c>
      <c r="J182" s="294">
        <v>7.0000000000000001E-3</v>
      </c>
      <c r="K182" s="295">
        <f t="shared" si="23"/>
        <v>10850.49590892547</v>
      </c>
      <c r="L182" s="294">
        <v>7.0000000000000001E-3</v>
      </c>
      <c r="M182" s="295">
        <f t="shared" si="24"/>
        <v>9765.446318032924</v>
      </c>
      <c r="N182" s="294">
        <v>7.0000000000000001E-3</v>
      </c>
      <c r="O182" s="295">
        <f t="shared" si="18"/>
        <v>11935.545499818018</v>
      </c>
      <c r="P182" s="228"/>
      <c r="Q182" s="295"/>
      <c r="R182" s="228"/>
      <c r="S182" s="295"/>
      <c r="T182" s="228"/>
      <c r="U182" s="295"/>
      <c r="V182" s="228"/>
      <c r="W182" s="295"/>
      <c r="X182" s="228"/>
      <c r="Y182" s="295"/>
      <c r="Z182" s="294"/>
      <c r="AA182" s="295"/>
      <c r="AB182" s="294"/>
      <c r="AC182" s="295"/>
    </row>
    <row r="183" spans="1:29">
      <c r="A183" s="293">
        <v>44652</v>
      </c>
      <c r="B183" s="294">
        <v>0.02</v>
      </c>
      <c r="C183" s="297">
        <f t="shared" si="25"/>
        <v>1.0957926561489086</v>
      </c>
      <c r="D183" s="294">
        <v>0.02</v>
      </c>
      <c r="E183" s="295">
        <f t="shared" si="26"/>
        <v>10514.130535748782</v>
      </c>
      <c r="F183" s="294">
        <v>0.02</v>
      </c>
      <c r="G183" s="295">
        <f t="shared" si="21"/>
        <v>10514.130535748782</v>
      </c>
      <c r="H183" s="294">
        <v>0.02</v>
      </c>
      <c r="I183" s="295">
        <f t="shared" si="22"/>
        <v>10514.130535748782</v>
      </c>
      <c r="J183" s="294">
        <v>0.02</v>
      </c>
      <c r="K183" s="295">
        <f t="shared" si="23"/>
        <v>11067.50582710398</v>
      </c>
      <c r="L183" s="294">
        <v>0.02</v>
      </c>
      <c r="M183" s="295">
        <f t="shared" si="24"/>
        <v>9960.755244393582</v>
      </c>
      <c r="N183" s="228">
        <v>0.02</v>
      </c>
      <c r="O183" s="295">
        <f t="shared" si="18"/>
        <v>12174.256409814378</v>
      </c>
      <c r="P183" s="228"/>
      <c r="Q183" s="295"/>
      <c r="R183" s="228"/>
      <c r="S183" s="295"/>
      <c r="T183" s="228"/>
      <c r="U183" s="295"/>
      <c r="V183" s="228"/>
      <c r="W183" s="295"/>
      <c r="X183" s="228"/>
      <c r="Y183" s="295"/>
      <c r="Z183" s="294"/>
      <c r="AA183" s="295"/>
      <c r="AB183" s="294"/>
      <c r="AC183" s="295"/>
    </row>
    <row r="184" spans="1:29">
      <c r="A184" s="293">
        <v>44682</v>
      </c>
      <c r="B184" s="294">
        <v>0.02</v>
      </c>
      <c r="C184" s="297">
        <f t="shared" si="25"/>
        <v>1.1177085092718868</v>
      </c>
      <c r="D184" s="294">
        <v>0.02</v>
      </c>
      <c r="E184" s="295">
        <f t="shared" si="26"/>
        <v>10724.413146463758</v>
      </c>
      <c r="F184" s="294">
        <v>0.02</v>
      </c>
      <c r="G184" s="295">
        <f t="shared" si="21"/>
        <v>10724.413146463758</v>
      </c>
      <c r="H184" s="294">
        <v>0.02</v>
      </c>
      <c r="I184" s="295">
        <f t="shared" si="22"/>
        <v>10724.413146463758</v>
      </c>
      <c r="J184" s="294">
        <v>0.02</v>
      </c>
      <c r="K184" s="295">
        <f t="shared" si="23"/>
        <v>11288.85594364606</v>
      </c>
      <c r="L184" s="294">
        <v>0.02</v>
      </c>
      <c r="M184" s="295">
        <f t="shared" si="24"/>
        <v>10159.970349281453</v>
      </c>
      <c r="N184" s="228">
        <v>0.02</v>
      </c>
      <c r="O184" s="295">
        <f t="shared" si="18"/>
        <v>12417.741538010665</v>
      </c>
      <c r="P184" s="228"/>
      <c r="Q184" s="295"/>
      <c r="R184" s="228"/>
      <c r="S184" s="295"/>
      <c r="T184" s="228"/>
      <c r="U184" s="295"/>
      <c r="V184" s="228"/>
      <c r="W184" s="295"/>
      <c r="X184" s="228"/>
      <c r="Y184" s="295"/>
      <c r="Z184" s="294"/>
      <c r="AA184" s="295"/>
      <c r="AB184" s="294"/>
      <c r="AC184" s="295"/>
    </row>
    <row r="185" spans="1:29">
      <c r="A185" s="293">
        <v>44713</v>
      </c>
      <c r="B185" s="294">
        <v>0.02</v>
      </c>
      <c r="C185" s="297">
        <f t="shared" si="25"/>
        <v>1.1400626794573245</v>
      </c>
      <c r="D185" s="294">
        <v>0.02</v>
      </c>
      <c r="E185" s="295">
        <f t="shared" si="26"/>
        <v>10938.901409393033</v>
      </c>
      <c r="F185" s="294">
        <v>0.02</v>
      </c>
      <c r="G185" s="295">
        <f t="shared" si="21"/>
        <v>10938.901409393033</v>
      </c>
      <c r="H185" s="294">
        <v>0.02</v>
      </c>
      <c r="I185" s="295">
        <f t="shared" si="22"/>
        <v>10938.901409393033</v>
      </c>
      <c r="J185" s="294">
        <v>0.02</v>
      </c>
      <c r="K185" s="295">
        <f t="shared" si="23"/>
        <v>11514.633062518982</v>
      </c>
      <c r="L185" s="294">
        <v>0.02</v>
      </c>
      <c r="M185" s="295">
        <f t="shared" si="24"/>
        <v>10363.169756267083</v>
      </c>
      <c r="N185" s="228">
        <v>0.02</v>
      </c>
      <c r="O185" s="295">
        <f t="shared" si="18"/>
        <v>12666.096368770879</v>
      </c>
      <c r="P185" s="228"/>
      <c r="Q185" s="295"/>
      <c r="R185" s="228"/>
      <c r="S185" s="295"/>
      <c r="T185" s="228"/>
      <c r="U185" s="295"/>
      <c r="V185" s="228"/>
      <c r="W185" s="295"/>
      <c r="X185" s="228"/>
      <c r="Y185" s="295"/>
      <c r="Z185" s="294"/>
      <c r="AA185" s="295"/>
      <c r="AB185" s="294"/>
      <c r="AC185" s="295"/>
    </row>
    <row r="186" spans="1:29">
      <c r="A186" s="293">
        <v>44743</v>
      </c>
      <c r="B186" s="294">
        <v>2.2800000000000001E-2</v>
      </c>
      <c r="C186" s="297">
        <f t="shared" si="25"/>
        <v>1.1660561085489516</v>
      </c>
      <c r="D186" s="294">
        <v>2.2800000000000001E-2</v>
      </c>
      <c r="E186" s="295">
        <f t="shared" si="26"/>
        <v>11188.308361527193</v>
      </c>
      <c r="F186" s="294">
        <v>2.2800000000000001E-2</v>
      </c>
      <c r="G186" s="295">
        <f t="shared" si="21"/>
        <v>11188.308361527193</v>
      </c>
      <c r="H186" s="294">
        <v>2.2800000000000001E-2</v>
      </c>
      <c r="I186" s="295">
        <f t="shared" si="22"/>
        <v>11188.308361527193</v>
      </c>
      <c r="J186" s="294">
        <v>2.2800000000000001E-2</v>
      </c>
      <c r="K186" s="295">
        <f t="shared" si="23"/>
        <v>11777.166696344415</v>
      </c>
      <c r="L186" s="294">
        <v>2.2800000000000001E-2</v>
      </c>
      <c r="M186" s="295">
        <f t="shared" si="24"/>
        <v>10599.450026709972</v>
      </c>
      <c r="N186" s="294">
        <v>2.2800000000000001E-2</v>
      </c>
      <c r="O186" s="295">
        <f t="shared" si="18"/>
        <v>12954.883365978854</v>
      </c>
      <c r="P186" s="228"/>
      <c r="Q186" s="295"/>
      <c r="R186" s="228"/>
      <c r="S186" s="295"/>
      <c r="T186" s="228"/>
      <c r="U186" s="295"/>
      <c r="V186" s="228"/>
      <c r="W186" s="295"/>
      <c r="X186" s="228"/>
      <c r="Y186" s="295"/>
      <c r="Z186" s="294"/>
      <c r="AA186" s="295"/>
      <c r="AB186" s="294"/>
      <c r="AC186" s="295"/>
    </row>
    <row r="187" spans="1:29">
      <c r="A187" s="293">
        <v>37469</v>
      </c>
      <c r="B187" s="294">
        <v>2.1399999999999999E-2</v>
      </c>
      <c r="C187" s="297">
        <f t="shared" si="25"/>
        <v>1.1910097092718992</v>
      </c>
      <c r="D187" s="294">
        <v>2.1399999999999999E-2</v>
      </c>
      <c r="E187" s="295">
        <f t="shared" si="26"/>
        <v>11427.738160463876</v>
      </c>
      <c r="F187" s="294">
        <v>2.1399999999999999E-2</v>
      </c>
      <c r="G187" s="295">
        <f t="shared" si="21"/>
        <v>11427.738160463876</v>
      </c>
      <c r="H187" s="294">
        <v>2.1399999999999999E-2</v>
      </c>
      <c r="I187" s="295">
        <f t="shared" si="22"/>
        <v>11427.738160463876</v>
      </c>
      <c r="J187" s="294">
        <v>2.1399999999999999E-2</v>
      </c>
      <c r="K187" s="295">
        <f t="shared" si="23"/>
        <v>12029.198063646187</v>
      </c>
      <c r="L187" s="294">
        <v>2.1399999999999999E-2</v>
      </c>
      <c r="M187" s="295">
        <f t="shared" si="24"/>
        <v>10826.278257281567</v>
      </c>
      <c r="N187" s="228">
        <v>2.1399999999999999E-2</v>
      </c>
      <c r="O187" s="295">
        <f t="shared" si="18"/>
        <v>13232.117870010803</v>
      </c>
      <c r="P187" s="228"/>
      <c r="Q187" s="295"/>
      <c r="R187" s="228"/>
      <c r="S187" s="295"/>
      <c r="T187" s="228"/>
      <c r="U187" s="295"/>
      <c r="V187" s="228"/>
      <c r="W187" s="295"/>
      <c r="X187" s="228"/>
      <c r="Y187" s="295"/>
      <c r="Z187" s="294"/>
      <c r="AA187" s="295"/>
      <c r="AB187" s="294"/>
      <c r="AC187" s="295"/>
    </row>
    <row r="188" spans="1:29">
      <c r="A188" s="298">
        <v>44805</v>
      </c>
      <c r="B188" s="299">
        <v>8.6E-3</v>
      </c>
      <c r="C188" s="297">
        <f>C179+(B188*C179)</f>
        <v>1.0582694633915799</v>
      </c>
      <c r="D188" s="294">
        <v>8.6E-3</v>
      </c>
      <c r="E188" s="295">
        <f t="shared" si="26"/>
        <v>11526.016708643865</v>
      </c>
      <c r="F188" s="294">
        <v>8.6E-3</v>
      </c>
      <c r="G188" s="295">
        <f t="shared" si="21"/>
        <v>11526.016708643865</v>
      </c>
      <c r="H188" s="294">
        <v>8.6E-3</v>
      </c>
      <c r="I188" s="295">
        <f t="shared" si="22"/>
        <v>11526.016708643865</v>
      </c>
      <c r="J188" s="294">
        <v>8.6E-3</v>
      </c>
      <c r="K188" s="295">
        <f t="shared" si="23"/>
        <v>12132.649166993544</v>
      </c>
      <c r="L188" s="294">
        <v>8.6E-3</v>
      </c>
      <c r="M188" s="295">
        <f t="shared" si="24"/>
        <v>10919.384250294188</v>
      </c>
      <c r="N188" s="228">
        <v>8.6E-3</v>
      </c>
      <c r="O188" s="295">
        <f t="shared" si="18"/>
        <v>13345.914083692895</v>
      </c>
      <c r="P188" s="228"/>
      <c r="Q188" s="295">
        <f>Q171*(1+P188)</f>
        <v>0</v>
      </c>
      <c r="R188" s="228"/>
      <c r="S188" s="295">
        <f>S171*(1+R188)</f>
        <v>0</v>
      </c>
      <c r="T188" s="228"/>
      <c r="U188" s="295">
        <f>U171*(1+T188)</f>
        <v>0</v>
      </c>
      <c r="V188" s="228"/>
      <c r="W188" s="295">
        <f>W171*(1+V188)</f>
        <v>0</v>
      </c>
      <c r="X188" s="228"/>
      <c r="Y188" s="295">
        <f>Y171*(1+X188)</f>
        <v>0</v>
      </c>
      <c r="Z188" s="294"/>
      <c r="AA188" s="295">
        <f>AA171*(1+Z188)</f>
        <v>0</v>
      </c>
      <c r="AB188" s="294"/>
      <c r="AC188" s="295">
        <f>AC171*(1+AB188)</f>
        <v>0</v>
      </c>
    </row>
    <row r="189" spans="1:29">
      <c r="A189" s="293">
        <v>44835</v>
      </c>
      <c r="B189" s="294">
        <v>8.9999999999999998E-4</v>
      </c>
      <c r="C189" s="297"/>
      <c r="D189" s="294">
        <v>8.9999999999999998E-4</v>
      </c>
      <c r="E189" s="295">
        <f t="shared" si="26"/>
        <v>11536.390123681644</v>
      </c>
      <c r="F189" s="294">
        <v>8.9999999999999998E-4</v>
      </c>
      <c r="G189" s="295">
        <f t="shared" si="21"/>
        <v>11536.390123681644</v>
      </c>
      <c r="H189" s="294">
        <v>8.9999999999999998E-4</v>
      </c>
      <c r="I189" s="295">
        <f t="shared" si="22"/>
        <v>11536.390123681644</v>
      </c>
      <c r="J189" s="294">
        <v>8.9999999999999998E-4</v>
      </c>
      <c r="K189" s="295">
        <f t="shared" si="23"/>
        <v>12143.568551243838</v>
      </c>
      <c r="L189" s="294">
        <v>8.9999999999999998E-4</v>
      </c>
      <c r="M189" s="295">
        <f t="shared" si="24"/>
        <v>10929.211696119452</v>
      </c>
      <c r="N189" s="228">
        <v>8.9999999999999998E-4</v>
      </c>
      <c r="O189" s="295">
        <f t="shared" si="18"/>
        <v>13357.925406368216</v>
      </c>
      <c r="P189" s="228"/>
      <c r="Q189" s="295"/>
      <c r="R189" s="228"/>
      <c r="S189" s="295"/>
      <c r="T189" s="228"/>
      <c r="U189" s="295"/>
      <c r="V189" s="228"/>
      <c r="W189" s="295"/>
      <c r="X189" s="228"/>
      <c r="Y189" s="295"/>
      <c r="Z189" s="294"/>
      <c r="AA189" s="295"/>
      <c r="AB189" s="294"/>
      <c r="AC189" s="295"/>
    </row>
    <row r="190" spans="1:29">
      <c r="A190" s="293">
        <v>44866</v>
      </c>
      <c r="B190" s="294">
        <v>8.9999999999999998E-4</v>
      </c>
      <c r="C190" s="297"/>
      <c r="D190" s="294">
        <v>8.9999999999999998E-4</v>
      </c>
      <c r="E190" s="295">
        <f t="shared" si="26"/>
        <v>11546.772874792956</v>
      </c>
      <c r="F190" s="294">
        <v>8.9999999999999998E-4</v>
      </c>
      <c r="G190" s="295">
        <f t="shared" si="21"/>
        <v>11546.772874792956</v>
      </c>
      <c r="H190" s="294">
        <v>8.9999999999999998E-4</v>
      </c>
      <c r="I190" s="295">
        <f t="shared" si="22"/>
        <v>11546.772874792956</v>
      </c>
      <c r="J190" s="294">
        <v>8.9999999999999998E-4</v>
      </c>
      <c r="K190" s="295">
        <f t="shared" si="23"/>
        <v>12154.497762939956</v>
      </c>
      <c r="L190" s="294">
        <v>8.9999999999999998E-4</v>
      </c>
      <c r="M190" s="295">
        <f t="shared" si="24"/>
        <v>10939.047986645957</v>
      </c>
      <c r="N190" s="228">
        <v>8.9999999999999998E-4</v>
      </c>
      <c r="O190" s="295">
        <f t="shared" si="18"/>
        <v>13369.947539233946</v>
      </c>
      <c r="P190" s="228"/>
      <c r="Q190" s="295"/>
      <c r="R190" s="228"/>
      <c r="S190" s="295"/>
      <c r="T190" s="228"/>
      <c r="U190" s="295"/>
      <c r="V190" s="228"/>
      <c r="W190" s="295"/>
      <c r="X190" s="228"/>
      <c r="Y190" s="295"/>
      <c r="Z190" s="294"/>
      <c r="AA190" s="295"/>
      <c r="AB190" s="294"/>
      <c r="AC190" s="295"/>
    </row>
    <row r="191" spans="1:29">
      <c r="A191" s="293">
        <v>44896</v>
      </c>
      <c r="B191" s="294">
        <v>1.1999999999999999E-3</v>
      </c>
      <c r="C191" s="297"/>
      <c r="D191" s="294">
        <v>1.1999999999999999E-3</v>
      </c>
      <c r="E191" s="295">
        <f>E190*(1+D191)</f>
        <v>11560.629002242709</v>
      </c>
      <c r="F191" s="294">
        <v>1.1999999999999999E-3</v>
      </c>
      <c r="G191" s="295">
        <f>G190*(1+F191)</f>
        <v>11560.629002242709</v>
      </c>
      <c r="H191" s="294">
        <v>1.1999999999999999E-3</v>
      </c>
      <c r="I191" s="295">
        <f>I190*(1+H191)</f>
        <v>11560.629002242709</v>
      </c>
      <c r="J191" s="294">
        <v>1.1999999999999999E-3</v>
      </c>
      <c r="K191" s="295">
        <f>K190*(1+J191)</f>
        <v>12169.083160255486</v>
      </c>
      <c r="L191" s="294">
        <v>1.1999999999999999E-3</v>
      </c>
      <c r="M191" s="295">
        <f>M190*(1+L191)</f>
        <v>10952.174844229934</v>
      </c>
      <c r="N191" s="228">
        <v>1.1999999999999999E-3</v>
      </c>
      <c r="O191" s="295">
        <f>O190*(1+N191)</f>
        <v>13385.991476281028</v>
      </c>
      <c r="P191" s="228"/>
      <c r="Q191" s="295"/>
      <c r="R191" s="228"/>
      <c r="S191" s="295"/>
      <c r="T191" s="228"/>
      <c r="U191" s="295"/>
      <c r="V191" s="228"/>
      <c r="W191" s="295"/>
      <c r="X191" s="228"/>
      <c r="Y191" s="295"/>
      <c r="Z191" s="294"/>
      <c r="AA191" s="295"/>
      <c r="AB191" s="294"/>
      <c r="AC191" s="295"/>
    </row>
    <row r="192" spans="1:29">
      <c r="A192" s="293">
        <v>44927</v>
      </c>
      <c r="B192" s="294">
        <v>1.4999999999999999E-2</v>
      </c>
      <c r="C192" s="297"/>
      <c r="D192" s="294">
        <v>1.4999999999999999E-2</v>
      </c>
      <c r="E192" s="295">
        <f t="shared" si="26"/>
        <v>11734.038437276349</v>
      </c>
      <c r="F192" s="294">
        <v>1.4999999999999999E-2</v>
      </c>
      <c r="G192" s="295">
        <f t="shared" si="21"/>
        <v>11734.038437276349</v>
      </c>
      <c r="H192" s="294">
        <v>1.4999999999999999E-2</v>
      </c>
      <c r="I192" s="295">
        <f t="shared" si="22"/>
        <v>11734.038437276349</v>
      </c>
      <c r="J192" s="294">
        <v>1.4999999999999999E-2</v>
      </c>
      <c r="K192" s="295">
        <f t="shared" si="23"/>
        <v>12351.619407659316</v>
      </c>
      <c r="L192" s="294">
        <v>1.4999999999999999E-2</v>
      </c>
      <c r="M192" s="295">
        <f t="shared" si="24"/>
        <v>11116.457466893382</v>
      </c>
      <c r="N192" s="228">
        <v>1.4999999999999999E-2</v>
      </c>
      <c r="O192" s="295">
        <f t="shared" si="18"/>
        <v>13586.781348425242</v>
      </c>
      <c r="P192" s="228"/>
      <c r="Q192" s="295"/>
      <c r="R192" s="228"/>
      <c r="S192" s="295"/>
      <c r="T192" s="228"/>
      <c r="U192" s="295"/>
      <c r="V192" s="228"/>
      <c r="W192" s="295"/>
      <c r="X192" s="228"/>
      <c r="Y192" s="295"/>
      <c r="Z192" s="294"/>
      <c r="AA192" s="295"/>
      <c r="AB192" s="294"/>
      <c r="AC192" s="295"/>
    </row>
    <row r="193" spans="1:29">
      <c r="A193" s="293"/>
      <c r="B193" s="294"/>
      <c r="C193" s="297"/>
      <c r="D193" s="294">
        <v>-0.13</v>
      </c>
      <c r="E193" s="295">
        <f t="shared" si="26"/>
        <v>10208.613440430423</v>
      </c>
      <c r="F193" s="294">
        <v>-0.13</v>
      </c>
      <c r="G193" s="295">
        <f t="shared" si="21"/>
        <v>10208.613440430423</v>
      </c>
      <c r="H193" s="294"/>
      <c r="I193" s="295">
        <f t="shared" si="22"/>
        <v>11734.038437276349</v>
      </c>
      <c r="J193" s="294"/>
      <c r="K193" s="295">
        <f t="shared" si="23"/>
        <v>12351.619407659316</v>
      </c>
      <c r="L193" s="294"/>
      <c r="M193" s="295">
        <f t="shared" si="24"/>
        <v>11116.457466893382</v>
      </c>
      <c r="N193" s="228"/>
      <c r="O193" s="295">
        <f t="shared" si="18"/>
        <v>13586.781348425242</v>
      </c>
      <c r="P193" s="228"/>
      <c r="Q193" s="295"/>
      <c r="R193" s="228"/>
      <c r="S193" s="295"/>
      <c r="T193" s="228"/>
      <c r="U193" s="295"/>
      <c r="V193" s="228"/>
      <c r="W193" s="295"/>
      <c r="X193" s="228"/>
      <c r="Y193" s="295"/>
      <c r="Z193" s="294"/>
      <c r="AA193" s="295"/>
      <c r="AB193" s="294"/>
      <c r="AC193" s="295"/>
    </row>
    <row r="194" spans="1:29">
      <c r="A194" s="293">
        <v>44958</v>
      </c>
      <c r="B194" s="294">
        <v>5.0000000000000001E-3</v>
      </c>
      <c r="C194" s="297"/>
      <c r="D194" s="294">
        <v>5.0000000000000001E-3</v>
      </c>
      <c r="E194" s="295">
        <f t="shared" si="26"/>
        <v>10259.656507632573</v>
      </c>
      <c r="F194" s="294">
        <v>5.0000000000000001E-3</v>
      </c>
      <c r="G194" s="295">
        <f t="shared" si="21"/>
        <v>10259.656507632573</v>
      </c>
      <c r="H194" s="294">
        <v>5.0000000000000001E-3</v>
      </c>
      <c r="I194" s="295">
        <f t="shared" si="22"/>
        <v>11792.70862946273</v>
      </c>
      <c r="J194" s="294">
        <v>5.0000000000000001E-3</v>
      </c>
      <c r="K194" s="295">
        <f t="shared" si="23"/>
        <v>12413.377504697612</v>
      </c>
      <c r="L194" s="294">
        <v>5.0000000000000001E-3</v>
      </c>
      <c r="M194" s="295">
        <f t="shared" si="24"/>
        <v>11172.039754227848</v>
      </c>
      <c r="N194" s="228">
        <v>5.0000000000000001E-3</v>
      </c>
      <c r="O194" s="295">
        <f t="shared" si="18"/>
        <v>13654.715255167366</v>
      </c>
      <c r="P194" s="228">
        <v>5.0000000000000001E-3</v>
      </c>
      <c r="Q194" s="295"/>
      <c r="R194" s="228"/>
      <c r="S194" s="295"/>
      <c r="T194" s="228"/>
      <c r="U194" s="295"/>
      <c r="V194" s="228"/>
      <c r="W194" s="295"/>
      <c r="X194" s="228"/>
      <c r="Y194" s="295"/>
      <c r="Z194" s="294"/>
      <c r="AA194" s="295"/>
      <c r="AB194" s="294"/>
      <c r="AC194" s="295"/>
    </row>
    <row r="195" spans="1:29">
      <c r="A195" s="293">
        <v>44986</v>
      </c>
      <c r="B195" s="294"/>
      <c r="C195" s="297"/>
      <c r="D195" s="294">
        <v>0.01</v>
      </c>
      <c r="E195" s="295">
        <f t="shared" si="26"/>
        <v>10362.2530727089</v>
      </c>
      <c r="F195" s="294">
        <v>0.01</v>
      </c>
      <c r="G195" s="295">
        <f t="shared" si="21"/>
        <v>10362.2530727089</v>
      </c>
      <c r="H195" s="294">
        <v>0.01</v>
      </c>
      <c r="I195" s="295">
        <f t="shared" si="22"/>
        <v>11910.635715757357</v>
      </c>
      <c r="J195" s="294">
        <v>0.01</v>
      </c>
      <c r="K195" s="295">
        <f t="shared" si="23"/>
        <v>12537.511279744587</v>
      </c>
      <c r="L195" s="294">
        <v>0.01</v>
      </c>
      <c r="M195" s="295">
        <f t="shared" si="24"/>
        <v>11283.760151770126</v>
      </c>
      <c r="N195" s="228">
        <v>0.01</v>
      </c>
      <c r="O195" s="295">
        <f t="shared" si="18"/>
        <v>13791.262407719039</v>
      </c>
      <c r="P195" s="228">
        <v>0.01</v>
      </c>
      <c r="Q195" s="295"/>
      <c r="R195" s="228"/>
      <c r="S195" s="295"/>
      <c r="T195" s="228"/>
      <c r="U195" s="295"/>
      <c r="V195" s="228"/>
      <c r="W195" s="295"/>
      <c r="X195" s="228"/>
      <c r="Y195" s="295"/>
      <c r="Z195" s="294"/>
      <c r="AA195" s="295"/>
      <c r="AB195" s="294"/>
      <c r="AC195" s="295"/>
    </row>
    <row r="196" spans="1:29">
      <c r="A196" s="293">
        <v>45017</v>
      </c>
      <c r="B196" s="294"/>
      <c r="C196" s="297"/>
      <c r="D196" s="294">
        <v>0.01</v>
      </c>
      <c r="E196" s="295">
        <f t="shared" si="26"/>
        <v>10465.875603435989</v>
      </c>
      <c r="F196" s="294">
        <v>0.01</v>
      </c>
      <c r="G196" s="295">
        <f t="shared" si="21"/>
        <v>10465.875603435989</v>
      </c>
      <c r="H196" s="294">
        <v>0.01</v>
      </c>
      <c r="I196" s="295">
        <f t="shared" si="22"/>
        <v>12029.742072914931</v>
      </c>
      <c r="J196" s="294">
        <v>0.01</v>
      </c>
      <c r="K196" s="295">
        <f t="shared" si="23"/>
        <v>12662.886392542034</v>
      </c>
      <c r="L196" s="294">
        <v>0.01</v>
      </c>
      <c r="M196" s="295">
        <f t="shared" si="24"/>
        <v>11396.597753287828</v>
      </c>
      <c r="N196" s="228">
        <v>0.01</v>
      </c>
      <c r="O196" s="295">
        <f t="shared" si="18"/>
        <v>13929.175031796231</v>
      </c>
      <c r="P196" s="228">
        <v>0.01</v>
      </c>
      <c r="Q196" s="295"/>
      <c r="R196" s="228">
        <v>0.01</v>
      </c>
      <c r="S196" s="295"/>
      <c r="T196" s="228"/>
      <c r="U196" s="295"/>
      <c r="V196" s="228"/>
      <c r="W196" s="295"/>
      <c r="X196" s="228"/>
      <c r="Y196" s="295"/>
      <c r="Z196" s="294"/>
      <c r="AA196" s="295"/>
      <c r="AB196" s="294"/>
      <c r="AC196" s="295"/>
    </row>
    <row r="197" spans="1:29">
      <c r="A197" s="293">
        <v>45047</v>
      </c>
      <c r="B197" s="294"/>
      <c r="C197" s="297"/>
      <c r="D197" s="294">
        <v>0.01</v>
      </c>
      <c r="E197" s="295">
        <f t="shared" si="26"/>
        <v>10570.534359470348</v>
      </c>
      <c r="F197" s="294">
        <v>0.01</v>
      </c>
      <c r="G197" s="295">
        <f t="shared" si="21"/>
        <v>10570.534359470348</v>
      </c>
      <c r="H197" s="294">
        <v>0.01</v>
      </c>
      <c r="I197" s="295">
        <f t="shared" si="22"/>
        <v>12150.039493644081</v>
      </c>
      <c r="J197" s="294">
        <v>0.01</v>
      </c>
      <c r="K197" s="295">
        <f t="shared" si="23"/>
        <v>12789.515256467454</v>
      </c>
      <c r="L197" s="294">
        <v>0.01</v>
      </c>
      <c r="M197" s="295">
        <f t="shared" si="24"/>
        <v>11510.563730820706</v>
      </c>
      <c r="N197" s="228">
        <v>0.01</v>
      </c>
      <c r="O197" s="295">
        <f t="shared" si="18"/>
        <v>14068.466782114194</v>
      </c>
      <c r="P197" s="228"/>
      <c r="Q197" s="295"/>
      <c r="R197" s="228"/>
      <c r="S197" s="295"/>
      <c r="T197" s="228"/>
      <c r="U197" s="295"/>
      <c r="V197" s="228"/>
      <c r="W197" s="295"/>
      <c r="X197" s="228"/>
      <c r="Y197" s="295"/>
      <c r="Z197" s="294"/>
      <c r="AA197" s="295"/>
      <c r="AB197" s="294"/>
      <c r="AC197" s="295"/>
    </row>
    <row r="198" spans="1:29">
      <c r="A198" s="293">
        <v>45078</v>
      </c>
      <c r="B198" s="294"/>
      <c r="C198" s="297"/>
      <c r="D198" s="294">
        <v>5.8999999999999999E-3</v>
      </c>
      <c r="E198" s="295">
        <f t="shared" si="26"/>
        <v>10632.900512191223</v>
      </c>
      <c r="F198" s="294">
        <v>5.8999999999999999E-3</v>
      </c>
      <c r="G198" s="295">
        <f t="shared" si="21"/>
        <v>10632.900512191223</v>
      </c>
      <c r="H198" s="294">
        <v>5.8999999999999999E-3</v>
      </c>
      <c r="I198" s="295">
        <f t="shared" si="22"/>
        <v>12221.724726656581</v>
      </c>
      <c r="J198" s="294">
        <v>5.8999999999999999E-3</v>
      </c>
      <c r="K198" s="295">
        <f t="shared" si="23"/>
        <v>12864.973396480611</v>
      </c>
      <c r="L198" s="294">
        <v>5.8999999999999999E-3</v>
      </c>
      <c r="M198" s="295">
        <f t="shared" si="24"/>
        <v>11578.476056832549</v>
      </c>
      <c r="N198" s="228">
        <v>5.8999999999999999E-3</v>
      </c>
      <c r="O198" s="295">
        <f t="shared" si="18"/>
        <v>14151.470736128667</v>
      </c>
      <c r="P198" s="228">
        <v>5.8999999999999999E-3</v>
      </c>
      <c r="Q198" s="295"/>
      <c r="R198" s="228"/>
      <c r="S198" s="295"/>
      <c r="T198" s="228"/>
      <c r="U198" s="295"/>
      <c r="V198" s="228"/>
      <c r="W198" s="295"/>
      <c r="X198" s="228"/>
      <c r="Y198" s="295"/>
      <c r="Z198" s="294"/>
      <c r="AA198" s="295"/>
      <c r="AB198" s="294"/>
      <c r="AC198" s="295"/>
    </row>
    <row r="199" spans="1:29">
      <c r="A199" s="293"/>
      <c r="B199" s="294"/>
      <c r="C199" s="297"/>
      <c r="D199" s="294">
        <v>5.0000000000000001E-3</v>
      </c>
      <c r="E199" s="295">
        <f t="shared" si="26"/>
        <v>10686.065014752177</v>
      </c>
      <c r="F199" s="294">
        <v>5.0000000000000001E-3</v>
      </c>
      <c r="G199" s="295">
        <f t="shared" si="21"/>
        <v>10686.065014752177</v>
      </c>
      <c r="H199" s="294">
        <v>5.0000000000000001E-3</v>
      </c>
      <c r="I199" s="295">
        <f t="shared" si="22"/>
        <v>12282.833350289862</v>
      </c>
      <c r="J199" s="294">
        <v>5.0000000000000001E-3</v>
      </c>
      <c r="K199" s="295">
        <f t="shared" si="23"/>
        <v>12929.298263463013</v>
      </c>
      <c r="L199" s="294">
        <v>5.0000000000000001E-3</v>
      </c>
      <c r="M199" s="295">
        <f t="shared" si="24"/>
        <v>11636.368437116711</v>
      </c>
      <c r="N199" s="228">
        <v>5.0000000000000001E-3</v>
      </c>
      <c r="O199" s="295">
        <f t="shared" si="18"/>
        <v>14222.228089809309</v>
      </c>
      <c r="P199" s="228">
        <v>5.0000000000000001E-3</v>
      </c>
      <c r="Q199" s="295"/>
      <c r="R199" s="228"/>
      <c r="S199" s="295"/>
      <c r="T199" s="228"/>
      <c r="U199" s="295"/>
      <c r="V199" s="228"/>
      <c r="W199" s="295"/>
      <c r="X199" s="228"/>
      <c r="Y199" s="295"/>
      <c r="Z199" s="294"/>
      <c r="AA199" s="295"/>
      <c r="AB199" s="294"/>
      <c r="AC199" s="295"/>
    </row>
    <row r="200" spans="1:29">
      <c r="A200" s="293"/>
      <c r="B200" s="294"/>
      <c r="C200" s="297"/>
      <c r="D200" s="294"/>
      <c r="E200" s="295">
        <f t="shared" si="26"/>
        <v>10686.065014752177</v>
      </c>
      <c r="F200" s="294"/>
      <c r="G200" s="295">
        <f t="shared" si="21"/>
        <v>10686.065014752177</v>
      </c>
      <c r="H200" s="294"/>
      <c r="I200" s="295">
        <f t="shared" si="22"/>
        <v>12282.833350289862</v>
      </c>
      <c r="J200" s="294"/>
      <c r="K200" s="295">
        <f t="shared" si="23"/>
        <v>12929.298263463013</v>
      </c>
      <c r="L200" s="294"/>
      <c r="M200" s="295">
        <f t="shared" si="24"/>
        <v>11636.368437116711</v>
      </c>
      <c r="N200" s="228"/>
      <c r="O200" s="295">
        <f t="shared" si="18"/>
        <v>14222.228089809309</v>
      </c>
      <c r="P200" s="228"/>
      <c r="Q200" s="295"/>
      <c r="R200" s="228"/>
      <c r="S200" s="295"/>
      <c r="T200" s="228"/>
      <c r="U200" s="295"/>
      <c r="V200" s="228"/>
      <c r="W200" s="295"/>
      <c r="X200" s="228"/>
      <c r="Y200" s="295"/>
      <c r="Z200" s="294"/>
      <c r="AA200" s="295"/>
      <c r="AB200" s="294"/>
      <c r="AC200" s="295"/>
    </row>
    <row r="201" spans="1:29">
      <c r="A201" s="298" t="s">
        <v>106</v>
      </c>
      <c r="B201" s="299">
        <v>8.6E-3</v>
      </c>
      <c r="C201" s="297">
        <f>C187+(B201*C187)</f>
        <v>1.2012523927716374</v>
      </c>
      <c r="D201" s="294">
        <v>8.6E-3</v>
      </c>
      <c r="E201" s="295">
        <f t="shared" si="26"/>
        <v>10777.965173879045</v>
      </c>
      <c r="F201" s="294">
        <v>8.6E-3</v>
      </c>
      <c r="G201" s="295">
        <f t="shared" si="21"/>
        <v>10777.965173879045</v>
      </c>
      <c r="H201" s="294">
        <v>8.6E-3</v>
      </c>
      <c r="I201" s="295">
        <f t="shared" si="22"/>
        <v>12388.465717102354</v>
      </c>
      <c r="J201" s="294">
        <v>8.6E-3</v>
      </c>
      <c r="K201" s="295">
        <f t="shared" si="23"/>
        <v>13040.490228528795</v>
      </c>
      <c r="L201" s="294">
        <v>8.6E-3</v>
      </c>
      <c r="M201" s="295">
        <f t="shared" si="24"/>
        <v>11736.441205675914</v>
      </c>
      <c r="N201" s="228">
        <v>8.6E-3</v>
      </c>
      <c r="O201" s="295">
        <f t="shared" si="18"/>
        <v>14344.539251381668</v>
      </c>
      <c r="P201" s="228"/>
      <c r="Q201" s="295">
        <f>Q179*(1+P201)</f>
        <v>0</v>
      </c>
      <c r="R201" s="228"/>
      <c r="S201" s="295">
        <f>S179*(1+R201)</f>
        <v>0</v>
      </c>
      <c r="T201" s="228"/>
      <c r="U201" s="295">
        <f>U179*(1+T201)</f>
        <v>0</v>
      </c>
      <c r="V201" s="228"/>
      <c r="W201" s="295">
        <f>W179*(1+V201)</f>
        <v>0</v>
      </c>
      <c r="X201" s="228"/>
      <c r="Y201" s="295">
        <f>Y179*(1+X201)</f>
        <v>0</v>
      </c>
      <c r="Z201" s="294"/>
      <c r="AA201" s="295">
        <f>AA179*(1+Z201)</f>
        <v>0</v>
      </c>
      <c r="AB201" s="294"/>
      <c r="AC201" s="295">
        <f>AC179*(1+AB201)</f>
        <v>0</v>
      </c>
    </row>
    <row r="202" spans="1:29">
      <c r="A202" s="300" t="s">
        <v>13</v>
      </c>
      <c r="B202" s="301"/>
      <c r="C202" s="297">
        <f t="shared" si="17"/>
        <v>1.2012523927716374</v>
      </c>
      <c r="D202" s="302">
        <f>SUM(D170:D201)</f>
        <v>0.12740000000000007</v>
      </c>
      <c r="E202" s="302"/>
      <c r="F202" s="302">
        <f>SUM(F170:F201)</f>
        <v>0.12740000000000007</v>
      </c>
      <c r="G202" s="302"/>
      <c r="H202" s="302">
        <f>SUM(H170:H201)</f>
        <v>0.25740000000000013</v>
      </c>
      <c r="I202" s="302"/>
      <c r="J202" s="302">
        <f>SUM(J170:J201)</f>
        <v>0.25740000000000013</v>
      </c>
      <c r="K202" s="302"/>
      <c r="L202" s="302">
        <f>SUM(L170:L201)</f>
        <v>0.25740000000000013</v>
      </c>
      <c r="M202" s="302"/>
      <c r="N202" s="302">
        <f>SUM(N170:N201)</f>
        <v>0.25740000000000013</v>
      </c>
      <c r="O202" s="302"/>
      <c r="P202" s="302">
        <f>SUM(P170:P201)</f>
        <v>3.5900000000000001E-2</v>
      </c>
      <c r="Q202" s="302"/>
      <c r="R202" s="302">
        <f>SUM(R170:R201)</f>
        <v>0.01</v>
      </c>
      <c r="S202" s="302"/>
      <c r="T202" s="302">
        <f>SUM(T170:T201)</f>
        <v>0</v>
      </c>
      <c r="U202" s="302"/>
      <c r="V202" s="302">
        <f>SUM(V170:V201)</f>
        <v>0</v>
      </c>
      <c r="W202" s="302"/>
      <c r="X202" s="302">
        <f>SUM(X170:X201)</f>
        <v>0</v>
      </c>
      <c r="Y202" s="302"/>
      <c r="Z202" s="302">
        <f>SUM(Z170:Z201)</f>
        <v>0</v>
      </c>
      <c r="AA202" s="302"/>
      <c r="AB202" s="302">
        <f>SUM(AB170:AB201)</f>
        <v>0</v>
      </c>
      <c r="AC202" s="302"/>
    </row>
    <row r="203" spans="1:29">
      <c r="Z203" s="270"/>
      <c r="AA203" s="270"/>
      <c r="AB203" s="271"/>
    </row>
    <row r="204" spans="1:29" ht="15.95">
      <c r="A204" t="s">
        <v>107</v>
      </c>
      <c r="M204" s="303"/>
      <c r="Z204" s="270"/>
      <c r="AA204" s="270"/>
      <c r="AB204" s="271"/>
    </row>
    <row r="205" spans="1:29">
      <c r="M205" s="262"/>
      <c r="N205" s="262"/>
      <c r="Z205" s="270"/>
      <c r="AA205" s="270"/>
      <c r="AB205" s="271"/>
    </row>
    <row r="206" spans="1:29">
      <c r="Z206" s="270"/>
      <c r="AA206" s="270"/>
      <c r="AB206" s="271"/>
    </row>
    <row r="207" spans="1:29">
      <c r="N207" s="264"/>
      <c r="Z207" s="270"/>
      <c r="AA207" s="270"/>
      <c r="AB207" s="271"/>
    </row>
    <row r="208" spans="1:29">
      <c r="Z208" s="270"/>
      <c r="AA208" s="270"/>
      <c r="AB208" s="271"/>
    </row>
    <row r="209" spans="26:28">
      <c r="Z209" s="270"/>
      <c r="AA209" s="270"/>
      <c r="AB209" s="271"/>
    </row>
    <row r="210" spans="26:28">
      <c r="Z210" s="270"/>
      <c r="AA210" s="270"/>
      <c r="AB210" s="271"/>
    </row>
    <row r="211" spans="26:28">
      <c r="Z211" s="270"/>
      <c r="AA211" s="270"/>
      <c r="AB211" s="271"/>
    </row>
    <row r="212" spans="26:28">
      <c r="Z212" s="270"/>
      <c r="AA212" s="270"/>
      <c r="AB212" s="271"/>
    </row>
    <row r="213" spans="26:28">
      <c r="Z213" s="270"/>
      <c r="AA213" s="270"/>
      <c r="AB213" s="271"/>
    </row>
    <row r="214" spans="26:28">
      <c r="Z214" s="270"/>
      <c r="AA214" s="270"/>
      <c r="AB214" s="271"/>
    </row>
    <row r="215" spans="26:28">
      <c r="Z215" s="270"/>
      <c r="AA215" s="270"/>
      <c r="AB215" s="271"/>
    </row>
    <row r="216" spans="26:28">
      <c r="Z216" s="270"/>
      <c r="AA216" s="270"/>
      <c r="AB216" s="271"/>
    </row>
    <row r="217" spans="26:28">
      <c r="Z217" s="270"/>
      <c r="AA217" s="270"/>
      <c r="AB217" s="271"/>
    </row>
    <row r="218" spans="26:28">
      <c r="Z218" s="270"/>
      <c r="AA218" s="270"/>
      <c r="AB218" s="271"/>
    </row>
    <row r="219" spans="26:28">
      <c r="Z219" s="270"/>
      <c r="AA219" s="270"/>
      <c r="AB219" s="271"/>
    </row>
    <row r="220" spans="26:28">
      <c r="Z220" s="270"/>
      <c r="AA220" s="270"/>
      <c r="AB220" s="271"/>
    </row>
    <row r="221" spans="26:28">
      <c r="Z221" s="270"/>
      <c r="AA221" s="270"/>
      <c r="AB221" s="271"/>
    </row>
    <row r="222" spans="26:28">
      <c r="Z222" s="270"/>
      <c r="AA222" s="270"/>
      <c r="AB222" s="271"/>
    </row>
    <row r="223" spans="26:28">
      <c r="Z223" s="270"/>
      <c r="AA223" s="270"/>
      <c r="AB223" s="271"/>
    </row>
    <row r="224" spans="26:28">
      <c r="Z224" s="270"/>
      <c r="AA224" s="270"/>
      <c r="AB224" s="271"/>
    </row>
    <row r="225" spans="26:28">
      <c r="Z225" s="270"/>
      <c r="AA225" s="270"/>
      <c r="AB225" s="271"/>
    </row>
    <row r="226" spans="26:28">
      <c r="Z226" s="270"/>
      <c r="AA226" s="270"/>
      <c r="AB226" s="271"/>
    </row>
    <row r="227" spans="26:28">
      <c r="Z227" s="270"/>
      <c r="AA227" s="270"/>
      <c r="AB227" s="271"/>
    </row>
    <row r="228" spans="26:28">
      <c r="Z228" s="270"/>
      <c r="AA228" s="270"/>
      <c r="AB228" s="271"/>
    </row>
    <row r="229" spans="26:28">
      <c r="Z229" s="270"/>
      <c r="AA229" s="270"/>
      <c r="AB229" s="271"/>
    </row>
    <row r="230" spans="26:28">
      <c r="Z230" s="270"/>
      <c r="AA230" s="270"/>
      <c r="AB230" s="271"/>
    </row>
    <row r="231" spans="26:28">
      <c r="Z231" s="270"/>
      <c r="AA231" s="270"/>
      <c r="AB231" s="271"/>
    </row>
    <row r="232" spans="26:28">
      <c r="Z232" s="270"/>
      <c r="AA232" s="270"/>
      <c r="AB232" s="271"/>
    </row>
    <row r="233" spans="26:28">
      <c r="Z233" s="270"/>
      <c r="AA233" s="270"/>
      <c r="AB233" s="271"/>
    </row>
    <row r="234" spans="26:28">
      <c r="Z234" s="270"/>
      <c r="AA234" s="270"/>
      <c r="AB234" s="271"/>
    </row>
    <row r="235" spans="26:28">
      <c r="Z235" s="270"/>
      <c r="AA235" s="270"/>
      <c r="AB235" s="271"/>
    </row>
    <row r="236" spans="26:28">
      <c r="Z236" s="270"/>
      <c r="AA236" s="270"/>
      <c r="AB236" s="271"/>
    </row>
    <row r="237" spans="26:28">
      <c r="Z237" s="270"/>
      <c r="AA237" s="270"/>
      <c r="AB237" s="271"/>
    </row>
    <row r="238" spans="26:28">
      <c r="Z238" s="270"/>
      <c r="AA238" s="270"/>
      <c r="AB238" s="271"/>
    </row>
    <row r="239" spans="26:28">
      <c r="Z239" s="270"/>
      <c r="AA239" s="270"/>
      <c r="AB239" s="271"/>
    </row>
    <row r="240" spans="26:28">
      <c r="Z240" s="270"/>
      <c r="AA240" s="270"/>
      <c r="AB240" s="271"/>
    </row>
    <row r="241" spans="26:28">
      <c r="Z241" s="270"/>
      <c r="AA241" s="270"/>
      <c r="AB241" s="271"/>
    </row>
    <row r="242" spans="26:28">
      <c r="Z242" s="270"/>
      <c r="AA242" s="270"/>
      <c r="AB242" s="271"/>
    </row>
    <row r="243" spans="26:28">
      <c r="Z243" s="270"/>
      <c r="AA243" s="270"/>
      <c r="AB243" s="271"/>
    </row>
    <row r="244" spans="26:28">
      <c r="Z244" s="270"/>
      <c r="AA244" s="270"/>
      <c r="AB244" s="271"/>
    </row>
    <row r="245" spans="26:28">
      <c r="Z245" s="270"/>
      <c r="AA245" s="270"/>
      <c r="AB245" s="271"/>
    </row>
    <row r="246" spans="26:28">
      <c r="Z246" s="270"/>
      <c r="AA246" s="270"/>
      <c r="AB246" s="271"/>
    </row>
    <row r="247" spans="26:28">
      <c r="Z247" s="270"/>
      <c r="AA247" s="270"/>
      <c r="AB247" s="271"/>
    </row>
    <row r="248" spans="26:28">
      <c r="Z248" s="270"/>
      <c r="AA248" s="270"/>
      <c r="AB248" s="271"/>
    </row>
    <row r="249" spans="26:28">
      <c r="Z249" s="270"/>
      <c r="AA249" s="270"/>
      <c r="AB249" s="271"/>
    </row>
    <row r="250" spans="26:28">
      <c r="Z250" s="270"/>
      <c r="AA250" s="270"/>
      <c r="AB250" s="271"/>
    </row>
    <row r="251" spans="26:28">
      <c r="Z251" s="270"/>
      <c r="AA251" s="270"/>
      <c r="AB251" s="271"/>
    </row>
    <row r="252" spans="26:28">
      <c r="Z252" s="270"/>
      <c r="AA252" s="270"/>
      <c r="AB252" s="271"/>
    </row>
    <row r="253" spans="26:28">
      <c r="Z253" s="270"/>
      <c r="AA253" s="270"/>
      <c r="AB253" s="271"/>
    </row>
    <row r="254" spans="26:28">
      <c r="Z254" s="270"/>
      <c r="AA254" s="270"/>
      <c r="AB254" s="271"/>
    </row>
    <row r="255" spans="26:28">
      <c r="Z255" s="270"/>
      <c r="AA255" s="270"/>
      <c r="AB255" s="271"/>
    </row>
    <row r="256" spans="26:28">
      <c r="Z256" s="270"/>
      <c r="AA256" s="270"/>
      <c r="AB256" s="271"/>
    </row>
    <row r="257" spans="26:28">
      <c r="Z257" s="270"/>
      <c r="AA257" s="270"/>
      <c r="AB257" s="271"/>
    </row>
    <row r="258" spans="26:28">
      <c r="Z258" s="270"/>
      <c r="AA258" s="270"/>
      <c r="AB258" s="271"/>
    </row>
    <row r="259" spans="26:28">
      <c r="Z259" s="270"/>
      <c r="AA259" s="270"/>
      <c r="AB259" s="271"/>
    </row>
    <row r="260" spans="26:28">
      <c r="Z260" s="270"/>
      <c r="AA260" s="270"/>
      <c r="AB260" s="271"/>
    </row>
    <row r="261" spans="26:28">
      <c r="Z261" s="270"/>
      <c r="AA261" s="270"/>
      <c r="AB261" s="271"/>
    </row>
    <row r="262" spans="26:28">
      <c r="Z262" s="270"/>
      <c r="AA262" s="270"/>
      <c r="AB262" s="271"/>
    </row>
    <row r="263" spans="26:28">
      <c r="Z263" s="270"/>
      <c r="AA263" s="270"/>
      <c r="AB263" s="271"/>
    </row>
    <row r="264" spans="26:28">
      <c r="Z264" s="270"/>
      <c r="AA264" s="270"/>
      <c r="AB264" s="271"/>
    </row>
    <row r="265" spans="26:28">
      <c r="Z265" s="270"/>
      <c r="AA265" s="270"/>
      <c r="AB265" s="271"/>
    </row>
    <row r="266" spans="26:28">
      <c r="Z266" s="270"/>
      <c r="AA266" s="270"/>
      <c r="AB266" s="271"/>
    </row>
    <row r="267" spans="26:28">
      <c r="Z267" s="270"/>
      <c r="AA267" s="270"/>
      <c r="AB267" s="271"/>
    </row>
    <row r="268" spans="26:28">
      <c r="Z268" s="270"/>
      <c r="AA268" s="270"/>
      <c r="AB268" s="271"/>
    </row>
    <row r="269" spans="26:28">
      <c r="Z269" s="270"/>
      <c r="AA269" s="270"/>
      <c r="AB269" s="271"/>
    </row>
    <row r="270" spans="26:28">
      <c r="Z270" s="270"/>
      <c r="AA270" s="270"/>
      <c r="AB270" s="271"/>
    </row>
    <row r="271" spans="26:28">
      <c r="Z271" s="270"/>
      <c r="AA271" s="270"/>
      <c r="AB271" s="271"/>
    </row>
    <row r="272" spans="26:28">
      <c r="Z272" s="270"/>
      <c r="AA272" s="270"/>
      <c r="AB272" s="271"/>
    </row>
    <row r="273" spans="26:28">
      <c r="Z273" s="270"/>
      <c r="AA273" s="270"/>
      <c r="AB273" s="271"/>
    </row>
    <row r="274" spans="26:28">
      <c r="Z274" s="270"/>
      <c r="AA274" s="270"/>
      <c r="AB274" s="271"/>
    </row>
    <row r="275" spans="26:28">
      <c r="Z275" s="270"/>
      <c r="AA275" s="270"/>
      <c r="AB275" s="271"/>
    </row>
    <row r="276" spans="26:28">
      <c r="Z276" s="270"/>
      <c r="AA276" s="270"/>
      <c r="AB276" s="271"/>
    </row>
    <row r="277" spans="26:28">
      <c r="Z277" s="270"/>
      <c r="AA277" s="270"/>
      <c r="AB277" s="271"/>
    </row>
    <row r="278" spans="26:28">
      <c r="Z278" s="270"/>
      <c r="AA278" s="270"/>
      <c r="AB278" s="271"/>
    </row>
    <row r="279" spans="26:28">
      <c r="Z279" s="270"/>
      <c r="AA279" s="270"/>
      <c r="AB279" s="271"/>
    </row>
    <row r="280" spans="26:28">
      <c r="Z280" s="270"/>
      <c r="AA280" s="270"/>
      <c r="AB280" s="271"/>
    </row>
    <row r="281" spans="26:28">
      <c r="Z281" s="270"/>
      <c r="AA281" s="270"/>
      <c r="AB281" s="271"/>
    </row>
    <row r="282" spans="26:28">
      <c r="Z282" s="270"/>
      <c r="AA282" s="270"/>
      <c r="AB282" s="271"/>
    </row>
    <row r="283" spans="26:28">
      <c r="Z283" s="270"/>
      <c r="AA283" s="270"/>
      <c r="AB283" s="271"/>
    </row>
    <row r="284" spans="26:28">
      <c r="Z284" s="270"/>
      <c r="AA284" s="270"/>
      <c r="AB284" s="271"/>
    </row>
    <row r="285" spans="26:28">
      <c r="Z285" s="270"/>
      <c r="AA285" s="270"/>
      <c r="AB285" s="271"/>
    </row>
    <row r="286" spans="26:28">
      <c r="Z286" s="270"/>
      <c r="AA286" s="270"/>
      <c r="AB286" s="271"/>
    </row>
    <row r="287" spans="26:28">
      <c r="Z287" s="270"/>
      <c r="AA287" s="270"/>
      <c r="AB287" s="271"/>
    </row>
    <row r="288" spans="26:28">
      <c r="Z288" s="270"/>
      <c r="AA288" s="270"/>
      <c r="AB288" s="271"/>
    </row>
    <row r="289" spans="26:28">
      <c r="Z289" s="270"/>
      <c r="AA289" s="270"/>
      <c r="AB289" s="271"/>
    </row>
    <row r="290" spans="26:28">
      <c r="Z290" s="270"/>
      <c r="AA290" s="270"/>
      <c r="AB290" s="271"/>
    </row>
    <row r="291" spans="26:28">
      <c r="Z291" s="270"/>
      <c r="AA291" s="270"/>
      <c r="AB291" s="271"/>
    </row>
    <row r="292" spans="26:28">
      <c r="Z292" s="270"/>
      <c r="AA292" s="270"/>
      <c r="AB292" s="271"/>
    </row>
    <row r="293" spans="26:28">
      <c r="Z293" s="270"/>
      <c r="AA293" s="270"/>
      <c r="AB293" s="271"/>
    </row>
    <row r="294" spans="26:28">
      <c r="Z294" s="270"/>
      <c r="AA294" s="270"/>
      <c r="AB294" s="271"/>
    </row>
    <row r="295" spans="26:28">
      <c r="Z295" s="270"/>
      <c r="AA295" s="270"/>
      <c r="AB295" s="271"/>
    </row>
    <row r="296" spans="26:28">
      <c r="Z296" s="270"/>
      <c r="AA296" s="270"/>
      <c r="AB296" s="271"/>
    </row>
    <row r="297" spans="26:28">
      <c r="Z297" s="270"/>
      <c r="AA297" s="270"/>
      <c r="AB297" s="271"/>
    </row>
    <row r="298" spans="26:28">
      <c r="Z298" s="270"/>
      <c r="AA298" s="270"/>
      <c r="AB298" s="271"/>
    </row>
    <row r="299" spans="26:28">
      <c r="Z299" s="270"/>
      <c r="AA299" s="270"/>
      <c r="AB299" s="271"/>
    </row>
    <row r="300" spans="26:28">
      <c r="Z300" s="270"/>
      <c r="AA300" s="270"/>
      <c r="AB300" s="271"/>
    </row>
    <row r="301" spans="26:28">
      <c r="Z301" s="270"/>
      <c r="AA301" s="270"/>
      <c r="AB301" s="271"/>
    </row>
    <row r="302" spans="26:28">
      <c r="Z302" s="270"/>
      <c r="AA302" s="270"/>
      <c r="AB302" s="271"/>
    </row>
    <row r="303" spans="26:28">
      <c r="Z303" s="270"/>
      <c r="AA303" s="270"/>
      <c r="AB303" s="271"/>
    </row>
    <row r="304" spans="26:28">
      <c r="Z304" s="270"/>
      <c r="AA304" s="270"/>
      <c r="AB304" s="271"/>
    </row>
    <row r="305" spans="26:28">
      <c r="Z305" s="270"/>
      <c r="AA305" s="270"/>
      <c r="AB305" s="271"/>
    </row>
    <row r="306" spans="26:28">
      <c r="Z306" s="270"/>
      <c r="AA306" s="270"/>
      <c r="AB306" s="271"/>
    </row>
    <row r="307" spans="26:28">
      <c r="Z307" s="270"/>
      <c r="AA307" s="270"/>
      <c r="AB307" s="271"/>
    </row>
    <row r="308" spans="26:28">
      <c r="Z308" s="270"/>
      <c r="AA308" s="270"/>
      <c r="AB308" s="271"/>
    </row>
    <row r="309" spans="26:28">
      <c r="Z309" s="270"/>
      <c r="AA309" s="270"/>
      <c r="AB309" s="271"/>
    </row>
    <row r="310" spans="26:28">
      <c r="Z310" s="270"/>
      <c r="AA310" s="270"/>
      <c r="AB310" s="271"/>
    </row>
    <row r="311" spans="26:28">
      <c r="Z311" s="270"/>
      <c r="AA311" s="270"/>
      <c r="AB311" s="271"/>
    </row>
    <row r="312" spans="26:28">
      <c r="Z312" s="270"/>
      <c r="AA312" s="270"/>
      <c r="AB312" s="271"/>
    </row>
    <row r="313" spans="26:28">
      <c r="Z313" s="270"/>
      <c r="AA313" s="270"/>
      <c r="AB313" s="271"/>
    </row>
    <row r="314" spans="26:28">
      <c r="Z314" s="270"/>
      <c r="AA314" s="270"/>
      <c r="AB314" s="271"/>
    </row>
    <row r="315" spans="26:28">
      <c r="Z315" s="270"/>
      <c r="AA315" s="270"/>
      <c r="AB315" s="271"/>
    </row>
    <row r="316" spans="26:28">
      <c r="Z316" s="270"/>
      <c r="AA316" s="270"/>
      <c r="AB316" s="271"/>
    </row>
    <row r="317" spans="26:28">
      <c r="Z317" s="270"/>
      <c r="AA317" s="270"/>
      <c r="AB317" s="271"/>
    </row>
    <row r="318" spans="26:28">
      <c r="Z318" s="270"/>
      <c r="AA318" s="270"/>
      <c r="AB318" s="271"/>
    </row>
    <row r="319" spans="26:28">
      <c r="Z319" s="270"/>
      <c r="AA319" s="270"/>
      <c r="AB319" s="271"/>
    </row>
    <row r="320" spans="26:28">
      <c r="Z320" s="270"/>
      <c r="AA320" s="270"/>
      <c r="AB320" s="271"/>
    </row>
    <row r="321" spans="26:28">
      <c r="Z321" s="270"/>
      <c r="AA321" s="270"/>
      <c r="AB321" s="271"/>
    </row>
    <row r="322" spans="26:28">
      <c r="Z322" s="270"/>
      <c r="AA322" s="270"/>
      <c r="AB322" s="271"/>
    </row>
    <row r="323" spans="26:28">
      <c r="Z323" s="270"/>
      <c r="AA323" s="270"/>
      <c r="AB323" s="271"/>
    </row>
    <row r="324" spans="26:28">
      <c r="Z324" s="270"/>
      <c r="AA324" s="270"/>
      <c r="AB324" s="271"/>
    </row>
    <row r="325" spans="26:28">
      <c r="Z325" s="270"/>
      <c r="AA325" s="270"/>
      <c r="AB325" s="271"/>
    </row>
    <row r="326" spans="26:28">
      <c r="Z326" s="270"/>
      <c r="AA326" s="270"/>
      <c r="AB326" s="271"/>
    </row>
    <row r="327" spans="26:28">
      <c r="Z327" s="270"/>
      <c r="AA327" s="270"/>
      <c r="AB327" s="271"/>
    </row>
    <row r="328" spans="26:28">
      <c r="Z328" s="270"/>
      <c r="AA328" s="270"/>
      <c r="AB328" s="271"/>
    </row>
    <row r="329" spans="26:28">
      <c r="Z329" s="270"/>
      <c r="AA329" s="270"/>
      <c r="AB329" s="271"/>
    </row>
    <row r="330" spans="26:28">
      <c r="Z330" s="270"/>
      <c r="AA330" s="270"/>
      <c r="AB330" s="271"/>
    </row>
    <row r="331" spans="26:28">
      <c r="Z331" s="270"/>
      <c r="AA331" s="270"/>
      <c r="AB331" s="271"/>
    </row>
    <row r="332" spans="26:28">
      <c r="Z332" s="270"/>
      <c r="AA332" s="270"/>
      <c r="AB332" s="271"/>
    </row>
    <row r="333" spans="26:28">
      <c r="Z333" s="270"/>
      <c r="AA333" s="270"/>
      <c r="AB333" s="271"/>
    </row>
    <row r="334" spans="26:28">
      <c r="Z334" s="270"/>
      <c r="AA334" s="270"/>
      <c r="AB334" s="271"/>
    </row>
    <row r="335" spans="26:28">
      <c r="Z335" s="270"/>
      <c r="AA335" s="270"/>
      <c r="AB335" s="271"/>
    </row>
    <row r="336" spans="26:28">
      <c r="Z336" s="270"/>
      <c r="AA336" s="270"/>
      <c r="AB336" s="271"/>
    </row>
    <row r="337" spans="26:28">
      <c r="Z337" s="270"/>
      <c r="AA337" s="270"/>
      <c r="AB337" s="271"/>
    </row>
    <row r="338" spans="26:28">
      <c r="Z338" s="270"/>
      <c r="AA338" s="270"/>
      <c r="AB338" s="271"/>
    </row>
    <row r="339" spans="26:28">
      <c r="Z339" s="270"/>
      <c r="AA339" s="270"/>
      <c r="AB339" s="271"/>
    </row>
    <row r="340" spans="26:28">
      <c r="Z340" s="270"/>
      <c r="AA340" s="270"/>
      <c r="AB340" s="271"/>
    </row>
    <row r="341" spans="26:28">
      <c r="Z341" s="270"/>
      <c r="AA341" s="270"/>
      <c r="AB341" s="271"/>
    </row>
    <row r="342" spans="26:28">
      <c r="Z342" s="270"/>
      <c r="AA342" s="270"/>
      <c r="AB342" s="271"/>
    </row>
    <row r="343" spans="26:28">
      <c r="Z343" s="270"/>
      <c r="AA343" s="270"/>
      <c r="AB343" s="271"/>
    </row>
    <row r="344" spans="26:28">
      <c r="Z344" s="270"/>
      <c r="AA344" s="270"/>
      <c r="AB344" s="271"/>
    </row>
    <row r="345" spans="26:28">
      <c r="Z345" s="270"/>
      <c r="AA345" s="270"/>
      <c r="AB345" s="271"/>
    </row>
    <row r="346" spans="26:28">
      <c r="Z346" s="270"/>
      <c r="AA346" s="270"/>
      <c r="AB346" s="271"/>
    </row>
    <row r="347" spans="26:28">
      <c r="Z347" s="270"/>
      <c r="AA347" s="270"/>
      <c r="AB347" s="271"/>
    </row>
    <row r="348" spans="26:28">
      <c r="Z348" s="270"/>
      <c r="AA348" s="270"/>
      <c r="AB348" s="271"/>
    </row>
    <row r="349" spans="26:28">
      <c r="Z349" s="270"/>
      <c r="AA349" s="270"/>
      <c r="AB349" s="271"/>
    </row>
    <row r="350" spans="26:28">
      <c r="Z350" s="270"/>
      <c r="AA350" s="270"/>
      <c r="AB350" s="271"/>
    </row>
    <row r="351" spans="26:28">
      <c r="Z351" s="270"/>
      <c r="AA351" s="270"/>
      <c r="AB351" s="271"/>
    </row>
    <row r="352" spans="26:28">
      <c r="Z352" s="270"/>
      <c r="AA352" s="270"/>
      <c r="AB352" s="271"/>
    </row>
    <row r="353" spans="26:28">
      <c r="Z353" s="270"/>
      <c r="AA353" s="270"/>
      <c r="AB353" s="271"/>
    </row>
    <row r="354" spans="26:28">
      <c r="Z354" s="270"/>
      <c r="AA354" s="270"/>
      <c r="AB354" s="271"/>
    </row>
    <row r="355" spans="26:28">
      <c r="Z355" s="270"/>
      <c r="AA355" s="270"/>
      <c r="AB355" s="271"/>
    </row>
    <row r="356" spans="26:28">
      <c r="Z356" s="270"/>
      <c r="AA356" s="270"/>
      <c r="AB356" s="271"/>
    </row>
    <row r="357" spans="26:28">
      <c r="Z357" s="270"/>
      <c r="AA357" s="270"/>
      <c r="AB357" s="271"/>
    </row>
    <row r="358" spans="26:28">
      <c r="Z358" s="270"/>
      <c r="AA358" s="270"/>
      <c r="AB358" s="271"/>
    </row>
    <row r="359" spans="26:28">
      <c r="Z359" s="270"/>
      <c r="AA359" s="270"/>
      <c r="AB359" s="271"/>
    </row>
    <row r="360" spans="26:28">
      <c r="Z360" s="270"/>
      <c r="AA360" s="270"/>
      <c r="AB360" s="271"/>
    </row>
    <row r="361" spans="26:28">
      <c r="Z361" s="270"/>
      <c r="AA361" s="270"/>
      <c r="AB361" s="271"/>
    </row>
    <row r="362" spans="26:28">
      <c r="Z362" s="270"/>
      <c r="AA362" s="270"/>
      <c r="AB362" s="271"/>
    </row>
    <row r="363" spans="26:28">
      <c r="Z363" s="270"/>
      <c r="AA363" s="270"/>
      <c r="AB363" s="271"/>
    </row>
    <row r="364" spans="26:28">
      <c r="Z364" s="270"/>
      <c r="AA364" s="270"/>
      <c r="AB364" s="271"/>
    </row>
    <row r="365" spans="26:28">
      <c r="Z365" s="270"/>
      <c r="AA365" s="270"/>
      <c r="AB365" s="271"/>
    </row>
    <row r="366" spans="26:28">
      <c r="Z366" s="270"/>
      <c r="AA366" s="270"/>
      <c r="AB366" s="271"/>
    </row>
    <row r="367" spans="26:28">
      <c r="Z367" s="270"/>
      <c r="AA367" s="270"/>
      <c r="AB367" s="271"/>
    </row>
    <row r="368" spans="26:28">
      <c r="Z368" s="270"/>
      <c r="AA368" s="270"/>
      <c r="AB368" s="271"/>
    </row>
    <row r="369" spans="26:28">
      <c r="Z369" s="270"/>
      <c r="AA369" s="270"/>
      <c r="AB369" s="271"/>
    </row>
    <row r="370" spans="26:28">
      <c r="Z370" s="270"/>
      <c r="AA370" s="270"/>
      <c r="AB370" s="271"/>
    </row>
    <row r="371" spans="26:28">
      <c r="Z371" s="270"/>
      <c r="AA371" s="270"/>
      <c r="AB371" s="271"/>
    </row>
    <row r="372" spans="26:28">
      <c r="Z372" s="270"/>
      <c r="AA372" s="270"/>
      <c r="AB372" s="271"/>
    </row>
    <row r="373" spans="26:28">
      <c r="Z373" s="270"/>
      <c r="AA373" s="270"/>
      <c r="AB373" s="271"/>
    </row>
    <row r="374" spans="26:28">
      <c r="Z374" s="270"/>
      <c r="AA374" s="270"/>
      <c r="AB374" s="271"/>
    </row>
    <row r="375" spans="26:28">
      <c r="Z375" s="270"/>
      <c r="AA375" s="270"/>
      <c r="AB375" s="271"/>
    </row>
    <row r="376" spans="26:28">
      <c r="Z376" s="270"/>
      <c r="AA376" s="270"/>
      <c r="AB376" s="271"/>
    </row>
    <row r="377" spans="26:28">
      <c r="Z377" s="270"/>
      <c r="AA377" s="270"/>
      <c r="AB377" s="271"/>
    </row>
    <row r="378" spans="26:28">
      <c r="Z378" s="270"/>
      <c r="AA378" s="270"/>
      <c r="AB378" s="271"/>
    </row>
    <row r="379" spans="26:28">
      <c r="Z379" s="270"/>
      <c r="AA379" s="270"/>
      <c r="AB379" s="271"/>
    </row>
    <row r="380" spans="26:28">
      <c r="Z380" s="270"/>
      <c r="AA380" s="270"/>
      <c r="AB380" s="271"/>
    </row>
    <row r="381" spans="26:28">
      <c r="Z381" s="270"/>
      <c r="AA381" s="270"/>
      <c r="AB381" s="271"/>
    </row>
    <row r="382" spans="26:28">
      <c r="Z382" s="270"/>
      <c r="AA382" s="270"/>
      <c r="AB382" s="271"/>
    </row>
    <row r="383" spans="26:28">
      <c r="Z383" s="270"/>
      <c r="AA383" s="270"/>
      <c r="AB383" s="271"/>
    </row>
    <row r="384" spans="26:28">
      <c r="Z384" s="270"/>
      <c r="AA384" s="270"/>
      <c r="AB384" s="271"/>
    </row>
    <row r="385" spans="26:28">
      <c r="Z385" s="270"/>
      <c r="AA385" s="270"/>
      <c r="AB385" s="271"/>
    </row>
    <row r="386" spans="26:28">
      <c r="Z386" s="270"/>
      <c r="AA386" s="270"/>
      <c r="AB386" s="271"/>
    </row>
    <row r="387" spans="26:28">
      <c r="Z387" s="270"/>
      <c r="AA387" s="270"/>
      <c r="AB387" s="271"/>
    </row>
    <row r="388" spans="26:28">
      <c r="Z388" s="270"/>
      <c r="AA388" s="270"/>
      <c r="AB388" s="271"/>
    </row>
    <row r="389" spans="26:28">
      <c r="Z389" s="270"/>
      <c r="AA389" s="270"/>
      <c r="AB389" s="271"/>
    </row>
    <row r="390" spans="26:28">
      <c r="Z390" s="270"/>
      <c r="AA390" s="270"/>
      <c r="AB390" s="271"/>
    </row>
    <row r="391" spans="26:28">
      <c r="Z391" s="270"/>
      <c r="AA391" s="270"/>
      <c r="AB391" s="271"/>
    </row>
    <row r="392" spans="26:28">
      <c r="Z392" s="270"/>
      <c r="AA392" s="270"/>
      <c r="AB392" s="271"/>
    </row>
    <row r="393" spans="26:28">
      <c r="Z393" s="270"/>
      <c r="AA393" s="270"/>
      <c r="AB393" s="271"/>
    </row>
    <row r="394" spans="26:28">
      <c r="Z394" s="270"/>
      <c r="AA394" s="270"/>
      <c r="AB394" s="271"/>
    </row>
    <row r="395" spans="26:28">
      <c r="Z395" s="270"/>
      <c r="AA395" s="270"/>
      <c r="AB395" s="271"/>
    </row>
    <row r="396" spans="26:28">
      <c r="Z396" s="270"/>
      <c r="AA396" s="270"/>
      <c r="AB396" s="271"/>
    </row>
    <row r="397" spans="26:28">
      <c r="Z397" s="270"/>
      <c r="AA397" s="270"/>
      <c r="AB397" s="271"/>
    </row>
    <row r="398" spans="26:28">
      <c r="Z398" s="270"/>
      <c r="AA398" s="270"/>
      <c r="AB398" s="271"/>
    </row>
    <row r="399" spans="26:28">
      <c r="Z399" s="270"/>
      <c r="AA399" s="270"/>
      <c r="AB399" s="271"/>
    </row>
    <row r="400" spans="26:28">
      <c r="Z400" s="270"/>
      <c r="AA400" s="270"/>
      <c r="AB400" s="271"/>
    </row>
    <row r="401" spans="26:28">
      <c r="Z401" s="270"/>
      <c r="AA401" s="270"/>
      <c r="AB401" s="271"/>
    </row>
    <row r="402" spans="26:28">
      <c r="Z402" s="270"/>
      <c r="AA402" s="270"/>
      <c r="AB402" s="271"/>
    </row>
    <row r="403" spans="26:28">
      <c r="Z403" s="270"/>
      <c r="AA403" s="270"/>
      <c r="AB403" s="271"/>
    </row>
    <row r="404" spans="26:28">
      <c r="Z404" s="270"/>
      <c r="AA404" s="270"/>
      <c r="AB404" s="271"/>
    </row>
    <row r="405" spans="26:28">
      <c r="Z405" s="270"/>
      <c r="AA405" s="270"/>
      <c r="AB405" s="271"/>
    </row>
    <row r="406" spans="26:28">
      <c r="Z406" s="270"/>
      <c r="AA406" s="270"/>
      <c r="AB406" s="271"/>
    </row>
    <row r="407" spans="26:28">
      <c r="Z407" s="270"/>
      <c r="AA407" s="270"/>
      <c r="AB407" s="271"/>
    </row>
    <row r="408" spans="26:28">
      <c r="Z408" s="270"/>
      <c r="AA408" s="270"/>
      <c r="AB408" s="271"/>
    </row>
    <row r="409" spans="26:28">
      <c r="Z409" s="270"/>
      <c r="AA409" s="270"/>
      <c r="AB409" s="271"/>
    </row>
    <row r="410" spans="26:28">
      <c r="Z410" s="270"/>
      <c r="AA410" s="270"/>
      <c r="AB410" s="271"/>
    </row>
    <row r="411" spans="26:28">
      <c r="Z411" s="270"/>
      <c r="AA411" s="270"/>
      <c r="AB411" s="271"/>
    </row>
    <row r="412" spans="26:28">
      <c r="Z412" s="270"/>
      <c r="AA412" s="270"/>
      <c r="AB412" s="271"/>
    </row>
    <row r="413" spans="26:28">
      <c r="Z413" s="270"/>
      <c r="AA413" s="270"/>
      <c r="AB413" s="271"/>
    </row>
    <row r="414" spans="26:28">
      <c r="Z414" s="270"/>
      <c r="AA414" s="270"/>
      <c r="AB414" s="271"/>
    </row>
    <row r="415" spans="26:28">
      <c r="Z415" s="270"/>
      <c r="AA415" s="270"/>
      <c r="AB415" s="271"/>
    </row>
    <row r="416" spans="26:28">
      <c r="Z416" s="270"/>
      <c r="AA416" s="270"/>
      <c r="AB416" s="271"/>
    </row>
    <row r="417" spans="26:28">
      <c r="Z417" s="270"/>
      <c r="AA417" s="270"/>
      <c r="AB417" s="271"/>
    </row>
    <row r="418" spans="26:28">
      <c r="Z418" s="270"/>
      <c r="AA418" s="270"/>
      <c r="AB418" s="271"/>
    </row>
    <row r="419" spans="26:28">
      <c r="Z419" s="270"/>
      <c r="AA419" s="270"/>
      <c r="AB419" s="271"/>
    </row>
    <row r="420" spans="26:28">
      <c r="Z420" s="270"/>
      <c r="AA420" s="270"/>
      <c r="AB420" s="271"/>
    </row>
    <row r="421" spans="26:28">
      <c r="Z421" s="270"/>
      <c r="AA421" s="270"/>
      <c r="AB421" s="271"/>
    </row>
    <row r="422" spans="26:28">
      <c r="Z422" s="270"/>
      <c r="AA422" s="270"/>
      <c r="AB422" s="271"/>
    </row>
    <row r="423" spans="26:28">
      <c r="Z423" s="270"/>
      <c r="AA423" s="270"/>
      <c r="AB423" s="271"/>
    </row>
    <row r="424" spans="26:28">
      <c r="Z424" s="270"/>
      <c r="AA424" s="270"/>
      <c r="AB424" s="271"/>
    </row>
    <row r="425" spans="26:28">
      <c r="Z425" s="270"/>
      <c r="AA425" s="270"/>
      <c r="AB425" s="271"/>
    </row>
    <row r="426" spans="26:28">
      <c r="Z426" s="270"/>
      <c r="AA426" s="270"/>
      <c r="AB426" s="271"/>
    </row>
    <row r="427" spans="26:28">
      <c r="Z427" s="270"/>
      <c r="AA427" s="270"/>
      <c r="AB427" s="271"/>
    </row>
    <row r="428" spans="26:28">
      <c r="Z428" s="270"/>
      <c r="AA428" s="270"/>
      <c r="AB428" s="271"/>
    </row>
    <row r="429" spans="26:28">
      <c r="Z429" s="270"/>
      <c r="AA429" s="270"/>
      <c r="AB429" s="271"/>
    </row>
    <row r="430" spans="26:28">
      <c r="Z430" s="270"/>
      <c r="AA430" s="270"/>
      <c r="AB430" s="271"/>
    </row>
    <row r="431" spans="26:28">
      <c r="Z431" s="270"/>
      <c r="AA431" s="270"/>
      <c r="AB431" s="271"/>
    </row>
    <row r="432" spans="26:28">
      <c r="Z432" s="270"/>
      <c r="AA432" s="270"/>
      <c r="AB432" s="271"/>
    </row>
    <row r="433" spans="26:28">
      <c r="Z433" s="270"/>
      <c r="AA433" s="270"/>
      <c r="AB433" s="271"/>
    </row>
    <row r="434" spans="26:28">
      <c r="Z434" s="270"/>
      <c r="AA434" s="270"/>
      <c r="AB434" s="271"/>
    </row>
    <row r="435" spans="26:28">
      <c r="Z435" s="270"/>
      <c r="AA435" s="270"/>
      <c r="AB435" s="271"/>
    </row>
    <row r="436" spans="26:28">
      <c r="Z436" s="270"/>
      <c r="AA436" s="270"/>
      <c r="AB436" s="271"/>
    </row>
    <row r="437" spans="26:28">
      <c r="Z437" s="270"/>
      <c r="AA437" s="270"/>
      <c r="AB437" s="271"/>
    </row>
    <row r="438" spans="26:28">
      <c r="Z438" s="270"/>
      <c r="AA438" s="270"/>
      <c r="AB438" s="271"/>
    </row>
    <row r="439" spans="26:28">
      <c r="Z439" s="270"/>
      <c r="AA439" s="270"/>
      <c r="AB439" s="271"/>
    </row>
    <row r="440" spans="26:28">
      <c r="Z440" s="270"/>
      <c r="AA440" s="270"/>
      <c r="AB440" s="271"/>
    </row>
    <row r="441" spans="26:28">
      <c r="Z441" s="270"/>
      <c r="AA441" s="270"/>
      <c r="AB441" s="271"/>
    </row>
    <row r="442" spans="26:28">
      <c r="Z442" s="270"/>
      <c r="AA442" s="270"/>
      <c r="AB442" s="271"/>
    </row>
    <row r="443" spans="26:28">
      <c r="Z443" s="270"/>
      <c r="AA443" s="270"/>
      <c r="AB443" s="271"/>
    </row>
    <row r="444" spans="26:28">
      <c r="Z444" s="270"/>
      <c r="AA444" s="270"/>
      <c r="AB444" s="271"/>
    </row>
    <row r="445" spans="26:28">
      <c r="Z445" s="270"/>
      <c r="AA445" s="270"/>
      <c r="AB445" s="271"/>
    </row>
    <row r="446" spans="26:28">
      <c r="Z446" s="270"/>
      <c r="AA446" s="270"/>
      <c r="AB446" s="271"/>
    </row>
    <row r="447" spans="26:28">
      <c r="Z447" s="270"/>
      <c r="AA447" s="270"/>
      <c r="AB447" s="271"/>
    </row>
    <row r="448" spans="26:28">
      <c r="Z448" s="270"/>
      <c r="AA448" s="270"/>
      <c r="AB448" s="271"/>
    </row>
    <row r="449" spans="26:28">
      <c r="Z449" s="270"/>
      <c r="AA449" s="270"/>
      <c r="AB449" s="271"/>
    </row>
    <row r="450" spans="26:28">
      <c r="Z450" s="270"/>
      <c r="AA450" s="270"/>
      <c r="AB450" s="271"/>
    </row>
    <row r="451" spans="26:28">
      <c r="Z451" s="270"/>
      <c r="AA451" s="270"/>
      <c r="AB451" s="271"/>
    </row>
    <row r="452" spans="26:28">
      <c r="Z452" s="270"/>
      <c r="AA452" s="270"/>
      <c r="AB452" s="271"/>
    </row>
    <row r="453" spans="26:28">
      <c r="Z453" s="270"/>
      <c r="AA453" s="270"/>
      <c r="AB453" s="271"/>
    </row>
    <row r="454" spans="26:28">
      <c r="Z454" s="270"/>
      <c r="AA454" s="270"/>
      <c r="AB454" s="271"/>
    </row>
    <row r="455" spans="26:28">
      <c r="Z455" s="270"/>
      <c r="AA455" s="270"/>
      <c r="AB455" s="271"/>
    </row>
    <row r="456" spans="26:28">
      <c r="Z456" s="270"/>
      <c r="AA456" s="270"/>
      <c r="AB456" s="271"/>
    </row>
    <row r="457" spans="26:28">
      <c r="Z457" s="270"/>
      <c r="AA457" s="270"/>
      <c r="AB457" s="271"/>
    </row>
    <row r="458" spans="26:28">
      <c r="Z458" s="270"/>
      <c r="AA458" s="270"/>
      <c r="AB458" s="271"/>
    </row>
    <row r="459" spans="26:28">
      <c r="Z459" s="270"/>
      <c r="AA459" s="270"/>
      <c r="AB459" s="271"/>
    </row>
    <row r="460" spans="26:28">
      <c r="Z460" s="270"/>
      <c r="AA460" s="270"/>
      <c r="AB460" s="271"/>
    </row>
    <row r="461" spans="26:28">
      <c r="Z461" s="270"/>
      <c r="AA461" s="270"/>
      <c r="AB461" s="271"/>
    </row>
    <row r="462" spans="26:28">
      <c r="Z462" s="270"/>
      <c r="AA462" s="270"/>
      <c r="AB462" s="271"/>
    </row>
    <row r="463" spans="26:28">
      <c r="Z463" s="270"/>
      <c r="AA463" s="270"/>
      <c r="AB463" s="271"/>
    </row>
    <row r="464" spans="26:28">
      <c r="Z464" s="270"/>
      <c r="AA464" s="270"/>
      <c r="AB464" s="271"/>
    </row>
    <row r="465" spans="26:28">
      <c r="Z465" s="270"/>
      <c r="AA465" s="270"/>
      <c r="AB465" s="271"/>
    </row>
    <row r="466" spans="26:28">
      <c r="Z466" s="270"/>
      <c r="AA466" s="270"/>
      <c r="AB466" s="271"/>
    </row>
    <row r="467" spans="26:28">
      <c r="Z467" s="270"/>
      <c r="AA467" s="270"/>
      <c r="AB467" s="271"/>
    </row>
    <row r="468" spans="26:28">
      <c r="Z468" s="270"/>
      <c r="AA468" s="270"/>
      <c r="AB468" s="271"/>
    </row>
    <row r="469" spans="26:28">
      <c r="Z469" s="270"/>
      <c r="AA469" s="270"/>
      <c r="AB469" s="271"/>
    </row>
    <row r="470" spans="26:28">
      <c r="Z470" s="270"/>
      <c r="AA470" s="270"/>
      <c r="AB470" s="271"/>
    </row>
    <row r="471" spans="26:28">
      <c r="Z471" s="270"/>
      <c r="AA471" s="270"/>
      <c r="AB471" s="271"/>
    </row>
    <row r="472" spans="26:28">
      <c r="Z472" s="270"/>
      <c r="AA472" s="270"/>
      <c r="AB472" s="271"/>
    </row>
    <row r="473" spans="26:28">
      <c r="Z473" s="270"/>
      <c r="AA473" s="270"/>
      <c r="AB473" s="271"/>
    </row>
    <row r="474" spans="26:28">
      <c r="Z474" s="270"/>
      <c r="AA474" s="270"/>
      <c r="AB474" s="271"/>
    </row>
    <row r="475" spans="26:28">
      <c r="Z475" s="270"/>
      <c r="AA475" s="270"/>
      <c r="AB475" s="271"/>
    </row>
    <row r="476" spans="26:28">
      <c r="Z476" s="270"/>
      <c r="AA476" s="270"/>
      <c r="AB476" s="271"/>
    </row>
    <row r="477" spans="26:28">
      <c r="Z477" s="270"/>
      <c r="AA477" s="270"/>
      <c r="AB477" s="271"/>
    </row>
    <row r="478" spans="26:28">
      <c r="Z478" s="270"/>
      <c r="AA478" s="270"/>
      <c r="AB478" s="271"/>
    </row>
    <row r="479" spans="26:28">
      <c r="Z479" s="270"/>
      <c r="AA479" s="270"/>
      <c r="AB479" s="271"/>
    </row>
    <row r="480" spans="26:28">
      <c r="Z480" s="270"/>
      <c r="AA480" s="270"/>
      <c r="AB480" s="271"/>
    </row>
    <row r="481" spans="26:28">
      <c r="Z481" s="270"/>
      <c r="AA481" s="270"/>
      <c r="AB481" s="271"/>
    </row>
    <row r="482" spans="26:28">
      <c r="Z482" s="270"/>
      <c r="AA482" s="270"/>
      <c r="AB482" s="271"/>
    </row>
    <row r="483" spans="26:28">
      <c r="Z483" s="270"/>
      <c r="AA483" s="270"/>
      <c r="AB483" s="271"/>
    </row>
    <row r="484" spans="26:28">
      <c r="Z484" s="270"/>
      <c r="AA484" s="270"/>
      <c r="AB484" s="271"/>
    </row>
    <row r="485" spans="26:28">
      <c r="Z485" s="270"/>
      <c r="AA485" s="270"/>
      <c r="AB485" s="271"/>
    </row>
    <row r="486" spans="26:28">
      <c r="Z486" s="270"/>
      <c r="AA486" s="270"/>
      <c r="AB486" s="271"/>
    </row>
    <row r="487" spans="26:28">
      <c r="Z487" s="270"/>
      <c r="AA487" s="270"/>
      <c r="AB487" s="271"/>
    </row>
    <row r="488" spans="26:28">
      <c r="Z488" s="270"/>
      <c r="AA488" s="270"/>
      <c r="AB488" s="271"/>
    </row>
    <row r="489" spans="26:28">
      <c r="Z489" s="270"/>
      <c r="AA489" s="270"/>
      <c r="AB489" s="271"/>
    </row>
    <row r="490" spans="26:28">
      <c r="Z490" s="270"/>
      <c r="AA490" s="270"/>
      <c r="AB490" s="271"/>
    </row>
    <row r="491" spans="26:28">
      <c r="Z491" s="270"/>
      <c r="AA491" s="270"/>
      <c r="AB491" s="271"/>
    </row>
    <row r="492" spans="26:28">
      <c r="Z492" s="270"/>
      <c r="AA492" s="270"/>
      <c r="AB492" s="271"/>
    </row>
    <row r="493" spans="26:28">
      <c r="Z493" s="270"/>
      <c r="AA493" s="270"/>
      <c r="AB493" s="271"/>
    </row>
    <row r="494" spans="26:28">
      <c r="Z494" s="270"/>
      <c r="AA494" s="270"/>
      <c r="AB494" s="271"/>
    </row>
    <row r="495" spans="26:28">
      <c r="Z495" s="270"/>
      <c r="AA495" s="270"/>
      <c r="AB495" s="271"/>
    </row>
    <row r="496" spans="26:28">
      <c r="Z496" s="270"/>
      <c r="AA496" s="270"/>
      <c r="AB496" s="271"/>
    </row>
    <row r="497" spans="26:28">
      <c r="Z497" s="270"/>
      <c r="AA497" s="270"/>
      <c r="AB497" s="271"/>
    </row>
    <row r="498" spans="26:28">
      <c r="Z498" s="270"/>
      <c r="AA498" s="270"/>
      <c r="AB498" s="271"/>
    </row>
    <row r="499" spans="26:28">
      <c r="Z499" s="270"/>
      <c r="AA499" s="270"/>
      <c r="AB499" s="271"/>
    </row>
    <row r="500" spans="26:28">
      <c r="Z500" s="270"/>
      <c r="AA500" s="270"/>
      <c r="AB500" s="271"/>
    </row>
    <row r="501" spans="26:28">
      <c r="Z501" s="270"/>
      <c r="AA501" s="270"/>
      <c r="AB501" s="271"/>
    </row>
    <row r="502" spans="26:28">
      <c r="Z502" s="270"/>
      <c r="AA502" s="270"/>
      <c r="AB502" s="271"/>
    </row>
    <row r="503" spans="26:28">
      <c r="Z503" s="270"/>
      <c r="AA503" s="270"/>
      <c r="AB503" s="271"/>
    </row>
    <row r="504" spans="26:28">
      <c r="Z504" s="270"/>
      <c r="AA504" s="270"/>
      <c r="AB504" s="271"/>
    </row>
    <row r="505" spans="26:28">
      <c r="Z505" s="270"/>
      <c r="AA505" s="270"/>
      <c r="AB505" s="271"/>
    </row>
    <row r="506" spans="26:28">
      <c r="Z506" s="270"/>
      <c r="AA506" s="270"/>
      <c r="AB506" s="271"/>
    </row>
    <row r="507" spans="26:28">
      <c r="Z507" s="270"/>
      <c r="AA507" s="270"/>
      <c r="AB507" s="271"/>
    </row>
    <row r="508" spans="26:28">
      <c r="Z508" s="270"/>
      <c r="AA508" s="270"/>
      <c r="AB508" s="271"/>
    </row>
    <row r="509" spans="26:28">
      <c r="Z509" s="270"/>
      <c r="AA509" s="270"/>
      <c r="AB509" s="271"/>
    </row>
    <row r="510" spans="26:28">
      <c r="Z510" s="270"/>
      <c r="AA510" s="270"/>
      <c r="AB510" s="271"/>
    </row>
    <row r="511" spans="26:28">
      <c r="Z511" s="270"/>
      <c r="AA511" s="270"/>
      <c r="AB511" s="271"/>
    </row>
    <row r="512" spans="26:28">
      <c r="Z512" s="270"/>
      <c r="AA512" s="270"/>
      <c r="AB512" s="271"/>
    </row>
    <row r="513" spans="26:28">
      <c r="Z513" s="270"/>
      <c r="AA513" s="270"/>
      <c r="AB513" s="271"/>
    </row>
    <row r="514" spans="26:28">
      <c r="Z514" s="270"/>
      <c r="AA514" s="270"/>
      <c r="AB514" s="271"/>
    </row>
    <row r="515" spans="26:28">
      <c r="Z515" s="270"/>
      <c r="AA515" s="270"/>
      <c r="AB515" s="271"/>
    </row>
    <row r="516" spans="26:28">
      <c r="Z516" s="270"/>
      <c r="AA516" s="270"/>
      <c r="AB516" s="271"/>
    </row>
    <row r="517" spans="26:28">
      <c r="Z517" s="270"/>
      <c r="AA517" s="270"/>
      <c r="AB517" s="271"/>
    </row>
    <row r="518" spans="26:28">
      <c r="Z518" s="270"/>
      <c r="AA518" s="270"/>
      <c r="AB518" s="271"/>
    </row>
    <row r="519" spans="26:28">
      <c r="Z519" s="270"/>
      <c r="AA519" s="270"/>
      <c r="AB519" s="271"/>
    </row>
    <row r="520" spans="26:28">
      <c r="Z520" s="270"/>
      <c r="AA520" s="270"/>
      <c r="AB520" s="271"/>
    </row>
    <row r="521" spans="26:28">
      <c r="Z521" s="270"/>
      <c r="AA521" s="270"/>
      <c r="AB521" s="271"/>
    </row>
    <row r="522" spans="26:28">
      <c r="Z522" s="270"/>
      <c r="AA522" s="270"/>
      <c r="AB522" s="271"/>
    </row>
    <row r="523" spans="26:28">
      <c r="Z523" s="270"/>
      <c r="AA523" s="270"/>
      <c r="AB523" s="271"/>
    </row>
    <row r="524" spans="26:28">
      <c r="Z524" s="270"/>
      <c r="AA524" s="270"/>
      <c r="AB524" s="271"/>
    </row>
    <row r="525" spans="26:28">
      <c r="Z525" s="270"/>
      <c r="AA525" s="270"/>
      <c r="AB525" s="271"/>
    </row>
    <row r="526" spans="26:28">
      <c r="Z526" s="270"/>
      <c r="AA526" s="270"/>
      <c r="AB526" s="271"/>
    </row>
    <row r="527" spans="26:28">
      <c r="Z527" s="270"/>
      <c r="AA527" s="270"/>
      <c r="AB527" s="271"/>
    </row>
    <row r="528" spans="26:28">
      <c r="Z528" s="270"/>
      <c r="AA528" s="270"/>
      <c r="AB528" s="271"/>
    </row>
    <row r="529" spans="26:28">
      <c r="Z529" s="270"/>
      <c r="AA529" s="270"/>
      <c r="AB529" s="271"/>
    </row>
    <row r="530" spans="26:28">
      <c r="Z530" s="270"/>
      <c r="AA530" s="270"/>
      <c r="AB530" s="271"/>
    </row>
    <row r="531" spans="26:28">
      <c r="Z531" s="270"/>
      <c r="AA531" s="270"/>
      <c r="AB531" s="271"/>
    </row>
    <row r="532" spans="26:28">
      <c r="Z532" s="270"/>
      <c r="AA532" s="270"/>
      <c r="AB532" s="271"/>
    </row>
    <row r="533" spans="26:28">
      <c r="Z533" s="270"/>
      <c r="AA533" s="270"/>
      <c r="AB533" s="271"/>
    </row>
    <row r="534" spans="26:28">
      <c r="Z534" s="270"/>
      <c r="AA534" s="270"/>
      <c r="AB534" s="271"/>
    </row>
    <row r="535" spans="26:28">
      <c r="Z535" s="270"/>
      <c r="AA535" s="270"/>
      <c r="AB535" s="271"/>
    </row>
    <row r="536" spans="26:28">
      <c r="Z536" s="270"/>
      <c r="AA536" s="270"/>
      <c r="AB536" s="271"/>
    </row>
    <row r="537" spans="26:28">
      <c r="Z537" s="270"/>
      <c r="AA537" s="270"/>
      <c r="AB537" s="271"/>
    </row>
    <row r="538" spans="26:28">
      <c r="Z538" s="270"/>
      <c r="AA538" s="270"/>
      <c r="AB538" s="271"/>
    </row>
    <row r="539" spans="26:28">
      <c r="Z539" s="270"/>
      <c r="AA539" s="270"/>
      <c r="AB539" s="271"/>
    </row>
    <row r="540" spans="26:28">
      <c r="Z540" s="270"/>
      <c r="AA540" s="270"/>
      <c r="AB540" s="271"/>
    </row>
    <row r="541" spans="26:28">
      <c r="Z541" s="270"/>
      <c r="AA541" s="270"/>
      <c r="AB541" s="271"/>
    </row>
    <row r="542" spans="26:28">
      <c r="Z542" s="270"/>
      <c r="AA542" s="270"/>
      <c r="AB542" s="271"/>
    </row>
    <row r="543" spans="26:28">
      <c r="Z543" s="270"/>
      <c r="AA543" s="270"/>
      <c r="AB543" s="271"/>
    </row>
    <row r="544" spans="26:28">
      <c r="Z544" s="270"/>
      <c r="AA544" s="270"/>
      <c r="AB544" s="271"/>
    </row>
    <row r="545" spans="26:28">
      <c r="Z545" s="270"/>
      <c r="AA545" s="270"/>
      <c r="AB545" s="271"/>
    </row>
    <row r="546" spans="26:28">
      <c r="Z546" s="270"/>
      <c r="AA546" s="270"/>
      <c r="AB546" s="271"/>
    </row>
    <row r="547" spans="26:28">
      <c r="Z547" s="270"/>
      <c r="AA547" s="270"/>
      <c r="AB547" s="271"/>
    </row>
    <row r="548" spans="26:28">
      <c r="Z548" s="270"/>
      <c r="AA548" s="270"/>
      <c r="AB548" s="271"/>
    </row>
    <row r="549" spans="26:28">
      <c r="Z549" s="270"/>
      <c r="AA549" s="270"/>
      <c r="AB549" s="271"/>
    </row>
    <row r="550" spans="26:28">
      <c r="Z550" s="270"/>
      <c r="AA550" s="270"/>
      <c r="AB550" s="271"/>
    </row>
    <row r="551" spans="26:28">
      <c r="Z551" s="270"/>
      <c r="AA551" s="270"/>
      <c r="AB551" s="271"/>
    </row>
    <row r="552" spans="26:28">
      <c r="Z552" s="270"/>
      <c r="AA552" s="270"/>
      <c r="AB552" s="271"/>
    </row>
    <row r="553" spans="26:28">
      <c r="Z553" s="270"/>
      <c r="AA553" s="270"/>
      <c r="AB553" s="271"/>
    </row>
    <row r="554" spans="26:28">
      <c r="Z554" s="270"/>
      <c r="AA554" s="270"/>
      <c r="AB554" s="271"/>
    </row>
    <row r="555" spans="26:28">
      <c r="Z555" s="270"/>
      <c r="AA555" s="270"/>
      <c r="AB555" s="271"/>
    </row>
    <row r="556" spans="26:28">
      <c r="Z556" s="270"/>
      <c r="AA556" s="270"/>
      <c r="AB556" s="271"/>
    </row>
    <row r="557" spans="26:28">
      <c r="Z557" s="270"/>
      <c r="AA557" s="270"/>
      <c r="AB557" s="271"/>
    </row>
    <row r="558" spans="26:28">
      <c r="Z558" s="270"/>
      <c r="AA558" s="270"/>
      <c r="AB558" s="271"/>
    </row>
    <row r="559" spans="26:28">
      <c r="Z559" s="270"/>
      <c r="AA559" s="270"/>
      <c r="AB559" s="271"/>
    </row>
    <row r="560" spans="26:28">
      <c r="Z560" s="270"/>
      <c r="AA560" s="270"/>
      <c r="AB560" s="271"/>
    </row>
    <row r="561" spans="26:28">
      <c r="Z561" s="270"/>
      <c r="AA561" s="270"/>
      <c r="AB561" s="271"/>
    </row>
    <row r="562" spans="26:28">
      <c r="Z562" s="270"/>
      <c r="AA562" s="270"/>
      <c r="AB562" s="271"/>
    </row>
    <row r="563" spans="26:28">
      <c r="Z563" s="270"/>
      <c r="AA563" s="270"/>
      <c r="AB563" s="271"/>
    </row>
    <row r="564" spans="26:28">
      <c r="Z564" s="270"/>
      <c r="AA564" s="270"/>
      <c r="AB564" s="271"/>
    </row>
    <row r="565" spans="26:28">
      <c r="Z565" s="270"/>
      <c r="AA565" s="270"/>
      <c r="AB565" s="271"/>
    </row>
    <row r="566" spans="26:28">
      <c r="Z566" s="270"/>
      <c r="AA566" s="270"/>
      <c r="AB566" s="271"/>
    </row>
    <row r="567" spans="26:28">
      <c r="Z567" s="270"/>
      <c r="AA567" s="270"/>
      <c r="AB567" s="271"/>
    </row>
    <row r="568" spans="26:28">
      <c r="Z568" s="270"/>
      <c r="AA568" s="270"/>
      <c r="AB568" s="271"/>
    </row>
    <row r="569" spans="26:28">
      <c r="Z569" s="270"/>
      <c r="AA569" s="270"/>
      <c r="AB569" s="271"/>
    </row>
    <row r="570" spans="26:28">
      <c r="Z570" s="270"/>
      <c r="AA570" s="270"/>
      <c r="AB570" s="271"/>
    </row>
    <row r="571" spans="26:28">
      <c r="Z571" s="270"/>
      <c r="AA571" s="270"/>
      <c r="AB571" s="271"/>
    </row>
    <row r="572" spans="26:28">
      <c r="Z572" s="270"/>
      <c r="AA572" s="270"/>
      <c r="AB572" s="271"/>
    </row>
    <row r="573" spans="26:28">
      <c r="Z573" s="270"/>
      <c r="AA573" s="270"/>
      <c r="AB573" s="271"/>
    </row>
    <row r="574" spans="26:28">
      <c r="Z574" s="270"/>
      <c r="AA574" s="270"/>
      <c r="AB574" s="271"/>
    </row>
    <row r="575" spans="26:28">
      <c r="Z575" s="270"/>
      <c r="AA575" s="270"/>
      <c r="AB575" s="271"/>
    </row>
    <row r="576" spans="26:28">
      <c r="Z576" s="270"/>
      <c r="AA576" s="270"/>
      <c r="AB576" s="271"/>
    </row>
    <row r="577" spans="26:28">
      <c r="Z577" s="270"/>
      <c r="AA577" s="270"/>
      <c r="AB577" s="271"/>
    </row>
    <row r="578" spans="26:28">
      <c r="Z578" s="270"/>
      <c r="AA578" s="270"/>
      <c r="AB578" s="271"/>
    </row>
    <row r="579" spans="26:28">
      <c r="Z579" s="270"/>
      <c r="AA579" s="270"/>
      <c r="AB579" s="271"/>
    </row>
    <row r="580" spans="26:28">
      <c r="Z580" s="270"/>
      <c r="AA580" s="270"/>
      <c r="AB580" s="271"/>
    </row>
    <row r="581" spans="26:28">
      <c r="Z581" s="270"/>
      <c r="AA581" s="270"/>
      <c r="AB581" s="271"/>
    </row>
    <row r="582" spans="26:28">
      <c r="Z582" s="270"/>
      <c r="AA582" s="270"/>
      <c r="AB582" s="271"/>
    </row>
    <row r="583" spans="26:28">
      <c r="Z583" s="270"/>
      <c r="AA583" s="270"/>
      <c r="AB583" s="271"/>
    </row>
    <row r="584" spans="26:28">
      <c r="Z584" s="270"/>
      <c r="AA584" s="270"/>
      <c r="AB584" s="271"/>
    </row>
    <row r="585" spans="26:28">
      <c r="Z585" s="270"/>
      <c r="AA585" s="270"/>
      <c r="AB585" s="271"/>
    </row>
    <row r="586" spans="26:28">
      <c r="Z586" s="270"/>
      <c r="AA586" s="270"/>
      <c r="AB586" s="271"/>
    </row>
    <row r="587" spans="26:28">
      <c r="Z587" s="270"/>
      <c r="AA587" s="270"/>
      <c r="AB587" s="271"/>
    </row>
    <row r="588" spans="26:28">
      <c r="Z588" s="270"/>
      <c r="AA588" s="270"/>
      <c r="AB588" s="271"/>
    </row>
    <row r="589" spans="26:28">
      <c r="Z589" s="270"/>
      <c r="AA589" s="270"/>
      <c r="AB589" s="271"/>
    </row>
    <row r="590" spans="26:28">
      <c r="Z590" s="270"/>
      <c r="AA590" s="270"/>
      <c r="AB590" s="271"/>
    </row>
    <row r="591" spans="26:28">
      <c r="Z591" s="270"/>
      <c r="AA591" s="270"/>
      <c r="AB591" s="271"/>
    </row>
    <row r="592" spans="26:28">
      <c r="Z592" s="270"/>
      <c r="AA592" s="270"/>
      <c r="AB592" s="271"/>
    </row>
    <row r="593" spans="26:28">
      <c r="Z593" s="270"/>
      <c r="AA593" s="270"/>
      <c r="AB593" s="271"/>
    </row>
    <row r="594" spans="26:28">
      <c r="Z594" s="270"/>
      <c r="AA594" s="270"/>
      <c r="AB594" s="271"/>
    </row>
    <row r="595" spans="26:28">
      <c r="Z595" s="270"/>
      <c r="AA595" s="270"/>
      <c r="AB595" s="271"/>
    </row>
    <row r="596" spans="26:28">
      <c r="Z596" s="270"/>
      <c r="AA596" s="270"/>
      <c r="AB596" s="271"/>
    </row>
    <row r="597" spans="26:28">
      <c r="Z597" s="270"/>
      <c r="AA597" s="270"/>
      <c r="AB597" s="271"/>
    </row>
    <row r="598" spans="26:28">
      <c r="Z598" s="270"/>
      <c r="AA598" s="270"/>
      <c r="AB598" s="271"/>
    </row>
    <row r="599" spans="26:28">
      <c r="Z599" s="270"/>
      <c r="AA599" s="270"/>
      <c r="AB599" s="271"/>
    </row>
    <row r="600" spans="26:28">
      <c r="Z600" s="270"/>
      <c r="AA600" s="270"/>
      <c r="AB600" s="271"/>
    </row>
    <row r="601" spans="26:28">
      <c r="Z601" s="270"/>
      <c r="AA601" s="270"/>
      <c r="AB601" s="271"/>
    </row>
    <row r="602" spans="26:28">
      <c r="Z602" s="270"/>
      <c r="AA602" s="270"/>
      <c r="AB602" s="271"/>
    </row>
    <row r="603" spans="26:28">
      <c r="Z603" s="270"/>
      <c r="AA603" s="270"/>
      <c r="AB603" s="271"/>
    </row>
    <row r="604" spans="26:28">
      <c r="Z604" s="270"/>
      <c r="AA604" s="270"/>
      <c r="AB604" s="271"/>
    </row>
    <row r="605" spans="26:28">
      <c r="Z605" s="270"/>
      <c r="AA605" s="270"/>
      <c r="AB605" s="271"/>
    </row>
    <row r="606" spans="26:28">
      <c r="Z606" s="270"/>
      <c r="AA606" s="270"/>
      <c r="AB606" s="271"/>
    </row>
    <row r="607" spans="26:28">
      <c r="Z607" s="270"/>
      <c r="AA607" s="270"/>
      <c r="AB607" s="271"/>
    </row>
    <row r="608" spans="26:28">
      <c r="Z608" s="270"/>
      <c r="AA608" s="270"/>
      <c r="AB608" s="271"/>
    </row>
    <row r="609" spans="26:28">
      <c r="Z609" s="270"/>
      <c r="AA609" s="270"/>
      <c r="AB609" s="271"/>
    </row>
    <row r="610" spans="26:28">
      <c r="Z610" s="270"/>
      <c r="AA610" s="270"/>
      <c r="AB610" s="271"/>
    </row>
    <row r="611" spans="26:28">
      <c r="Z611" s="270"/>
      <c r="AA611" s="270"/>
      <c r="AB611" s="271"/>
    </row>
    <row r="612" spans="26:28">
      <c r="Z612" s="270"/>
      <c r="AA612" s="270"/>
      <c r="AB612" s="271"/>
    </row>
    <row r="613" spans="26:28">
      <c r="Z613" s="270"/>
      <c r="AA613" s="270"/>
      <c r="AB613" s="271"/>
    </row>
    <row r="614" spans="26:28">
      <c r="Z614" s="270"/>
      <c r="AA614" s="270"/>
      <c r="AB614" s="271"/>
    </row>
    <row r="615" spans="26:28">
      <c r="Z615" s="270"/>
      <c r="AA615" s="270"/>
      <c r="AB615" s="271"/>
    </row>
    <row r="616" spans="26:28">
      <c r="Z616" s="270"/>
      <c r="AA616" s="270"/>
      <c r="AB616" s="271"/>
    </row>
    <row r="617" spans="26:28">
      <c r="Z617" s="270"/>
      <c r="AA617" s="270"/>
      <c r="AB617" s="271"/>
    </row>
    <row r="618" spans="26:28">
      <c r="Z618" s="270"/>
      <c r="AA618" s="270"/>
      <c r="AB618" s="271"/>
    </row>
    <row r="619" spans="26:28">
      <c r="Z619" s="270"/>
      <c r="AA619" s="270"/>
      <c r="AB619" s="271"/>
    </row>
    <row r="620" spans="26:28">
      <c r="Z620" s="270"/>
      <c r="AA620" s="270"/>
      <c r="AB620" s="271"/>
    </row>
    <row r="621" spans="26:28">
      <c r="Z621" s="270"/>
      <c r="AA621" s="270"/>
      <c r="AB621" s="271"/>
    </row>
    <row r="622" spans="26:28">
      <c r="Z622" s="270"/>
      <c r="AA622" s="270"/>
      <c r="AB622" s="271"/>
    </row>
    <row r="623" spans="26:28">
      <c r="Z623" s="270"/>
      <c r="AA623" s="270"/>
      <c r="AB623" s="271"/>
    </row>
    <row r="624" spans="26:28">
      <c r="Z624" s="270"/>
      <c r="AA624" s="270"/>
      <c r="AB624" s="271"/>
    </row>
    <row r="625" spans="26:28">
      <c r="Z625" s="270"/>
      <c r="AA625" s="270"/>
      <c r="AB625" s="271"/>
    </row>
    <row r="626" spans="26:28">
      <c r="Z626" s="270"/>
      <c r="AA626" s="270"/>
      <c r="AB626" s="271"/>
    </row>
    <row r="627" spans="26:28">
      <c r="Z627" s="270"/>
      <c r="AA627" s="270"/>
      <c r="AB627" s="271"/>
    </row>
    <row r="628" spans="26:28">
      <c r="Z628" s="270"/>
      <c r="AA628" s="270"/>
      <c r="AB628" s="271"/>
    </row>
    <row r="629" spans="26:28">
      <c r="Z629" s="270"/>
      <c r="AA629" s="270"/>
      <c r="AB629" s="271"/>
    </row>
    <row r="630" spans="26:28">
      <c r="Z630" s="270"/>
      <c r="AA630" s="270"/>
      <c r="AB630" s="271"/>
    </row>
    <row r="631" spans="26:28">
      <c r="Z631" s="270"/>
      <c r="AA631" s="270"/>
      <c r="AB631" s="271"/>
    </row>
    <row r="632" spans="26:28">
      <c r="Z632" s="270"/>
      <c r="AA632" s="270"/>
      <c r="AB632" s="271"/>
    </row>
    <row r="633" spans="26:28">
      <c r="Z633" s="270"/>
      <c r="AA633" s="270"/>
      <c r="AB633" s="271"/>
    </row>
    <row r="634" spans="26:28">
      <c r="Z634" s="270"/>
      <c r="AA634" s="270"/>
      <c r="AB634" s="271"/>
    </row>
    <row r="635" spans="26:28">
      <c r="Z635" s="270"/>
      <c r="AA635" s="270"/>
      <c r="AB635" s="271"/>
    </row>
    <row r="636" spans="26:28">
      <c r="Z636" s="270"/>
      <c r="AA636" s="270"/>
      <c r="AB636" s="271"/>
    </row>
    <row r="637" spans="26:28">
      <c r="AA637" s="270"/>
      <c r="AB637" s="271"/>
    </row>
    <row r="638" spans="26:28">
      <c r="AA638" s="270"/>
      <c r="AB638" s="271"/>
    </row>
    <row r="639" spans="26:28">
      <c r="AA639" s="270"/>
      <c r="AB639" s="271"/>
    </row>
    <row r="640" spans="26:28">
      <c r="AA640" s="270"/>
      <c r="AB640" s="271"/>
    </row>
    <row r="641" spans="27:28">
      <c r="AA641" s="270"/>
      <c r="AB641" s="271"/>
    </row>
    <row r="642" spans="27:28">
      <c r="AA642" s="270"/>
      <c r="AB642" s="271"/>
    </row>
    <row r="643" spans="27:28">
      <c r="AA643" s="270"/>
      <c r="AB643" s="271"/>
    </row>
    <row r="644" spans="27:28">
      <c r="AA644" s="270"/>
      <c r="AB644" s="271"/>
    </row>
    <row r="645" spans="27:28">
      <c r="AA645" s="270"/>
      <c r="AB645" s="271"/>
    </row>
    <row r="646" spans="27:28">
      <c r="AA646" s="270"/>
      <c r="AB646" s="271"/>
    </row>
    <row r="647" spans="27:28">
      <c r="AA647" s="270"/>
      <c r="AB647" s="271"/>
    </row>
    <row r="648" spans="27:28">
      <c r="AA648" s="270"/>
      <c r="AB648" s="271"/>
    </row>
    <row r="649" spans="27:28">
      <c r="AA649" s="270"/>
      <c r="AB649" s="271"/>
    </row>
    <row r="650" spans="27:28">
      <c r="AA650" s="270"/>
      <c r="AB650" s="271"/>
    </row>
    <row r="651" spans="27:28">
      <c r="AA651" s="270"/>
      <c r="AB651" s="271"/>
    </row>
    <row r="652" spans="27:28">
      <c r="AA652" s="270"/>
      <c r="AB652" s="271"/>
    </row>
    <row r="653" spans="27:28">
      <c r="AA653" s="270"/>
      <c r="AB653" s="271"/>
    </row>
    <row r="654" spans="27:28">
      <c r="AA654" s="270"/>
      <c r="AB654" s="271"/>
    </row>
    <row r="655" spans="27:28">
      <c r="AA655" s="270"/>
      <c r="AB655" s="271"/>
    </row>
    <row r="656" spans="27:28">
      <c r="AA656" s="270"/>
      <c r="AB656" s="271"/>
    </row>
    <row r="657" spans="27:28">
      <c r="AA657" s="270"/>
      <c r="AB657" s="271"/>
    </row>
    <row r="658" spans="27:28">
      <c r="AA658" s="270"/>
      <c r="AB658" s="271"/>
    </row>
    <row r="659" spans="27:28">
      <c r="AA659" s="270"/>
      <c r="AB659" s="271"/>
    </row>
    <row r="660" spans="27:28">
      <c r="AA660" s="270"/>
      <c r="AB660" s="271"/>
    </row>
  </sheetData>
  <mergeCells count="27">
    <mergeCell ref="T25:U25"/>
    <mergeCell ref="B3:C3"/>
    <mergeCell ref="F3:F5"/>
    <mergeCell ref="G3:G5"/>
    <mergeCell ref="B16:F16"/>
    <mergeCell ref="R25:S25"/>
    <mergeCell ref="H168:I168"/>
    <mergeCell ref="B39:E39"/>
    <mergeCell ref="B58:C58"/>
    <mergeCell ref="E58:F59"/>
    <mergeCell ref="M59:N59"/>
    <mergeCell ref="N71:Q71"/>
    <mergeCell ref="A146:F146"/>
    <mergeCell ref="A168:A169"/>
    <mergeCell ref="B168:C168"/>
    <mergeCell ref="D168:E168"/>
    <mergeCell ref="F168:G168"/>
    <mergeCell ref="V168:W168"/>
    <mergeCell ref="X168:Y168"/>
    <mergeCell ref="Z168:AA168"/>
    <mergeCell ref="AB168:AC168"/>
    <mergeCell ref="J168:K168"/>
    <mergeCell ref="L168:M168"/>
    <mergeCell ref="N168:O168"/>
    <mergeCell ref="P168:Q168"/>
    <mergeCell ref="R168:S168"/>
    <mergeCell ref="T168:U168"/>
  </mergeCells>
  <conditionalFormatting sqref="E74:E140 E141:G142">
    <cfRule type="expression" dxfId="30" priority="1" stopIfTrue="1">
      <formula>E74="Disponível"</formula>
    </cfRule>
  </conditionalFormatting>
  <dataValidations count="4">
    <dataValidation type="list" allowBlank="1" showInputMessage="1" showErrorMessage="1" sqref="D74:D142" xr:uid="{7022E613-189C-412C-A876-ACDF69C269B1}">
      <formula1>$B$41:$B$53</formula1>
    </dataValidation>
    <dataValidation type="list" allowBlank="1" showInputMessage="1" showErrorMessage="1" sqref="C20" xr:uid="{37F1E242-4BBF-44B4-B627-A5840FB03E7F}">
      <formula1>"Viabilidade,Cliente"</formula1>
    </dataValidation>
    <dataValidation type="list" allowBlank="1" showInputMessage="1" showErrorMessage="1" sqref="E60:E65" xr:uid="{7037D1F5-2830-40A9-B23F-124BE4218BE0}">
      <formula1>"Pós Venda,Pós Entrega"</formula1>
    </dataValidation>
    <dataValidation type="list" allowBlank="1" showInputMessage="1" showErrorMessage="1" sqref="E141:G142" xr:uid="{B60FD02C-D979-42BF-B115-62FACF171839}">
      <formula1>"Contrato,Disponivel"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3" tint="0.39997558519241921"/>
    <pageSetUpPr fitToPage="1"/>
  </sheetPr>
  <dimension ref="A1:AP91"/>
  <sheetViews>
    <sheetView showGridLines="0" topLeftCell="B7" zoomScale="80" zoomScaleNormal="80" zoomScaleSheetLayoutView="100" zoomScalePageLayoutView="90" workbookViewId="0">
      <selection activeCell="A43" sqref="A43:XFD43"/>
    </sheetView>
  </sheetViews>
  <sheetFormatPr defaultColWidth="8.85546875" defaultRowHeight="14.1"/>
  <cols>
    <col min="1" max="1" width="3.28515625" style="10" hidden="1" customWidth="1"/>
    <col min="2" max="2" width="16.42578125" style="11" customWidth="1"/>
    <col min="3" max="3" width="19.42578125" style="11" customWidth="1"/>
    <col min="4" max="4" width="19.85546875" style="12" bestFit="1" customWidth="1"/>
    <col min="5" max="5" width="19.85546875" style="12" hidden="1" customWidth="1"/>
    <col min="6" max="6" width="19.85546875" style="12" customWidth="1"/>
    <col min="7" max="7" width="44.140625" style="305" bestFit="1" customWidth="1"/>
    <col min="8" max="8" width="32.7109375" style="10" bestFit="1" customWidth="1"/>
    <col min="9" max="9" width="12" style="10" customWidth="1"/>
    <col min="10" max="11" width="13.7109375" style="10" customWidth="1"/>
    <col min="12" max="12" width="12" style="10" hidden="1" customWidth="1"/>
    <col min="13" max="13" width="16.85546875" style="10" customWidth="1"/>
    <col min="14" max="14" width="21.140625" style="10" customWidth="1"/>
    <col min="15" max="15" width="13.140625" style="10" customWidth="1"/>
    <col min="16" max="16" width="13.42578125" style="10" customWidth="1"/>
    <col min="17" max="17" width="14.85546875" style="10" customWidth="1"/>
    <col min="18" max="18" width="19.42578125" style="10" bestFit="1" customWidth="1"/>
    <col min="19" max="19" width="20.85546875" style="10" bestFit="1" customWidth="1"/>
    <col min="20" max="20" width="1.85546875" style="10" customWidth="1"/>
    <col min="21" max="21" width="16.42578125" style="10" customWidth="1"/>
    <col min="22" max="22" width="14.85546875" style="10" customWidth="1"/>
    <col min="23" max="23" width="12.85546875" style="10" bestFit="1" customWidth="1"/>
    <col min="24" max="25" width="8.85546875" style="10"/>
    <col min="26" max="26" width="16.42578125" style="10" bestFit="1" customWidth="1"/>
    <col min="27" max="27" width="8.140625" style="10" customWidth="1"/>
    <col min="28" max="28" width="16.28515625" style="10" bestFit="1" customWidth="1"/>
    <col min="29" max="29" width="14" style="10" bestFit="1" customWidth="1"/>
    <col min="30" max="30" width="16.7109375" style="10" bestFit="1" customWidth="1"/>
    <col min="31" max="41" width="8.85546875" style="10"/>
    <col min="42" max="42" width="12.42578125" style="10" bestFit="1" customWidth="1"/>
    <col min="43" max="16384" width="8.85546875" style="10"/>
  </cols>
  <sheetData>
    <row r="1" spans="1:23" ht="15" thickBot="1"/>
    <row r="2" spans="1:23" ht="18">
      <c r="A2" s="13"/>
      <c r="B2" s="14"/>
      <c r="C2" s="15"/>
      <c r="D2" s="15"/>
      <c r="E2" s="15"/>
      <c r="F2" s="15"/>
      <c r="G2" s="30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7"/>
      <c r="W2" s="10" t="s">
        <v>79</v>
      </c>
    </row>
    <row r="3" spans="1:23" ht="18">
      <c r="A3" s="18"/>
      <c r="B3" s="19"/>
      <c r="C3" s="20"/>
      <c r="D3" s="20"/>
      <c r="E3" s="20"/>
      <c r="F3" s="20"/>
      <c r="G3" s="307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</row>
    <row r="4" spans="1:23" ht="18">
      <c r="A4" s="18"/>
      <c r="B4" s="19"/>
      <c r="C4" s="20"/>
      <c r="D4" s="20"/>
      <c r="E4" s="20"/>
      <c r="F4" s="20"/>
      <c r="G4" s="307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/>
    </row>
    <row r="5" spans="1:23" ht="18">
      <c r="A5" s="18"/>
      <c r="B5" s="19"/>
      <c r="C5" s="20"/>
      <c r="D5" s="20"/>
      <c r="E5" s="20"/>
      <c r="F5" s="20"/>
      <c r="G5" s="307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 t="s">
        <v>108</v>
      </c>
      <c r="T5" s="21"/>
      <c r="U5" s="22"/>
    </row>
    <row r="6" spans="1:23" ht="18">
      <c r="A6" s="18"/>
      <c r="B6" s="19"/>
      <c r="C6" s="20"/>
      <c r="D6" s="20"/>
      <c r="E6" s="20"/>
      <c r="F6" s="20"/>
      <c r="G6" s="307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1:23" ht="18">
      <c r="A7" s="18"/>
      <c r="B7" s="19"/>
      <c r="C7" s="20"/>
      <c r="D7" s="20"/>
      <c r="E7" s="20"/>
      <c r="F7" s="20"/>
      <c r="G7" s="307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1:23" ht="18">
      <c r="A8" s="18"/>
      <c r="B8" s="19"/>
      <c r="C8" s="20"/>
      <c r="D8" s="20"/>
      <c r="E8" s="20"/>
      <c r="F8" s="20"/>
      <c r="G8" s="30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2"/>
    </row>
    <row r="9" spans="1:23" ht="30.95" customHeight="1">
      <c r="A9" s="18"/>
      <c r="B9" s="19"/>
      <c r="C9" s="20"/>
      <c r="D9" s="20"/>
      <c r="E9" s="20"/>
      <c r="F9" s="20"/>
      <c r="G9" s="30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2"/>
    </row>
    <row r="10" spans="1:23" ht="18.95" thickBot="1">
      <c r="A10" s="23"/>
      <c r="B10" s="24"/>
      <c r="C10" s="25"/>
      <c r="D10" s="25"/>
      <c r="E10" s="25"/>
      <c r="F10" s="25"/>
      <c r="G10" s="308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7"/>
    </row>
    <row r="11" spans="1:23" ht="27" customHeight="1" thickBot="1">
      <c r="A11" s="28"/>
      <c r="B11" s="449" t="s">
        <v>109</v>
      </c>
      <c r="C11" s="450"/>
      <c r="D11" s="450"/>
      <c r="E11" s="450"/>
      <c r="F11" s="450"/>
      <c r="G11" s="451"/>
      <c r="H11" s="450"/>
      <c r="I11" s="450"/>
      <c r="J11" s="450"/>
      <c r="K11" s="450"/>
      <c r="L11" s="450"/>
      <c r="M11" s="450"/>
      <c r="N11" s="450"/>
      <c r="O11" s="450"/>
      <c r="P11" s="450"/>
      <c r="Q11" s="450"/>
      <c r="R11" s="450"/>
      <c r="S11" s="450"/>
      <c r="T11" s="450"/>
      <c r="U11" s="452"/>
    </row>
    <row r="12" spans="1:23" ht="24.95" thickBot="1">
      <c r="A12" s="29"/>
      <c r="B12" s="453" t="s">
        <v>110</v>
      </c>
      <c r="C12" s="454"/>
      <c r="D12" s="454"/>
      <c r="E12" s="454"/>
      <c r="F12" s="454"/>
      <c r="G12" s="455"/>
      <c r="H12" s="454"/>
      <c r="I12" s="454"/>
      <c r="J12" s="454"/>
      <c r="K12" s="454"/>
      <c r="L12" s="454"/>
      <c r="M12" s="454"/>
      <c r="N12" s="454"/>
      <c r="O12" s="454"/>
      <c r="P12" s="454"/>
      <c r="Q12" s="454"/>
      <c r="R12" s="454"/>
      <c r="S12" s="454"/>
      <c r="T12" s="454"/>
      <c r="U12" s="456"/>
    </row>
    <row r="13" spans="1:23" ht="24" hidden="1">
      <c r="A13" s="30"/>
      <c r="B13" s="457" t="s">
        <v>1</v>
      </c>
      <c r="C13" s="457"/>
      <c r="D13" s="31" t="s">
        <v>2</v>
      </c>
      <c r="E13" s="31"/>
      <c r="F13" s="31"/>
      <c r="G13" s="309" t="s">
        <v>3</v>
      </c>
      <c r="H13" s="31"/>
      <c r="I13" s="31"/>
      <c r="J13" s="31"/>
      <c r="K13" s="31"/>
      <c r="L13" s="31"/>
      <c r="M13" s="31"/>
      <c r="N13" s="32">
        <v>1</v>
      </c>
      <c r="O13" s="32">
        <v>1</v>
      </c>
      <c r="P13" s="32">
        <v>1</v>
      </c>
      <c r="Q13" s="33">
        <v>6</v>
      </c>
      <c r="R13" s="33">
        <v>12</v>
      </c>
      <c r="S13" s="32"/>
      <c r="U13" s="32">
        <v>1</v>
      </c>
      <c r="V13" s="10" t="s">
        <v>111</v>
      </c>
    </row>
    <row r="14" spans="1:23" ht="24" hidden="1">
      <c r="A14" s="30"/>
      <c r="B14" s="34" t="s">
        <v>7</v>
      </c>
      <c r="C14" s="35">
        <f>M18</f>
        <v>45108</v>
      </c>
      <c r="D14" s="36">
        <f>YEAR(C14)</f>
        <v>2023</v>
      </c>
      <c r="E14" s="36"/>
      <c r="F14" s="36"/>
      <c r="G14" s="310">
        <f>Piloto!E5</f>
        <v>7</v>
      </c>
      <c r="H14" s="38"/>
      <c r="I14" s="38"/>
      <c r="J14" s="38"/>
      <c r="K14" s="38"/>
      <c r="L14" s="39"/>
      <c r="M14" s="38"/>
      <c r="N14" s="40" t="s">
        <v>68</v>
      </c>
      <c r="O14" s="40" t="s">
        <v>68</v>
      </c>
      <c r="P14" s="40" t="s">
        <v>68</v>
      </c>
      <c r="Q14" s="40" t="s">
        <v>68</v>
      </c>
      <c r="R14" s="40" t="s">
        <v>68</v>
      </c>
      <c r="S14" s="40"/>
      <c r="U14" s="40" t="s">
        <v>74</v>
      </c>
      <c r="V14" s="41" t="s">
        <v>112</v>
      </c>
    </row>
    <row r="15" spans="1:23" ht="24" hidden="1">
      <c r="A15" s="30"/>
      <c r="B15" s="34" t="s">
        <v>8</v>
      </c>
      <c r="C15" s="35">
        <v>45809</v>
      </c>
      <c r="D15" s="36">
        <f>YEAR(C15)</f>
        <v>2025</v>
      </c>
      <c r="E15" s="36"/>
      <c r="F15" s="36"/>
      <c r="G15" s="310">
        <f>MONTH(C15)</f>
        <v>6</v>
      </c>
      <c r="H15" s="37"/>
      <c r="I15" s="37"/>
      <c r="J15" s="37"/>
      <c r="K15" s="37"/>
      <c r="L15" s="42"/>
      <c r="M15" s="37"/>
      <c r="N15" s="43">
        <v>0</v>
      </c>
      <c r="O15" s="43">
        <v>1</v>
      </c>
      <c r="P15" s="43">
        <v>4</v>
      </c>
      <c r="Q15" s="44">
        <v>6</v>
      </c>
      <c r="R15" s="44">
        <f>Piloto!F64</f>
        <v>20</v>
      </c>
      <c r="S15" s="43"/>
      <c r="U15" s="43">
        <v>3</v>
      </c>
      <c r="V15" s="45" t="s">
        <v>113</v>
      </c>
    </row>
    <row r="16" spans="1:23" ht="24" hidden="1">
      <c r="A16" s="30"/>
      <c r="B16" s="46"/>
      <c r="C16" s="47"/>
      <c r="D16" s="48"/>
      <c r="E16" s="48"/>
      <c r="F16" s="48"/>
      <c r="G16" s="311"/>
      <c r="H16" s="49"/>
      <c r="I16" s="49"/>
      <c r="J16" s="49"/>
      <c r="K16" s="49"/>
      <c r="L16" s="50"/>
      <c r="M16" s="49"/>
      <c r="N16" s="51">
        <f>IF(N14="Pós Venda",DATE($D$14,$G$14+N15,10),DATE($D$15,$G$15+N15,10))</f>
        <v>45117</v>
      </c>
      <c r="O16" s="51">
        <f>IF(O14="Pós Venda",DATE($D$14,$G$14+O15,10),DATE($D$15,$G$15+O15,10))</f>
        <v>45148</v>
      </c>
      <c r="P16" s="51">
        <f>IF(P14="Pós Venda",DATE($D$14,$G$14+P15,10),DATE($D$15,$G$15+P15,10))</f>
        <v>45240</v>
      </c>
      <c r="Q16" s="51">
        <f>IF(Q14="Pós Venda",DATE($D$14,$G$14+Q15,10),DATE($D$15,$G$15+Q15,10))</f>
        <v>45301</v>
      </c>
      <c r="R16" s="51">
        <f>IF(R14="Pós Venda",DATE($D$14,$G$14+R15,10),DATE($D$15,$G$15+R15,10))</f>
        <v>45726</v>
      </c>
      <c r="S16" s="51"/>
      <c r="U16" s="51">
        <f>IF(U14="Pós Venda",DATE($D$14,$G$14+U15,10),DATE($D$15,$G$15+U15,1))</f>
        <v>45901</v>
      </c>
      <c r="V16" s="45" t="s">
        <v>114</v>
      </c>
    </row>
    <row r="17" spans="1:42" ht="18.95" hidden="1">
      <c r="A17" s="52"/>
      <c r="B17" s="458" t="s">
        <v>115</v>
      </c>
      <c r="C17" s="459"/>
      <c r="D17" s="459"/>
      <c r="E17" s="53"/>
      <c r="F17" s="53"/>
      <c r="G17" s="312"/>
      <c r="H17" s="53"/>
      <c r="I17" s="53"/>
      <c r="J17" s="53"/>
      <c r="K17" s="53"/>
      <c r="L17" s="54"/>
      <c r="M17" s="55">
        <v>45838</v>
      </c>
      <c r="N17" s="56">
        <v>1</v>
      </c>
      <c r="O17" s="56">
        <v>3</v>
      </c>
      <c r="P17" s="57">
        <f>Piloto!A62</f>
        <v>20</v>
      </c>
      <c r="Q17" s="57">
        <f>Piloto!A63</f>
        <v>3</v>
      </c>
      <c r="R17" s="56">
        <f>Piloto!A64</f>
        <v>1</v>
      </c>
      <c r="S17" s="21"/>
      <c r="T17" s="21"/>
      <c r="U17" s="56">
        <v>1</v>
      </c>
    </row>
    <row r="18" spans="1:42" ht="18.95" hidden="1">
      <c r="A18" s="52"/>
      <c r="B18" s="458" t="s">
        <v>116</v>
      </c>
      <c r="C18" s="459"/>
      <c r="D18" s="459"/>
      <c r="E18" s="53"/>
      <c r="F18" s="53"/>
      <c r="G18" s="312"/>
      <c r="H18" s="53"/>
      <c r="I18" s="53"/>
      <c r="J18" s="53"/>
      <c r="K18" s="53"/>
      <c r="L18" s="55"/>
      <c r="M18" s="55">
        <f>Piloto!C5</f>
        <v>45108</v>
      </c>
      <c r="N18" s="58">
        <f>N19*N17</f>
        <v>0.02</v>
      </c>
      <c r="O18" s="59">
        <f>O17*O19</f>
        <v>7.5000000000000011E-2</v>
      </c>
      <c r="P18" s="59">
        <f>P17*P19</f>
        <v>0.15049999999999999</v>
      </c>
      <c r="Q18" s="59">
        <f>Q17*Q19</f>
        <v>0.14450099999999999</v>
      </c>
      <c r="R18" s="59">
        <f>R17*R19</f>
        <v>0.06</v>
      </c>
      <c r="S18" s="21"/>
      <c r="T18" s="21"/>
      <c r="U18" s="22"/>
    </row>
    <row r="19" spans="1:42" ht="20.100000000000001" hidden="1" thickBot="1">
      <c r="A19" s="52"/>
      <c r="B19" s="458" t="s">
        <v>117</v>
      </c>
      <c r="C19" s="459"/>
      <c r="D19" s="459"/>
      <c r="E19" s="53"/>
      <c r="F19" s="53"/>
      <c r="G19" s="312"/>
      <c r="H19" s="53"/>
      <c r="I19" s="53"/>
      <c r="J19" s="53"/>
      <c r="K19" s="53"/>
      <c r="L19" s="55"/>
      <c r="M19" s="54"/>
      <c r="N19" s="60">
        <f>Piloto!C60</f>
        <v>0.02</v>
      </c>
      <c r="O19" s="60">
        <f>Piloto!C61</f>
        <v>2.5000000000000001E-2</v>
      </c>
      <c r="P19" s="60">
        <f>Piloto!C62</f>
        <v>7.5249999999999996E-3</v>
      </c>
      <c r="Q19" s="60">
        <f>Piloto!C63</f>
        <v>4.8167000000000001E-2</v>
      </c>
      <c r="R19" s="60">
        <f>Piloto!C64</f>
        <v>0.06</v>
      </c>
      <c r="S19" s="59">
        <f>O18+Q18+R18+P18+N18</f>
        <v>0.45000099999999998</v>
      </c>
      <c r="T19" s="61"/>
      <c r="U19" s="59">
        <f>100%-S19</f>
        <v>0.54999900000000002</v>
      </c>
    </row>
    <row r="20" spans="1:42" ht="20.100000000000001" thickBot="1">
      <c r="A20" s="52"/>
      <c r="B20" s="20"/>
      <c r="C20" s="20"/>
      <c r="D20" s="62"/>
      <c r="E20" s="62"/>
      <c r="F20" s="62"/>
      <c r="G20" s="313"/>
      <c r="H20" s="20"/>
      <c r="I20" s="20"/>
      <c r="J20" s="20"/>
      <c r="K20" s="20"/>
      <c r="L20" s="63"/>
      <c r="M20" s="20"/>
      <c r="N20" s="466" t="s">
        <v>118</v>
      </c>
      <c r="O20" s="467"/>
      <c r="P20" s="467"/>
      <c r="Q20" s="467"/>
      <c r="R20" s="467"/>
      <c r="S20" s="468"/>
      <c r="T20" s="61"/>
      <c r="U20" s="64" t="s">
        <v>119</v>
      </c>
    </row>
    <row r="21" spans="1:42" ht="40.5" customHeight="1">
      <c r="A21" s="472" t="s">
        <v>120</v>
      </c>
      <c r="B21" s="462" t="s">
        <v>121</v>
      </c>
      <c r="C21" s="445" t="s">
        <v>122</v>
      </c>
      <c r="D21" s="469" t="s">
        <v>123</v>
      </c>
      <c r="E21" s="469" t="s">
        <v>124</v>
      </c>
      <c r="F21" s="469" t="s">
        <v>125</v>
      </c>
      <c r="G21" s="475" t="s">
        <v>126</v>
      </c>
      <c r="H21" s="445" t="s">
        <v>127</v>
      </c>
      <c r="I21" s="447" t="s">
        <v>128</v>
      </c>
      <c r="J21" s="464" t="s">
        <v>129</v>
      </c>
      <c r="K21" s="462" t="s">
        <v>130</v>
      </c>
      <c r="L21" s="65"/>
      <c r="M21" s="445" t="s">
        <v>131</v>
      </c>
      <c r="N21" s="66" t="s">
        <v>132</v>
      </c>
      <c r="O21" s="66" t="s">
        <v>132</v>
      </c>
      <c r="P21" s="67" t="s">
        <v>71</v>
      </c>
      <c r="Q21" s="68" t="s">
        <v>72</v>
      </c>
      <c r="R21" s="68" t="s">
        <v>73</v>
      </c>
      <c r="S21" s="460" t="s">
        <v>133</v>
      </c>
      <c r="T21" s="69"/>
      <c r="U21" s="462" t="s">
        <v>134</v>
      </c>
    </row>
    <row r="22" spans="1:42" ht="17.25" customHeight="1" thickBot="1">
      <c r="A22" s="473"/>
      <c r="B22" s="463"/>
      <c r="C22" s="446"/>
      <c r="D22" s="470"/>
      <c r="E22" s="470"/>
      <c r="F22" s="470"/>
      <c r="G22" s="476"/>
      <c r="H22" s="446"/>
      <c r="I22" s="448"/>
      <c r="J22" s="465"/>
      <c r="K22" s="463"/>
      <c r="L22" s="70" t="s">
        <v>135</v>
      </c>
      <c r="M22" s="446"/>
      <c r="N22" s="71">
        <f>N17</f>
        <v>1</v>
      </c>
      <c r="O22" s="72">
        <f>O17</f>
        <v>3</v>
      </c>
      <c r="P22" s="73">
        <f>P17</f>
        <v>20</v>
      </c>
      <c r="Q22" s="71">
        <f>Q17</f>
        <v>3</v>
      </c>
      <c r="R22" s="71">
        <f>R17</f>
        <v>1</v>
      </c>
      <c r="S22" s="461"/>
      <c r="T22" s="69"/>
      <c r="U22" s="463"/>
    </row>
    <row r="23" spans="1:42" ht="39" customHeight="1" thickBot="1">
      <c r="A23" s="474"/>
      <c r="B23" s="463"/>
      <c r="C23" s="446"/>
      <c r="D23" s="471"/>
      <c r="E23" s="471"/>
      <c r="F23" s="471"/>
      <c r="G23" s="476"/>
      <c r="H23" s="446"/>
      <c r="I23" s="448"/>
      <c r="J23" s="465"/>
      <c r="K23" s="463"/>
      <c r="L23" s="74"/>
      <c r="M23" s="446"/>
      <c r="N23" s="319" t="s">
        <v>69</v>
      </c>
      <c r="O23" s="328" t="s">
        <v>136</v>
      </c>
      <c r="P23" s="329">
        <f>P16</f>
        <v>45240</v>
      </c>
      <c r="Q23" s="330">
        <f>Q16</f>
        <v>45301</v>
      </c>
      <c r="R23" s="329">
        <f>R16</f>
        <v>45726</v>
      </c>
      <c r="S23" s="461"/>
      <c r="T23" s="69"/>
      <c r="U23" s="463"/>
      <c r="AP23" s="76">
        <v>550.33000000000004</v>
      </c>
    </row>
    <row r="24" spans="1:42" ht="30" customHeight="1" thickBot="1">
      <c r="A24" s="75"/>
      <c r="B24" s="406">
        <v>401</v>
      </c>
      <c r="C24" s="407">
        <f t="shared" ref="C24:C55" si="0">D24+F24+J24</f>
        <v>550.33000000000004</v>
      </c>
      <c r="D24" s="407">
        <f>INDEX('Banco de Dados'!$A$1:$AV$68,MATCH(Tabelas!B24,'Banco de Dados'!$A$1:$A$68,0),4)</f>
        <v>412.26</v>
      </c>
      <c r="E24" s="323">
        <f>INDEX('Banco de Dados'!$A$1:$AV$68,MATCH(Tabelas!B24,'Banco de Dados'!$A$1:$A$68,0),5)</f>
        <v>0</v>
      </c>
      <c r="F24" s="407">
        <f>INDEX('Banco de Dados'!$A$1:$AV$68,MATCH(Tabelas!B24,'Banco de Dados'!$A$1:$A$68,0),6)</f>
        <v>132</v>
      </c>
      <c r="G24" s="408" t="str">
        <f>INDEX('Banco de Dados'!$A$1:$AW$68,MATCH(Tabelas!B24,'Banco de Dados'!$A$1:$A$68,0),49)</f>
        <v>190/191/195/195A</v>
      </c>
      <c r="H24" s="407" t="s">
        <v>137</v>
      </c>
      <c r="I24" s="406" t="s">
        <v>138</v>
      </c>
      <c r="J24" s="407">
        <f>INDEX('Banco de Dados'!$A$1:$AV$68,MATCH(Tabelas!B24,'Banco de Dados'!$A$1:$A$68,0),40)</f>
        <v>6.07</v>
      </c>
      <c r="K24" s="407" t="str">
        <f>INDEX('Banco de Dados'!$A$1:$AV$68,MATCH(Tabelas!B24,'Banco de Dados'!$A$1:$A$68,0),41)</f>
        <v>TER</v>
      </c>
      <c r="L24" s="326">
        <f t="shared" ref="L24:L55" si="1">M24/C24</f>
        <v>10777.965947704104</v>
      </c>
      <c r="M24" s="409">
        <f>VLOOKUP($B24,Piloto!$B$72:$H$140,5,0)</f>
        <v>5931438</v>
      </c>
      <c r="N24" s="409">
        <f t="shared" ref="N24:N55" si="2">$N$19*M24</f>
        <v>118628.76000000001</v>
      </c>
      <c r="O24" s="409">
        <f t="shared" ref="O24:O55" si="3">$O$19*M24</f>
        <v>148285.95000000001</v>
      </c>
      <c r="P24" s="409">
        <f t="shared" ref="P24:P55" si="4">$P$19*M24</f>
        <v>44634.070949999994</v>
      </c>
      <c r="Q24" s="409">
        <f t="shared" ref="Q24:Q55" si="5">$Q$19*M24</f>
        <v>285699.57414600003</v>
      </c>
      <c r="R24" s="409">
        <f t="shared" ref="R24:R55" si="6">$R$19*M24</f>
        <v>355886.27999999997</v>
      </c>
      <c r="S24" s="409">
        <f t="shared" ref="S24:S55" si="7">N24*$N$17+O24*$O$17+Q24*$Q$17+R24*$R$17+P24*$P$17</f>
        <v>2669153.031438</v>
      </c>
      <c r="T24" s="320"/>
      <c r="U24" s="409">
        <f t="shared" ref="U24:U55" si="8">$U$19*M24</f>
        <v>3262284.968562</v>
      </c>
      <c r="V24" s="10" t="str">
        <f>VLOOKUP(B24,Piloto!$B$74:$E$140,4,0)</f>
        <v>Disponível</v>
      </c>
      <c r="W24" s="84"/>
      <c r="X24" s="85"/>
      <c r="AP24" s="76">
        <v>499.49</v>
      </c>
    </row>
    <row r="25" spans="1:42" ht="30" customHeight="1" thickBot="1">
      <c r="A25" s="75"/>
      <c r="B25" s="406">
        <v>402</v>
      </c>
      <c r="C25" s="407">
        <f t="shared" si="0"/>
        <v>499.49</v>
      </c>
      <c r="D25" s="407">
        <f>INDEX('Banco de Dados'!$A$1:$AV$68,MATCH(Tabelas!B25,'Banco de Dados'!$A$1:$A$68,0),4)</f>
        <v>343.97</v>
      </c>
      <c r="E25" s="324">
        <f>INDEX('Banco de Dados'!$A$1:$AV$68,MATCH(Tabelas!B25,'Banco de Dados'!$A$1:$A$68,0),5)</f>
        <v>0</v>
      </c>
      <c r="F25" s="407">
        <f>INDEX('Banco de Dados'!$A$1:$AV$68,MATCH(Tabelas!B25,'Banco de Dados'!$A$1:$A$68,0),6)</f>
        <v>150.43</v>
      </c>
      <c r="G25" s="408" t="str">
        <f>INDEX('Banco de Dados'!$A$1:$AW$68,MATCH(Tabelas!B25,'Banco de Dados'!$A$1:$A$68,0),49)</f>
        <v>188/189/196/196A</v>
      </c>
      <c r="H25" s="407" t="s">
        <v>137</v>
      </c>
      <c r="I25" s="406" t="s">
        <v>139</v>
      </c>
      <c r="J25" s="407">
        <f>INDEX('Banco de Dados'!$A$1:$AV$68,MATCH(Tabelas!B25,'Banco de Dados'!$A$1:$A$68,0),40)</f>
        <v>5.09</v>
      </c>
      <c r="K25" s="407" t="str">
        <f>INDEX('Banco de Dados'!$A$1:$AV$68,MATCH(Tabelas!B25,'Banco de Dados'!$A$1:$A$68,0),41)</f>
        <v>TER</v>
      </c>
      <c r="L25" s="327">
        <f t="shared" si="1"/>
        <v>10777.965524835332</v>
      </c>
      <c r="M25" s="409">
        <f>VLOOKUP($B25,Piloto!$B$72:$H$140,5,0)</f>
        <v>5383486</v>
      </c>
      <c r="N25" s="409">
        <f t="shared" si="2"/>
        <v>107669.72</v>
      </c>
      <c r="O25" s="409">
        <f t="shared" si="3"/>
        <v>134587.15</v>
      </c>
      <c r="P25" s="409">
        <f t="shared" si="4"/>
        <v>40510.732149999996</v>
      </c>
      <c r="Q25" s="409">
        <f t="shared" si="5"/>
        <v>259306.37016200001</v>
      </c>
      <c r="R25" s="409">
        <f t="shared" si="6"/>
        <v>323009.15999999997</v>
      </c>
      <c r="S25" s="409">
        <f t="shared" si="7"/>
        <v>2422574.0834860001</v>
      </c>
      <c r="T25" s="320"/>
      <c r="U25" s="409">
        <f t="shared" si="8"/>
        <v>2960911.9165139999</v>
      </c>
      <c r="V25" s="10" t="str">
        <f>VLOOKUP(B25,Piloto!$B$74:$E$140,4,0)</f>
        <v>Disponível</v>
      </c>
      <c r="W25" s="87"/>
      <c r="AA25" s="88"/>
      <c r="AP25" s="76">
        <v>404.59</v>
      </c>
    </row>
    <row r="26" spans="1:42" ht="22.5" hidden="1" customHeight="1" thickBot="1">
      <c r="A26" s="75"/>
      <c r="B26" s="365">
        <v>501</v>
      </c>
      <c r="C26" s="366">
        <f t="shared" si="0"/>
        <v>404.59</v>
      </c>
      <c r="D26" s="334">
        <f>INDEX('Banco de Dados'!$A$1:$AV$68,MATCH(Tabelas!B26,'Banco de Dados'!$A$1:$A$68,0),4)</f>
        <v>365.71</v>
      </c>
      <c r="E26" s="102">
        <f>INDEX('Banco de Dados'!$A$1:$AV$68,MATCH(Tabelas!B26,'Banco de Dados'!$A$1:$A$68,0),5)</f>
        <v>0</v>
      </c>
      <c r="F26" s="334">
        <f>INDEX('Banco de Dados'!$A$1:$AV$68,MATCH(Tabelas!B26,'Banco de Dados'!$A$1:$A$68,0),6)</f>
        <v>32.89</v>
      </c>
      <c r="G26" s="367" t="str">
        <f>INDEX('Banco de Dados'!$A$1:$AW$68,MATCH(Tabelas!B26,'Banco de Dados'!$A$1:$A$68,0),49)</f>
        <v>109/120/207/207A</v>
      </c>
      <c r="H26" s="338" t="s">
        <v>140</v>
      </c>
      <c r="I26" s="368" t="s">
        <v>141</v>
      </c>
      <c r="J26" s="338">
        <f>INDEX('Banco de Dados'!$A$1:$AV$68,MATCH(Tabelas!B26,'Banco de Dados'!$A$1:$A$68,0),40)</f>
        <v>5.99</v>
      </c>
      <c r="K26" s="338" t="str">
        <f>INDEX('Banco de Dados'!$A$1:$AV$68,MATCH(Tabelas!B26,'Banco de Dados'!$A$1:$A$68,0),41)</f>
        <v>TER</v>
      </c>
      <c r="L26" s="79">
        <f t="shared" si="1"/>
        <v>12388.464865666478</v>
      </c>
      <c r="M26" s="369">
        <f>VLOOKUP($B26,Piloto!$B$72:$H$140,5,0)</f>
        <v>5012249</v>
      </c>
      <c r="N26" s="83">
        <f t="shared" si="2"/>
        <v>100244.98</v>
      </c>
      <c r="O26" s="369">
        <f t="shared" si="3"/>
        <v>125306.22500000001</v>
      </c>
      <c r="P26" s="370">
        <f t="shared" si="4"/>
        <v>37717.173725000001</v>
      </c>
      <c r="Q26" s="83">
        <f t="shared" si="5"/>
        <v>241424.99758300002</v>
      </c>
      <c r="R26" s="369">
        <f t="shared" si="6"/>
        <v>300734.94</v>
      </c>
      <c r="S26" s="369">
        <f t="shared" si="7"/>
        <v>2255517.0622490002</v>
      </c>
      <c r="T26" s="83"/>
      <c r="U26" s="369">
        <f t="shared" si="8"/>
        <v>2756731.9377510003</v>
      </c>
      <c r="V26" s="10" t="str">
        <f>VLOOKUP(B26,Piloto!$B$74:$E$140,4,0)</f>
        <v>Vendida</v>
      </c>
      <c r="W26" s="87"/>
      <c r="AA26" s="88"/>
      <c r="AP26" s="76">
        <v>329.15</v>
      </c>
    </row>
    <row r="27" spans="1:42" ht="30" customHeight="1" thickBot="1">
      <c r="A27" s="75"/>
      <c r="B27" s="406">
        <v>502</v>
      </c>
      <c r="C27" s="407">
        <f t="shared" si="0"/>
        <v>329.15</v>
      </c>
      <c r="D27" s="407">
        <f>INDEX('Banco de Dados'!$A$1:$AV$68,MATCH(Tabelas!B27,'Banco de Dados'!$A$1:$A$68,0),4)</f>
        <v>293.27999999999997</v>
      </c>
      <c r="E27" s="324">
        <f>INDEX('Banco de Dados'!$A$1:$AV$68,MATCH(Tabelas!B27,'Banco de Dados'!$A$1:$A$68,0),5)</f>
        <v>0</v>
      </c>
      <c r="F27" s="407">
        <f>INDEX('Banco de Dados'!$A$1:$AV$68,MATCH(Tabelas!B27,'Banco de Dados'!$A$1:$A$68,0),6)</f>
        <v>30.15</v>
      </c>
      <c r="G27" s="408" t="str">
        <f>INDEX('Banco de Dados'!$A$1:$AW$68,MATCH(Tabelas!B27,'Banco de Dados'!$A$1:$A$68,0),49)</f>
        <v>98/98A/83/84</v>
      </c>
      <c r="H27" s="407" t="s">
        <v>142</v>
      </c>
      <c r="I27" s="406" t="s">
        <v>143</v>
      </c>
      <c r="J27" s="407">
        <f>INDEX('Banco de Dados'!$A$1:$AV$68,MATCH(Tabelas!B27,'Banco de Dados'!$A$1:$A$68,0),40)</f>
        <v>5.72</v>
      </c>
      <c r="K27" s="407" t="str">
        <f>INDEX('Banco de Dados'!$A$1:$AV$68,MATCH(Tabelas!B27,'Banco de Dados'!$A$1:$A$68,0),41)</f>
        <v>SS2</v>
      </c>
      <c r="L27" s="327">
        <f t="shared" si="1"/>
        <v>12388.464226036762</v>
      </c>
      <c r="M27" s="409">
        <f>VLOOKUP($B27,Piloto!$B$72:$H$140,5,0)</f>
        <v>4077663</v>
      </c>
      <c r="N27" s="409">
        <f t="shared" si="2"/>
        <v>81553.259999999995</v>
      </c>
      <c r="O27" s="409">
        <f t="shared" si="3"/>
        <v>101941.57500000001</v>
      </c>
      <c r="P27" s="409">
        <f t="shared" si="4"/>
        <v>30684.414074999997</v>
      </c>
      <c r="Q27" s="409">
        <f t="shared" si="5"/>
        <v>196408.79372099999</v>
      </c>
      <c r="R27" s="409">
        <f t="shared" si="6"/>
        <v>244659.78</v>
      </c>
      <c r="S27" s="409">
        <f t="shared" si="7"/>
        <v>1834952.4276629998</v>
      </c>
      <c r="T27" s="320"/>
      <c r="U27" s="409">
        <f t="shared" si="8"/>
        <v>2242710.5723370002</v>
      </c>
      <c r="V27" s="10" t="str">
        <f>VLOOKUP(B27,Piloto!$B$74:$E$140,4,0)</f>
        <v>Disponível</v>
      </c>
      <c r="W27" s="87"/>
      <c r="AA27" s="88"/>
      <c r="AP27" s="76">
        <v>360.05</v>
      </c>
    </row>
    <row r="28" spans="1:42" ht="30" customHeight="1" thickBot="1">
      <c r="A28" s="89"/>
      <c r="B28" s="406">
        <v>601</v>
      </c>
      <c r="C28" s="407">
        <f t="shared" si="0"/>
        <v>360.05</v>
      </c>
      <c r="D28" s="407">
        <f>INDEX('Banco de Dados'!$A$1:$AV$68,MATCH(Tabelas!B28,'Banco de Dados'!$A$1:$A$68,0),4)</f>
        <v>354.22</v>
      </c>
      <c r="E28" s="324">
        <f>INDEX('Banco de Dados'!$A$1:$AV$68,MATCH(Tabelas!B28,'Banco de Dados'!$A$1:$A$68,0),5)</f>
        <v>0</v>
      </c>
      <c r="F28" s="407">
        <f>INDEX('Banco de Dados'!$A$1:$AV$68,MATCH(Tabelas!B28,'Banco de Dados'!$A$1:$A$68,0),6)</f>
        <v>0</v>
      </c>
      <c r="G28" s="408" t="str">
        <f>INDEX('Banco de Dados'!$A$1:$AW$68,MATCH(Tabelas!B28,'Banco de Dados'!$A$1:$A$68,0),49)</f>
        <v>95/108/206/206A</v>
      </c>
      <c r="H28" s="407" t="s">
        <v>140</v>
      </c>
      <c r="I28" s="406" t="s">
        <v>144</v>
      </c>
      <c r="J28" s="407">
        <f>INDEX('Banco de Dados'!$A$1:$AV$68,MATCH(Tabelas!B28,'Banco de Dados'!$A$1:$A$68,0),40)</f>
        <v>5.83</v>
      </c>
      <c r="K28" s="407" t="str">
        <f>INDEX('Banco de Dados'!$A$1:$AV$68,MATCH(Tabelas!B28,'Banco de Dados'!$A$1:$A$68,0),41)</f>
        <v>TER</v>
      </c>
      <c r="L28" s="327">
        <f t="shared" si="1"/>
        <v>12388.46549090404</v>
      </c>
      <c r="M28" s="409">
        <f>VLOOKUP($B28,Piloto!$B$72:$H$140,5,0)</f>
        <v>4460467</v>
      </c>
      <c r="N28" s="409">
        <f t="shared" si="2"/>
        <v>89209.34</v>
      </c>
      <c r="O28" s="409">
        <f t="shared" si="3"/>
        <v>111511.675</v>
      </c>
      <c r="P28" s="409">
        <f t="shared" si="4"/>
        <v>33565.014174999997</v>
      </c>
      <c r="Q28" s="409">
        <f t="shared" si="5"/>
        <v>214847.31398900002</v>
      </c>
      <c r="R28" s="409">
        <f t="shared" si="6"/>
        <v>267628.02</v>
      </c>
      <c r="S28" s="409">
        <f t="shared" si="7"/>
        <v>2007214.6104669999</v>
      </c>
      <c r="T28" s="320"/>
      <c r="U28" s="409">
        <f t="shared" si="8"/>
        <v>2453252.3895330001</v>
      </c>
      <c r="V28" s="10" t="str">
        <f>VLOOKUP(B28,Piloto!$B$74:$E$140,4,0)</f>
        <v>Disponível</v>
      </c>
      <c r="W28" s="87"/>
      <c r="AP28" s="76">
        <v>313.77</v>
      </c>
    </row>
    <row r="29" spans="1:42" ht="30" hidden="1" customHeight="1" thickBot="1">
      <c r="A29" s="89"/>
      <c r="B29" s="406">
        <v>602</v>
      </c>
      <c r="C29" s="407">
        <f t="shared" si="0"/>
        <v>313.77</v>
      </c>
      <c r="D29" s="407">
        <f>INDEX('Banco de Dados'!$A$1:$AV$68,MATCH(Tabelas!B29,'Banco de Dados'!$A$1:$A$68,0),4)</f>
        <v>308.43</v>
      </c>
      <c r="E29" s="324">
        <f>INDEX('Banco de Dados'!$A$1:$AV$68,MATCH(Tabelas!B29,'Banco de Dados'!$A$1:$A$68,0),5)</f>
        <v>0</v>
      </c>
      <c r="F29" s="407">
        <f>INDEX('Banco de Dados'!$A$1:$AV$68,MATCH(Tabelas!B29,'Banco de Dados'!$A$1:$A$68,0),6)</f>
        <v>0</v>
      </c>
      <c r="G29" s="408" t="str">
        <f>INDEX('Banco de Dados'!$A$1:$AW$68,MATCH(Tabelas!B29,'Banco de Dados'!$A$1:$A$68,0),49)</f>
        <v>97/97A/79/80</v>
      </c>
      <c r="H29" s="407" t="s">
        <v>142</v>
      </c>
      <c r="I29" s="406" t="s">
        <v>145</v>
      </c>
      <c r="J29" s="407">
        <f>INDEX('Banco de Dados'!$A$1:$AV$68,MATCH(Tabelas!B29,'Banco de Dados'!$A$1:$A$68,0),40)</f>
        <v>5.34</v>
      </c>
      <c r="K29" s="407" t="str">
        <f>INDEX('Banco de Dados'!$A$1:$AV$68,MATCH(Tabelas!B29,'Banco de Dados'!$A$1:$A$68,0),41)</f>
        <v>SS2</v>
      </c>
      <c r="L29" s="327">
        <f t="shared" si="1"/>
        <v>12388.46607387577</v>
      </c>
      <c r="M29" s="409">
        <f>VLOOKUP($B29,Piloto!$B$72:$H$140,5,0)</f>
        <v>3887129</v>
      </c>
      <c r="N29" s="409">
        <f t="shared" si="2"/>
        <v>77742.58</v>
      </c>
      <c r="O29" s="409">
        <f t="shared" si="3"/>
        <v>97178.225000000006</v>
      </c>
      <c r="P29" s="409">
        <f t="shared" si="4"/>
        <v>29250.645724999998</v>
      </c>
      <c r="Q29" s="409">
        <f t="shared" si="5"/>
        <v>187231.34254300001</v>
      </c>
      <c r="R29" s="409">
        <f t="shared" si="6"/>
        <v>233227.74</v>
      </c>
      <c r="S29" s="409">
        <f t="shared" si="7"/>
        <v>1749211.937129</v>
      </c>
      <c r="T29" s="320"/>
      <c r="U29" s="409">
        <f t="shared" si="8"/>
        <v>2137917.0628710003</v>
      </c>
      <c r="V29" s="10" t="str">
        <f>VLOOKUP(B29,Piloto!$B$74:$E$140,4,0)</f>
        <v>Vendida</v>
      </c>
      <c r="W29" s="87"/>
      <c r="AP29" s="76">
        <v>370.81</v>
      </c>
    </row>
    <row r="30" spans="1:42" ht="22.5" hidden="1" customHeight="1" thickBot="1">
      <c r="A30" s="89"/>
      <c r="B30" s="365">
        <v>701</v>
      </c>
      <c r="C30" s="366">
        <f t="shared" si="0"/>
        <v>370.81</v>
      </c>
      <c r="D30" s="334">
        <f>INDEX('Banco de Dados'!$A$1:$AV$68,MATCH(Tabelas!B30,'Banco de Dados'!$A$1:$A$68,0),4)</f>
        <v>365.71</v>
      </c>
      <c r="E30" s="102">
        <f>INDEX('Banco de Dados'!$A$1:$AV$68,MATCH(Tabelas!B30,'Banco de Dados'!$A$1:$A$68,0),5)</f>
        <v>0</v>
      </c>
      <c r="F30" s="334">
        <f>INDEX('Banco de Dados'!$A$1:$AV$68,MATCH(Tabelas!B30,'Banco de Dados'!$A$1:$A$68,0),6)</f>
        <v>0</v>
      </c>
      <c r="G30" s="367" t="str">
        <f>INDEX('Banco de Dados'!$A$1:$AW$68,MATCH(Tabelas!B30,'Banco de Dados'!$A$1:$A$68,0),49)</f>
        <v>121/122/202/202A</v>
      </c>
      <c r="H30" s="338" t="s">
        <v>140</v>
      </c>
      <c r="I30" s="368" t="s">
        <v>146</v>
      </c>
      <c r="J30" s="338">
        <f>INDEX('Banco de Dados'!$A$1:$AV$68,MATCH(Tabelas!B30,'Banco de Dados'!$A$1:$A$68,0),40)</f>
        <v>5.0999999999999996</v>
      </c>
      <c r="K30" s="338" t="str">
        <f>INDEX('Banco de Dados'!$A$1:$AV$68,MATCH(Tabelas!B30,'Banco de Dados'!$A$1:$A$68,0),41)</f>
        <v>TER</v>
      </c>
      <c r="L30" s="79">
        <f t="shared" si="1"/>
        <v>12388.465791105957</v>
      </c>
      <c r="M30" s="369">
        <f>VLOOKUP($B30,Piloto!$B$72:$H$140,5,0)</f>
        <v>4593767</v>
      </c>
      <c r="N30" s="83">
        <f t="shared" si="2"/>
        <v>91875.34</v>
      </c>
      <c r="O30" s="369">
        <f t="shared" si="3"/>
        <v>114844.175</v>
      </c>
      <c r="P30" s="370">
        <f t="shared" si="4"/>
        <v>34568.096675000001</v>
      </c>
      <c r="Q30" s="83">
        <f t="shared" si="5"/>
        <v>221267.97508900001</v>
      </c>
      <c r="R30" s="369">
        <f t="shared" si="6"/>
        <v>275626.02</v>
      </c>
      <c r="S30" s="369">
        <f t="shared" si="7"/>
        <v>2067199.743767</v>
      </c>
      <c r="T30" s="83"/>
      <c r="U30" s="369">
        <f t="shared" si="8"/>
        <v>2526567.2562330002</v>
      </c>
      <c r="V30" s="10" t="str">
        <f>VLOOKUP(B30,Piloto!$B$74:$E$140,4,0)</f>
        <v>Vendida</v>
      </c>
      <c r="W30" s="87"/>
      <c r="AP30" s="76">
        <v>298.29999999999995</v>
      </c>
    </row>
    <row r="31" spans="1:42" ht="30" customHeight="1" thickBot="1">
      <c r="A31" s="89"/>
      <c r="B31" s="406">
        <v>702</v>
      </c>
      <c r="C31" s="407">
        <f t="shared" si="0"/>
        <v>298.29999999999995</v>
      </c>
      <c r="D31" s="407">
        <f>INDEX('Banco de Dados'!$A$1:$AV$68,MATCH(Tabelas!B31,'Banco de Dados'!$A$1:$A$68,0),4)</f>
        <v>293.27999999999997</v>
      </c>
      <c r="E31" s="324">
        <f>INDEX('Banco de Dados'!$A$1:$AV$68,MATCH(Tabelas!B31,'Banco de Dados'!$A$1:$A$68,0),5)</f>
        <v>0</v>
      </c>
      <c r="F31" s="407">
        <f>INDEX('Banco de Dados'!$A$1:$AV$68,MATCH(Tabelas!B31,'Banco de Dados'!$A$1:$A$68,0),6)</f>
        <v>0</v>
      </c>
      <c r="G31" s="408" t="str">
        <f>INDEX('Banco de Dados'!$A$1:$AW$68,MATCH(Tabelas!B31,'Banco de Dados'!$A$1:$A$68,0),49)</f>
        <v>137/137A/75/76</v>
      </c>
      <c r="H31" s="407" t="s">
        <v>142</v>
      </c>
      <c r="I31" s="406" t="s">
        <v>147</v>
      </c>
      <c r="J31" s="407">
        <f>INDEX('Banco de Dados'!$A$1:$AV$68,MATCH(Tabelas!B31,'Banco de Dados'!$A$1:$A$68,0),40)</f>
        <v>5.0199999999999996</v>
      </c>
      <c r="K31" s="407" t="str">
        <f>INDEX('Banco de Dados'!$A$1:$AV$68,MATCH(Tabelas!B31,'Banco de Dados'!$A$1:$A$68,0),41)</f>
        <v>SS2</v>
      </c>
      <c r="L31" s="327">
        <f t="shared" si="1"/>
        <v>12388.46463291988</v>
      </c>
      <c r="M31" s="409">
        <f>VLOOKUP($B31,Piloto!$B$72:$H$140,5,0)</f>
        <v>3695479</v>
      </c>
      <c r="N31" s="409">
        <f t="shared" si="2"/>
        <v>73909.58</v>
      </c>
      <c r="O31" s="409">
        <f t="shared" si="3"/>
        <v>92386.975000000006</v>
      </c>
      <c r="P31" s="409">
        <f t="shared" si="4"/>
        <v>27808.479475</v>
      </c>
      <c r="Q31" s="409">
        <f t="shared" si="5"/>
        <v>178000.13699299999</v>
      </c>
      <c r="R31" s="409">
        <f t="shared" si="6"/>
        <v>221728.74</v>
      </c>
      <c r="S31" s="409">
        <f t="shared" si="7"/>
        <v>1662969.245479</v>
      </c>
      <c r="T31" s="320"/>
      <c r="U31" s="409">
        <f t="shared" si="8"/>
        <v>2032509.754521</v>
      </c>
      <c r="V31" s="10" t="str">
        <f>VLOOKUP(B31,Piloto!$B$74:$E$140,4,0)</f>
        <v>Disponível</v>
      </c>
      <c r="W31" s="87"/>
      <c r="AP31" s="76">
        <v>359.31</v>
      </c>
    </row>
    <row r="32" spans="1:42" ht="30" customHeight="1" thickBot="1">
      <c r="A32" s="89"/>
      <c r="B32" s="406">
        <v>801</v>
      </c>
      <c r="C32" s="407">
        <f t="shared" si="0"/>
        <v>359.31</v>
      </c>
      <c r="D32" s="407">
        <f>INDEX('Banco de Dados'!$A$1:$AV$68,MATCH(Tabelas!B32,'Banco de Dados'!$A$1:$A$68,0),4)</f>
        <v>354.22</v>
      </c>
      <c r="E32" s="324">
        <f>INDEX('Banco de Dados'!$A$1:$AV$68,MATCH(Tabelas!B32,'Banco de Dados'!$A$1:$A$68,0),5)</f>
        <v>0</v>
      </c>
      <c r="F32" s="407">
        <f>INDEX('Banco de Dados'!$A$1:$AV$68,MATCH(Tabelas!B32,'Banco de Dados'!$A$1:$A$68,0),6)</f>
        <v>0</v>
      </c>
      <c r="G32" s="408" t="str">
        <f>INDEX('Banco de Dados'!$A$1:$AW$68,MATCH(Tabelas!B32,'Banco de Dados'!$A$1:$A$68,0),49)</f>
        <v>93/94/201/201A</v>
      </c>
      <c r="H32" s="407" t="s">
        <v>140</v>
      </c>
      <c r="I32" s="406" t="s">
        <v>148</v>
      </c>
      <c r="J32" s="407">
        <f>INDEX('Banco de Dados'!$A$1:$AV$68,MATCH(Tabelas!B32,'Banco de Dados'!$A$1:$A$68,0),40)</f>
        <v>5.09</v>
      </c>
      <c r="K32" s="407" t="str">
        <f>INDEX('Banco de Dados'!$A$1:$AV$68,MATCH(Tabelas!B32,'Banco de Dados'!$A$1:$A$68,0),41)</f>
        <v>TER</v>
      </c>
      <c r="L32" s="327">
        <f t="shared" si="1"/>
        <v>12388.466783557375</v>
      </c>
      <c r="M32" s="409">
        <f>VLOOKUP($B32,Piloto!$B$72:$H$140,5,0)</f>
        <v>4451300</v>
      </c>
      <c r="N32" s="409">
        <f t="shared" si="2"/>
        <v>89026</v>
      </c>
      <c r="O32" s="409">
        <f t="shared" si="3"/>
        <v>111282.5</v>
      </c>
      <c r="P32" s="409">
        <f t="shared" si="4"/>
        <v>33496.032500000001</v>
      </c>
      <c r="Q32" s="409">
        <f t="shared" si="5"/>
        <v>214405.7671</v>
      </c>
      <c r="R32" s="409">
        <f t="shared" si="6"/>
        <v>267078</v>
      </c>
      <c r="S32" s="409">
        <f t="shared" si="7"/>
        <v>2003089.4512999998</v>
      </c>
      <c r="T32" s="320"/>
      <c r="U32" s="409">
        <f t="shared" si="8"/>
        <v>2448210.5487000002</v>
      </c>
      <c r="V32" s="10" t="str">
        <f>VLOOKUP(B32,Piloto!$B$74:$E$140,4,0)</f>
        <v>Disponível</v>
      </c>
      <c r="W32" s="87"/>
      <c r="AP32" s="76">
        <v>313.72000000000003</v>
      </c>
    </row>
    <row r="33" spans="1:42" ht="22.5" hidden="1" customHeight="1" thickBot="1">
      <c r="A33" s="89"/>
      <c r="B33" s="371">
        <v>802</v>
      </c>
      <c r="C33" s="372">
        <f t="shared" si="0"/>
        <v>313.72000000000003</v>
      </c>
      <c r="D33" s="102">
        <f>INDEX('Banco de Dados'!$A$1:$AV$68,MATCH(Tabelas!B33,'Banco de Dados'!$A$1:$A$68,0),4)</f>
        <v>308.43</v>
      </c>
      <c r="E33" s="102">
        <f>INDEX('Banco de Dados'!$A$1:$AV$68,MATCH(Tabelas!B33,'Banco de Dados'!$A$1:$A$68,0),5)</f>
        <v>0</v>
      </c>
      <c r="F33" s="102">
        <f>INDEX('Banco de Dados'!$A$1:$AV$68,MATCH(Tabelas!B33,'Banco de Dados'!$A$1:$A$68,0),6)</f>
        <v>0</v>
      </c>
      <c r="G33" s="373" t="str">
        <f>INDEX('Banco de Dados'!$A$1:$AW$68,MATCH(Tabelas!B33,'Banco de Dados'!$A$1:$A$68,0),49)</f>
        <v>138/138A/26/27</v>
      </c>
      <c r="H33" s="100" t="s">
        <v>142</v>
      </c>
      <c r="I33" s="374" t="s">
        <v>149</v>
      </c>
      <c r="J33" s="100">
        <f>INDEX('Banco de Dados'!$A$1:$AV$68,MATCH(Tabelas!B33,'Banco de Dados'!$A$1:$A$68,0),40)</f>
        <v>5.29</v>
      </c>
      <c r="K33" s="100" t="str">
        <f>INDEX('Banco de Dados'!$A$1:$AV$68,MATCH(Tabelas!B33,'Banco de Dados'!$A$1:$A$68,0),41)</f>
        <v>SS2</v>
      </c>
      <c r="L33" s="79">
        <f t="shared" si="1"/>
        <v>12388.464235624122</v>
      </c>
      <c r="M33" s="375">
        <f>VLOOKUP($B33,Piloto!$B$72:$H$140,5,0)</f>
        <v>3886509</v>
      </c>
      <c r="N33" s="376">
        <f t="shared" si="2"/>
        <v>77730.180000000008</v>
      </c>
      <c r="O33" s="375">
        <f t="shared" si="3"/>
        <v>97162.725000000006</v>
      </c>
      <c r="P33" s="377">
        <f t="shared" si="4"/>
        <v>29245.980224999999</v>
      </c>
      <c r="Q33" s="376">
        <f t="shared" si="5"/>
        <v>187201.47900300001</v>
      </c>
      <c r="R33" s="375">
        <f t="shared" si="6"/>
        <v>233190.53999999998</v>
      </c>
      <c r="S33" s="375">
        <f t="shared" si="7"/>
        <v>1748932.9365090001</v>
      </c>
      <c r="T33" s="83"/>
      <c r="U33" s="375">
        <f t="shared" si="8"/>
        <v>2137576.0634909999</v>
      </c>
      <c r="V33" s="10" t="str">
        <f>VLOOKUP(B33,Piloto!$B$74:$E$140,4,0)</f>
        <v>Vendida</v>
      </c>
      <c r="W33" s="87"/>
      <c r="AP33" s="76">
        <v>370.79999999999995</v>
      </c>
    </row>
    <row r="34" spans="1:42" ht="22.5" hidden="1" customHeight="1" thickBot="1">
      <c r="A34" s="89"/>
      <c r="B34" s="331">
        <v>901</v>
      </c>
      <c r="C34" s="332">
        <f t="shared" si="0"/>
        <v>370.79999999999995</v>
      </c>
      <c r="D34" s="333">
        <f>INDEX('Banco de Dados'!$A$1:$AV$68,MATCH(Tabelas!B34,'Banco de Dados'!$A$1:$A$68,0),4)</f>
        <v>365.71</v>
      </c>
      <c r="E34" s="102">
        <f>INDEX('Banco de Dados'!$A$1:$AV$68,MATCH(Tabelas!B34,'Banco de Dados'!$A$1:$A$68,0),5)</f>
        <v>0</v>
      </c>
      <c r="F34" s="334">
        <f>INDEX('Banco de Dados'!$A$1:$AV$68,MATCH(Tabelas!B34,'Banco de Dados'!$A$1:$A$68,0),6)</f>
        <v>0</v>
      </c>
      <c r="G34" s="342" t="str">
        <f>INDEX('Banco de Dados'!$A$1:$AW$68,MATCH(Tabelas!B34,'Banco de Dados'!$A$1:$A$68,0),49)</f>
        <v>164/165/200/200A</v>
      </c>
      <c r="H34" s="336" t="s">
        <v>140</v>
      </c>
      <c r="I34" s="337" t="s">
        <v>150</v>
      </c>
      <c r="J34" s="336">
        <f>INDEX('Banco de Dados'!$A$1:$AV$68,MATCH(Tabelas!B34,'Banco de Dados'!$A$1:$A$68,0),40)</f>
        <v>5.09</v>
      </c>
      <c r="K34" s="338" t="str">
        <f>INDEX('Banco de Dados'!$A$1:$AV$68,MATCH(Tabelas!B34,'Banco de Dados'!$A$1:$A$68,0),41)</f>
        <v>TER</v>
      </c>
      <c r="L34" s="79">
        <f t="shared" si="1"/>
        <v>12388.465480043151</v>
      </c>
      <c r="M34" s="339">
        <f>VLOOKUP($B34,Piloto!$B$72:$H$140,5,0)</f>
        <v>4593643</v>
      </c>
      <c r="N34" s="340">
        <f t="shared" si="2"/>
        <v>91872.86</v>
      </c>
      <c r="O34" s="339">
        <f t="shared" si="3"/>
        <v>114841.07500000001</v>
      </c>
      <c r="P34" s="341">
        <f t="shared" si="4"/>
        <v>34567.163574999999</v>
      </c>
      <c r="Q34" s="340">
        <f t="shared" si="5"/>
        <v>221262.002381</v>
      </c>
      <c r="R34" s="339">
        <f t="shared" si="6"/>
        <v>275618.58</v>
      </c>
      <c r="S34" s="339">
        <f t="shared" si="7"/>
        <v>2067143.9436430002</v>
      </c>
      <c r="T34" s="83"/>
      <c r="U34" s="339">
        <f t="shared" si="8"/>
        <v>2526499.056357</v>
      </c>
      <c r="V34" s="10" t="str">
        <f>VLOOKUP(B34,Piloto!$B$74:$E$140,4,0)</f>
        <v>Vendida</v>
      </c>
      <c r="W34" s="87"/>
      <c r="AP34" s="76">
        <v>297.54999999999995</v>
      </c>
    </row>
    <row r="35" spans="1:42" ht="30" customHeight="1" thickBot="1">
      <c r="A35" s="89"/>
      <c r="B35" s="406">
        <v>902</v>
      </c>
      <c r="C35" s="407">
        <f t="shared" si="0"/>
        <v>297.54999999999995</v>
      </c>
      <c r="D35" s="407">
        <f>INDEX('Banco de Dados'!$A$1:$AV$68,MATCH(Tabelas!B35,'Banco de Dados'!$A$1:$A$68,0),4)</f>
        <v>293.27999999999997</v>
      </c>
      <c r="E35" s="324">
        <f>INDEX('Banco de Dados'!$A$1:$AV$68,MATCH(Tabelas!B35,'Banco de Dados'!$A$1:$A$68,0),5)</f>
        <v>0</v>
      </c>
      <c r="F35" s="407">
        <f>INDEX('Banco de Dados'!$A$1:$AV$68,MATCH(Tabelas!B35,'Banco de Dados'!$A$1:$A$68,0),6)</f>
        <v>0</v>
      </c>
      <c r="G35" s="408" t="str">
        <f>INDEX('Banco de Dados'!$A$1:$AW$68,MATCH(Tabelas!B35,'Banco de Dados'!$A$1:$A$68,0),49)</f>
        <v>139/139A/28/29</v>
      </c>
      <c r="H35" s="407" t="s">
        <v>142</v>
      </c>
      <c r="I35" s="406" t="s">
        <v>151</v>
      </c>
      <c r="J35" s="407">
        <f>INDEX('Banco de Dados'!$A$1:$AV$68,MATCH(Tabelas!B35,'Banco de Dados'!$A$1:$A$68,0),40)</f>
        <v>4.2699999999999996</v>
      </c>
      <c r="K35" s="407" t="str">
        <f>INDEX('Banco de Dados'!$A$1:$AV$68,MATCH(Tabelas!B35,'Banco de Dados'!$A$1:$A$68,0),41)</f>
        <v>SS2</v>
      </c>
      <c r="L35" s="327">
        <f t="shared" si="1"/>
        <v>12388.465804066545</v>
      </c>
      <c r="M35" s="409">
        <f>VLOOKUP($B35,Piloto!$B$72:$H$140,5,0)</f>
        <v>3686188</v>
      </c>
      <c r="N35" s="409">
        <f t="shared" si="2"/>
        <v>73723.759999999995</v>
      </c>
      <c r="O35" s="409">
        <f t="shared" si="3"/>
        <v>92154.700000000012</v>
      </c>
      <c r="P35" s="409">
        <f t="shared" si="4"/>
        <v>27738.564699999999</v>
      </c>
      <c r="Q35" s="409">
        <f t="shared" si="5"/>
        <v>177552.61739600002</v>
      </c>
      <c r="R35" s="409">
        <f t="shared" si="6"/>
        <v>221171.28</v>
      </c>
      <c r="S35" s="409">
        <f t="shared" si="7"/>
        <v>1658788.2861880001</v>
      </c>
      <c r="T35" s="320"/>
      <c r="U35" s="409">
        <f t="shared" si="8"/>
        <v>2027399.7138120001</v>
      </c>
      <c r="V35" s="10" t="str">
        <f>VLOOKUP(B35,Piloto!$B$74:$E$140,4,0)</f>
        <v>Disponível</v>
      </c>
      <c r="W35" s="87"/>
      <c r="AP35" s="76">
        <v>312.51</v>
      </c>
    </row>
    <row r="36" spans="1:42" ht="30" hidden="1" customHeight="1" thickBot="1">
      <c r="A36" s="75"/>
      <c r="B36" s="406">
        <v>1001</v>
      </c>
      <c r="C36" s="407">
        <f t="shared" si="0"/>
        <v>359.31</v>
      </c>
      <c r="D36" s="407">
        <f>INDEX('Banco de Dados'!$A$1:$AV$68,MATCH(Tabelas!B36,'Banco de Dados'!$A$1:$A$68,0),4)</f>
        <v>354.22</v>
      </c>
      <c r="E36" s="324">
        <f>INDEX('Banco de Dados'!$A$1:$AV$68,MATCH(Tabelas!B36,'Banco de Dados'!$A$1:$A$68,0),5)</f>
        <v>0</v>
      </c>
      <c r="F36" s="407">
        <f>INDEX('Banco de Dados'!$A$1:$AV$68,MATCH(Tabelas!B36,'Banco de Dados'!$A$1:$A$68,0),6)</f>
        <v>0</v>
      </c>
      <c r="G36" s="408" t="str">
        <f>INDEX('Banco de Dados'!$A$1:$AW$68,MATCH(Tabelas!B36,'Banco de Dados'!$A$1:$A$68,0),49)</f>
        <v>110/111/199/199A</v>
      </c>
      <c r="H36" s="407" t="s">
        <v>140</v>
      </c>
      <c r="I36" s="406" t="s">
        <v>152</v>
      </c>
      <c r="J36" s="407">
        <f>INDEX('Banco de Dados'!$A$1:$AV$68,MATCH(Tabelas!B36,'Banco de Dados'!$A$1:$A$68,0),40)</f>
        <v>5.09</v>
      </c>
      <c r="K36" s="407" t="str">
        <f>INDEX('Banco de Dados'!$A$1:$AV$68,MATCH(Tabelas!B36,'Banco de Dados'!$A$1:$A$68,0),41)</f>
        <v>TER</v>
      </c>
      <c r="L36" s="327">
        <f t="shared" si="1"/>
        <v>12388.466783557375</v>
      </c>
      <c r="M36" s="409">
        <f>VLOOKUP($B36,Piloto!$B$72:$H$140,5,0)</f>
        <v>4451300</v>
      </c>
      <c r="N36" s="409">
        <f t="shared" si="2"/>
        <v>89026</v>
      </c>
      <c r="O36" s="409">
        <f t="shared" si="3"/>
        <v>111282.5</v>
      </c>
      <c r="P36" s="409">
        <f t="shared" si="4"/>
        <v>33496.032500000001</v>
      </c>
      <c r="Q36" s="409">
        <f t="shared" si="5"/>
        <v>214405.7671</v>
      </c>
      <c r="R36" s="409">
        <f t="shared" si="6"/>
        <v>267078</v>
      </c>
      <c r="S36" s="409">
        <f t="shared" si="7"/>
        <v>2003089.4512999998</v>
      </c>
      <c r="T36" s="320"/>
      <c r="U36" s="409">
        <f t="shared" si="8"/>
        <v>2448210.5487000002</v>
      </c>
      <c r="V36" s="10" t="str">
        <f>VLOOKUP(B36,Piloto!$B$74:$E$140,4,0)</f>
        <v>Vendida</v>
      </c>
      <c r="W36" s="87"/>
      <c r="AA36" s="88"/>
      <c r="AP36" s="76">
        <v>298.19</v>
      </c>
    </row>
    <row r="37" spans="1:42" ht="22.5" hidden="1" customHeight="1" thickBot="1">
      <c r="A37" s="75"/>
      <c r="B37" s="371">
        <v>1002</v>
      </c>
      <c r="C37" s="372">
        <f t="shared" si="0"/>
        <v>312.51</v>
      </c>
      <c r="D37" s="102">
        <f>INDEX('Banco de Dados'!$A$1:$AV$68,MATCH(Tabelas!B37,'Banco de Dados'!$A$1:$A$68,0),4)</f>
        <v>308.43</v>
      </c>
      <c r="E37" s="102">
        <f>INDEX('Banco de Dados'!$A$1:$AV$68,MATCH(Tabelas!B37,'Banco de Dados'!$A$1:$A$68,0),5)</f>
        <v>0</v>
      </c>
      <c r="F37" s="102">
        <f>INDEX('Banco de Dados'!$A$1:$AV$68,MATCH(Tabelas!B37,'Banco de Dados'!$A$1:$A$68,0),6)</f>
        <v>0</v>
      </c>
      <c r="G37" s="373" t="str">
        <f>INDEX('Banco de Dados'!$A$1:$AW$68,MATCH(Tabelas!B37,'Banco de Dados'!$A$1:$A$68,0),49)</f>
        <v>140/140A/25/30</v>
      </c>
      <c r="H37" s="100" t="s">
        <v>142</v>
      </c>
      <c r="I37" s="374" t="s">
        <v>153</v>
      </c>
      <c r="J37" s="100">
        <f>INDEX('Banco de Dados'!$A$1:$AV$68,MATCH(Tabelas!B37,'Banco de Dados'!$A$1:$A$68,0),40)</f>
        <v>4.08</v>
      </c>
      <c r="K37" s="100" t="str">
        <f>INDEX('Banco de Dados'!$A$1:$AV$68,MATCH(Tabelas!B37,'Banco de Dados'!$A$1:$A$68,0),41)</f>
        <v>SS2</v>
      </c>
      <c r="L37" s="79">
        <f t="shared" si="1"/>
        <v>12388.464369140187</v>
      </c>
      <c r="M37" s="375">
        <f>VLOOKUP($B37,Piloto!$B$72:$H$140,5,0)</f>
        <v>3871519</v>
      </c>
      <c r="N37" s="376">
        <f t="shared" si="2"/>
        <v>77430.38</v>
      </c>
      <c r="O37" s="375">
        <f t="shared" si="3"/>
        <v>96787.975000000006</v>
      </c>
      <c r="P37" s="377">
        <f t="shared" si="4"/>
        <v>29133.180474999997</v>
      </c>
      <c r="Q37" s="376">
        <f t="shared" si="5"/>
        <v>186479.45567300002</v>
      </c>
      <c r="R37" s="375">
        <f t="shared" si="6"/>
        <v>232291.13999999998</v>
      </c>
      <c r="S37" s="375">
        <f t="shared" si="7"/>
        <v>1742187.4215190001</v>
      </c>
      <c r="T37" s="83"/>
      <c r="U37" s="375">
        <f t="shared" si="8"/>
        <v>2129331.5784809999</v>
      </c>
      <c r="V37" s="10" t="str">
        <f>VLOOKUP(B37,Piloto!$B$74:$E$140,4,0)</f>
        <v>Vendida</v>
      </c>
      <c r="W37" s="87"/>
      <c r="AA37" s="88"/>
      <c r="AP37" s="76">
        <v>312.70999999999998</v>
      </c>
    </row>
    <row r="38" spans="1:42" ht="22.5" hidden="1" customHeight="1" thickBot="1">
      <c r="A38" s="75"/>
      <c r="B38" s="331">
        <v>1101</v>
      </c>
      <c r="C38" s="332">
        <f t="shared" si="0"/>
        <v>370.79999999999995</v>
      </c>
      <c r="D38" s="333">
        <f>INDEX('Banco de Dados'!$A$1:$AV$68,MATCH(Tabelas!B38,'Banco de Dados'!$A$1:$A$68,0),4)</f>
        <v>365.71</v>
      </c>
      <c r="E38" s="102">
        <f>INDEX('Banco de Dados'!$A$1:$AV$68,MATCH(Tabelas!B38,'Banco de Dados'!$A$1:$A$68,0),5)</f>
        <v>0</v>
      </c>
      <c r="F38" s="334">
        <f>INDEX('Banco de Dados'!$A$1:$AV$68,MATCH(Tabelas!B38,'Banco de Dados'!$A$1:$A$68,0),6)</f>
        <v>0</v>
      </c>
      <c r="G38" s="335" t="str">
        <f>INDEX('Banco de Dados'!$A$1:$AW$68,MATCH(Tabelas!B38,'Banco de Dados'!$A$1:$A$68,0),49)</f>
        <v>118/119/198/198A</v>
      </c>
      <c r="H38" s="336" t="s">
        <v>140</v>
      </c>
      <c r="I38" s="337" t="s">
        <v>154</v>
      </c>
      <c r="J38" s="336">
        <f>INDEX('Banco de Dados'!$A$1:$AV$68,MATCH(Tabelas!B38,'Banco de Dados'!$A$1:$A$68,0),40)</f>
        <v>5.09</v>
      </c>
      <c r="K38" s="338" t="str">
        <f>INDEX('Banco de Dados'!$A$1:$AV$68,MATCH(Tabelas!B38,'Banco de Dados'!$A$1:$A$68,0),41)</f>
        <v>TER</v>
      </c>
      <c r="L38" s="79">
        <f t="shared" si="1"/>
        <v>13379.544228694716</v>
      </c>
      <c r="M38" s="339">
        <f>VLOOKUP($B38,Piloto!$B$72:$H$140,5,0)</f>
        <v>4961135</v>
      </c>
      <c r="N38" s="340">
        <f t="shared" si="2"/>
        <v>99222.7</v>
      </c>
      <c r="O38" s="339">
        <f t="shared" si="3"/>
        <v>124028.375</v>
      </c>
      <c r="P38" s="341">
        <f t="shared" si="4"/>
        <v>37332.540874999999</v>
      </c>
      <c r="Q38" s="340">
        <f t="shared" si="5"/>
        <v>238962.98954500002</v>
      </c>
      <c r="R38" s="339">
        <f t="shared" si="6"/>
        <v>297668.09999999998</v>
      </c>
      <c r="S38" s="339">
        <f t="shared" si="7"/>
        <v>2232515.711135</v>
      </c>
      <c r="T38" s="83"/>
      <c r="U38" s="339">
        <f t="shared" si="8"/>
        <v>2728619.288865</v>
      </c>
      <c r="V38" s="10" t="str">
        <f>VLOOKUP(B38,Piloto!$B$74:$E$140,4,0)</f>
        <v>Vendida</v>
      </c>
      <c r="W38" s="87"/>
      <c r="AA38" s="88"/>
      <c r="AP38" s="76">
        <v>371.40999999999997</v>
      </c>
    </row>
    <row r="39" spans="1:42" ht="30" customHeight="1" thickBot="1">
      <c r="A39" s="75"/>
      <c r="B39" s="406">
        <v>1102</v>
      </c>
      <c r="C39" s="407">
        <f t="shared" si="0"/>
        <v>298.19</v>
      </c>
      <c r="D39" s="407">
        <f>INDEX('Banco de Dados'!$A$1:$AV$68,MATCH(Tabelas!B39,'Banco de Dados'!$A$1:$A$68,0),4)</f>
        <v>293.27999999999997</v>
      </c>
      <c r="E39" s="324">
        <f>INDEX('Banco de Dados'!$A$1:$AV$68,MATCH(Tabelas!B39,'Banco de Dados'!$A$1:$A$68,0),5)</f>
        <v>0</v>
      </c>
      <c r="F39" s="407">
        <f>INDEX('Banco de Dados'!$A$1:$AV$68,MATCH(Tabelas!B39,'Banco de Dados'!$A$1:$A$68,0),6)</f>
        <v>0</v>
      </c>
      <c r="G39" s="408" t="str">
        <f>INDEX('Banco de Dados'!$A$1:$AW$68,MATCH(Tabelas!B39,'Banco de Dados'!$A$1:$A$68,0),49)</f>
        <v>144/144A/71/72</v>
      </c>
      <c r="H39" s="407" t="s">
        <v>142</v>
      </c>
      <c r="I39" s="406" t="s">
        <v>155</v>
      </c>
      <c r="J39" s="407">
        <f>INDEX('Banco de Dados'!$A$1:$AV$68,MATCH(Tabelas!B39,'Banco de Dados'!$A$1:$A$68,0),40)</f>
        <v>4.91</v>
      </c>
      <c r="K39" s="407" t="str">
        <f>INDEX('Banco de Dados'!$A$1:$AV$68,MATCH(Tabelas!B39,'Banco de Dados'!$A$1:$A$68,0),41)</f>
        <v>SS2</v>
      </c>
      <c r="L39" s="327">
        <f t="shared" si="1"/>
        <v>12388.467084744627</v>
      </c>
      <c r="M39" s="409">
        <f>VLOOKUP($B39,Piloto!$B$72:$H$140,5,0)</f>
        <v>3694117</v>
      </c>
      <c r="N39" s="409">
        <f t="shared" si="2"/>
        <v>73882.34</v>
      </c>
      <c r="O39" s="409">
        <f t="shared" si="3"/>
        <v>92352.925000000003</v>
      </c>
      <c r="P39" s="409">
        <f t="shared" si="4"/>
        <v>27798.230424999998</v>
      </c>
      <c r="Q39" s="409">
        <f t="shared" si="5"/>
        <v>177934.533539</v>
      </c>
      <c r="R39" s="409">
        <f t="shared" si="6"/>
        <v>221647.02</v>
      </c>
      <c r="S39" s="409">
        <f t="shared" si="7"/>
        <v>1662356.3441169998</v>
      </c>
      <c r="T39" s="320"/>
      <c r="U39" s="409">
        <f t="shared" si="8"/>
        <v>2031760.655883</v>
      </c>
      <c r="V39" s="10" t="str">
        <f>VLOOKUP(B39,Piloto!$B$74:$E$140,4,0)</f>
        <v>Disponível</v>
      </c>
      <c r="W39" s="87"/>
      <c r="AA39" s="88"/>
      <c r="AP39" s="76">
        <v>297.35999999999996</v>
      </c>
    </row>
    <row r="40" spans="1:42" ht="30" hidden="1" customHeight="1" thickBot="1">
      <c r="A40" s="75"/>
      <c r="B40" s="406">
        <v>1201</v>
      </c>
      <c r="C40" s="407">
        <f t="shared" si="0"/>
        <v>359.31</v>
      </c>
      <c r="D40" s="407">
        <f>INDEX('Banco de Dados'!$A$1:$AV$68,MATCH(Tabelas!B40,'Banco de Dados'!$A$1:$A$68,0),4)</f>
        <v>354.22</v>
      </c>
      <c r="E40" s="324">
        <f>INDEX('Banco de Dados'!$A$1:$AV$68,MATCH(Tabelas!B40,'Banco de Dados'!$A$1:$A$68,0),5)</f>
        <v>0</v>
      </c>
      <c r="F40" s="407">
        <f>INDEX('Banco de Dados'!$A$1:$AV$68,MATCH(Tabelas!B40,'Banco de Dados'!$A$1:$A$68,0),6)</f>
        <v>0</v>
      </c>
      <c r="G40" s="408" t="str">
        <f>INDEX('Banco de Dados'!$A$1:$AW$68,MATCH(Tabelas!B40,'Banco de Dados'!$A$1:$A$68,0),49)</f>
        <v>112/117/197/197A</v>
      </c>
      <c r="H40" s="407" t="s">
        <v>140</v>
      </c>
      <c r="I40" s="406" t="s">
        <v>156</v>
      </c>
      <c r="J40" s="407">
        <f>INDEX('Banco de Dados'!$A$1:$AV$68,MATCH(Tabelas!B40,'Banco de Dados'!$A$1:$A$68,0),40)</f>
        <v>5.09</v>
      </c>
      <c r="K40" s="407" t="str">
        <f>INDEX('Banco de Dados'!$A$1:$AV$68,MATCH(Tabelas!B40,'Banco de Dados'!$A$1:$A$68,0),41)</f>
        <v>TER</v>
      </c>
      <c r="L40" s="327">
        <f t="shared" si="1"/>
        <v>12388.466783557375</v>
      </c>
      <c r="M40" s="409">
        <f>VLOOKUP($B40,Piloto!$B$72:$H$140,5,0)</f>
        <v>4451300</v>
      </c>
      <c r="N40" s="409">
        <f t="shared" si="2"/>
        <v>89026</v>
      </c>
      <c r="O40" s="409">
        <f t="shared" si="3"/>
        <v>111282.5</v>
      </c>
      <c r="P40" s="409">
        <f t="shared" si="4"/>
        <v>33496.032500000001</v>
      </c>
      <c r="Q40" s="409">
        <f t="shared" si="5"/>
        <v>214405.7671</v>
      </c>
      <c r="R40" s="409">
        <f t="shared" si="6"/>
        <v>267078</v>
      </c>
      <c r="S40" s="409">
        <f t="shared" si="7"/>
        <v>2003089.4512999998</v>
      </c>
      <c r="T40" s="320"/>
      <c r="U40" s="409">
        <f t="shared" si="8"/>
        <v>2448210.5487000002</v>
      </c>
      <c r="V40" s="10" t="str">
        <f>VLOOKUP(B40,Piloto!$B$74:$E$140,4,0)</f>
        <v>Vendida</v>
      </c>
      <c r="W40" s="87"/>
      <c r="AA40" s="88"/>
      <c r="AP40" s="76">
        <v>359.54</v>
      </c>
    </row>
    <row r="41" spans="1:42" ht="22.5" hidden="1" customHeight="1" thickBot="1">
      <c r="A41" s="75"/>
      <c r="B41" s="371">
        <v>1202</v>
      </c>
      <c r="C41" s="372">
        <f t="shared" si="0"/>
        <v>312.70999999999998</v>
      </c>
      <c r="D41" s="102">
        <f>INDEX('Banco de Dados'!$A$1:$AV$68,MATCH(Tabelas!B41,'Banco de Dados'!$A$1:$A$68,0),4)</f>
        <v>308.43</v>
      </c>
      <c r="E41" s="102">
        <f>INDEX('Banco de Dados'!$A$1:$AV$68,MATCH(Tabelas!B41,'Banco de Dados'!$A$1:$A$68,0),5)</f>
        <v>0</v>
      </c>
      <c r="F41" s="102">
        <f>INDEX('Banco de Dados'!$A$1:$AV$68,MATCH(Tabelas!B41,'Banco de Dados'!$A$1:$A$68,0),6)</f>
        <v>0</v>
      </c>
      <c r="G41" s="373" t="str">
        <f>INDEX('Banco de Dados'!$A$1:$AW$68,MATCH(Tabelas!B41,'Banco de Dados'!$A$1:$A$68,0),49)</f>
        <v>145/145A/33/22</v>
      </c>
      <c r="H41" s="100" t="s">
        <v>142</v>
      </c>
      <c r="I41" s="374" t="s">
        <v>157</v>
      </c>
      <c r="J41" s="100">
        <f>INDEX('Banco de Dados'!$A$1:$AV$68,MATCH(Tabelas!B41,'Banco de Dados'!$A$1:$A$68,0),40)</f>
        <v>4.28</v>
      </c>
      <c r="K41" s="100" t="str">
        <f>INDEX('Banco de Dados'!$A$1:$AV$68,MATCH(Tabelas!B41,'Banco de Dados'!$A$1:$A$68,0),41)</f>
        <v>SS2</v>
      </c>
      <c r="L41" s="79">
        <f t="shared" si="1"/>
        <v>12388.465351283938</v>
      </c>
      <c r="M41" s="375">
        <f>VLOOKUP($B41,Piloto!$B$72:$H$140,5,0)</f>
        <v>3873997</v>
      </c>
      <c r="N41" s="376">
        <f t="shared" si="2"/>
        <v>77479.94</v>
      </c>
      <c r="O41" s="375">
        <f t="shared" si="3"/>
        <v>96849.925000000003</v>
      </c>
      <c r="P41" s="377">
        <f t="shared" si="4"/>
        <v>29151.827424999999</v>
      </c>
      <c r="Q41" s="376">
        <f t="shared" si="5"/>
        <v>186598.81349900001</v>
      </c>
      <c r="R41" s="375">
        <f t="shared" si="6"/>
        <v>232439.81999999998</v>
      </c>
      <c r="S41" s="375">
        <f t="shared" si="7"/>
        <v>1743302.5239970002</v>
      </c>
      <c r="T41" s="83"/>
      <c r="U41" s="375">
        <f t="shared" si="8"/>
        <v>2130694.476003</v>
      </c>
      <c r="V41" s="10" t="str">
        <f>VLOOKUP(B41,Piloto!$B$74:$E$140,4,0)</f>
        <v>Vendida</v>
      </c>
      <c r="W41" s="87"/>
      <c r="AA41" s="88"/>
      <c r="AP41" s="76">
        <v>312.88</v>
      </c>
    </row>
    <row r="42" spans="1:42" ht="22.5" hidden="1" customHeight="1" thickBot="1">
      <c r="A42" s="75"/>
      <c r="B42" s="331">
        <v>1301</v>
      </c>
      <c r="C42" s="332">
        <f t="shared" si="0"/>
        <v>371.40999999999997</v>
      </c>
      <c r="D42" s="333">
        <f>INDEX('Banco de Dados'!$A$1:$AV$68,MATCH(Tabelas!B42,'Banco de Dados'!$A$1:$A$68,0),4)</f>
        <v>365.71</v>
      </c>
      <c r="E42" s="102">
        <f>INDEX('Banco de Dados'!$A$1:$AV$68,MATCH(Tabelas!B42,'Banco de Dados'!$A$1:$A$68,0),5)</f>
        <v>0</v>
      </c>
      <c r="F42" s="334">
        <f>INDEX('Banco de Dados'!$A$1:$AV$68,MATCH(Tabelas!B42,'Banco de Dados'!$A$1:$A$68,0),6)</f>
        <v>0</v>
      </c>
      <c r="G42" s="342" t="str">
        <f>INDEX('Banco de Dados'!$A$1:$AW$68,MATCH(Tabelas!B42,'Banco de Dados'!$A$1:$A$68,0),49)</f>
        <v>105/125/175/176</v>
      </c>
      <c r="H42" s="336" t="s">
        <v>158</v>
      </c>
      <c r="I42" s="337" t="s">
        <v>159</v>
      </c>
      <c r="J42" s="336">
        <f>INDEX('Banco de Dados'!$A$1:$AV$68,MATCH(Tabelas!B42,'Banco de Dados'!$A$1:$A$68,0),40)</f>
        <v>5.7</v>
      </c>
      <c r="K42" s="338" t="str">
        <f>INDEX('Banco de Dados'!$A$1:$AV$68,MATCH(Tabelas!B42,'Banco de Dados'!$A$1:$A$68,0),41)</f>
        <v>SS1</v>
      </c>
      <c r="L42" s="79">
        <f t="shared" si="1"/>
        <v>12388.465577125011</v>
      </c>
      <c r="M42" s="339">
        <f>VLOOKUP($B42,Piloto!$B$72:$H$140,5,0)</f>
        <v>4601200</v>
      </c>
      <c r="N42" s="340">
        <f t="shared" si="2"/>
        <v>92024</v>
      </c>
      <c r="O42" s="339">
        <f t="shared" si="3"/>
        <v>115030</v>
      </c>
      <c r="P42" s="341">
        <f t="shared" si="4"/>
        <v>34624.03</v>
      </c>
      <c r="Q42" s="340">
        <f t="shared" si="5"/>
        <v>221626.00040000002</v>
      </c>
      <c r="R42" s="339">
        <f t="shared" si="6"/>
        <v>276072</v>
      </c>
      <c r="S42" s="339">
        <f t="shared" si="7"/>
        <v>2070544.6011999999</v>
      </c>
      <c r="T42" s="83"/>
      <c r="U42" s="339">
        <f t="shared" si="8"/>
        <v>2530655.3988000001</v>
      </c>
      <c r="V42" s="10" t="str">
        <f>VLOOKUP(B42,Piloto!$B$74:$E$140,4,0)</f>
        <v>Vendida</v>
      </c>
      <c r="W42" s="87"/>
      <c r="AA42" s="88"/>
      <c r="AP42" s="76">
        <v>371.59</v>
      </c>
    </row>
    <row r="43" spans="1:42" ht="30" customHeight="1" thickBot="1">
      <c r="A43" s="75"/>
      <c r="B43" s="406">
        <v>1302</v>
      </c>
      <c r="C43" s="407">
        <f t="shared" si="0"/>
        <v>297.35999999999996</v>
      </c>
      <c r="D43" s="407">
        <f>INDEX('Banco de Dados'!$A$1:$AV$68,MATCH(Tabelas!B43,'Banco de Dados'!$A$1:$A$68,0),4)</f>
        <v>293.27999999999997</v>
      </c>
      <c r="E43" s="324">
        <f>INDEX('Banco de Dados'!$A$1:$AV$68,MATCH(Tabelas!B43,'Banco de Dados'!$A$1:$A$68,0),5)</f>
        <v>0</v>
      </c>
      <c r="F43" s="407">
        <f>INDEX('Banco de Dados'!$A$1:$AV$68,MATCH(Tabelas!B43,'Banco de Dados'!$A$1:$A$68,0),6)</f>
        <v>0</v>
      </c>
      <c r="G43" s="408" t="str">
        <f>INDEX('Banco de Dados'!$A$1:$AW$68,MATCH(Tabelas!B43,'Banco de Dados'!$A$1:$A$68,0),49)</f>
        <v>146/146A/81/82</v>
      </c>
      <c r="H43" s="407" t="s">
        <v>142</v>
      </c>
      <c r="I43" s="406" t="s">
        <v>160</v>
      </c>
      <c r="J43" s="407">
        <f>INDEX('Banco de Dados'!$A$1:$AV$68,MATCH(Tabelas!B43,'Banco de Dados'!$A$1:$A$68,0),40)</f>
        <v>4.08</v>
      </c>
      <c r="K43" s="407" t="str">
        <f>INDEX('Banco de Dados'!$A$1:$AV$68,MATCH(Tabelas!B43,'Banco de Dados'!$A$1:$A$68,0),41)</f>
        <v>SS2</v>
      </c>
      <c r="L43" s="327">
        <f t="shared" si="1"/>
        <v>12388.465160075331</v>
      </c>
      <c r="M43" s="409">
        <f>VLOOKUP($B43,Piloto!$B$72:$H$140,5,0)</f>
        <v>3683834</v>
      </c>
      <c r="N43" s="409">
        <f t="shared" si="2"/>
        <v>73676.680000000008</v>
      </c>
      <c r="O43" s="409">
        <f t="shared" si="3"/>
        <v>92095.85</v>
      </c>
      <c r="P43" s="409">
        <f t="shared" si="4"/>
        <v>27720.850849999999</v>
      </c>
      <c r="Q43" s="409">
        <f t="shared" si="5"/>
        <v>177439.23227800001</v>
      </c>
      <c r="R43" s="409">
        <f t="shared" si="6"/>
        <v>221030.03999999998</v>
      </c>
      <c r="S43" s="409">
        <f t="shared" si="7"/>
        <v>1657728.9838340001</v>
      </c>
      <c r="T43" s="320"/>
      <c r="U43" s="409">
        <f t="shared" si="8"/>
        <v>2026105.0161660002</v>
      </c>
      <c r="V43" s="10" t="str">
        <f>VLOOKUP(B43,Piloto!$B$74:$E$140,4,0)</f>
        <v>Disponível</v>
      </c>
      <c r="W43" s="87"/>
      <c r="AA43" s="88"/>
      <c r="AP43" s="76">
        <v>297.52999999999997</v>
      </c>
    </row>
    <row r="44" spans="1:42" ht="30" hidden="1" customHeight="1" thickBot="1">
      <c r="A44" s="75"/>
      <c r="B44" s="406">
        <v>1401</v>
      </c>
      <c r="C44" s="407">
        <f t="shared" si="0"/>
        <v>359.54</v>
      </c>
      <c r="D44" s="407">
        <f>INDEX('Banco de Dados'!$A$1:$AV$68,MATCH(Tabelas!B44,'Banco de Dados'!$A$1:$A$68,0),4)</f>
        <v>354.22</v>
      </c>
      <c r="E44" s="324">
        <f>INDEX('Banco de Dados'!$A$1:$AV$68,MATCH(Tabelas!B44,'Banco de Dados'!$A$1:$A$68,0),5)</f>
        <v>0</v>
      </c>
      <c r="F44" s="407">
        <f>INDEX('Banco de Dados'!$A$1:$AV$68,MATCH(Tabelas!B44,'Banco de Dados'!$A$1:$A$68,0),6)</f>
        <v>0</v>
      </c>
      <c r="G44" s="408" t="str">
        <f>INDEX('Banco de Dados'!$A$1:$AW$68,MATCH(Tabelas!B44,'Banco de Dados'!$A$1:$A$68,0),49)</f>
        <v>154/155/156/157</v>
      </c>
      <c r="H44" s="407" t="s">
        <v>158</v>
      </c>
      <c r="I44" s="406" t="s">
        <v>161</v>
      </c>
      <c r="J44" s="407">
        <f>INDEX('Banco de Dados'!$A$1:$AV$68,MATCH(Tabelas!B44,'Banco de Dados'!$A$1:$A$68,0),40)</f>
        <v>5.32</v>
      </c>
      <c r="K44" s="407" t="str">
        <f>INDEX('Banco de Dados'!$A$1:$AV$68,MATCH(Tabelas!B44,'Banco de Dados'!$A$1:$A$68,0),41)</f>
        <v>SS1</v>
      </c>
      <c r="L44" s="327">
        <f t="shared" si="1"/>
        <v>12388.465817433387</v>
      </c>
      <c r="M44" s="409">
        <f>VLOOKUP($B44,Piloto!$B$72:$H$140,5,0)</f>
        <v>4454149</v>
      </c>
      <c r="N44" s="409">
        <f t="shared" si="2"/>
        <v>89082.98</v>
      </c>
      <c r="O44" s="409">
        <f t="shared" si="3"/>
        <v>111353.72500000001</v>
      </c>
      <c r="P44" s="409">
        <f t="shared" si="4"/>
        <v>33517.471225000001</v>
      </c>
      <c r="Q44" s="409">
        <f t="shared" si="5"/>
        <v>214542.99488300001</v>
      </c>
      <c r="R44" s="409">
        <f t="shared" si="6"/>
        <v>267248.94</v>
      </c>
      <c r="S44" s="409">
        <f t="shared" si="7"/>
        <v>2004371.5041489999</v>
      </c>
      <c r="T44" s="320"/>
      <c r="U44" s="409">
        <f t="shared" si="8"/>
        <v>2449777.4958509998</v>
      </c>
      <c r="V44" s="10" t="str">
        <f>VLOOKUP(B44,Piloto!$B$74:$E$140,4,0)</f>
        <v>Vendida</v>
      </c>
      <c r="W44" s="87"/>
      <c r="AA44" s="88"/>
      <c r="AP44" s="76">
        <v>358.66</v>
      </c>
    </row>
    <row r="45" spans="1:42" ht="0.95" hidden="1" customHeight="1" thickBot="1">
      <c r="A45" s="75"/>
      <c r="B45" s="365">
        <v>1402</v>
      </c>
      <c r="C45" s="366">
        <f t="shared" si="0"/>
        <v>312.70999999999998</v>
      </c>
      <c r="D45" s="334">
        <f>INDEX('Banco de Dados'!$A$1:$AV$68,MATCH(Tabelas!B45,'Banco de Dados'!$A$1:$A$68,0),4)</f>
        <v>308.43</v>
      </c>
      <c r="E45" s="102">
        <f>INDEX('Banco de Dados'!$A$1:$AV$68,MATCH(Tabelas!B45,'Banco de Dados'!$A$1:$A$68,0),5)</f>
        <v>0</v>
      </c>
      <c r="F45" s="334">
        <f>INDEX('Banco de Dados'!$A$1:$AV$68,MATCH(Tabelas!B45,'Banco de Dados'!$A$1:$A$68,0),6)</f>
        <v>0</v>
      </c>
      <c r="G45" s="367" t="str">
        <f>INDEX('Banco de Dados'!$A$1:$AW$68,MATCH(Tabelas!B45,'Banco de Dados'!$A$1:$A$68,0),49)</f>
        <v>62/62A/65/66</v>
      </c>
      <c r="H45" s="338" t="s">
        <v>162</v>
      </c>
      <c r="I45" s="368" t="s">
        <v>163</v>
      </c>
      <c r="J45" s="338">
        <f>INDEX('Banco de Dados'!$A$1:$AV$68,MATCH(Tabelas!B45,'Banco de Dados'!$A$1:$A$68,0),40)</f>
        <v>4.28</v>
      </c>
      <c r="K45" s="338" t="str">
        <f>INDEX('Banco de Dados'!$A$1:$AV$68,MATCH(Tabelas!B45,'Banco de Dados'!$A$1:$A$68,0),41)</f>
        <v>SS2</v>
      </c>
      <c r="L45" s="79">
        <f t="shared" si="1"/>
        <v>12388.465351283938</v>
      </c>
      <c r="M45" s="369">
        <f>VLOOKUP($B45,Piloto!$B$72:$H$140,5,0)</f>
        <v>3873997</v>
      </c>
      <c r="N45" s="83">
        <f t="shared" si="2"/>
        <v>77479.94</v>
      </c>
      <c r="O45" s="369">
        <f t="shared" si="3"/>
        <v>96849.925000000003</v>
      </c>
      <c r="P45" s="370">
        <f t="shared" si="4"/>
        <v>29151.827424999999</v>
      </c>
      <c r="Q45" s="83">
        <f t="shared" si="5"/>
        <v>186598.81349900001</v>
      </c>
      <c r="R45" s="369">
        <f t="shared" si="6"/>
        <v>232439.81999999998</v>
      </c>
      <c r="S45" s="369">
        <f t="shared" si="7"/>
        <v>1743302.5239970002</v>
      </c>
      <c r="T45" s="83"/>
      <c r="U45" s="369">
        <f t="shared" si="8"/>
        <v>2130694.476003</v>
      </c>
      <c r="V45" s="10" t="str">
        <f>VLOOKUP(B45,Piloto!$B$74:$E$140,4,0)</f>
        <v>Vendida</v>
      </c>
      <c r="W45" s="87"/>
      <c r="AA45" s="88"/>
      <c r="AP45" s="76">
        <v>369.97999999999996</v>
      </c>
    </row>
    <row r="46" spans="1:42" ht="30" hidden="1" customHeight="1" thickBot="1">
      <c r="A46" s="75"/>
      <c r="B46" s="410">
        <v>1501</v>
      </c>
      <c r="C46" s="411">
        <f t="shared" si="0"/>
        <v>371.59</v>
      </c>
      <c r="D46" s="411">
        <f>INDEX('Banco de Dados'!$A$1:$AV$68,MATCH(Tabelas!B46,'Banco de Dados'!$A$1:$A$68,0),4)</f>
        <v>365.71</v>
      </c>
      <c r="E46" s="324">
        <f>INDEX('Banco de Dados'!$A$1:$AV$68,MATCH(Tabelas!B46,'Banco de Dados'!$A$1:$A$68,0),5)</f>
        <v>0</v>
      </c>
      <c r="F46" s="411">
        <f>INDEX('Banco de Dados'!$A$1:$AV$68,MATCH(Tabelas!B46,'Banco de Dados'!$A$1:$A$68,0),6)</f>
        <v>0</v>
      </c>
      <c r="G46" s="412" t="str">
        <f>INDEX('Banco de Dados'!$A$1:$AW$68,MATCH(Tabelas!B46,'Banco de Dados'!$A$1:$A$68,0),49)</f>
        <v>128/129/130/131</v>
      </c>
      <c r="H46" s="411" t="s">
        <v>158</v>
      </c>
      <c r="I46" s="410" t="s">
        <v>164</v>
      </c>
      <c r="J46" s="411">
        <f>INDEX('Banco de Dados'!$A$1:$AV$68,MATCH(Tabelas!B46,'Banco de Dados'!$A$1:$A$68,0),40)</f>
        <v>5.88</v>
      </c>
      <c r="K46" s="411" t="str">
        <f>INDEX('Banco de Dados'!$A$1:$AV$68,MATCH(Tabelas!B46,'Banco de Dados'!$A$1:$A$68,0),41)</f>
        <v>SS1</v>
      </c>
      <c r="L46" s="327">
        <f t="shared" si="1"/>
        <v>13379.541968298394</v>
      </c>
      <c r="M46" s="413">
        <f>VLOOKUP($B46,Piloto!$B$72:$H$140,5,0)</f>
        <v>4971704</v>
      </c>
      <c r="N46" s="413">
        <f t="shared" si="2"/>
        <v>99434.08</v>
      </c>
      <c r="O46" s="413">
        <f t="shared" si="3"/>
        <v>124292.6</v>
      </c>
      <c r="P46" s="413">
        <f t="shared" si="4"/>
        <v>37412.0726</v>
      </c>
      <c r="Q46" s="413">
        <f t="shared" si="5"/>
        <v>239472.06656800001</v>
      </c>
      <c r="R46" s="413">
        <f t="shared" si="6"/>
        <v>298302.24</v>
      </c>
      <c r="S46" s="413">
        <f t="shared" si="7"/>
        <v>2237271.7717040004</v>
      </c>
      <c r="T46" s="321"/>
      <c r="U46" s="413">
        <f t="shared" si="8"/>
        <v>2734432.228296</v>
      </c>
      <c r="V46" s="10" t="str">
        <f>VLOOKUP(B46,Piloto!$B$74:$E$140,4,0)</f>
        <v>Vendida</v>
      </c>
      <c r="W46" s="87"/>
      <c r="AA46" s="88"/>
      <c r="AP46" s="76">
        <v>297.27</v>
      </c>
    </row>
    <row r="47" spans="1:42" ht="30" hidden="1" customHeight="1" thickBot="1">
      <c r="A47" s="75"/>
      <c r="B47" s="406">
        <v>1502</v>
      </c>
      <c r="C47" s="407">
        <f t="shared" si="0"/>
        <v>297.52999999999997</v>
      </c>
      <c r="D47" s="407">
        <f>INDEX('Banco de Dados'!$A$1:$AV$68,MATCH(Tabelas!B47,'Banco de Dados'!$A$1:$A$68,0),4)</f>
        <v>293.27999999999997</v>
      </c>
      <c r="E47" s="324">
        <f>INDEX('Banco de Dados'!$A$1:$AV$68,MATCH(Tabelas!B47,'Banco de Dados'!$A$1:$A$68,0),5)</f>
        <v>0</v>
      </c>
      <c r="F47" s="407">
        <f>INDEX('Banco de Dados'!$A$1:$AV$68,MATCH(Tabelas!B47,'Banco de Dados'!$A$1:$A$68,0),6)</f>
        <v>0</v>
      </c>
      <c r="G47" s="408" t="str">
        <f>INDEX('Banco de Dados'!$A$1:$AW$68,MATCH(Tabelas!B47,'Banco de Dados'!$A$1:$A$68,0),49)</f>
        <v>148/148A/63/64</v>
      </c>
      <c r="H47" s="407" t="s">
        <v>142</v>
      </c>
      <c r="I47" s="406" t="s">
        <v>165</v>
      </c>
      <c r="J47" s="407">
        <f>INDEX('Banco de Dados'!$A$1:$AV$68,MATCH(Tabelas!B47,'Banco de Dados'!$A$1:$A$68,0),40)</f>
        <v>4.25</v>
      </c>
      <c r="K47" s="407" t="str">
        <f>INDEX('Banco de Dados'!$A$1:$AV$68,MATCH(Tabelas!B47,'Banco de Dados'!$A$1:$A$68,0),41)</f>
        <v>SS2</v>
      </c>
      <c r="L47" s="327">
        <f t="shared" si="1"/>
        <v>12388.465028736598</v>
      </c>
      <c r="M47" s="409">
        <f>VLOOKUP($B47,Piloto!$B$72:$H$140,5,0)</f>
        <v>3685940</v>
      </c>
      <c r="N47" s="409">
        <f t="shared" si="2"/>
        <v>73718.8</v>
      </c>
      <c r="O47" s="409">
        <f t="shared" si="3"/>
        <v>92148.5</v>
      </c>
      <c r="P47" s="409">
        <f t="shared" si="4"/>
        <v>27736.698499999999</v>
      </c>
      <c r="Q47" s="409">
        <f t="shared" si="5"/>
        <v>177540.67198000001</v>
      </c>
      <c r="R47" s="409">
        <f t="shared" si="6"/>
        <v>221156.4</v>
      </c>
      <c r="S47" s="409">
        <f t="shared" si="7"/>
        <v>1658676.68594</v>
      </c>
      <c r="T47" s="320"/>
      <c r="U47" s="409">
        <f t="shared" si="8"/>
        <v>2027263.31406</v>
      </c>
      <c r="V47" s="10" t="str">
        <f>VLOOKUP(B47,Piloto!$B$74:$E$140,4,0)</f>
        <v>Vendida</v>
      </c>
      <c r="W47" s="87"/>
      <c r="AA47" s="88"/>
      <c r="AP47" s="76">
        <v>686.7</v>
      </c>
    </row>
    <row r="48" spans="1:42" ht="22.5" customHeight="1" thickBot="1">
      <c r="A48" s="75"/>
      <c r="B48" s="371">
        <v>1601</v>
      </c>
      <c r="C48" s="418">
        <f t="shared" si="0"/>
        <v>358.66</v>
      </c>
      <c r="D48" s="419">
        <f>INDEX('Banco de Dados'!$A$1:$AV$68,MATCH(Tabelas!B48,'Banco de Dados'!$A$1:$A$68,0),4)</f>
        <v>354.22</v>
      </c>
      <c r="E48" s="102">
        <f>INDEX('Banco de Dados'!$A$1:$AV$68,MATCH(Tabelas!B48,'Banco de Dados'!$A$1:$A$68,0),5)</f>
        <v>0</v>
      </c>
      <c r="F48" s="419">
        <f>INDEX('Banco de Dados'!$A$1:$AV$68,MATCH(Tabelas!B48,'Banco de Dados'!$A$1:$A$68,0),6)</f>
        <v>0</v>
      </c>
      <c r="G48" s="424" t="str">
        <f>INDEX('Banco de Dados'!$A$1:$AW$68,MATCH(Tabelas!B48,'Banco de Dados'!$A$1:$A$68,0),49)</f>
        <v>160/161/162/163</v>
      </c>
      <c r="H48" s="418" t="s">
        <v>158</v>
      </c>
      <c r="I48" s="420" t="s">
        <v>166</v>
      </c>
      <c r="J48" s="418">
        <f>INDEX('Banco de Dados'!$A$1:$AV$68,MATCH(Tabelas!B48,'Banco de Dados'!$A$1:$A$68,0),40)</f>
        <v>4.4400000000000004</v>
      </c>
      <c r="K48" s="418" t="str">
        <f>INDEX('Banco de Dados'!$A$1:$AV$68,MATCH(Tabelas!B48,'Banco de Dados'!$A$1:$A$68,0),41)</f>
        <v>SS1</v>
      </c>
      <c r="L48" s="79">
        <f t="shared" si="1"/>
        <v>12388.46539898511</v>
      </c>
      <c r="M48" s="421">
        <f>VLOOKUP($B48,Piloto!$B$72:$H$140,5,0)</f>
        <v>4443247</v>
      </c>
      <c r="N48" s="422">
        <f t="shared" si="2"/>
        <v>88864.94</v>
      </c>
      <c r="O48" s="421">
        <f t="shared" si="3"/>
        <v>111081.175</v>
      </c>
      <c r="P48" s="423">
        <f t="shared" si="4"/>
        <v>33435.433675</v>
      </c>
      <c r="Q48" s="422">
        <f t="shared" si="5"/>
        <v>214017.878249</v>
      </c>
      <c r="R48" s="421">
        <f t="shared" si="6"/>
        <v>266594.82</v>
      </c>
      <c r="S48" s="421">
        <f t="shared" si="7"/>
        <v>1999465.5932470001</v>
      </c>
      <c r="T48" s="320"/>
      <c r="U48" s="421">
        <f t="shared" si="8"/>
        <v>2443781.4067529999</v>
      </c>
      <c r="V48" s="10" t="str">
        <f>VLOOKUP(B48,Piloto!$B$74:$E$140,4,0)</f>
        <v>Disponível</v>
      </c>
      <c r="W48" s="87"/>
      <c r="AA48" s="88"/>
      <c r="AP48" s="76">
        <v>370</v>
      </c>
    </row>
    <row r="49" spans="1:42" ht="22.5" hidden="1" customHeight="1" thickBot="1">
      <c r="A49" s="75"/>
      <c r="B49" s="138">
        <v>1602</v>
      </c>
      <c r="C49" s="76">
        <f t="shared" si="0"/>
        <v>312.88</v>
      </c>
      <c r="D49" s="86">
        <f>INDEX('Banco de Dados'!$A$1:$AV$68,MATCH(Tabelas!B49,'Banco de Dados'!$A$1:$A$68,0),4)</f>
        <v>308.43</v>
      </c>
      <c r="E49" s="102">
        <f>INDEX('Banco de Dados'!$A$1:$AV$68,MATCH(Tabelas!B49,'Banco de Dados'!$A$1:$A$68,0),5)</f>
        <v>0</v>
      </c>
      <c r="F49" s="102">
        <f>INDEX('Banco de Dados'!$A$1:$AV$68,MATCH(Tabelas!B49,'Banco de Dados'!$A$1:$A$68,0),6)</f>
        <v>0</v>
      </c>
      <c r="G49" s="135" t="str">
        <f>INDEX('Banco de Dados'!$A$1:$AW$68,MATCH(Tabelas!B49,'Banco de Dados'!$A$1:$A$68,0),49)</f>
        <v>147/147A/77/78</v>
      </c>
      <c r="H49" s="77" t="s">
        <v>142</v>
      </c>
      <c r="I49" s="78" t="s">
        <v>167</v>
      </c>
      <c r="J49" s="77">
        <f>INDEX('Banco de Dados'!$A$1:$AV$68,MATCH(Tabelas!B49,'Banco de Dados'!$A$1:$A$68,0),40)</f>
        <v>4.45</v>
      </c>
      <c r="K49" s="100" t="str">
        <f>INDEX('Banco de Dados'!$A$1:$AV$68,MATCH(Tabelas!B49,'Banco de Dados'!$A$1:$A$68,0),41)</f>
        <v>SS2</v>
      </c>
      <c r="L49" s="79">
        <f t="shared" si="1"/>
        <v>12388.465226284838</v>
      </c>
      <c r="M49" s="80">
        <f>VLOOKUP($B49,Piloto!$B$72:$H$140,5,0)</f>
        <v>3876103</v>
      </c>
      <c r="N49" s="81">
        <f t="shared" si="2"/>
        <v>77522.06</v>
      </c>
      <c r="O49" s="80">
        <f t="shared" si="3"/>
        <v>96902.575000000012</v>
      </c>
      <c r="P49" s="82">
        <f t="shared" si="4"/>
        <v>29167.675074999999</v>
      </c>
      <c r="Q49" s="81">
        <f t="shared" si="5"/>
        <v>186700.25320100001</v>
      </c>
      <c r="R49" s="80">
        <f t="shared" si="6"/>
        <v>232566.18</v>
      </c>
      <c r="S49" s="80">
        <f t="shared" si="7"/>
        <v>1744250.2261030001</v>
      </c>
      <c r="T49" s="83"/>
      <c r="U49" s="80">
        <f t="shared" si="8"/>
        <v>2131852.7738970001</v>
      </c>
      <c r="V49" s="10" t="str">
        <f>VLOOKUP(B49,Piloto!$B$74:$E$140,4,0)</f>
        <v>Vendida</v>
      </c>
      <c r="W49" s="87"/>
      <c r="AA49" s="88"/>
      <c r="AP49" s="115">
        <v>270.97999999999996</v>
      </c>
    </row>
    <row r="50" spans="1:42" ht="22.5" hidden="1" customHeight="1" thickBot="1">
      <c r="A50" s="75"/>
      <c r="B50" s="331">
        <v>1701</v>
      </c>
      <c r="C50" s="332">
        <f t="shared" si="0"/>
        <v>369.97999999999996</v>
      </c>
      <c r="D50" s="333">
        <f>INDEX('Banco de Dados'!$A$1:$AV$68,MATCH(Tabelas!B50,'Banco de Dados'!$A$1:$A$68,0),4)</f>
        <v>365.71</v>
      </c>
      <c r="E50" s="102">
        <f>INDEX('Banco de Dados'!$A$1:$AV$68,MATCH(Tabelas!B50,'Banco de Dados'!$A$1:$A$68,0),5)</f>
        <v>0</v>
      </c>
      <c r="F50" s="334">
        <f>INDEX('Banco de Dados'!$A$1:$AV$68,MATCH(Tabelas!B50,'Banco de Dados'!$A$1:$A$68,0),6)</f>
        <v>0</v>
      </c>
      <c r="G50" s="343" t="str">
        <f>INDEX('Banco de Dados'!$A$1:$AW$68,MATCH(Tabelas!B50,'Banco de Dados'!$A$1:$A$68,0),49)</f>
        <v>103/104/126/127</v>
      </c>
      <c r="H50" s="336" t="s">
        <v>158</v>
      </c>
      <c r="I50" s="337" t="s">
        <v>168</v>
      </c>
      <c r="J50" s="336">
        <f>INDEX('Banco de Dados'!$A$1:$AV$68,MATCH(Tabelas!B50,'Banco de Dados'!$A$1:$A$68,0),40)</f>
        <v>4.2699999999999996</v>
      </c>
      <c r="K50" s="338" t="str">
        <f>INDEX('Banco de Dados'!$A$1:$AV$68,MATCH(Tabelas!B50,'Banco de Dados'!$A$1:$A$68,0),41)</f>
        <v>SS1</v>
      </c>
      <c r="L50" s="79">
        <f t="shared" si="1"/>
        <v>12388.466944159145</v>
      </c>
      <c r="M50" s="339">
        <f>VLOOKUP($B50,Piloto!$B$72:$H$140,5,0)</f>
        <v>4583485</v>
      </c>
      <c r="N50" s="340">
        <f t="shared" si="2"/>
        <v>91669.7</v>
      </c>
      <c r="O50" s="339">
        <f t="shared" si="3"/>
        <v>114587.125</v>
      </c>
      <c r="P50" s="341">
        <f t="shared" si="4"/>
        <v>34490.724624999995</v>
      </c>
      <c r="Q50" s="340">
        <f t="shared" si="5"/>
        <v>220772.721995</v>
      </c>
      <c r="R50" s="339">
        <f t="shared" si="6"/>
        <v>275009.09999999998</v>
      </c>
      <c r="S50" s="339">
        <f t="shared" si="7"/>
        <v>2062572.8334850001</v>
      </c>
      <c r="T50" s="83"/>
      <c r="U50" s="339">
        <f t="shared" si="8"/>
        <v>2520912.1665150002</v>
      </c>
      <c r="V50" s="10" t="str">
        <f>VLOOKUP(B50,Piloto!$B$74:$E$140,4,0)</f>
        <v>Vendida</v>
      </c>
      <c r="W50" s="87"/>
      <c r="AA50" s="88"/>
      <c r="AP50" s="115">
        <v>327</v>
      </c>
    </row>
    <row r="51" spans="1:42" ht="30" customHeight="1" thickBot="1">
      <c r="A51" s="75"/>
      <c r="B51" s="406">
        <v>1702</v>
      </c>
      <c r="C51" s="407">
        <f t="shared" si="0"/>
        <v>297.27</v>
      </c>
      <c r="D51" s="407">
        <f>INDEX('Banco de Dados'!$A$1:$AV$68,MATCH(Tabelas!B51,'Banco de Dados'!$A$1:$A$68,0),4)</f>
        <v>293.27999999999997</v>
      </c>
      <c r="E51" s="324">
        <f>INDEX('Banco de Dados'!$A$1:$AV$68,MATCH(Tabelas!B51,'Banco de Dados'!$A$1:$A$68,0),5)</f>
        <v>0</v>
      </c>
      <c r="F51" s="407">
        <f>INDEX('Banco de Dados'!$A$1:$AV$68,MATCH(Tabelas!B51,'Banco de Dados'!$A$1:$A$68,0),6)</f>
        <v>0</v>
      </c>
      <c r="G51" s="408" t="str">
        <f>INDEX('Banco de Dados'!$A$1:$AW$68,MATCH(Tabelas!B51,'Banco de Dados'!$A$1:$A$68,0),49)</f>
        <v>61/61A/41/42</v>
      </c>
      <c r="H51" s="407" t="s">
        <v>162</v>
      </c>
      <c r="I51" s="406" t="s">
        <v>169</v>
      </c>
      <c r="J51" s="407">
        <f>INDEX('Banco de Dados'!$A$1:$AV$68,MATCH(Tabelas!B51,'Banco de Dados'!$A$1:$A$68,0),40)</f>
        <v>3.99</v>
      </c>
      <c r="K51" s="407" t="str">
        <f>INDEX('Banco de Dados'!$A$1:$AV$68,MATCH(Tabelas!B51,'Banco de Dados'!$A$1:$A$68,0),41)</f>
        <v>TER</v>
      </c>
      <c r="L51" s="327">
        <f t="shared" si="1"/>
        <v>12388.465031789283</v>
      </c>
      <c r="M51" s="409">
        <f>VLOOKUP($B51,Piloto!$B$72:$H$140,5,0)</f>
        <v>3682719</v>
      </c>
      <c r="N51" s="409">
        <f t="shared" si="2"/>
        <v>73654.38</v>
      </c>
      <c r="O51" s="409">
        <f t="shared" si="3"/>
        <v>92067.975000000006</v>
      </c>
      <c r="P51" s="409">
        <f t="shared" si="4"/>
        <v>27712.460475</v>
      </c>
      <c r="Q51" s="409">
        <f t="shared" si="5"/>
        <v>177385.52607300002</v>
      </c>
      <c r="R51" s="409">
        <f t="shared" si="6"/>
        <v>220963.13999999998</v>
      </c>
      <c r="S51" s="409">
        <f t="shared" si="7"/>
        <v>1657227.232719</v>
      </c>
      <c r="T51" s="320"/>
      <c r="U51" s="409">
        <f t="shared" si="8"/>
        <v>2025491.767281</v>
      </c>
      <c r="V51" s="10" t="str">
        <f>VLOOKUP(B51,Piloto!$B$74:$E$140,4,0)</f>
        <v>Disponível</v>
      </c>
      <c r="W51" s="87"/>
      <c r="AA51" s="88"/>
      <c r="AP51" s="76">
        <v>314.03000000000003</v>
      </c>
    </row>
    <row r="52" spans="1:42" ht="22.5" hidden="1" customHeight="1" thickBot="1">
      <c r="A52" s="75"/>
      <c r="B52" s="379">
        <v>1800</v>
      </c>
      <c r="C52" s="380">
        <f t="shared" si="0"/>
        <v>686.7</v>
      </c>
      <c r="D52" s="314">
        <f>INDEX('Banco de Dados'!$A$1:$AV$68,MATCH(Tabelas!B52,'Banco de Dados'!$A$1:$A$68,0),4)</f>
        <v>681</v>
      </c>
      <c r="E52" s="102">
        <f>INDEX('Banco de Dados'!$A$1:$AV$68,MATCH(Tabelas!B52,'Banco de Dados'!$A$1:$A$68,0),5)</f>
        <v>0</v>
      </c>
      <c r="F52" s="314">
        <f>INDEX('Banco de Dados'!$A$1:$AV$68,MATCH(Tabelas!B52,'Banco de Dados'!$A$1:$A$68,0),6)</f>
        <v>0</v>
      </c>
      <c r="G52" s="381" t="str">
        <f>INDEX('Banco de Dados'!$A$1:$AW$68,MATCH(Tabelas!B52,'Banco de Dados'!$A$1:$A$68,0),49)</f>
        <v>217/221/222/143/143A</v>
      </c>
      <c r="H52" s="315" t="s">
        <v>170</v>
      </c>
      <c r="I52" s="382" t="s">
        <v>171</v>
      </c>
      <c r="J52" s="315">
        <f>INDEX('Banco de Dados'!$A$1:$AV$68,MATCH(Tabelas!B52,'Banco de Dados'!$A$1:$A$68,0),40)</f>
        <v>5.7</v>
      </c>
      <c r="K52" s="315" t="str">
        <f>INDEX('Banco de Dados'!$A$1:$AV$68,MATCH(Tabelas!B52,'Banco de Dados'!$A$1:$A$68,0),41)</f>
        <v>TER</v>
      </c>
      <c r="L52" s="79">
        <f t="shared" si="1"/>
        <v>13170.895587592835</v>
      </c>
      <c r="M52" s="383">
        <f>VLOOKUP($B52,Piloto!$B$72:$H$140,5,0)</f>
        <v>9044454</v>
      </c>
      <c r="N52" s="384">
        <f t="shared" si="2"/>
        <v>180889.08000000002</v>
      </c>
      <c r="O52" s="383">
        <f t="shared" si="3"/>
        <v>226111.35</v>
      </c>
      <c r="P52" s="385">
        <f t="shared" si="4"/>
        <v>68059.516349999991</v>
      </c>
      <c r="Q52" s="384">
        <f t="shared" si="5"/>
        <v>435644.21581800003</v>
      </c>
      <c r="R52" s="383">
        <f t="shared" si="6"/>
        <v>542667.24</v>
      </c>
      <c r="S52" s="383">
        <f t="shared" si="7"/>
        <v>4070013.3444539998</v>
      </c>
      <c r="T52" s="316"/>
      <c r="U52" s="383">
        <f t="shared" si="8"/>
        <v>4974440.6555460002</v>
      </c>
      <c r="V52" s="10" t="str">
        <f>VLOOKUP(B52,Piloto!$B$74:$E$140,4,0)</f>
        <v>Vendida</v>
      </c>
      <c r="W52" s="87"/>
      <c r="AA52" s="88"/>
      <c r="AP52" s="76">
        <v>689.88</v>
      </c>
    </row>
    <row r="53" spans="1:42" ht="22.5" hidden="1" customHeight="1" thickBot="1">
      <c r="A53" s="75"/>
      <c r="B53" s="138">
        <v>1901</v>
      </c>
      <c r="C53" s="76">
        <f t="shared" si="0"/>
        <v>370</v>
      </c>
      <c r="D53" s="86">
        <f>INDEX('Banco de Dados'!$A$1:$AV$68,MATCH(Tabelas!B53,'Banco de Dados'!$A$1:$A$68,0),4)</f>
        <v>365.71</v>
      </c>
      <c r="E53" s="102">
        <f>INDEX('Banco de Dados'!$A$1:$AV$68,MATCH(Tabelas!B53,'Banco de Dados'!$A$1:$A$68,0),5)</f>
        <v>0</v>
      </c>
      <c r="F53" s="102">
        <f>INDEX('Banco de Dados'!$A$1:$AV$68,MATCH(Tabelas!B53,'Banco de Dados'!$A$1:$A$68,0),6)</f>
        <v>0</v>
      </c>
      <c r="G53" s="136" t="str">
        <f>INDEX('Banco de Dados'!$A$1:$AW$68,MATCH(Tabelas!B53,'Banco de Dados'!$A$1:$A$68,0),49)</f>
        <v>170/171/172/173</v>
      </c>
      <c r="H53" s="77" t="s">
        <v>158</v>
      </c>
      <c r="I53" s="78" t="s">
        <v>172</v>
      </c>
      <c r="J53" s="77">
        <f>INDEX('Banco de Dados'!$A$1:$AV$68,MATCH(Tabelas!B53,'Banco de Dados'!$A$1:$A$68,0),40)</f>
        <v>4.29</v>
      </c>
      <c r="K53" s="100" t="str">
        <f>INDEX('Banco de Dados'!$A$1:$AV$68,MATCH(Tabelas!B53,'Banco de Dados'!$A$1:$A$68,0),41)</f>
        <v>SS1</v>
      </c>
      <c r="L53" s="79">
        <f t="shared" si="1"/>
        <v>12388.464864864865</v>
      </c>
      <c r="M53" s="80">
        <f>VLOOKUP($B53,Piloto!$B$72:$H$140,5,0)</f>
        <v>4583732</v>
      </c>
      <c r="N53" s="81">
        <f t="shared" si="2"/>
        <v>91674.64</v>
      </c>
      <c r="O53" s="80">
        <f t="shared" si="3"/>
        <v>114593.3</v>
      </c>
      <c r="P53" s="82">
        <f t="shared" si="4"/>
        <v>34492.583299999998</v>
      </c>
      <c r="Q53" s="81">
        <f t="shared" si="5"/>
        <v>220784.619244</v>
      </c>
      <c r="R53" s="80">
        <f t="shared" si="6"/>
        <v>275023.92</v>
      </c>
      <c r="S53" s="80">
        <f t="shared" si="7"/>
        <v>2062683.983732</v>
      </c>
      <c r="T53" s="83"/>
      <c r="U53" s="80">
        <f t="shared" si="8"/>
        <v>2521048.016268</v>
      </c>
      <c r="V53" s="10" t="str">
        <f>VLOOKUP(B53,Piloto!$B$74:$E$140,4,0)</f>
        <v>Vendida</v>
      </c>
      <c r="W53" s="87"/>
      <c r="AA53" s="88"/>
      <c r="AP53" s="76">
        <v>327.40999999999997</v>
      </c>
    </row>
    <row r="54" spans="1:42" ht="22.5" hidden="1" customHeight="1" thickBot="1">
      <c r="A54" s="114"/>
      <c r="B54" s="331">
        <v>1902</v>
      </c>
      <c r="C54" s="332">
        <f t="shared" si="0"/>
        <v>270.97999999999996</v>
      </c>
      <c r="D54" s="333">
        <f>INDEX('Banco de Dados'!$A$1:$AV$68,MATCH(Tabelas!B54,'Banco de Dados'!$A$1:$A$68,0),4)</f>
        <v>266.95</v>
      </c>
      <c r="E54" s="116">
        <f>INDEX('Banco de Dados'!$A$1:$AV$68,MATCH(Tabelas!B54,'Banco de Dados'!$A$1:$A$68,0),5)</f>
        <v>0</v>
      </c>
      <c r="F54" s="334">
        <f>INDEX('Banco de Dados'!$A$1:$AV$68,MATCH(Tabelas!B54,'Banco de Dados'!$A$1:$A$68,0),6)</f>
        <v>0</v>
      </c>
      <c r="G54" s="335" t="str">
        <f>INDEX('Banco de Dados'!$A$1:$AW$68,MATCH(Tabelas!B54,'Banco de Dados'!$A$1:$A$68,0),49)</f>
        <v>45/46/49/49A</v>
      </c>
      <c r="H54" s="336" t="s">
        <v>162</v>
      </c>
      <c r="I54" s="337" t="s">
        <v>173</v>
      </c>
      <c r="J54" s="336">
        <f>INDEX('Banco de Dados'!$A$1:$AV$68,MATCH(Tabelas!B54,'Banco de Dados'!$A$1:$A$68,0),40)</f>
        <v>4.03</v>
      </c>
      <c r="K54" s="338" t="str">
        <f>INDEX('Banco de Dados'!$A$1:$AV$68,MATCH(Tabelas!B54,'Banco de Dados'!$A$1:$A$68,0),41)</f>
        <v>TER</v>
      </c>
      <c r="L54" s="79">
        <f t="shared" si="1"/>
        <v>11736.441803823162</v>
      </c>
      <c r="M54" s="339">
        <f>VLOOKUP($B54,Piloto!$B$72:$H$140,5,0)</f>
        <v>3180341</v>
      </c>
      <c r="N54" s="340">
        <f t="shared" si="2"/>
        <v>63606.82</v>
      </c>
      <c r="O54" s="339">
        <f t="shared" si="3"/>
        <v>79508.525000000009</v>
      </c>
      <c r="P54" s="341">
        <f t="shared" si="4"/>
        <v>23932.066025</v>
      </c>
      <c r="Q54" s="340">
        <f t="shared" si="5"/>
        <v>153187.48494700002</v>
      </c>
      <c r="R54" s="339">
        <f t="shared" si="6"/>
        <v>190820.46</v>
      </c>
      <c r="S54" s="339">
        <f t="shared" si="7"/>
        <v>1431156.6303409999</v>
      </c>
      <c r="T54" s="83"/>
      <c r="U54" s="339">
        <f t="shared" si="8"/>
        <v>1749184.3696590001</v>
      </c>
      <c r="V54" s="10" t="str">
        <f>VLOOKUP(B54,Piloto!$B$74:$E$140,4,0)</f>
        <v>Fora de venda</v>
      </c>
      <c r="W54" s="87" t="s">
        <v>174</v>
      </c>
      <c r="AA54" s="88"/>
      <c r="AP54" s="76">
        <v>312.72000000000003</v>
      </c>
    </row>
    <row r="55" spans="1:42" ht="30" customHeight="1" thickBot="1">
      <c r="A55" s="114"/>
      <c r="B55" s="406">
        <v>2001</v>
      </c>
      <c r="C55" s="407">
        <f t="shared" si="0"/>
        <v>327</v>
      </c>
      <c r="D55" s="407">
        <f>INDEX('Banco de Dados'!$A$1:$AV$68,MATCH(Tabelas!B55,'Banco de Dados'!$A$1:$A$68,0),4)</f>
        <v>322.86</v>
      </c>
      <c r="E55" s="325">
        <f>INDEX('Banco de Dados'!$A$1:$AV$68,MATCH(Tabelas!B55,'Banco de Dados'!$A$1:$A$68,0),5)</f>
        <v>0</v>
      </c>
      <c r="F55" s="407">
        <f>INDEX('Banco de Dados'!$A$1:$AV$68,MATCH(Tabelas!B55,'Banco de Dados'!$A$1:$A$68,0),6)</f>
        <v>0</v>
      </c>
      <c r="G55" s="408" t="str">
        <f>INDEX('Banco de Dados'!$A$1:$AW$68,MATCH(Tabelas!B55,'Banco de Dados'!$A$1:$A$68,0),49)</f>
        <v>132/133/136/136A</v>
      </c>
      <c r="H55" s="407" t="s">
        <v>158</v>
      </c>
      <c r="I55" s="406" t="s">
        <v>175</v>
      </c>
      <c r="J55" s="407">
        <f>INDEX('Banco de Dados'!$A$1:$AV$68,MATCH(Tabelas!B55,'Banco de Dados'!$A$1:$A$68,0),40)</f>
        <v>4.1399999999999997</v>
      </c>
      <c r="K55" s="407" t="str">
        <f>INDEX('Banco de Dados'!$A$1:$AV$68,MATCH(Tabelas!B55,'Banco de Dados'!$A$1:$A$68,0),41)</f>
        <v>TER</v>
      </c>
      <c r="L55" s="327">
        <f t="shared" si="1"/>
        <v>11736.440366972478</v>
      </c>
      <c r="M55" s="409">
        <f>VLOOKUP($B55,Piloto!$B$72:$H$140,5,0)</f>
        <v>3837816</v>
      </c>
      <c r="N55" s="409">
        <f t="shared" si="2"/>
        <v>76756.320000000007</v>
      </c>
      <c r="O55" s="409">
        <f t="shared" si="3"/>
        <v>95945.400000000009</v>
      </c>
      <c r="P55" s="409">
        <f t="shared" si="4"/>
        <v>28879.565399999999</v>
      </c>
      <c r="Q55" s="409">
        <f t="shared" si="5"/>
        <v>184856.08327200002</v>
      </c>
      <c r="R55" s="409">
        <f t="shared" si="6"/>
        <v>230268.96</v>
      </c>
      <c r="S55" s="409">
        <f t="shared" si="7"/>
        <v>1727021.0378159999</v>
      </c>
      <c r="T55" s="320"/>
      <c r="U55" s="409">
        <f t="shared" si="8"/>
        <v>2110794.9621839998</v>
      </c>
      <c r="V55" s="10" t="str">
        <f>VLOOKUP(B55,Piloto!$B$74:$E$140,4,0)</f>
        <v>Disponível</v>
      </c>
      <c r="W55" s="87" t="s">
        <v>174</v>
      </c>
      <c r="AA55" s="88"/>
      <c r="AP55" s="76">
        <v>271.05</v>
      </c>
    </row>
    <row r="56" spans="1:42" ht="22.5" hidden="1" customHeight="1" thickBot="1">
      <c r="A56" s="75"/>
      <c r="B56" s="371">
        <v>2002</v>
      </c>
      <c r="C56" s="372">
        <f t="shared" ref="C56:C87" si="9">D56+F56+J56</f>
        <v>314.03000000000003</v>
      </c>
      <c r="D56" s="102">
        <f>INDEX('Banco de Dados'!$A$1:$AV$68,MATCH(Tabelas!B56,'Banco de Dados'!$A$1:$A$68,0),4)</f>
        <v>308.43</v>
      </c>
      <c r="E56" s="102">
        <f>INDEX('Banco de Dados'!$A$1:$AV$68,MATCH(Tabelas!B56,'Banco de Dados'!$A$1:$A$68,0),5)</f>
        <v>0</v>
      </c>
      <c r="F56" s="102">
        <f>INDEX('Banco de Dados'!$A$1:$AV$68,MATCH(Tabelas!B56,'Banco de Dados'!$A$1:$A$68,0),6)</f>
        <v>0</v>
      </c>
      <c r="G56" s="378" t="str">
        <f>INDEX('Banco de Dados'!$A$1:$AW$68,MATCH(Tabelas!B56,'Banco de Dados'!$A$1:$A$68,0),49)</f>
        <v>60/60A/36/20</v>
      </c>
      <c r="H56" s="100" t="s">
        <v>162</v>
      </c>
      <c r="I56" s="374" t="s">
        <v>176</v>
      </c>
      <c r="J56" s="100">
        <f>INDEX('Banco de Dados'!$A$1:$AV$68,MATCH(Tabelas!B56,'Banco de Dados'!$A$1:$A$68,0),40)</f>
        <v>5.6</v>
      </c>
      <c r="K56" s="100" t="str">
        <f>INDEX('Banco de Dados'!$A$1:$AV$68,MATCH(Tabelas!B56,'Banco de Dados'!$A$1:$A$68,0),41)</f>
        <v>SS2</v>
      </c>
      <c r="L56" s="79">
        <f t="shared" ref="L56:L87" si="10">M56/C56</f>
        <v>12388.466070120689</v>
      </c>
      <c r="M56" s="375">
        <f>VLOOKUP($B56,Piloto!$B$72:$H$140,5,0)</f>
        <v>3890350</v>
      </c>
      <c r="N56" s="376">
        <f t="shared" ref="N56:N87" si="11">$N$19*M56</f>
        <v>77807</v>
      </c>
      <c r="O56" s="375">
        <f t="shared" ref="O56:O90" si="12">$O$19*M56</f>
        <v>97258.75</v>
      </c>
      <c r="P56" s="377">
        <f t="shared" ref="P56:P90" si="13">$P$19*M56</f>
        <v>29274.883749999997</v>
      </c>
      <c r="Q56" s="376">
        <f t="shared" ref="Q56:Q90" si="14">$Q$19*M56</f>
        <v>187386.48845</v>
      </c>
      <c r="R56" s="375">
        <f t="shared" ref="R56:R90" si="15">$R$19*M56</f>
        <v>233421</v>
      </c>
      <c r="S56" s="375">
        <f t="shared" ref="S56:S87" si="16">N56*$N$17+O56*$O$17+Q56*$Q$17+R56*$R$17+P56*$P$17</f>
        <v>1750661.39035</v>
      </c>
      <c r="T56" s="83"/>
      <c r="U56" s="375">
        <f t="shared" ref="U56:U90" si="17">$U$19*M56</f>
        <v>2139688.60965</v>
      </c>
      <c r="V56" s="10" t="str">
        <f>VLOOKUP(B56,Piloto!$B$74:$E$140,4,0)</f>
        <v>Vendida</v>
      </c>
      <c r="W56" s="87"/>
      <c r="AA56" s="88"/>
      <c r="AP56" s="76">
        <v>685.35</v>
      </c>
    </row>
    <row r="57" spans="1:42" ht="22.5" hidden="1" customHeight="1" thickBot="1">
      <c r="A57" s="75"/>
      <c r="B57" s="331">
        <v>2100</v>
      </c>
      <c r="C57" s="332">
        <f t="shared" si="9"/>
        <v>689.88</v>
      </c>
      <c r="D57" s="333">
        <f>INDEX('Banco de Dados'!$A$1:$AV$68,MATCH(Tabelas!B57,'Banco de Dados'!$A$1:$A$68,0),4)</f>
        <v>684</v>
      </c>
      <c r="E57" s="102">
        <f>INDEX('Banco de Dados'!$A$1:$AV$68,MATCH(Tabelas!B57,'Banco de Dados'!$A$1:$A$68,0),5)</f>
        <v>0</v>
      </c>
      <c r="F57" s="334">
        <f>INDEX('Banco de Dados'!$A$1:$AV$68,MATCH(Tabelas!B57,'Banco de Dados'!$A$1:$A$68,0),6)</f>
        <v>0</v>
      </c>
      <c r="G57" s="342" t="str">
        <f>INDEX('Banco de Dados'!$A$1:$AW$68,MATCH(Tabelas!B57,'Banco de Dados'!$A$1:$A$68,0),49)</f>
        <v>214/216/220/142/142A</v>
      </c>
      <c r="H57" s="336" t="s">
        <v>170</v>
      </c>
      <c r="I57" s="337" t="s">
        <v>177</v>
      </c>
      <c r="J57" s="336">
        <f>INDEX('Banco de Dados'!$A$1:$AV$68,MATCH(Tabelas!B57,'Banco de Dados'!$A$1:$A$68,0),40)</f>
        <v>5.88</v>
      </c>
      <c r="K57" s="338" t="str">
        <f>INDEX('Banco de Dados'!$A$1:$AV$68,MATCH(Tabelas!B57,'Banco de Dados'!$A$1:$A$68,0),41)</f>
        <v>TER</v>
      </c>
      <c r="L57" s="79">
        <f t="shared" si="10"/>
        <v>13040.489650373978</v>
      </c>
      <c r="M57" s="339">
        <f>VLOOKUP($B57,Piloto!$B$72:$H$140,5,0)</f>
        <v>8996373</v>
      </c>
      <c r="N57" s="340">
        <f t="shared" si="11"/>
        <v>179927.46</v>
      </c>
      <c r="O57" s="339">
        <f t="shared" si="12"/>
        <v>224909.32500000001</v>
      </c>
      <c r="P57" s="341">
        <f t="shared" si="13"/>
        <v>67697.706825000001</v>
      </c>
      <c r="Q57" s="340">
        <f t="shared" si="14"/>
        <v>433328.29829100001</v>
      </c>
      <c r="R57" s="339">
        <f t="shared" si="15"/>
        <v>539782.38</v>
      </c>
      <c r="S57" s="339">
        <f t="shared" si="16"/>
        <v>4048376.8463730002</v>
      </c>
      <c r="T57" s="83"/>
      <c r="U57" s="339">
        <f t="shared" si="17"/>
        <v>4947996.1536269998</v>
      </c>
      <c r="V57" s="10" t="str">
        <f>VLOOKUP(B57,Piloto!$B$74:$E$140,4,0)</f>
        <v>Vendida</v>
      </c>
      <c r="W57" s="87"/>
      <c r="AA57" s="88"/>
      <c r="AP57" s="76">
        <v>371.31</v>
      </c>
    </row>
    <row r="58" spans="1:42" ht="30" customHeight="1" thickBot="1">
      <c r="A58" s="75"/>
      <c r="B58" s="406">
        <v>2201</v>
      </c>
      <c r="C58" s="407">
        <f t="shared" si="9"/>
        <v>327.40999999999997</v>
      </c>
      <c r="D58" s="407">
        <f>INDEX('Banco de Dados'!$A$1:$AV$68,MATCH(Tabelas!B58,'Banco de Dados'!$A$1:$A$68,0),4)</f>
        <v>322.89</v>
      </c>
      <c r="E58" s="324">
        <f>INDEX('Banco de Dados'!$A$1:$AV$68,MATCH(Tabelas!B58,'Banco de Dados'!$A$1:$A$68,0),5)</f>
        <v>0</v>
      </c>
      <c r="F58" s="407">
        <f>INDEX('Banco de Dados'!$A$1:$AV$68,MATCH(Tabelas!B58,'Banco de Dados'!$A$1:$A$68,0),6)</f>
        <v>0</v>
      </c>
      <c r="G58" s="408" t="str">
        <f>INDEX('Banco de Dados'!$A$1:$AW$68,MATCH(Tabelas!B58,'Banco de Dados'!$A$1:$A$68,0),49)</f>
        <v>31/32/149/149A</v>
      </c>
      <c r="H58" s="407" t="s">
        <v>178</v>
      </c>
      <c r="I58" s="406" t="s">
        <v>179</v>
      </c>
      <c r="J58" s="407">
        <f>INDEX('Banco de Dados'!$A$1:$AV$68,MATCH(Tabelas!B58,'Banco de Dados'!$A$1:$A$68,0),40)</f>
        <v>4.5199999999999996</v>
      </c>
      <c r="K58" s="407" t="str">
        <f>INDEX('Banco de Dados'!$A$1:$AV$68,MATCH(Tabelas!B58,'Banco de Dados'!$A$1:$A$68,0),41)</f>
        <v>SS2</v>
      </c>
      <c r="L58" s="327">
        <f t="shared" si="10"/>
        <v>11736.440548547693</v>
      </c>
      <c r="M58" s="409">
        <f>VLOOKUP($B58,Piloto!$B$72:$H$140,5,0)</f>
        <v>3842628</v>
      </c>
      <c r="N58" s="409">
        <f t="shared" si="11"/>
        <v>76852.56</v>
      </c>
      <c r="O58" s="409">
        <f t="shared" si="12"/>
        <v>96065.700000000012</v>
      </c>
      <c r="P58" s="409">
        <f t="shared" si="13"/>
        <v>28915.775699999998</v>
      </c>
      <c r="Q58" s="409">
        <f t="shared" si="14"/>
        <v>185087.862876</v>
      </c>
      <c r="R58" s="409">
        <f t="shared" si="15"/>
        <v>230557.68</v>
      </c>
      <c r="S58" s="409">
        <f t="shared" si="16"/>
        <v>1729186.4426279999</v>
      </c>
      <c r="T58" s="320"/>
      <c r="U58" s="409">
        <f t="shared" si="17"/>
        <v>2113441.5573720001</v>
      </c>
      <c r="V58" s="10" t="str">
        <f>VLOOKUP(B58,Piloto!$B$74:$E$140,4,0)</f>
        <v>Disponível</v>
      </c>
      <c r="W58" s="87"/>
      <c r="AA58" s="88"/>
      <c r="AP58" s="115">
        <v>270.94</v>
      </c>
    </row>
    <row r="59" spans="1:42" ht="22.5" hidden="1" customHeight="1" thickBot="1">
      <c r="A59" s="75"/>
      <c r="B59" s="371">
        <v>2202</v>
      </c>
      <c r="C59" s="372">
        <f t="shared" si="9"/>
        <v>312.72000000000003</v>
      </c>
      <c r="D59" s="102">
        <f>INDEX('Banco de Dados'!$A$1:$AV$68,MATCH(Tabelas!B59,'Banco de Dados'!$A$1:$A$68,0),4)</f>
        <v>308.43</v>
      </c>
      <c r="E59" s="102">
        <f>INDEX('Banco de Dados'!$A$1:$AV$68,MATCH(Tabelas!B59,'Banco de Dados'!$A$1:$A$68,0),5)</f>
        <v>0</v>
      </c>
      <c r="F59" s="102">
        <f>INDEX('Banco de Dados'!$A$1:$AV$68,MATCH(Tabelas!B59,'Banco de Dados'!$A$1:$A$68,0),6)</f>
        <v>0</v>
      </c>
      <c r="G59" s="378" t="str">
        <f>INDEX('Banco de Dados'!$A$1:$AW$68,MATCH(Tabelas!B59,'Banco de Dados'!$A$1:$A$68,0),49)</f>
        <v>59/59A/69/70</v>
      </c>
      <c r="H59" s="100" t="s">
        <v>162</v>
      </c>
      <c r="I59" s="374" t="s">
        <v>180</v>
      </c>
      <c r="J59" s="100">
        <f>INDEX('Banco de Dados'!$A$1:$AV$68,MATCH(Tabelas!B59,'Banco de Dados'!$A$1:$A$68,0),40)</f>
        <v>4.29</v>
      </c>
      <c r="K59" s="100" t="str">
        <f>INDEX('Banco de Dados'!$A$1:$AV$68,MATCH(Tabelas!B59,'Banco de Dados'!$A$1:$A$68,0),41)</f>
        <v>TER</v>
      </c>
      <c r="L59" s="79">
        <f t="shared" si="10"/>
        <v>12388.465720133025</v>
      </c>
      <c r="M59" s="375">
        <f>VLOOKUP($B59,Piloto!$B$72:$H$140,5,0)</f>
        <v>3874121</v>
      </c>
      <c r="N59" s="376">
        <f t="shared" si="11"/>
        <v>77482.42</v>
      </c>
      <c r="O59" s="375">
        <f t="shared" si="12"/>
        <v>96853.025000000009</v>
      </c>
      <c r="P59" s="377">
        <f t="shared" si="13"/>
        <v>29152.760524999998</v>
      </c>
      <c r="Q59" s="376">
        <f t="shared" si="14"/>
        <v>186604.786207</v>
      </c>
      <c r="R59" s="375">
        <f t="shared" si="15"/>
        <v>232447.25999999998</v>
      </c>
      <c r="S59" s="375">
        <f t="shared" si="16"/>
        <v>1743358.3241209998</v>
      </c>
      <c r="T59" s="83"/>
      <c r="U59" s="375">
        <f t="shared" si="17"/>
        <v>2130762.6758790002</v>
      </c>
      <c r="V59" s="10" t="str">
        <f>VLOOKUP(B59,Piloto!$B$74:$E$140,4,0)</f>
        <v>Vendida</v>
      </c>
      <c r="W59" s="87"/>
      <c r="AA59" s="88"/>
      <c r="AP59" s="76">
        <v>326.93</v>
      </c>
    </row>
    <row r="60" spans="1:42" ht="22.5" hidden="1" customHeight="1" thickBot="1">
      <c r="A60" s="75"/>
      <c r="B60" s="331">
        <v>2301</v>
      </c>
      <c r="C60" s="332">
        <f t="shared" si="9"/>
        <v>370</v>
      </c>
      <c r="D60" s="333">
        <f>INDEX('Banco de Dados'!$A$1:$AV$68,MATCH(Tabelas!B60,'Banco de Dados'!$A$1:$A$68,0),4)</f>
        <v>365.71</v>
      </c>
      <c r="E60" s="102">
        <f>INDEX('Banco de Dados'!$A$1:$AV$68,MATCH(Tabelas!B60,'Banco de Dados'!$A$1:$A$68,0),5)</f>
        <v>0</v>
      </c>
      <c r="F60" s="334">
        <f>INDEX('Banco de Dados'!$A$1:$AV$68,MATCH(Tabelas!B60,'Banco de Dados'!$A$1:$A$68,0),6)</f>
        <v>0</v>
      </c>
      <c r="G60" s="342" t="str">
        <f>INDEX('Banco de Dados'!$A$1:$AW$68,MATCH(Tabelas!B60,'Banco de Dados'!$A$1:$A$68,0),49)</f>
        <v>166/167/168/169</v>
      </c>
      <c r="H60" s="336" t="s">
        <v>158</v>
      </c>
      <c r="I60" s="337" t="s">
        <v>181</v>
      </c>
      <c r="J60" s="336">
        <f>INDEX('Banco de Dados'!$A$1:$AV$68,MATCH(Tabelas!B60,'Banco de Dados'!$A$1:$A$68,0),40)</f>
        <v>4.29</v>
      </c>
      <c r="K60" s="338" t="str">
        <f>INDEX('Banco de Dados'!$A$1:$AV$68,MATCH(Tabelas!B60,'Banco de Dados'!$A$1:$A$68,0),41)</f>
        <v>SS1</v>
      </c>
      <c r="L60" s="79">
        <f t="shared" si="10"/>
        <v>12388.464864864865</v>
      </c>
      <c r="M60" s="339">
        <f>VLOOKUP($B60,Piloto!$B$72:$H$140,5,0)</f>
        <v>4583732</v>
      </c>
      <c r="N60" s="340">
        <f t="shared" si="11"/>
        <v>91674.64</v>
      </c>
      <c r="O60" s="339">
        <f t="shared" si="12"/>
        <v>114593.3</v>
      </c>
      <c r="P60" s="341">
        <f t="shared" si="13"/>
        <v>34492.583299999998</v>
      </c>
      <c r="Q60" s="340">
        <f t="shared" si="14"/>
        <v>220784.619244</v>
      </c>
      <c r="R60" s="339">
        <f t="shared" si="15"/>
        <v>275023.92</v>
      </c>
      <c r="S60" s="339">
        <f t="shared" si="16"/>
        <v>2062683.983732</v>
      </c>
      <c r="T60" s="83"/>
      <c r="U60" s="339">
        <f t="shared" si="17"/>
        <v>2521048.016268</v>
      </c>
      <c r="V60" s="10" t="str">
        <f>VLOOKUP(B60,Piloto!$B$74:$E$140,4,0)</f>
        <v>Vendida</v>
      </c>
      <c r="W60" s="87"/>
      <c r="AA60" s="88"/>
      <c r="AP60" s="76">
        <v>691.92</v>
      </c>
    </row>
    <row r="61" spans="1:42" ht="30" hidden="1" customHeight="1" thickBot="1">
      <c r="A61" s="75"/>
      <c r="B61" s="406">
        <v>2302</v>
      </c>
      <c r="C61" s="407">
        <f t="shared" si="9"/>
        <v>271.05</v>
      </c>
      <c r="D61" s="407">
        <f>INDEX('Banco de Dados'!$A$1:$AV$68,MATCH(Tabelas!B61,'Banco de Dados'!$A$1:$A$68,0),4)</f>
        <v>266.88</v>
      </c>
      <c r="E61" s="324">
        <f>INDEX('Banco de Dados'!$A$1:$AV$68,MATCH(Tabelas!B61,'Banco de Dados'!$A$1:$A$68,0),5)</f>
        <v>0</v>
      </c>
      <c r="F61" s="407">
        <f>INDEX('Banco de Dados'!$A$1:$AV$68,MATCH(Tabelas!B61,'Banco de Dados'!$A$1:$A$68,0),6)</f>
        <v>0</v>
      </c>
      <c r="G61" s="408" t="str">
        <f>INDEX('Banco de Dados'!$A$1:$AW$68,MATCH(Tabelas!B61,'Banco de Dados'!$A$1:$A$68,0),49)</f>
        <v>44/47/48/48A</v>
      </c>
      <c r="H61" s="407" t="s">
        <v>162</v>
      </c>
      <c r="I61" s="406" t="s">
        <v>182</v>
      </c>
      <c r="J61" s="407">
        <f>INDEX('Banco de Dados'!$A$1:$AV$68,MATCH(Tabelas!B61,'Banco de Dados'!$A$1:$A$68,0),40)</f>
        <v>4.17</v>
      </c>
      <c r="K61" s="407" t="str">
        <f>INDEX('Banco de Dados'!$A$1:$AV$68,MATCH(Tabelas!B61,'Banco de Dados'!$A$1:$A$68,0),41)</f>
        <v>TER</v>
      </c>
      <c r="L61" s="327">
        <f t="shared" si="10"/>
        <v>11736.439771259915</v>
      </c>
      <c r="M61" s="409">
        <f>VLOOKUP($B61,Piloto!$B$72:$H$140,5,0)</f>
        <v>3181162</v>
      </c>
      <c r="N61" s="409">
        <f t="shared" si="11"/>
        <v>63623.24</v>
      </c>
      <c r="O61" s="409">
        <f t="shared" si="12"/>
        <v>79529.05</v>
      </c>
      <c r="P61" s="409">
        <f t="shared" si="13"/>
        <v>23938.244049999998</v>
      </c>
      <c r="Q61" s="409">
        <f t="shared" si="14"/>
        <v>153227.030054</v>
      </c>
      <c r="R61" s="409">
        <f t="shared" si="15"/>
        <v>190869.72</v>
      </c>
      <c r="S61" s="409">
        <f t="shared" si="16"/>
        <v>1431526.0811620001</v>
      </c>
      <c r="T61" s="320"/>
      <c r="U61" s="409">
        <f t="shared" si="17"/>
        <v>1749635.9188380002</v>
      </c>
      <c r="V61" s="10" t="str">
        <f>VLOOKUP(B61,Piloto!$B$74:$E$140,4,0)</f>
        <v>Vendida</v>
      </c>
      <c r="W61" s="87"/>
      <c r="AA61" s="88"/>
      <c r="AP61" s="76">
        <v>327.39999999999998</v>
      </c>
    </row>
    <row r="62" spans="1:42" ht="22.5" hidden="1" customHeight="1" thickBot="1">
      <c r="A62" s="75"/>
      <c r="B62" s="371">
        <v>2400</v>
      </c>
      <c r="C62" s="372">
        <f t="shared" si="9"/>
        <v>685.35</v>
      </c>
      <c r="D62" s="102">
        <f>INDEX('Banco de Dados'!$A$1:$AV$68,MATCH(Tabelas!B62,'Banco de Dados'!$A$1:$A$68,0),4)</f>
        <v>681</v>
      </c>
      <c r="E62" s="102">
        <f>INDEX('Banco de Dados'!$A$1:$AV$68,MATCH(Tabelas!B62,'Banco de Dados'!$A$1:$A$68,0),5)</f>
        <v>0</v>
      </c>
      <c r="F62" s="102">
        <f>INDEX('Banco de Dados'!$A$1:$AV$68,MATCH(Tabelas!B62,'Banco de Dados'!$A$1:$A$68,0),6)</f>
        <v>0</v>
      </c>
      <c r="G62" s="373" t="str">
        <f>INDEX('Banco de Dados'!$A$1:$AW$68,MATCH(Tabelas!B62,'Banco de Dados'!$A$1:$A$68,0),49)</f>
        <v>186/187/211/141/141A</v>
      </c>
      <c r="H62" s="100" t="s">
        <v>170</v>
      </c>
      <c r="I62" s="374" t="s">
        <v>183</v>
      </c>
      <c r="J62" s="100">
        <f>INDEX('Banco de Dados'!$A$1:$AV$68,MATCH(Tabelas!B62,'Banco de Dados'!$A$1:$A$68,0),40)</f>
        <v>4.3499999999999996</v>
      </c>
      <c r="K62" s="100" t="str">
        <f>INDEX('Banco de Dados'!$A$1:$AV$68,MATCH(Tabelas!B62,'Banco de Dados'!$A$1:$A$68,0),41)</f>
        <v>TER</v>
      </c>
      <c r="L62" s="79">
        <f t="shared" si="10"/>
        <v>13040.490260450864</v>
      </c>
      <c r="M62" s="375">
        <f>VLOOKUP($B62,Piloto!$B$72:$H$140,5,0)</f>
        <v>8937300</v>
      </c>
      <c r="N62" s="376">
        <f t="shared" si="11"/>
        <v>178746</v>
      </c>
      <c r="O62" s="375">
        <f t="shared" si="12"/>
        <v>223432.5</v>
      </c>
      <c r="P62" s="377">
        <f t="shared" si="13"/>
        <v>67253.182499999995</v>
      </c>
      <c r="Q62" s="376">
        <f t="shared" si="14"/>
        <v>430482.92910000001</v>
      </c>
      <c r="R62" s="375">
        <f t="shared" si="15"/>
        <v>536238</v>
      </c>
      <c r="S62" s="375">
        <f t="shared" si="16"/>
        <v>4021793.9372999999</v>
      </c>
      <c r="T62" s="83"/>
      <c r="U62" s="375">
        <f t="shared" si="17"/>
        <v>4915506.0627000006</v>
      </c>
      <c r="V62" s="10" t="str">
        <f>VLOOKUP(B62,Piloto!$B$74:$E$140,4,0)</f>
        <v>Vendida</v>
      </c>
      <c r="W62" s="87"/>
      <c r="AA62" s="88"/>
      <c r="AP62" s="124">
        <v>312.68</v>
      </c>
    </row>
    <row r="63" spans="1:42" ht="22.5" hidden="1" customHeight="1" thickBot="1">
      <c r="A63" s="75"/>
      <c r="B63" s="138">
        <v>2501</v>
      </c>
      <c r="C63" s="76">
        <f t="shared" si="9"/>
        <v>371.31</v>
      </c>
      <c r="D63" s="86">
        <f>INDEX('Banco de Dados'!$A$1:$AV$68,MATCH(Tabelas!B63,'Banco de Dados'!$A$1:$A$68,0),4)</f>
        <v>365.71</v>
      </c>
      <c r="E63" s="102">
        <f>INDEX('Banco de Dados'!$A$1:$AV$68,MATCH(Tabelas!B63,'Banco de Dados'!$A$1:$A$68,0),5)</f>
        <v>0</v>
      </c>
      <c r="F63" s="102">
        <f>INDEX('Banco de Dados'!$A$1:$AV$68,MATCH(Tabelas!B63,'Banco de Dados'!$A$1:$A$68,0),6)</f>
        <v>0</v>
      </c>
      <c r="G63" s="136" t="str">
        <f>INDEX('Banco de Dados'!$A$1:$AW$68,MATCH(Tabelas!B63,'Banco de Dados'!$A$1:$A$68,0),49)</f>
        <v>106/107/123/124</v>
      </c>
      <c r="H63" s="77" t="s">
        <v>158</v>
      </c>
      <c r="I63" s="78" t="s">
        <v>184</v>
      </c>
      <c r="J63" s="77">
        <f>INDEX('Banco de Dados'!$A$1:$AV$68,MATCH(Tabelas!B63,'Banco de Dados'!$A$1:$A$68,0),40)</f>
        <v>5.6</v>
      </c>
      <c r="K63" s="100" t="str">
        <f>INDEX('Banco de Dados'!$A$1:$AV$68,MATCH(Tabelas!B63,'Banco de Dados'!$A$1:$A$68,0),41)</f>
        <v>SS1</v>
      </c>
      <c r="L63" s="79">
        <f t="shared" si="10"/>
        <v>12388.465163879238</v>
      </c>
      <c r="M63" s="80">
        <f>VLOOKUP($B63,Piloto!$B$72:$H$140,5,0)</f>
        <v>4599961</v>
      </c>
      <c r="N63" s="81">
        <f t="shared" si="11"/>
        <v>91999.22</v>
      </c>
      <c r="O63" s="80">
        <f t="shared" si="12"/>
        <v>114999.02500000001</v>
      </c>
      <c r="P63" s="82">
        <f t="shared" si="13"/>
        <v>34614.706525000001</v>
      </c>
      <c r="Q63" s="81">
        <f t="shared" si="14"/>
        <v>221566.32148700001</v>
      </c>
      <c r="R63" s="80">
        <f t="shared" si="15"/>
        <v>275997.65999999997</v>
      </c>
      <c r="S63" s="80">
        <f t="shared" si="16"/>
        <v>2069987.049961</v>
      </c>
      <c r="T63" s="83"/>
      <c r="U63" s="80">
        <f t="shared" si="17"/>
        <v>2529973.9500390003</v>
      </c>
      <c r="V63" s="10" t="str">
        <f>VLOOKUP(B63,Piloto!$B$74:$E$140,4,0)</f>
        <v>Fora de venda</v>
      </c>
      <c r="W63" s="87"/>
      <c r="AA63" s="88"/>
      <c r="AP63" s="124">
        <v>370.62</v>
      </c>
    </row>
    <row r="64" spans="1:42" s="120" customFormat="1" ht="22.5" hidden="1" customHeight="1" thickBot="1">
      <c r="A64" s="114"/>
      <c r="B64" s="344">
        <v>2502</v>
      </c>
      <c r="C64" s="345">
        <f t="shared" si="9"/>
        <v>270.94</v>
      </c>
      <c r="D64" s="346">
        <f>INDEX('Banco de Dados'!$A$1:$AV$68,MATCH(Tabelas!B64,'Banco de Dados'!$A$1:$A$68,0),4)</f>
        <v>266.95</v>
      </c>
      <c r="E64" s="116">
        <f>INDEX('Banco de Dados'!$A$1:$AV$68,MATCH(Tabelas!B64,'Banco de Dados'!$A$1:$A$68,0),5)</f>
        <v>0</v>
      </c>
      <c r="F64" s="347">
        <f>INDEX('Banco de Dados'!$A$1:$AV$68,MATCH(Tabelas!B64,'Banco de Dados'!$A$1:$A$68,0),6)</f>
        <v>0</v>
      </c>
      <c r="G64" s="348" t="str">
        <f>INDEX('Banco de Dados'!$A$1:$AW$68,MATCH(Tabelas!B64,'Banco de Dados'!$A$1:$A$68,0),49)</f>
        <v>11/11A/14/15</v>
      </c>
      <c r="H64" s="349" t="s">
        <v>162</v>
      </c>
      <c r="I64" s="350" t="s">
        <v>185</v>
      </c>
      <c r="J64" s="349">
        <f>INDEX('Banco de Dados'!$A$1:$AV$68,MATCH(Tabelas!B64,'Banco de Dados'!$A$1:$A$68,0),40)</f>
        <v>3.99</v>
      </c>
      <c r="K64" s="351" t="str">
        <f>INDEX('Banco de Dados'!$A$1:$AV$68,MATCH(Tabelas!B64,'Banco de Dados'!$A$1:$A$68,0),41)</f>
        <v>TER</v>
      </c>
      <c r="L64" s="118">
        <f t="shared" si="10"/>
        <v>11736.439802170222</v>
      </c>
      <c r="M64" s="352">
        <f>VLOOKUP($B64,Piloto!$B$72:$H$140,5,0)</f>
        <v>3179871</v>
      </c>
      <c r="N64" s="353">
        <f t="shared" si="11"/>
        <v>63597.42</v>
      </c>
      <c r="O64" s="352">
        <f t="shared" si="12"/>
        <v>79496.775000000009</v>
      </c>
      <c r="P64" s="354">
        <f t="shared" si="13"/>
        <v>23928.529274999997</v>
      </c>
      <c r="Q64" s="353">
        <f t="shared" si="14"/>
        <v>153164.84645700001</v>
      </c>
      <c r="R64" s="352">
        <f t="shared" si="15"/>
        <v>190792.25999999998</v>
      </c>
      <c r="S64" s="352">
        <f t="shared" si="16"/>
        <v>1430945.1298710001</v>
      </c>
      <c r="T64" s="119"/>
      <c r="U64" s="352">
        <f t="shared" si="17"/>
        <v>1748925.8701290002</v>
      </c>
      <c r="V64" s="10" t="str">
        <f>VLOOKUP(B64,Piloto!$B$74:$E$140,4,0)</f>
        <v>Fora de venda</v>
      </c>
      <c r="W64" s="121" t="s">
        <v>186</v>
      </c>
      <c r="AA64" s="122"/>
      <c r="AP64" s="76">
        <v>270.87</v>
      </c>
    </row>
    <row r="65" spans="1:42" ht="30" customHeight="1" thickBot="1">
      <c r="A65" s="75"/>
      <c r="B65" s="406">
        <v>2601</v>
      </c>
      <c r="C65" s="407">
        <f t="shared" si="9"/>
        <v>326.93</v>
      </c>
      <c r="D65" s="407">
        <f>INDEX('Banco de Dados'!$A$1:$AV$68,MATCH(Tabelas!B65,'Banco de Dados'!$A$1:$A$68,0),4)</f>
        <v>322.86</v>
      </c>
      <c r="E65" s="324">
        <f>INDEX('Banco de Dados'!$A$1:$AV$68,MATCH(Tabelas!B65,'Banco de Dados'!$A$1:$A$68,0),5)</f>
        <v>0</v>
      </c>
      <c r="F65" s="407">
        <f>INDEX('Banco de Dados'!$A$1:$AV$68,MATCH(Tabelas!B65,'Banco de Dados'!$A$1:$A$68,0),6)</f>
        <v>0</v>
      </c>
      <c r="G65" s="408" t="str">
        <f>INDEX('Banco de Dados'!$A$1:$AW$68,MATCH(Tabelas!B65,'Banco de Dados'!$A$1:$A$68,0),49)</f>
        <v>134/135/135A/21</v>
      </c>
      <c r="H65" s="407" t="s">
        <v>187</v>
      </c>
      <c r="I65" s="406" t="s">
        <v>188</v>
      </c>
      <c r="J65" s="407">
        <f>INDEX('Banco de Dados'!$A$1:$AV$68,MATCH(Tabelas!B65,'Banco de Dados'!$A$1:$A$68,0),40)</f>
        <v>4.07</v>
      </c>
      <c r="K65" s="407" t="str">
        <f>INDEX('Banco de Dados'!$A$1:$AV$68,MATCH(Tabelas!B65,'Banco de Dados'!$A$1:$A$68,0),41)</f>
        <v>SS2</v>
      </c>
      <c r="L65" s="327">
        <f t="shared" si="10"/>
        <v>11736.442051815373</v>
      </c>
      <c r="M65" s="409">
        <f>VLOOKUP($B65,Piloto!$B$72:$H$140,5,0)</f>
        <v>3836995</v>
      </c>
      <c r="N65" s="409">
        <f t="shared" si="11"/>
        <v>76739.900000000009</v>
      </c>
      <c r="O65" s="409">
        <f t="shared" si="12"/>
        <v>95924.875</v>
      </c>
      <c r="P65" s="409">
        <f t="shared" si="13"/>
        <v>28873.387374999998</v>
      </c>
      <c r="Q65" s="409">
        <f t="shared" si="14"/>
        <v>184816.53816500001</v>
      </c>
      <c r="R65" s="409">
        <f t="shared" si="15"/>
        <v>230219.69999999998</v>
      </c>
      <c r="S65" s="409">
        <f t="shared" si="16"/>
        <v>1726651.586995</v>
      </c>
      <c r="T65" s="320"/>
      <c r="U65" s="409">
        <f t="shared" si="17"/>
        <v>2110343.413005</v>
      </c>
      <c r="V65" s="10" t="str">
        <f>VLOOKUP(B65,Piloto!$B$74:$E$140,4,0)</f>
        <v>Disponível</v>
      </c>
      <c r="W65" s="87"/>
      <c r="AA65" s="88"/>
      <c r="AP65" s="115">
        <v>688.01</v>
      </c>
    </row>
    <row r="66" spans="1:42" ht="22.5" hidden="1" customHeight="1" thickBot="1">
      <c r="A66" s="75"/>
      <c r="B66" s="371">
        <v>2602</v>
      </c>
      <c r="C66" s="372">
        <f t="shared" si="9"/>
        <v>312.72000000000003</v>
      </c>
      <c r="D66" s="102">
        <f>INDEX('Banco de Dados'!$A$1:$AV$68,MATCH(Tabelas!B66,'Banco de Dados'!$A$1:$A$68,0),4)</f>
        <v>308.43</v>
      </c>
      <c r="E66" s="102">
        <f>INDEX('Banco de Dados'!$A$1:$AV$68,MATCH(Tabelas!B66,'Banco de Dados'!$A$1:$A$68,0),5)</f>
        <v>0</v>
      </c>
      <c r="F66" s="102">
        <f>INDEX('Banco de Dados'!$A$1:$AV$68,MATCH(Tabelas!B66,'Banco de Dados'!$A$1:$A$68,0),6)</f>
        <v>0</v>
      </c>
      <c r="G66" s="378" t="str">
        <f>INDEX('Banco de Dados'!$A$1:$AW$68,MATCH(Tabelas!B66,'Banco de Dados'!$A$1:$A$68,0),49)</f>
        <v>58/58A/67/68</v>
      </c>
      <c r="H66" s="100" t="s">
        <v>162</v>
      </c>
      <c r="I66" s="374" t="s">
        <v>189</v>
      </c>
      <c r="J66" s="100">
        <f>INDEX('Banco de Dados'!$A$1:$AV$68,MATCH(Tabelas!B66,'Banco de Dados'!$A$1:$A$68,0),40)</f>
        <v>4.29</v>
      </c>
      <c r="K66" s="100" t="str">
        <f>INDEX('Banco de Dados'!$A$1:$AV$68,MATCH(Tabelas!B66,'Banco de Dados'!$A$1:$A$68,0),41)</f>
        <v>TER</v>
      </c>
      <c r="L66" s="79">
        <f t="shared" si="10"/>
        <v>12388.465720133025</v>
      </c>
      <c r="M66" s="375">
        <f>VLOOKUP($B66,Piloto!$B$72:$H$140,5,0)</f>
        <v>3874121</v>
      </c>
      <c r="N66" s="376">
        <f t="shared" si="11"/>
        <v>77482.42</v>
      </c>
      <c r="O66" s="375">
        <f t="shared" si="12"/>
        <v>96853.025000000009</v>
      </c>
      <c r="P66" s="377">
        <f t="shared" si="13"/>
        <v>29152.760524999998</v>
      </c>
      <c r="Q66" s="376">
        <f t="shared" si="14"/>
        <v>186604.786207</v>
      </c>
      <c r="R66" s="375">
        <f t="shared" si="15"/>
        <v>232447.25999999998</v>
      </c>
      <c r="S66" s="375">
        <f t="shared" si="16"/>
        <v>1743358.3241209998</v>
      </c>
      <c r="T66" s="83"/>
      <c r="U66" s="375">
        <f t="shared" si="17"/>
        <v>2130762.6758790002</v>
      </c>
      <c r="V66" s="10" t="str">
        <f>VLOOKUP(B66,Piloto!$B$74:$E$140,4,0)</f>
        <v>Vendida</v>
      </c>
      <c r="W66" s="87"/>
      <c r="AA66" s="88"/>
      <c r="AP66" s="76">
        <v>369.96</v>
      </c>
    </row>
    <row r="67" spans="1:42" ht="22.5" hidden="1" customHeight="1" thickBot="1">
      <c r="A67" s="75"/>
      <c r="B67" s="331">
        <v>2700</v>
      </c>
      <c r="C67" s="332">
        <f t="shared" si="9"/>
        <v>691.92</v>
      </c>
      <c r="D67" s="333">
        <f>INDEX('Banco de Dados'!$A$1:$AV$68,MATCH(Tabelas!B67,'Banco de Dados'!$A$1:$A$68,0),4)</f>
        <v>684</v>
      </c>
      <c r="E67" s="102">
        <f>INDEX('Banco de Dados'!$A$1:$AV$68,MATCH(Tabelas!B67,'Banco de Dados'!$A$1:$A$68,0),5)</f>
        <v>0</v>
      </c>
      <c r="F67" s="334">
        <f>INDEX('Banco de Dados'!$A$1:$AV$68,MATCH(Tabelas!B67,'Banco de Dados'!$A$1:$A$68,0),6)</f>
        <v>0</v>
      </c>
      <c r="G67" s="335" t="str">
        <f>INDEX('Banco de Dados'!$A$1:$AW$68,MATCH(Tabelas!B67,'Banco de Dados'!$A$1:$A$68,0),49)</f>
        <v>180/181/182/55/55A</v>
      </c>
      <c r="H67" s="336" t="s">
        <v>190</v>
      </c>
      <c r="I67" s="337" t="s">
        <v>191</v>
      </c>
      <c r="J67" s="336">
        <f>INDEX('Banco de Dados'!$A$1:$AV$68,MATCH(Tabelas!B67,'Banco de Dados'!$A$1:$A$68,0),40)</f>
        <v>7.92</v>
      </c>
      <c r="K67" s="338" t="str">
        <f>INDEX('Banco de Dados'!$A$1:$AV$68,MATCH(Tabelas!B67,'Banco de Dados'!$A$1:$A$68,0),41)</f>
        <v>TER</v>
      </c>
      <c r="L67" s="79">
        <f t="shared" si="10"/>
        <v>13040.490230084404</v>
      </c>
      <c r="M67" s="339">
        <f>VLOOKUP($B67,Piloto!$B$72:$H$140,5,0)</f>
        <v>9022976</v>
      </c>
      <c r="N67" s="340">
        <f t="shared" si="11"/>
        <v>180459.51999999999</v>
      </c>
      <c r="O67" s="339">
        <f t="shared" si="12"/>
        <v>225574.40000000002</v>
      </c>
      <c r="P67" s="341">
        <f t="shared" si="13"/>
        <v>67897.89439999999</v>
      </c>
      <c r="Q67" s="340">
        <f t="shared" si="14"/>
        <v>434609.68499199999</v>
      </c>
      <c r="R67" s="339">
        <f t="shared" si="15"/>
        <v>541378.55999999994</v>
      </c>
      <c r="S67" s="339">
        <f t="shared" si="16"/>
        <v>4060348.222976</v>
      </c>
      <c r="T67" s="83"/>
      <c r="U67" s="339">
        <f t="shared" si="17"/>
        <v>4962627.777024</v>
      </c>
      <c r="V67" s="10" t="str">
        <f>VLOOKUP(B67,Piloto!$B$74:$E$140,4,0)</f>
        <v>Vendida</v>
      </c>
      <c r="W67" s="87"/>
      <c r="AA67" s="88"/>
      <c r="AP67" s="76">
        <v>327.05</v>
      </c>
    </row>
    <row r="68" spans="1:42" ht="30" customHeight="1" thickBot="1">
      <c r="A68" s="75"/>
      <c r="B68" s="406">
        <v>2801</v>
      </c>
      <c r="C68" s="407">
        <f t="shared" si="9"/>
        <v>327.39999999999998</v>
      </c>
      <c r="D68" s="407">
        <f>INDEX('Banco de Dados'!$A$1:$AV$68,MATCH(Tabelas!B68,'Banco de Dados'!$A$1:$A$68,0),4)</f>
        <v>322.89</v>
      </c>
      <c r="E68" s="324">
        <f>INDEX('Banco de Dados'!$A$1:$AV$68,MATCH(Tabelas!B68,'Banco de Dados'!$A$1:$A$68,0),5)</f>
        <v>0</v>
      </c>
      <c r="F68" s="407">
        <f>INDEX('Banco de Dados'!$A$1:$AV$68,MATCH(Tabelas!B68,'Banco de Dados'!$A$1:$A$68,0),6)</f>
        <v>0</v>
      </c>
      <c r="G68" s="408" t="str">
        <f>INDEX('Banco de Dados'!$A$1:$AW$68,MATCH(Tabelas!B68,'Banco de Dados'!$A$1:$A$68,0),49)</f>
        <v>5/87/96/96A</v>
      </c>
      <c r="H68" s="407" t="s">
        <v>178</v>
      </c>
      <c r="I68" s="406" t="s">
        <v>192</v>
      </c>
      <c r="J68" s="407">
        <f>INDEX('Banco de Dados'!$A$1:$AV$68,MATCH(Tabelas!B68,'Banco de Dados'!$A$1:$A$68,0),40)</f>
        <v>4.51</v>
      </c>
      <c r="K68" s="407" t="str">
        <f>INDEX('Banco de Dados'!$A$1:$AV$68,MATCH(Tabelas!B68,'Banco de Dados'!$A$1:$A$68,0),41)</f>
        <v>SS1</v>
      </c>
      <c r="L68" s="327">
        <f t="shared" si="10"/>
        <v>11736.441661576055</v>
      </c>
      <c r="M68" s="409">
        <f>VLOOKUP($B68,Piloto!$B$72:$H$140,5,0)</f>
        <v>3842511</v>
      </c>
      <c r="N68" s="409">
        <f t="shared" si="11"/>
        <v>76850.22</v>
      </c>
      <c r="O68" s="409">
        <f t="shared" si="12"/>
        <v>96062.775000000009</v>
      </c>
      <c r="P68" s="409">
        <f t="shared" si="13"/>
        <v>28914.895274999999</v>
      </c>
      <c r="Q68" s="409">
        <f t="shared" si="14"/>
        <v>185082.22733700002</v>
      </c>
      <c r="R68" s="409">
        <f t="shared" si="15"/>
        <v>230550.66</v>
      </c>
      <c r="S68" s="409">
        <f t="shared" si="16"/>
        <v>1729133.7925110003</v>
      </c>
      <c r="T68" s="320"/>
      <c r="U68" s="409">
        <f t="shared" si="17"/>
        <v>2113377.2074890002</v>
      </c>
      <c r="V68" s="10" t="str">
        <f>VLOOKUP(B68,Piloto!$B$74:$E$140,4,0)</f>
        <v>Disponível</v>
      </c>
      <c r="W68" s="87"/>
      <c r="AA68" s="88"/>
      <c r="AP68" s="76">
        <v>312.94</v>
      </c>
    </row>
    <row r="69" spans="1:42" s="129" customFormat="1" ht="22.5" hidden="1" customHeight="1" thickBot="1">
      <c r="A69" s="123"/>
      <c r="B69" s="386">
        <v>2802</v>
      </c>
      <c r="C69" s="387">
        <f t="shared" si="9"/>
        <v>312.68</v>
      </c>
      <c r="D69" s="125">
        <f>INDEX('Banco de Dados'!$A$1:$AV$68,MATCH(Tabelas!B69,'Banco de Dados'!$A$1:$A$68,0),4)</f>
        <v>308.43</v>
      </c>
      <c r="E69" s="125">
        <f>INDEX('Banco de Dados'!$A$1:$AV$68,MATCH(Tabelas!B69,'Banco de Dados'!$A$1:$A$68,0),5)</f>
        <v>0</v>
      </c>
      <c r="F69" s="125">
        <f>INDEX('Banco de Dados'!$A$1:$AV$68,MATCH(Tabelas!B69,'Banco de Dados'!$A$1:$A$68,0),6)</f>
        <v>0</v>
      </c>
      <c r="G69" s="388" t="str">
        <f>INDEX('Banco de Dados'!$A$1:$AW$68,MATCH(Tabelas!B69,'Banco de Dados'!$A$1:$A$68,0),49)</f>
        <v>57/57A/34/35</v>
      </c>
      <c r="H69" s="126" t="s">
        <v>162</v>
      </c>
      <c r="I69" s="389" t="s">
        <v>193</v>
      </c>
      <c r="J69" s="126">
        <f>INDEX('Banco de Dados'!$A$1:$AV$68,MATCH(Tabelas!B69,'Banco de Dados'!$A$1:$A$68,0),40)</f>
        <v>4.25</v>
      </c>
      <c r="K69" s="126" t="str">
        <f>INDEX('Banco de Dados'!$A$1:$AV$68,MATCH(Tabelas!B69,'Banco de Dados'!$A$1:$A$68,0),41)</f>
        <v>TER</v>
      </c>
      <c r="L69" s="127">
        <f t="shared" si="10"/>
        <v>12388.464244595112</v>
      </c>
      <c r="M69" s="390">
        <f>VLOOKUP($B69,Piloto!$B$72:$H$140,5,0)</f>
        <v>3873625</v>
      </c>
      <c r="N69" s="391">
        <f t="shared" si="11"/>
        <v>77472.5</v>
      </c>
      <c r="O69" s="390">
        <f t="shared" si="12"/>
        <v>96840.625</v>
      </c>
      <c r="P69" s="392">
        <f t="shared" si="13"/>
        <v>29149.028124999997</v>
      </c>
      <c r="Q69" s="391">
        <f t="shared" si="14"/>
        <v>186580.89537499999</v>
      </c>
      <c r="R69" s="390">
        <f t="shared" si="15"/>
        <v>232417.5</v>
      </c>
      <c r="S69" s="390">
        <f t="shared" si="16"/>
        <v>1743135.123625</v>
      </c>
      <c r="T69" s="128"/>
      <c r="U69" s="390">
        <f t="shared" si="17"/>
        <v>2130489.876375</v>
      </c>
      <c r="V69" s="10" t="str">
        <f>VLOOKUP(B69,Piloto!$B$74:$E$140,4,0)</f>
        <v>Vendida</v>
      </c>
      <c r="W69" s="130" t="s">
        <v>194</v>
      </c>
      <c r="AA69" s="131"/>
      <c r="AP69" s="76">
        <v>689.32</v>
      </c>
    </row>
    <row r="70" spans="1:42" s="129" customFormat="1" ht="22.5" hidden="1" customHeight="1" thickBot="1">
      <c r="A70" s="123"/>
      <c r="B70" s="355">
        <v>2901</v>
      </c>
      <c r="C70" s="356">
        <f t="shared" si="9"/>
        <v>370.62</v>
      </c>
      <c r="D70" s="357">
        <f>INDEX('Banco de Dados'!$A$1:$AV$68,MATCH(Tabelas!B70,'Banco de Dados'!$A$1:$A$68,0),4)</f>
        <v>365.71</v>
      </c>
      <c r="E70" s="125">
        <f>INDEX('Banco de Dados'!$A$1:$AV$68,MATCH(Tabelas!B70,'Banco de Dados'!$A$1:$A$68,0),5)</f>
        <v>0</v>
      </c>
      <c r="F70" s="358">
        <f>INDEX('Banco de Dados'!$A$1:$AV$68,MATCH(Tabelas!B70,'Banco de Dados'!$A$1:$A$68,0),6)</f>
        <v>0</v>
      </c>
      <c r="G70" s="343" t="str">
        <f>INDEX('Banco de Dados'!$A$1:$AW$68,MATCH(Tabelas!B70,'Banco de Dados'!$A$1:$A$68,0),49)</f>
        <v>113/114/115/116</v>
      </c>
      <c r="H70" s="359" t="s">
        <v>158</v>
      </c>
      <c r="I70" s="360" t="s">
        <v>195</v>
      </c>
      <c r="J70" s="359">
        <f>INDEX('Banco de Dados'!$A$1:$AV$68,MATCH(Tabelas!B70,'Banco de Dados'!$A$1:$A$68,0),40)</f>
        <v>4.91</v>
      </c>
      <c r="K70" s="361" t="str">
        <f>INDEX('Banco de Dados'!$A$1:$AV$68,MATCH(Tabelas!B70,'Banco de Dados'!$A$1:$A$68,0),41)</f>
        <v>SS1</v>
      </c>
      <c r="L70" s="127">
        <f t="shared" si="10"/>
        <v>12388.465274405051</v>
      </c>
      <c r="M70" s="362">
        <f>VLOOKUP($B70,Piloto!$B$72:$H$140,5,0)</f>
        <v>4591413</v>
      </c>
      <c r="N70" s="363">
        <f t="shared" si="11"/>
        <v>91828.26</v>
      </c>
      <c r="O70" s="362">
        <f t="shared" si="12"/>
        <v>114785.32500000001</v>
      </c>
      <c r="P70" s="364">
        <f t="shared" si="13"/>
        <v>34550.382825000001</v>
      </c>
      <c r="Q70" s="363">
        <f t="shared" si="14"/>
        <v>221154.58997100001</v>
      </c>
      <c r="R70" s="362">
        <f t="shared" si="15"/>
        <v>275484.77999999997</v>
      </c>
      <c r="S70" s="362">
        <f t="shared" si="16"/>
        <v>2066140.4414130002</v>
      </c>
      <c r="T70" s="128"/>
      <c r="U70" s="362">
        <f t="shared" si="17"/>
        <v>2525272.5585870002</v>
      </c>
      <c r="V70" s="10" t="str">
        <f>VLOOKUP(B70,Piloto!$B$74:$E$140,4,0)</f>
        <v>Vendida</v>
      </c>
      <c r="W70" s="130" t="s">
        <v>194</v>
      </c>
      <c r="AA70" s="131"/>
      <c r="AP70" s="76">
        <v>327.5</v>
      </c>
    </row>
    <row r="71" spans="1:42" ht="30" customHeight="1" thickBot="1">
      <c r="A71" s="75"/>
      <c r="B71" s="406">
        <v>2902</v>
      </c>
      <c r="C71" s="407">
        <f t="shared" si="9"/>
        <v>270.87</v>
      </c>
      <c r="D71" s="407">
        <f>INDEX('Banco de Dados'!$A$1:$AV$68,MATCH(Tabelas!B71,'Banco de Dados'!$A$1:$A$68,0),4)</f>
        <v>266.88</v>
      </c>
      <c r="E71" s="324">
        <f>INDEX('Banco de Dados'!$A$1:$AV$68,MATCH(Tabelas!B71,'Banco de Dados'!$A$1:$A$68,0),5)</f>
        <v>0</v>
      </c>
      <c r="F71" s="407">
        <f>INDEX('Banco de Dados'!$A$1:$AV$68,MATCH(Tabelas!B71,'Banco de Dados'!$A$1:$A$68,0),6)</f>
        <v>0</v>
      </c>
      <c r="G71" s="408" t="str">
        <f>INDEX('Banco de Dados'!$A$1:$AW$68,MATCH(Tabelas!B71,'Banco de Dados'!$A$1:$A$68,0),49)</f>
        <v>10/10A/13/43</v>
      </c>
      <c r="H71" s="407" t="s">
        <v>162</v>
      </c>
      <c r="I71" s="406" t="s">
        <v>196</v>
      </c>
      <c r="J71" s="407">
        <f>INDEX('Banco de Dados'!$A$1:$AV$68,MATCH(Tabelas!B71,'Banco de Dados'!$A$1:$A$68,0),40)</f>
        <v>3.99</v>
      </c>
      <c r="K71" s="407" t="str">
        <f>INDEX('Banco de Dados'!$A$1:$AV$68,MATCH(Tabelas!B71,'Banco de Dados'!$A$1:$A$68,0),41)</f>
        <v>TER</v>
      </c>
      <c r="L71" s="327">
        <f t="shared" si="10"/>
        <v>11736.441835566877</v>
      </c>
      <c r="M71" s="409">
        <f>VLOOKUP($B71,Piloto!$B$72:$H$140,5,0)</f>
        <v>3179050</v>
      </c>
      <c r="N71" s="409">
        <f t="shared" si="11"/>
        <v>63581</v>
      </c>
      <c r="O71" s="409">
        <f t="shared" si="12"/>
        <v>79476.25</v>
      </c>
      <c r="P71" s="409">
        <f t="shared" si="13"/>
        <v>23922.35125</v>
      </c>
      <c r="Q71" s="409">
        <f t="shared" si="14"/>
        <v>153125.30134999999</v>
      </c>
      <c r="R71" s="409">
        <f t="shared" si="15"/>
        <v>190743</v>
      </c>
      <c r="S71" s="409">
        <f t="shared" si="16"/>
        <v>1430575.6790499999</v>
      </c>
      <c r="T71" s="320"/>
      <c r="U71" s="409">
        <f t="shared" si="17"/>
        <v>1748474.3209500001</v>
      </c>
      <c r="V71" s="10" t="str">
        <f>VLOOKUP(B71,Piloto!$B$74:$E$140,4,0)</f>
        <v>Disponível</v>
      </c>
      <c r="W71" s="87"/>
      <c r="AA71" s="88"/>
      <c r="AP71" s="124">
        <v>312.62</v>
      </c>
    </row>
    <row r="72" spans="1:42" s="120" customFormat="1" ht="22.5" hidden="1" customHeight="1" thickBot="1">
      <c r="A72" s="114"/>
      <c r="B72" s="393">
        <v>3000</v>
      </c>
      <c r="C72" s="394">
        <f t="shared" si="9"/>
        <v>688.01</v>
      </c>
      <c r="D72" s="116">
        <f>INDEX('Banco de Dados'!$A$1:$AV$68,MATCH(Tabelas!B72,'Banco de Dados'!$A$1:$A$68,0),4)</f>
        <v>681</v>
      </c>
      <c r="E72" s="116">
        <f>INDEX('Banco de Dados'!$A$1:$AV$68,MATCH(Tabelas!B72,'Banco de Dados'!$A$1:$A$68,0),5)</f>
        <v>0</v>
      </c>
      <c r="F72" s="116">
        <f>INDEX('Banco de Dados'!$A$1:$AV$68,MATCH(Tabelas!B72,'Banco de Dados'!$A$1:$A$68,0),6)</f>
        <v>0</v>
      </c>
      <c r="G72" s="395" t="str">
        <f>INDEX('Banco de Dados'!$A$1:$AW$68,MATCH(Tabelas!B72,'Banco de Dados'!$A$1:$A$68,0),49)</f>
        <v>215/218/219/204/204A</v>
      </c>
      <c r="H72" s="117" t="s">
        <v>197</v>
      </c>
      <c r="I72" s="396" t="s">
        <v>198</v>
      </c>
      <c r="J72" s="117">
        <f>INDEX('Banco de Dados'!$A$1:$AV$68,MATCH(Tabelas!B72,'Banco de Dados'!$A$1:$A$68,0),40)</f>
        <v>7.01</v>
      </c>
      <c r="K72" s="117" t="str">
        <f>INDEX('Banco de Dados'!$A$1:$AV$68,MATCH(Tabelas!B72,'Banco de Dados'!$A$1:$A$68,0),41)</f>
        <v>TER</v>
      </c>
      <c r="L72" s="118">
        <f t="shared" si="10"/>
        <v>13040.490690542289</v>
      </c>
      <c r="M72" s="397">
        <f>VLOOKUP($B72,Piloto!$B$72:$H$140,5,0)</f>
        <v>8971988</v>
      </c>
      <c r="N72" s="398">
        <f t="shared" si="11"/>
        <v>179439.76</v>
      </c>
      <c r="O72" s="397">
        <f t="shared" si="12"/>
        <v>224299.7</v>
      </c>
      <c r="P72" s="399">
        <f t="shared" si="13"/>
        <v>67514.209699999992</v>
      </c>
      <c r="Q72" s="398">
        <f t="shared" si="14"/>
        <v>432153.74599600001</v>
      </c>
      <c r="R72" s="397">
        <f t="shared" si="15"/>
        <v>538319.28</v>
      </c>
      <c r="S72" s="397">
        <f t="shared" si="16"/>
        <v>4037403.5719880005</v>
      </c>
      <c r="T72" s="119"/>
      <c r="U72" s="397">
        <f t="shared" si="17"/>
        <v>4934584.4280120004</v>
      </c>
      <c r="V72" s="10" t="str">
        <f>VLOOKUP(B72,Piloto!$B$74:$E$140,4,0)</f>
        <v>Fora de venda</v>
      </c>
      <c r="W72" s="121" t="s">
        <v>199</v>
      </c>
      <c r="AA72" s="122"/>
      <c r="AP72" s="76">
        <v>370.37</v>
      </c>
    </row>
    <row r="73" spans="1:42" ht="22.5" hidden="1" customHeight="1" thickBot="1">
      <c r="A73" s="75"/>
      <c r="B73" s="138">
        <v>3101</v>
      </c>
      <c r="C73" s="76">
        <f t="shared" si="9"/>
        <v>369.96</v>
      </c>
      <c r="D73" s="86">
        <f>INDEX('Banco de Dados'!$A$1:$AV$68,MATCH(Tabelas!B73,'Banco de Dados'!$A$1:$A$68,0),4)</f>
        <v>365.71</v>
      </c>
      <c r="E73" s="102">
        <f>INDEX('Banco de Dados'!$A$1:$AV$68,MATCH(Tabelas!B73,'Banco de Dados'!$A$1:$A$68,0),5)</f>
        <v>0</v>
      </c>
      <c r="F73" s="102">
        <f>INDEX('Banco de Dados'!$A$1:$AV$68,MATCH(Tabelas!B73,'Banco de Dados'!$A$1:$A$68,0),6)</f>
        <v>0</v>
      </c>
      <c r="G73" s="135" t="str">
        <f>INDEX('Banco de Dados'!$A$1:$AW$68,MATCH(Tabelas!B73,'Banco de Dados'!$A$1:$A$68,0),49)</f>
        <v>150/151/152/153</v>
      </c>
      <c r="H73" s="77" t="s">
        <v>158</v>
      </c>
      <c r="I73" s="78" t="s">
        <v>200</v>
      </c>
      <c r="J73" s="77">
        <f>INDEX('Banco de Dados'!$A$1:$AV$68,MATCH(Tabelas!B73,'Banco de Dados'!$A$1:$A$68,0),40)</f>
        <v>4.25</v>
      </c>
      <c r="K73" s="100" t="str">
        <f>INDEX('Banco de Dados'!$A$1:$AV$68,MATCH(Tabelas!B73,'Banco de Dados'!$A$1:$A$68,0),41)</f>
        <v>SS1</v>
      </c>
      <c r="L73" s="79">
        <f t="shared" si="10"/>
        <v>12388.466320683317</v>
      </c>
      <c r="M73" s="80">
        <f>VLOOKUP($B73,Piloto!$B$72:$H$140,5,0)</f>
        <v>4583237</v>
      </c>
      <c r="N73" s="81">
        <f t="shared" si="11"/>
        <v>91664.74</v>
      </c>
      <c r="O73" s="80">
        <f t="shared" si="12"/>
        <v>114580.925</v>
      </c>
      <c r="P73" s="82">
        <f t="shared" si="13"/>
        <v>34488.858424999999</v>
      </c>
      <c r="Q73" s="81">
        <f t="shared" si="14"/>
        <v>220760.776579</v>
      </c>
      <c r="R73" s="80">
        <f t="shared" si="15"/>
        <v>274994.21999999997</v>
      </c>
      <c r="S73" s="80">
        <f t="shared" si="16"/>
        <v>2062461.2332369997</v>
      </c>
      <c r="T73" s="83"/>
      <c r="U73" s="80">
        <f t="shared" si="17"/>
        <v>2520775.7667630003</v>
      </c>
      <c r="V73" s="10" t="str">
        <f>VLOOKUP(B73,Piloto!$B$74:$E$140,4,0)</f>
        <v>Vendida</v>
      </c>
      <c r="W73" s="87"/>
      <c r="AA73" s="88"/>
      <c r="AP73" s="76">
        <v>271.88</v>
      </c>
    </row>
    <row r="74" spans="1:42" s="120" customFormat="1" ht="22.5" hidden="1" customHeight="1" thickBot="1">
      <c r="A74" s="114"/>
      <c r="B74" s="344">
        <v>3102</v>
      </c>
      <c r="C74" s="345">
        <f t="shared" si="9"/>
        <v>270.94</v>
      </c>
      <c r="D74" s="346">
        <f>INDEX('Banco de Dados'!$A$1:$AV$68,MATCH(Tabelas!B74,'Banco de Dados'!$A$1:$A$68,0),4)</f>
        <v>266.95</v>
      </c>
      <c r="E74" s="116">
        <f>INDEX('Banco de Dados'!$A$1:$AV$68,MATCH(Tabelas!B74,'Banco de Dados'!$A$1:$A$68,0),5)</f>
        <v>0</v>
      </c>
      <c r="F74" s="347">
        <f>INDEX('Banco de Dados'!$A$1:$AV$68,MATCH(Tabelas!B74,'Banco de Dados'!$A$1:$A$68,0),6)</f>
        <v>0</v>
      </c>
      <c r="G74" s="348" t="str">
        <f>INDEX('Banco de Dados'!$A$1:$AW$68,MATCH(Tabelas!B74,'Banco de Dados'!$A$1:$A$68,0),49)</f>
        <v>8/9/9A/12</v>
      </c>
      <c r="H74" s="349" t="s">
        <v>162</v>
      </c>
      <c r="I74" s="350" t="s">
        <v>201</v>
      </c>
      <c r="J74" s="349">
        <f>INDEX('Banco de Dados'!$A$1:$AV$68,MATCH(Tabelas!B74,'Banco de Dados'!$A$1:$A$68,0),40)</f>
        <v>3.99</v>
      </c>
      <c r="K74" s="351" t="str">
        <f>INDEX('Banco de Dados'!$A$1:$AV$68,MATCH(Tabelas!B74,'Banco de Dados'!$A$1:$A$68,0),41)</f>
        <v>TER</v>
      </c>
      <c r="L74" s="118">
        <f t="shared" si="10"/>
        <v>11736.439802170222</v>
      </c>
      <c r="M74" s="352">
        <f>VLOOKUP($B74,Piloto!$B$72:$H$140,5,0)</f>
        <v>3179871</v>
      </c>
      <c r="N74" s="353">
        <f t="shared" si="11"/>
        <v>63597.42</v>
      </c>
      <c r="O74" s="352">
        <f t="shared" si="12"/>
        <v>79496.775000000009</v>
      </c>
      <c r="P74" s="354">
        <f t="shared" si="13"/>
        <v>23928.529274999997</v>
      </c>
      <c r="Q74" s="353">
        <f t="shared" si="14"/>
        <v>153164.84645700001</v>
      </c>
      <c r="R74" s="352">
        <f t="shared" si="15"/>
        <v>190792.25999999998</v>
      </c>
      <c r="S74" s="352">
        <f t="shared" si="16"/>
        <v>1430945.1298710001</v>
      </c>
      <c r="T74" s="119"/>
      <c r="U74" s="352">
        <f t="shared" si="17"/>
        <v>1748925.8701290002</v>
      </c>
      <c r="V74" s="10" t="str">
        <f>VLOOKUP(B74,Piloto!$B$74:$E$140,4,0)</f>
        <v>Fora de venda</v>
      </c>
      <c r="W74" s="121" t="s">
        <v>186</v>
      </c>
      <c r="AA74" s="122"/>
      <c r="AP74" s="115">
        <v>688.03</v>
      </c>
    </row>
    <row r="75" spans="1:42" ht="30" hidden="1" customHeight="1" thickBot="1">
      <c r="A75" s="75"/>
      <c r="B75" s="406">
        <v>3201</v>
      </c>
      <c r="C75" s="407">
        <f t="shared" si="9"/>
        <v>327.05</v>
      </c>
      <c r="D75" s="407">
        <f>INDEX('Banco de Dados'!$A$1:$AV$68,MATCH(Tabelas!B75,'Banco de Dados'!$A$1:$A$68,0),4)</f>
        <v>322.86</v>
      </c>
      <c r="E75" s="324">
        <f>INDEX('Banco de Dados'!$A$1:$AV$68,MATCH(Tabelas!B75,'Banco de Dados'!$A$1:$A$68,0),5)</f>
        <v>0</v>
      </c>
      <c r="F75" s="407">
        <f>INDEX('Banco de Dados'!$A$1:$AV$68,MATCH(Tabelas!B75,'Banco de Dados'!$A$1:$A$68,0),6)</f>
        <v>0</v>
      </c>
      <c r="G75" s="408" t="str">
        <f>INDEX('Banco de Dados'!$A$1:$AW$68,MATCH(Tabelas!B75,'Banco de Dados'!$A$1:$A$68,0),49)</f>
        <v>90/90A/23/24</v>
      </c>
      <c r="H75" s="407" t="s">
        <v>142</v>
      </c>
      <c r="I75" s="406" t="s">
        <v>202</v>
      </c>
      <c r="J75" s="407">
        <f>INDEX('Banco de Dados'!$A$1:$AV$68,MATCH(Tabelas!B75,'Banco de Dados'!$A$1:$A$68,0),40)</f>
        <v>4.1900000000000004</v>
      </c>
      <c r="K75" s="407" t="str">
        <f>INDEX('Banco de Dados'!$A$1:$AV$68,MATCH(Tabelas!B75,'Banco de Dados'!$A$1:$A$68,0),41)</f>
        <v>SS1</v>
      </c>
      <c r="L75" s="327">
        <f t="shared" si="10"/>
        <v>11736.440911175661</v>
      </c>
      <c r="M75" s="409">
        <f>VLOOKUP($B75,Piloto!$B$72:$H$140,5,0)</f>
        <v>3838403</v>
      </c>
      <c r="N75" s="409">
        <f t="shared" si="11"/>
        <v>76768.06</v>
      </c>
      <c r="O75" s="409">
        <f t="shared" si="12"/>
        <v>95960.075000000012</v>
      </c>
      <c r="P75" s="409">
        <f t="shared" si="13"/>
        <v>28883.982574999998</v>
      </c>
      <c r="Q75" s="409">
        <f t="shared" si="14"/>
        <v>184884.35730100001</v>
      </c>
      <c r="R75" s="409">
        <f t="shared" si="15"/>
        <v>230304.18</v>
      </c>
      <c r="S75" s="409">
        <f t="shared" si="16"/>
        <v>1727285.1884029999</v>
      </c>
      <c r="T75" s="320"/>
      <c r="U75" s="409">
        <f t="shared" si="17"/>
        <v>2111117.8115969999</v>
      </c>
      <c r="V75" s="10" t="str">
        <f>VLOOKUP(B75,Piloto!$B$74:$E$140,4,0)</f>
        <v>Vendida</v>
      </c>
      <c r="W75" s="87"/>
      <c r="AA75" s="88"/>
      <c r="AP75" s="115">
        <v>369.9</v>
      </c>
    </row>
    <row r="76" spans="1:42" ht="22.5" hidden="1" customHeight="1" thickBot="1">
      <c r="A76" s="75"/>
      <c r="B76" s="371">
        <v>3202</v>
      </c>
      <c r="C76" s="372">
        <f t="shared" si="9"/>
        <v>312.94</v>
      </c>
      <c r="D76" s="102">
        <f>INDEX('Banco de Dados'!$A$1:$AV$68,MATCH(Tabelas!B76,'Banco de Dados'!$A$1:$A$68,0),4)</f>
        <v>308.43</v>
      </c>
      <c r="E76" s="102">
        <f>INDEX('Banco de Dados'!$A$1:$AV$68,MATCH(Tabelas!B76,'Banco de Dados'!$A$1:$A$68,0),5)</f>
        <v>0</v>
      </c>
      <c r="F76" s="102">
        <f>INDEX('Banco de Dados'!$A$1:$AV$68,MATCH(Tabelas!B76,'Banco de Dados'!$A$1:$A$68,0),6)</f>
        <v>0</v>
      </c>
      <c r="G76" s="378" t="str">
        <f>INDEX('Banco de Dados'!$A$1:$AW$68,MATCH(Tabelas!B76,'Banco de Dados'!$A$1:$A$68,0),49)</f>
        <v>53/53A/18/19</v>
      </c>
      <c r="H76" s="100" t="s">
        <v>162</v>
      </c>
      <c r="I76" s="374" t="s">
        <v>203</v>
      </c>
      <c r="J76" s="100">
        <f>INDEX('Banco de Dados'!$A$1:$AV$68,MATCH(Tabelas!B76,'Banco de Dados'!$A$1:$A$68,0),40)</f>
        <v>4.51</v>
      </c>
      <c r="K76" s="100" t="str">
        <f>INDEX('Banco de Dados'!$A$1:$AV$68,MATCH(Tabelas!B76,'Banco de Dados'!$A$1:$A$68,0),41)</f>
        <v>TER</v>
      </c>
      <c r="L76" s="79">
        <f t="shared" si="10"/>
        <v>12388.464242346776</v>
      </c>
      <c r="M76" s="375">
        <f>VLOOKUP($B76,Piloto!$B$72:$H$140,5,0)</f>
        <v>3876846</v>
      </c>
      <c r="N76" s="376">
        <f t="shared" si="11"/>
        <v>77536.92</v>
      </c>
      <c r="O76" s="375">
        <f t="shared" si="12"/>
        <v>96921.150000000009</v>
      </c>
      <c r="P76" s="377">
        <f t="shared" si="13"/>
        <v>29173.266149999999</v>
      </c>
      <c r="Q76" s="376">
        <f t="shared" si="14"/>
        <v>186736.04128200002</v>
      </c>
      <c r="R76" s="375">
        <f t="shared" si="15"/>
        <v>232610.75999999998</v>
      </c>
      <c r="S76" s="375">
        <f t="shared" si="16"/>
        <v>1744584.5768459998</v>
      </c>
      <c r="T76" s="83"/>
      <c r="U76" s="375">
        <f t="shared" si="17"/>
        <v>2132261.4231540002</v>
      </c>
      <c r="V76" s="10" t="str">
        <f>VLOOKUP(B76,Piloto!$B$74:$E$140,4,0)</f>
        <v>Vendida</v>
      </c>
      <c r="W76" s="87"/>
      <c r="AA76" s="88"/>
      <c r="AP76" s="76">
        <v>271.02</v>
      </c>
    </row>
    <row r="77" spans="1:42" ht="22.5" hidden="1" customHeight="1" thickBot="1">
      <c r="A77" s="75"/>
      <c r="B77" s="331">
        <v>3300</v>
      </c>
      <c r="C77" s="332">
        <f t="shared" si="9"/>
        <v>689.32</v>
      </c>
      <c r="D77" s="333">
        <f>INDEX('Banco de Dados'!$A$1:$AV$68,MATCH(Tabelas!B77,'Banco de Dados'!$A$1:$A$68,0),4)</f>
        <v>684</v>
      </c>
      <c r="E77" s="102">
        <f>INDEX('Banco de Dados'!$A$1:$AV$68,MATCH(Tabelas!B77,'Banco de Dados'!$A$1:$A$68,0),5)</f>
        <v>0</v>
      </c>
      <c r="F77" s="334">
        <f>INDEX('Banco de Dados'!$A$1:$AV$68,MATCH(Tabelas!B77,'Banco de Dados'!$A$1:$A$68,0),6)</f>
        <v>0</v>
      </c>
      <c r="G77" s="335" t="str">
        <f>INDEX('Banco de Dados'!$A$1:$AW$68,MATCH(Tabelas!B77,'Banco de Dados'!$A$1:$A$68,0),49)</f>
        <v>177/178/179/54/54A</v>
      </c>
      <c r="H77" s="336" t="s">
        <v>190</v>
      </c>
      <c r="I77" s="337" t="s">
        <v>204</v>
      </c>
      <c r="J77" s="336">
        <f>INDEX('Banco de Dados'!$A$1:$AV$68,MATCH(Tabelas!B77,'Banco de Dados'!$A$1:$A$68,0),40)</f>
        <v>5.32</v>
      </c>
      <c r="K77" s="338" t="str">
        <f>INDEX('Banco de Dados'!$A$1:$AV$68,MATCH(Tabelas!B77,'Banco de Dados'!$A$1:$A$68,0),41)</f>
        <v>TER</v>
      </c>
      <c r="L77" s="79">
        <f t="shared" si="10"/>
        <v>13040.490628445423</v>
      </c>
      <c r="M77" s="339">
        <f>VLOOKUP($B77,Piloto!$B$72:$H$140,5,0)</f>
        <v>8989071</v>
      </c>
      <c r="N77" s="340">
        <f t="shared" si="11"/>
        <v>179781.42</v>
      </c>
      <c r="O77" s="339">
        <f t="shared" si="12"/>
        <v>224726.77500000002</v>
      </c>
      <c r="P77" s="341">
        <f t="shared" si="13"/>
        <v>67642.759274999989</v>
      </c>
      <c r="Q77" s="340">
        <f t="shared" si="14"/>
        <v>432976.582857</v>
      </c>
      <c r="R77" s="339">
        <f t="shared" si="15"/>
        <v>539344.26</v>
      </c>
      <c r="S77" s="339">
        <f t="shared" si="16"/>
        <v>4045090.9390709996</v>
      </c>
      <c r="T77" s="83"/>
      <c r="U77" s="339">
        <f t="shared" si="17"/>
        <v>4943980.0609290004</v>
      </c>
      <c r="V77" s="10" t="str">
        <f>VLOOKUP(B77,Piloto!$B$74:$E$140,4,0)</f>
        <v>Vendida</v>
      </c>
      <c r="W77" s="87"/>
      <c r="AA77" s="88"/>
      <c r="AP77" s="76">
        <v>327.13</v>
      </c>
    </row>
    <row r="78" spans="1:42" ht="30" customHeight="1">
      <c r="A78" s="75"/>
      <c r="B78" s="406">
        <v>3401</v>
      </c>
      <c r="C78" s="407">
        <f t="shared" si="9"/>
        <v>327.5</v>
      </c>
      <c r="D78" s="407">
        <f>INDEX('Banco de Dados'!$A$1:$AV$68,MATCH(Tabelas!B78,'Banco de Dados'!$A$1:$A$68,0),4)</f>
        <v>322.89</v>
      </c>
      <c r="E78" s="324">
        <f>INDEX('Banco de Dados'!$A$1:$AV$68,MATCH(Tabelas!B78,'Banco de Dados'!$A$1:$A$68,0),5)</f>
        <v>0</v>
      </c>
      <c r="F78" s="407">
        <f>INDEX('Banco de Dados'!$A$1:$AV$68,MATCH(Tabelas!B78,'Banco de Dados'!$A$1:$A$68,0),6)</f>
        <v>0</v>
      </c>
      <c r="G78" s="408" t="str">
        <f>INDEX('Banco de Dados'!$A$1:$AW$68,MATCH(Tabelas!B78,'Banco de Dados'!$A$1:$A$68,0),49)</f>
        <v>91/91A/73/74</v>
      </c>
      <c r="H78" s="407" t="s">
        <v>142</v>
      </c>
      <c r="I78" s="406" t="s">
        <v>205</v>
      </c>
      <c r="J78" s="407">
        <f>INDEX('Banco de Dados'!$A$1:$AV$68,MATCH(Tabelas!B78,'Banco de Dados'!$A$1:$A$68,0),40)</f>
        <v>4.6100000000000003</v>
      </c>
      <c r="K78" s="407" t="str">
        <f>INDEX('Banco de Dados'!$A$1:$AV$68,MATCH(Tabelas!B78,'Banco de Dados'!$A$1:$A$68,0),41)</f>
        <v>TER</v>
      </c>
      <c r="L78" s="327">
        <f t="shared" si="10"/>
        <v>11736.439694656488</v>
      </c>
      <c r="M78" s="409">
        <f>VLOOKUP($B78,Piloto!$B$72:$H$140,5,0)</f>
        <v>3843684</v>
      </c>
      <c r="N78" s="409">
        <f t="shared" si="11"/>
        <v>76873.680000000008</v>
      </c>
      <c r="O78" s="409">
        <f t="shared" si="12"/>
        <v>96092.1</v>
      </c>
      <c r="P78" s="409">
        <f t="shared" si="13"/>
        <v>28923.722099999999</v>
      </c>
      <c r="Q78" s="409">
        <f t="shared" si="14"/>
        <v>185138.727228</v>
      </c>
      <c r="R78" s="409">
        <f t="shared" si="15"/>
        <v>230621.03999999998</v>
      </c>
      <c r="S78" s="409">
        <f t="shared" si="16"/>
        <v>1729661.643684</v>
      </c>
      <c r="T78" s="320"/>
      <c r="U78" s="409">
        <f t="shared" si="17"/>
        <v>2114022.3563160002</v>
      </c>
      <c r="V78" s="10" t="str">
        <f>VLOOKUP(B78,Piloto!$B$74:$E$140,4,0)</f>
        <v>Disponível</v>
      </c>
      <c r="W78" s="87"/>
      <c r="AA78" s="88"/>
      <c r="AP78" s="76">
        <v>689.03</v>
      </c>
    </row>
    <row r="79" spans="1:42" s="129" customFormat="1" ht="22.5" hidden="1" customHeight="1" thickBot="1">
      <c r="A79" s="123"/>
      <c r="B79" s="386">
        <v>3402</v>
      </c>
      <c r="C79" s="387">
        <f t="shared" si="9"/>
        <v>312.62</v>
      </c>
      <c r="D79" s="125">
        <f>INDEX('Banco de Dados'!$A$1:$AV$68,MATCH(Tabelas!B79,'Banco de Dados'!$A$1:$A$68,0),4)</f>
        <v>308.43</v>
      </c>
      <c r="E79" s="125">
        <f>INDEX('Banco de Dados'!$A$1:$AV$68,MATCH(Tabelas!B79,'Banco de Dados'!$A$1:$A$68,0),5)</f>
        <v>0</v>
      </c>
      <c r="F79" s="125">
        <f>INDEX('Banco de Dados'!$A$1:$AV$68,MATCH(Tabelas!B79,'Banco de Dados'!$A$1:$A$68,0),6)</f>
        <v>0</v>
      </c>
      <c r="G79" s="388" t="str">
        <f>INDEX('Banco de Dados'!$A$1:$AW$68,MATCH(Tabelas!B79,'Banco de Dados'!$A$1:$A$68,0),49)</f>
        <v>52/52A/37/38</v>
      </c>
      <c r="H79" s="126" t="s">
        <v>162</v>
      </c>
      <c r="I79" s="389" t="s">
        <v>206</v>
      </c>
      <c r="J79" s="126">
        <f>INDEX('Banco de Dados'!$A$1:$AV$68,MATCH(Tabelas!B79,'Banco de Dados'!$A$1:$A$68,0),40)</f>
        <v>4.1900000000000004</v>
      </c>
      <c r="K79" s="126" t="str">
        <f>INDEX('Banco de Dados'!$A$1:$AV$68,MATCH(Tabelas!B79,'Banco de Dados'!$A$1:$A$68,0),41)</f>
        <v>TER</v>
      </c>
      <c r="L79" s="127">
        <f t="shared" si="10"/>
        <v>12388.465229351928</v>
      </c>
      <c r="M79" s="390">
        <f>VLOOKUP($B79,Piloto!$B$72:$H$140,5,0)</f>
        <v>3872882</v>
      </c>
      <c r="N79" s="391">
        <f t="shared" si="11"/>
        <v>77457.64</v>
      </c>
      <c r="O79" s="390">
        <f t="shared" si="12"/>
        <v>96822.05</v>
      </c>
      <c r="P79" s="392">
        <f t="shared" si="13"/>
        <v>29143.437049999997</v>
      </c>
      <c r="Q79" s="391">
        <f t="shared" si="14"/>
        <v>186545.10729400002</v>
      </c>
      <c r="R79" s="390">
        <f t="shared" si="15"/>
        <v>232372.91999999998</v>
      </c>
      <c r="S79" s="390">
        <f t="shared" si="16"/>
        <v>1742800.7728820001</v>
      </c>
      <c r="T79" s="128"/>
      <c r="U79" s="390">
        <f t="shared" si="17"/>
        <v>2130081.2271179999</v>
      </c>
      <c r="V79" s="10" t="str">
        <f>VLOOKUP(B79,Piloto!$B$74:$E$140,4,0)</f>
        <v>Fora de venda</v>
      </c>
      <c r="W79" s="130" t="s">
        <v>194</v>
      </c>
      <c r="AA79" s="131"/>
      <c r="AP79" s="76">
        <v>327.34999999999997</v>
      </c>
    </row>
    <row r="80" spans="1:42" ht="22.5" hidden="1" customHeight="1" thickBot="1">
      <c r="A80" s="75"/>
      <c r="B80" s="331">
        <v>3501</v>
      </c>
      <c r="C80" s="332">
        <f t="shared" si="9"/>
        <v>370.37</v>
      </c>
      <c r="D80" s="333">
        <f>INDEX('Banco de Dados'!$A$1:$AV$68,MATCH(Tabelas!B80,'Banco de Dados'!$A$1:$A$68,0),4)</f>
        <v>365.71</v>
      </c>
      <c r="E80" s="102">
        <f>INDEX('Banco de Dados'!$A$1:$AV$68,MATCH(Tabelas!B80,'Banco de Dados'!$A$1:$A$68,0),5)</f>
        <v>0</v>
      </c>
      <c r="F80" s="334">
        <f>INDEX('Banco de Dados'!$A$1:$AV$68,MATCH(Tabelas!B80,'Banco de Dados'!$A$1:$A$68,0),6)</f>
        <v>0</v>
      </c>
      <c r="G80" s="342" t="str">
        <f>INDEX('Banco de Dados'!$A$1:$AW$68,MATCH(Tabelas!B80,'Banco de Dados'!$A$1:$A$68,0),49)</f>
        <v>92/174/158/159</v>
      </c>
      <c r="H80" s="336" t="s">
        <v>158</v>
      </c>
      <c r="I80" s="337" t="s">
        <v>207</v>
      </c>
      <c r="J80" s="336">
        <f>INDEX('Banco de Dados'!$A$1:$AV$68,MATCH(Tabelas!B80,'Banco de Dados'!$A$1:$A$68,0),40)</f>
        <v>4.66</v>
      </c>
      <c r="K80" s="338" t="str">
        <f>INDEX('Banco de Dados'!$A$1:$AV$68,MATCH(Tabelas!B80,'Banco de Dados'!$A$1:$A$68,0),41)</f>
        <v>SS1</v>
      </c>
      <c r="L80" s="79">
        <f t="shared" si="10"/>
        <v>12388.465588465588</v>
      </c>
      <c r="M80" s="339">
        <f>VLOOKUP($B80,Piloto!$B$72:$H$140,5,0)</f>
        <v>4588316</v>
      </c>
      <c r="N80" s="340">
        <f t="shared" si="11"/>
        <v>91766.32</v>
      </c>
      <c r="O80" s="339">
        <f t="shared" si="12"/>
        <v>114707.90000000001</v>
      </c>
      <c r="P80" s="341">
        <f t="shared" si="13"/>
        <v>34527.077899999997</v>
      </c>
      <c r="Q80" s="340">
        <f t="shared" si="14"/>
        <v>221005.416772</v>
      </c>
      <c r="R80" s="339">
        <f t="shared" si="15"/>
        <v>275298.95999999996</v>
      </c>
      <c r="S80" s="339">
        <f t="shared" si="16"/>
        <v>2064746.788316</v>
      </c>
      <c r="T80" s="83"/>
      <c r="U80" s="339">
        <f t="shared" si="17"/>
        <v>2523569.2116840002</v>
      </c>
      <c r="V80" s="10" t="str">
        <f>VLOOKUP(B80,Piloto!$B$74:$E$140,4,0)</f>
        <v>Vendida</v>
      </c>
      <c r="W80" s="87"/>
      <c r="AA80" s="88"/>
      <c r="AP80" s="124">
        <v>312.7</v>
      </c>
    </row>
    <row r="81" spans="1:42" ht="30" hidden="1" customHeight="1">
      <c r="A81" s="75"/>
      <c r="B81" s="406">
        <v>3502</v>
      </c>
      <c r="C81" s="407">
        <f t="shared" si="9"/>
        <v>271.88</v>
      </c>
      <c r="D81" s="407">
        <f>INDEX('Banco de Dados'!$A$1:$AV$68,MATCH(Tabelas!B81,'Banco de Dados'!$A$1:$A$68,0),4)</f>
        <v>266.88</v>
      </c>
      <c r="E81" s="324">
        <f>INDEX('Banco de Dados'!$A$1:$AV$68,MATCH(Tabelas!B81,'Banco de Dados'!$A$1:$A$68,0),5)</f>
        <v>0</v>
      </c>
      <c r="F81" s="407">
        <f>INDEX('Banco de Dados'!$A$1:$AV$68,MATCH(Tabelas!B81,'Banco de Dados'!$A$1:$A$68,0),6)</f>
        <v>0</v>
      </c>
      <c r="G81" s="408" t="str">
        <f>INDEX('Banco de Dados'!$A$1:$AW$68,MATCH(Tabelas!B81,'Banco de Dados'!$A$1:$A$68,0),49)</f>
        <v>4/4A/6/7</v>
      </c>
      <c r="H81" s="407" t="s">
        <v>162</v>
      </c>
      <c r="I81" s="406" t="s">
        <v>208</v>
      </c>
      <c r="J81" s="407">
        <f>INDEX('Banco de Dados'!$A$1:$AV$68,MATCH(Tabelas!B81,'Banco de Dados'!$A$1:$A$68,0),40)</f>
        <v>5</v>
      </c>
      <c r="K81" s="407" t="str">
        <f>INDEX('Banco de Dados'!$A$1:$AV$68,MATCH(Tabelas!B81,'Banco de Dados'!$A$1:$A$68,0),41)</f>
        <v>TER</v>
      </c>
      <c r="L81" s="327">
        <f t="shared" si="10"/>
        <v>11736.442548183022</v>
      </c>
      <c r="M81" s="409">
        <f>VLOOKUP($B81,Piloto!$B$72:$H$140,5,0)</f>
        <v>3190904</v>
      </c>
      <c r="N81" s="409">
        <f t="shared" si="11"/>
        <v>63818.080000000002</v>
      </c>
      <c r="O81" s="409">
        <f t="shared" si="12"/>
        <v>79772.600000000006</v>
      </c>
      <c r="P81" s="409">
        <f t="shared" si="13"/>
        <v>24011.552599999999</v>
      </c>
      <c r="Q81" s="409">
        <f t="shared" si="14"/>
        <v>153696.272968</v>
      </c>
      <c r="R81" s="409">
        <f t="shared" si="15"/>
        <v>191454.24</v>
      </c>
      <c r="S81" s="409">
        <f t="shared" si="16"/>
        <v>1435909.9909039999</v>
      </c>
      <c r="T81" s="320"/>
      <c r="U81" s="409">
        <f t="shared" si="17"/>
        <v>1754994.0090960001</v>
      </c>
      <c r="V81" s="10" t="str">
        <f>VLOOKUP(B81,Piloto!$B$74:$E$140,4,0)</f>
        <v>Vendida</v>
      </c>
      <c r="W81" s="87"/>
      <c r="AA81" s="88"/>
      <c r="AP81" s="76">
        <v>1106.6600000000001</v>
      </c>
    </row>
    <row r="82" spans="1:42" s="120" customFormat="1" ht="22.5" hidden="1" customHeight="1">
      <c r="A82" s="114"/>
      <c r="B82" s="393">
        <v>3600</v>
      </c>
      <c r="C82" s="394">
        <f t="shared" si="9"/>
        <v>688.03</v>
      </c>
      <c r="D82" s="116">
        <f>INDEX('Banco de Dados'!$A$1:$AV$68,MATCH(Tabelas!B82,'Banco de Dados'!$A$1:$A$68,0),4)</f>
        <v>681</v>
      </c>
      <c r="E82" s="116">
        <f>INDEX('Banco de Dados'!$A$1:$AV$68,MATCH(Tabelas!B82,'Banco de Dados'!$A$1:$A$68,0),5)</f>
        <v>0</v>
      </c>
      <c r="F82" s="116">
        <f>INDEX('Banco de Dados'!$A$1:$AV$68,MATCH(Tabelas!B82,'Banco de Dados'!$A$1:$A$68,0),6)</f>
        <v>0</v>
      </c>
      <c r="G82" s="395" t="str">
        <f>INDEX('Banco de Dados'!$A$1:$AW$68,MATCH(Tabelas!B82,'Banco de Dados'!$A$1:$A$68,0),49)</f>
        <v>183/184/185/203/203A</v>
      </c>
      <c r="H82" s="117" t="s">
        <v>197</v>
      </c>
      <c r="I82" s="396" t="s">
        <v>209</v>
      </c>
      <c r="J82" s="117">
        <f>INDEX('Banco de Dados'!$A$1:$AV$68,MATCH(Tabelas!B82,'Banco de Dados'!$A$1:$A$68,0),40)</f>
        <v>7.03</v>
      </c>
      <c r="K82" s="117" t="str">
        <f>INDEX('Banco de Dados'!$A$1:$AV$68,MATCH(Tabelas!B82,'Banco de Dados'!$A$1:$A$68,0),41)</f>
        <v>TER</v>
      </c>
      <c r="L82" s="118">
        <f t="shared" si="10"/>
        <v>13040.489513538654</v>
      </c>
      <c r="M82" s="397">
        <f>VLOOKUP($B82,Piloto!$B$72:$H$140,5,0)</f>
        <v>8972248</v>
      </c>
      <c r="N82" s="398">
        <f t="shared" si="11"/>
        <v>179444.96</v>
      </c>
      <c r="O82" s="397">
        <f t="shared" si="12"/>
        <v>224306.2</v>
      </c>
      <c r="P82" s="399">
        <f t="shared" si="13"/>
        <v>67516.166199999992</v>
      </c>
      <c r="Q82" s="398">
        <f t="shared" si="14"/>
        <v>432166.269416</v>
      </c>
      <c r="R82" s="397">
        <f t="shared" si="15"/>
        <v>538334.88</v>
      </c>
      <c r="S82" s="397">
        <f t="shared" si="16"/>
        <v>4037520.5722479997</v>
      </c>
      <c r="T82" s="119"/>
      <c r="U82" s="397">
        <f t="shared" si="17"/>
        <v>4934727.4277520003</v>
      </c>
      <c r="V82" s="10" t="str">
        <f>VLOOKUP(B82,Piloto!$B$74:$E$140,4,0)</f>
        <v>Fora de venda</v>
      </c>
      <c r="W82" s="121" t="s">
        <v>210</v>
      </c>
      <c r="AA82" s="122"/>
      <c r="AB82" s="132">
        <v>3599.2063499999999</v>
      </c>
      <c r="AC82" s="132">
        <v>9500</v>
      </c>
      <c r="AP82"/>
    </row>
    <row r="83" spans="1:42" ht="22.5" hidden="1" customHeight="1" thickBot="1">
      <c r="A83" s="75"/>
      <c r="B83" s="138">
        <v>3701</v>
      </c>
      <c r="C83" s="76">
        <f t="shared" si="9"/>
        <v>369.9</v>
      </c>
      <c r="D83" s="86">
        <f>INDEX('Banco de Dados'!$A$1:$AV$68,MATCH(Tabelas!B83,'Banco de Dados'!$A$1:$A$68,0),4)</f>
        <v>365.71</v>
      </c>
      <c r="E83" s="102">
        <f>INDEX('Banco de Dados'!$A$1:$AV$68,MATCH(Tabelas!B83,'Banco de Dados'!$A$1:$A$68,0),5)</f>
        <v>0</v>
      </c>
      <c r="F83" s="102">
        <f>INDEX('Banco de Dados'!$A$1:$AV$68,MATCH(Tabelas!B83,'Banco de Dados'!$A$1:$A$68,0),6)</f>
        <v>0</v>
      </c>
      <c r="G83" s="135" t="str">
        <f>INDEX('Banco de Dados'!$A$1:$AW$68,MATCH(Tabelas!B83,'Banco de Dados'!$A$1:$A$68,0),49)</f>
        <v>99/100/101/102</v>
      </c>
      <c r="H83" s="77" t="s">
        <v>158</v>
      </c>
      <c r="I83" s="78" t="s">
        <v>211</v>
      </c>
      <c r="J83" s="77">
        <f>INDEX('Banco de Dados'!$A$1:$AV$68,MATCH(Tabelas!B83,'Banco de Dados'!$A$1:$A$68,0),40)</f>
        <v>4.1900000000000004</v>
      </c>
      <c r="K83" s="100" t="str">
        <f>INDEX('Banco de Dados'!$A$1:$AV$68,MATCH(Tabelas!B83,'Banco de Dados'!$A$1:$A$68,0),41)</f>
        <v>SS1</v>
      </c>
      <c r="L83" s="79">
        <f t="shared" si="10"/>
        <v>12388.464449851312</v>
      </c>
      <c r="M83" s="80">
        <f>VLOOKUP($B83,Piloto!$B$72:$H$140,5,0)</f>
        <v>4582493</v>
      </c>
      <c r="N83" s="81">
        <f t="shared" si="11"/>
        <v>91649.86</v>
      </c>
      <c r="O83" s="80">
        <f t="shared" si="12"/>
        <v>114562.32500000001</v>
      </c>
      <c r="P83" s="82">
        <f t="shared" si="13"/>
        <v>34483.259825000001</v>
      </c>
      <c r="Q83" s="81">
        <f t="shared" si="14"/>
        <v>220724.94033100002</v>
      </c>
      <c r="R83" s="80">
        <f t="shared" si="15"/>
        <v>274949.58</v>
      </c>
      <c r="S83" s="80">
        <f t="shared" si="16"/>
        <v>2062126.4324930003</v>
      </c>
      <c r="T83" s="83"/>
      <c r="U83" s="80">
        <f t="shared" si="17"/>
        <v>2520366.5675070002</v>
      </c>
      <c r="V83" s="10" t="str">
        <f>VLOOKUP(B83,Piloto!$B$74:$E$140,4,0)</f>
        <v>Vendida</v>
      </c>
      <c r="W83" s="87"/>
      <c r="Z83" s="10">
        <v>315</v>
      </c>
      <c r="AA83" s="88">
        <f>C83-Z83</f>
        <v>54.899999999999977</v>
      </c>
      <c r="AB83" s="133">
        <f>AB82*AA83</f>
        <v>197596.42861499992</v>
      </c>
      <c r="AC83" s="133">
        <f>AC82*AA83</f>
        <v>521549.99999999977</v>
      </c>
      <c r="AP83"/>
    </row>
    <row r="84" spans="1:42" ht="22.5" hidden="1" customHeight="1" thickBot="1">
      <c r="A84" s="75"/>
      <c r="B84" s="331">
        <v>3702</v>
      </c>
      <c r="C84" s="332">
        <f t="shared" si="9"/>
        <v>271.02</v>
      </c>
      <c r="D84" s="333">
        <f>INDEX('Banco de Dados'!$A$1:$AV$68,MATCH(Tabelas!B84,'Banco de Dados'!$A$1:$A$68,0),4)</f>
        <v>266.95</v>
      </c>
      <c r="E84" s="102">
        <f>INDEX('Banco de Dados'!$A$1:$AV$68,MATCH(Tabelas!B84,'Banco de Dados'!$A$1:$A$68,0),5)</f>
        <v>0</v>
      </c>
      <c r="F84" s="334">
        <f>INDEX('Banco de Dados'!$A$1:$AV$68,MATCH(Tabelas!B84,'Banco de Dados'!$A$1:$A$68,0),6)</f>
        <v>0</v>
      </c>
      <c r="G84" s="335" t="str">
        <f>INDEX('Banco de Dados'!$A$1:$AW$68,MATCH(Tabelas!B84,'Banco de Dados'!$A$1:$A$68,0),49)</f>
        <v>1/2/3/3A</v>
      </c>
      <c r="H84" s="336" t="s">
        <v>162</v>
      </c>
      <c r="I84" s="337" t="s">
        <v>212</v>
      </c>
      <c r="J84" s="336">
        <f>INDEX('Banco de Dados'!$A$1:$AV$68,MATCH(Tabelas!B84,'Banco de Dados'!$A$1:$A$68,0),40)</f>
        <v>4.07</v>
      </c>
      <c r="K84" s="338" t="str">
        <f>INDEX('Banco de Dados'!$A$1:$AV$68,MATCH(Tabelas!B84,'Banco de Dados'!$A$1:$A$68,0),41)</f>
        <v>SS2</v>
      </c>
      <c r="L84" s="79">
        <f t="shared" si="10"/>
        <v>11736.440115120657</v>
      </c>
      <c r="M84" s="339">
        <f>VLOOKUP($B84,Piloto!$B$72:$H$140,5,0)</f>
        <v>3180810</v>
      </c>
      <c r="N84" s="340">
        <f t="shared" si="11"/>
        <v>63616.200000000004</v>
      </c>
      <c r="O84" s="339">
        <f t="shared" si="12"/>
        <v>79520.25</v>
      </c>
      <c r="P84" s="341">
        <f t="shared" si="13"/>
        <v>23935.595249999998</v>
      </c>
      <c r="Q84" s="340">
        <f t="shared" si="14"/>
        <v>153210.07527</v>
      </c>
      <c r="R84" s="339">
        <f t="shared" si="15"/>
        <v>190848.6</v>
      </c>
      <c r="S84" s="339">
        <f t="shared" si="16"/>
        <v>1431367.6808099998</v>
      </c>
      <c r="T84" s="83"/>
      <c r="U84" s="339">
        <f t="shared" si="17"/>
        <v>1749442.31919</v>
      </c>
      <c r="V84" s="10" t="str">
        <f>VLOOKUP(B84,Piloto!$B$74:$E$140,4,0)</f>
        <v>Vendida</v>
      </c>
      <c r="W84" s="87"/>
      <c r="AA84" s="88"/>
      <c r="AB84" s="133">
        <f>AB83/8</f>
        <v>24699.553576874991</v>
      </c>
      <c r="AC84" s="133">
        <f>AC83/8</f>
        <v>65193.749999999971</v>
      </c>
      <c r="AP84"/>
    </row>
    <row r="85" spans="1:42" ht="30" customHeight="1">
      <c r="A85" s="75"/>
      <c r="B85" s="406">
        <v>3801</v>
      </c>
      <c r="C85" s="407">
        <f t="shared" si="9"/>
        <v>327.13</v>
      </c>
      <c r="D85" s="407">
        <f>INDEX('Banco de Dados'!$A$1:$AV$68,MATCH(Tabelas!B85,'Banco de Dados'!$A$1:$A$68,0),4)</f>
        <v>322.86</v>
      </c>
      <c r="E85" s="324">
        <f>INDEX('Banco de Dados'!$A$1:$AV$68,MATCH(Tabelas!B85,'Banco de Dados'!$A$1:$A$68,0),5)</f>
        <v>0</v>
      </c>
      <c r="F85" s="407">
        <f>INDEX('Banco de Dados'!$A$1:$AV$68,MATCH(Tabelas!B85,'Banco de Dados'!$A$1:$A$68,0),6)</f>
        <v>0</v>
      </c>
      <c r="G85" s="408" t="str">
        <f>INDEX('Banco de Dados'!$A$1:$AW$68,MATCH(Tabelas!B85,'Banco de Dados'!$A$1:$A$68,0),49)</f>
        <v>224/224A/85/86</v>
      </c>
      <c r="H85" s="407" t="s">
        <v>213</v>
      </c>
      <c r="I85" s="406" t="s">
        <v>214</v>
      </c>
      <c r="J85" s="407">
        <f>INDEX('Banco de Dados'!$A$1:$AV$68,MATCH(Tabelas!B85,'Banco de Dados'!$A$1:$A$68,0),40)</f>
        <v>4.2699999999999996</v>
      </c>
      <c r="K85" s="407" t="str">
        <f>INDEX('Banco de Dados'!$A$1:$AV$68,MATCH(Tabelas!B85,'Banco de Dados'!$A$1:$A$68,0),41)</f>
        <v>TER</v>
      </c>
      <c r="L85" s="327">
        <f t="shared" si="10"/>
        <v>11736.441170176993</v>
      </c>
      <c r="M85" s="409">
        <f>VLOOKUP($B85,Piloto!$B$72:$H$140,5,0)</f>
        <v>3839342</v>
      </c>
      <c r="N85" s="409">
        <f t="shared" si="11"/>
        <v>76786.84</v>
      </c>
      <c r="O85" s="409">
        <f t="shared" si="12"/>
        <v>95983.55</v>
      </c>
      <c r="P85" s="409">
        <f t="shared" si="13"/>
        <v>28891.04855</v>
      </c>
      <c r="Q85" s="409">
        <f t="shared" si="14"/>
        <v>184929.58611400001</v>
      </c>
      <c r="R85" s="409">
        <f t="shared" si="15"/>
        <v>230360.52</v>
      </c>
      <c r="S85" s="409">
        <f t="shared" si="16"/>
        <v>1727707.7393419999</v>
      </c>
      <c r="T85" s="320"/>
      <c r="U85" s="409">
        <f t="shared" si="17"/>
        <v>2111634.2606580001</v>
      </c>
      <c r="V85" s="10" t="str">
        <f>VLOOKUP(B85,Piloto!$B$74:$E$140,4,0)</f>
        <v>Disponível</v>
      </c>
      <c r="W85" s="87"/>
      <c r="AA85" s="88"/>
      <c r="AB85" s="133">
        <v>3599.2063499999999</v>
      </c>
      <c r="AC85" s="10">
        <v>9500</v>
      </c>
      <c r="AP85"/>
    </row>
    <row r="86" spans="1:42" s="120" customFormat="1" ht="22.5" hidden="1" customHeight="1">
      <c r="A86" s="114"/>
      <c r="B86" s="400">
        <v>3802</v>
      </c>
      <c r="C86" s="401">
        <f t="shared" si="9"/>
        <v>312.62</v>
      </c>
      <c r="D86" s="347">
        <f>INDEX('Banco de Dados'!$A$1:$AV$68,MATCH(Tabelas!B86,'Banco de Dados'!$A$1:$A$68,0),4)</f>
        <v>308.43</v>
      </c>
      <c r="E86" s="116">
        <f>INDEX('Banco de Dados'!$A$1:$AV$68,MATCH(Tabelas!B86,'Banco de Dados'!$A$1:$A$68,0),5)</f>
        <v>0</v>
      </c>
      <c r="F86" s="347">
        <f>INDEX('Banco de Dados'!$A$1:$AV$68,MATCH(Tabelas!B86,'Banco de Dados'!$A$1:$A$68,0),6)</f>
        <v>0</v>
      </c>
      <c r="G86" s="402" t="str">
        <f>INDEX('Banco de Dados'!$A$1:$AW$68,MATCH(Tabelas!B86,'Banco de Dados'!$A$1:$A$68,0),49)</f>
        <v>51/51A/39/40</v>
      </c>
      <c r="H86" s="351" t="s">
        <v>162</v>
      </c>
      <c r="I86" s="403" t="s">
        <v>215</v>
      </c>
      <c r="J86" s="351">
        <f>INDEX('Banco de Dados'!$A$1:$AV$68,MATCH(Tabelas!B86,'Banco de Dados'!$A$1:$A$68,0),40)</f>
        <v>4.1900000000000004</v>
      </c>
      <c r="K86" s="351" t="str">
        <f>INDEX('Banco de Dados'!$A$1:$AV$68,MATCH(Tabelas!B86,'Banco de Dados'!$A$1:$A$68,0),41)</f>
        <v>TER</v>
      </c>
      <c r="L86" s="118">
        <f t="shared" si="10"/>
        <v>12388.465229351928</v>
      </c>
      <c r="M86" s="404">
        <f>VLOOKUP($B86,Piloto!$B$72:$H$140,5,0)</f>
        <v>3872882</v>
      </c>
      <c r="N86" s="119">
        <f t="shared" si="11"/>
        <v>77457.64</v>
      </c>
      <c r="O86" s="404">
        <f t="shared" si="12"/>
        <v>96822.05</v>
      </c>
      <c r="P86" s="405">
        <f t="shared" si="13"/>
        <v>29143.437049999997</v>
      </c>
      <c r="Q86" s="119">
        <f t="shared" si="14"/>
        <v>186545.10729400002</v>
      </c>
      <c r="R86" s="404">
        <f t="shared" si="15"/>
        <v>232372.91999999998</v>
      </c>
      <c r="S86" s="404">
        <f t="shared" si="16"/>
        <v>1742800.7728820001</v>
      </c>
      <c r="T86" s="119"/>
      <c r="U86" s="404">
        <f t="shared" si="17"/>
        <v>2130081.2271179999</v>
      </c>
      <c r="V86" s="10" t="str">
        <f>VLOOKUP(B86,Piloto!$B$74:$E$140,4,0)</f>
        <v>Fora de venda</v>
      </c>
      <c r="W86" s="121" t="s">
        <v>216</v>
      </c>
      <c r="Z86" s="120">
        <v>315</v>
      </c>
      <c r="AA86" s="132">
        <f>C86-Z86</f>
        <v>-2.3799999999999955</v>
      </c>
      <c r="AB86" s="132">
        <f>AB85*AA86</f>
        <v>-8566.1111129999827</v>
      </c>
      <c r="AC86" s="132">
        <f>AC85*AA86</f>
        <v>-22609.999999999956</v>
      </c>
      <c r="AP86" s="134"/>
    </row>
    <row r="87" spans="1:42" ht="30" customHeight="1">
      <c r="A87" s="75"/>
      <c r="B87" s="414">
        <v>3900</v>
      </c>
      <c r="C87" s="415">
        <f t="shared" si="9"/>
        <v>689.03</v>
      </c>
      <c r="D87" s="415">
        <f>INDEX('Banco de Dados'!$A$1:$AV$68,MATCH(Tabelas!B87,'Banco de Dados'!$A$1:$A$68,0),4)</f>
        <v>684</v>
      </c>
      <c r="E87" s="324">
        <f>INDEX('Banco de Dados'!$A$1:$AV$68,MATCH(Tabelas!B87,'Banco de Dados'!$A$1:$A$68,0),5)</f>
        <v>0</v>
      </c>
      <c r="F87" s="415">
        <f>INDEX('Banco de Dados'!$A$1:$AV$68,MATCH(Tabelas!B87,'Banco de Dados'!$A$1:$A$68,0),6)</f>
        <v>0</v>
      </c>
      <c r="G87" s="416" t="str">
        <f>INDEX('Banco de Dados'!$A$1:$AW$68,MATCH(Tabelas!B87,'Banco de Dados'!$A$1:$A$68,0),49)</f>
        <v>192/193/194/56/56A</v>
      </c>
      <c r="H87" s="415" t="s">
        <v>190</v>
      </c>
      <c r="I87" s="414" t="s">
        <v>217</v>
      </c>
      <c r="J87" s="415">
        <f>INDEX('Banco de Dados'!$A$1:$AV$68,MATCH(Tabelas!B87,'Banco de Dados'!$A$1:$A$68,0),40)</f>
        <v>5.03</v>
      </c>
      <c r="K87" s="415" t="str">
        <f>INDEX('Banco de Dados'!$A$1:$AV$68,MATCH(Tabelas!B87,'Banco de Dados'!$A$1:$A$68,0),41)</f>
        <v>TER</v>
      </c>
      <c r="L87" s="327">
        <f t="shared" si="10"/>
        <v>13692.514114044381</v>
      </c>
      <c r="M87" s="417">
        <f>VLOOKUP($B87,Piloto!$B$72:$H$140,5,0)</f>
        <v>9434553</v>
      </c>
      <c r="N87" s="417">
        <f t="shared" si="11"/>
        <v>188691.06</v>
      </c>
      <c r="O87" s="417">
        <f t="shared" si="12"/>
        <v>235863.82500000001</v>
      </c>
      <c r="P87" s="417">
        <f t="shared" si="13"/>
        <v>70995.011324999999</v>
      </c>
      <c r="Q87" s="417">
        <f t="shared" si="14"/>
        <v>454434.114351</v>
      </c>
      <c r="R87" s="417">
        <f t="shared" si="15"/>
        <v>566073.17999999993</v>
      </c>
      <c r="S87" s="417">
        <f t="shared" si="16"/>
        <v>4245558.2845529998</v>
      </c>
      <c r="T87" s="322"/>
      <c r="U87" s="417">
        <f t="shared" si="17"/>
        <v>5188994.7154470002</v>
      </c>
      <c r="V87" s="10" t="str">
        <f>VLOOKUP(B87,Piloto!$B$74:$E$140,4,0)</f>
        <v>Disponível</v>
      </c>
      <c r="W87" s="87"/>
      <c r="AA87" s="88"/>
      <c r="AP87"/>
    </row>
    <row r="88" spans="1:42" ht="22.5" hidden="1" customHeight="1" thickBot="1">
      <c r="A88" s="75"/>
      <c r="B88" s="371">
        <v>4001</v>
      </c>
      <c r="C88" s="372">
        <f t="shared" ref="C88:C90" si="18">D88+F88+J88</f>
        <v>327.34999999999997</v>
      </c>
      <c r="D88" s="102">
        <f>INDEX('Banco de Dados'!$A$1:$AV$68,MATCH(Tabelas!B88,'Banco de Dados'!$A$1:$A$68,0),4)</f>
        <v>322.90999999999997</v>
      </c>
      <c r="E88" s="102">
        <f>INDEX('Banco de Dados'!$A$1:$AV$68,MATCH(Tabelas!B88,'Banco de Dados'!$A$1:$A$68,0),5)</f>
        <v>0</v>
      </c>
      <c r="F88" s="102">
        <f>INDEX('Banco de Dados'!$A$1:$AV$68,MATCH(Tabelas!B88,'Banco de Dados'!$A$1:$A$68,0),6)</f>
        <v>0</v>
      </c>
      <c r="G88" s="373" t="str">
        <f>INDEX('Banco de Dados'!$A$1:$AW$68,MATCH(Tabelas!B88,'Banco de Dados'!$A$1:$A$68,0),49)</f>
        <v>223/223A/88/89</v>
      </c>
      <c r="H88" s="100" t="s">
        <v>213</v>
      </c>
      <c r="I88" s="374" t="s">
        <v>218</v>
      </c>
      <c r="J88" s="100">
        <f>INDEX('Banco de Dados'!$A$1:$AV$68,MATCH(Tabelas!B88,'Banco de Dados'!$A$1:$A$68,0),40)</f>
        <v>4.4400000000000004</v>
      </c>
      <c r="K88" s="100" t="str">
        <f>INDEX('Banco de Dados'!$A$1:$AV$68,MATCH(Tabelas!B88,'Banco de Dados'!$A$1:$A$68,0),41)</f>
        <v>TER</v>
      </c>
      <c r="L88" s="79">
        <f t="shared" ref="L88:L90" si="19">M88/C88</f>
        <v>11736.441118069346</v>
      </c>
      <c r="M88" s="375">
        <f>VLOOKUP($B88,Piloto!$B$72:$H$140,5,0)</f>
        <v>3841924</v>
      </c>
      <c r="N88" s="376">
        <f t="shared" ref="N88:N90" si="20">$N$19*M88</f>
        <v>76838.48</v>
      </c>
      <c r="O88" s="375">
        <f t="shared" si="12"/>
        <v>96048.1</v>
      </c>
      <c r="P88" s="377">
        <f t="shared" si="13"/>
        <v>28910.478099999997</v>
      </c>
      <c r="Q88" s="376">
        <f t="shared" si="14"/>
        <v>185053.953308</v>
      </c>
      <c r="R88" s="375">
        <f t="shared" si="15"/>
        <v>230515.44</v>
      </c>
      <c r="S88" s="375">
        <f t="shared" ref="S88:S90" si="21">N88*$N$17+O88*$O$17+Q88*$Q$17+R88*$R$17+P88*$P$17</f>
        <v>1728869.6419239999</v>
      </c>
      <c r="T88" s="83"/>
      <c r="U88" s="375">
        <f t="shared" si="17"/>
        <v>2113054.3580760001</v>
      </c>
      <c r="V88" s="10" t="str">
        <f>VLOOKUP(B88,Piloto!$B$74:$E$140,4,0)</f>
        <v>Vendida</v>
      </c>
      <c r="W88" s="87"/>
      <c r="AA88" s="88"/>
      <c r="AP88"/>
    </row>
    <row r="89" spans="1:42" ht="22.5" hidden="1" customHeight="1" thickBot="1">
      <c r="A89" s="75"/>
      <c r="B89" s="138">
        <v>4002</v>
      </c>
      <c r="C89" s="76">
        <f t="shared" si="18"/>
        <v>312.7</v>
      </c>
      <c r="D89" s="86">
        <f>INDEX('Banco de Dados'!$A$1:$AV$68,MATCH(Tabelas!B89,'Banco de Dados'!$A$1:$A$68,0),4)</f>
        <v>308.43</v>
      </c>
      <c r="E89" s="102">
        <f>INDEX('Banco de Dados'!$A$1:$AV$68,MATCH(Tabelas!B89,'Banco de Dados'!$A$1:$A$68,0),5)</f>
        <v>0</v>
      </c>
      <c r="F89" s="102">
        <f>INDEX('Banco de Dados'!$A$1:$AV$68,MATCH(Tabelas!B89,'Banco de Dados'!$A$1:$A$68,0),6)</f>
        <v>0</v>
      </c>
      <c r="G89" s="135" t="str">
        <f>INDEX('Banco de Dados'!$A$1:$AW$68,MATCH(Tabelas!B89,'Banco de Dados'!$A$1:$A$68,0),49)</f>
        <v>50/50A/16/17</v>
      </c>
      <c r="H89" s="77" t="s">
        <v>162</v>
      </c>
      <c r="I89" s="78" t="s">
        <v>219</v>
      </c>
      <c r="J89" s="77">
        <f>INDEX('Banco de Dados'!$A$1:$AV$68,MATCH(Tabelas!B89,'Banco de Dados'!$A$1:$A$68,0),40)</f>
        <v>4.2699999999999996</v>
      </c>
      <c r="K89" s="100" t="str">
        <f>INDEX('Banco de Dados'!$A$1:$AV$68,MATCH(Tabelas!B89,'Banco de Dados'!$A$1:$A$68,0),41)</f>
        <v>TER</v>
      </c>
      <c r="L89" s="79">
        <f t="shared" si="19"/>
        <v>12388.464982411257</v>
      </c>
      <c r="M89" s="80">
        <f>VLOOKUP($B89,Piloto!$B$72:$H$140,5,0)</f>
        <v>3873873</v>
      </c>
      <c r="N89" s="81">
        <f t="shared" si="20"/>
        <v>77477.460000000006</v>
      </c>
      <c r="O89" s="80">
        <f t="shared" si="12"/>
        <v>96846.825000000012</v>
      </c>
      <c r="P89" s="82">
        <f t="shared" si="13"/>
        <v>29150.894324999997</v>
      </c>
      <c r="Q89" s="81">
        <f t="shared" si="14"/>
        <v>186592.840791</v>
      </c>
      <c r="R89" s="80">
        <f t="shared" si="15"/>
        <v>232432.38</v>
      </c>
      <c r="S89" s="80">
        <f t="shared" si="21"/>
        <v>1743246.7238730001</v>
      </c>
      <c r="T89" s="83"/>
      <c r="U89" s="80">
        <f t="shared" si="17"/>
        <v>2130626.2761269999</v>
      </c>
      <c r="V89" s="10" t="str">
        <f>VLOOKUP(B89,Piloto!$B$74:$E$140,4,0)</f>
        <v>Vendida</v>
      </c>
      <c r="W89" s="87"/>
      <c r="AA89" s="88"/>
      <c r="AP89"/>
    </row>
    <row r="90" spans="1:42" ht="22.5" hidden="1" customHeight="1" thickBot="1">
      <c r="A90" s="89"/>
      <c r="B90" s="139">
        <v>4100</v>
      </c>
      <c r="C90" s="92">
        <f t="shared" si="18"/>
        <v>1106.6600000000001</v>
      </c>
      <c r="D90" s="92">
        <f>INDEX('Banco de Dados'!$A$1:$AV$68,MATCH(Tabelas!B90,'Banco de Dados'!$A$1:$A$68,0),4)</f>
        <v>963.35</v>
      </c>
      <c r="E90" s="92">
        <f>INDEX('Banco de Dados'!$A$1:$AV$68,MATCH(Tabelas!B90,'Banco de Dados'!$A$1:$A$68,0),5)</f>
        <v>0</v>
      </c>
      <c r="F90" s="92">
        <f>INDEX('Banco de Dados'!$A$1:$AV$68,MATCH(Tabelas!B90,'Banco de Dados'!$A$1:$A$68,0),6)</f>
        <v>136.29</v>
      </c>
      <c r="G90" s="137" t="str">
        <f>INDEX('Banco de Dados'!$A$1:$AW$68,MATCH(Tabelas!B90,'Banco de Dados'!$A$1:$A$68,0),49)</f>
        <v>213/212/210/209/208/205/205A</v>
      </c>
      <c r="H90" s="93" t="s">
        <v>220</v>
      </c>
      <c r="I90" s="94" t="s">
        <v>221</v>
      </c>
      <c r="J90" s="93">
        <f>INDEX('Banco de Dados'!$A$1:$AV$68,MATCH(Tabelas!B90,'Banco de Dados'!$A$1:$A$68,0),40)</f>
        <v>7.02</v>
      </c>
      <c r="K90" s="101" t="str">
        <f>INDEX('Banco de Dados'!$A$1:$AV$68,MATCH(Tabelas!B90,'Banco de Dados'!$A$1:$A$68,0),41)</f>
        <v>TER</v>
      </c>
      <c r="L90" s="95">
        <f t="shared" si="19"/>
        <v>14344.539424936294</v>
      </c>
      <c r="M90" s="96">
        <f>VLOOKUP($B90,Piloto!$B$72:$H$140,5,0)</f>
        <v>15874528</v>
      </c>
      <c r="N90" s="97">
        <f t="shared" si="20"/>
        <v>317490.56</v>
      </c>
      <c r="O90" s="96">
        <f t="shared" si="12"/>
        <v>396863.2</v>
      </c>
      <c r="P90" s="98">
        <f t="shared" si="13"/>
        <v>119455.8232</v>
      </c>
      <c r="Q90" s="97">
        <f t="shared" si="14"/>
        <v>764628.39017600007</v>
      </c>
      <c r="R90" s="96">
        <f t="shared" si="15"/>
        <v>952471.67999999993</v>
      </c>
      <c r="S90" s="96">
        <f t="shared" si="21"/>
        <v>7143553.4745279998</v>
      </c>
      <c r="T90" s="83"/>
      <c r="U90" s="80">
        <f t="shared" si="17"/>
        <v>8730974.5254720002</v>
      </c>
      <c r="V90" s="10" t="str">
        <f>VLOOKUP(B90,Piloto!$B$74:$E$140,4,0)</f>
        <v>Vendida</v>
      </c>
      <c r="W90" s="87"/>
    </row>
    <row r="91" spans="1:42">
      <c r="B91" s="318" t="s">
        <v>222</v>
      </c>
      <c r="C91" s="318"/>
      <c r="D91" s="90"/>
      <c r="E91" s="90"/>
      <c r="F91" s="90"/>
    </row>
  </sheetData>
  <autoFilter ref="A21:AA91" xr:uid="{00000000-0009-0000-0000-000000000000}">
    <filterColumn colId="21">
      <filters blank="1">
        <filter val="Disponível"/>
      </filters>
    </filterColumn>
  </autoFilter>
  <mergeCells count="21">
    <mergeCell ref="A21:A23"/>
    <mergeCell ref="B21:B23"/>
    <mergeCell ref="C21:C23"/>
    <mergeCell ref="D21:D23"/>
    <mergeCell ref="G21:G23"/>
    <mergeCell ref="H21:H23"/>
    <mergeCell ref="I21:I23"/>
    <mergeCell ref="B11:U11"/>
    <mergeCell ref="B12:U12"/>
    <mergeCell ref="B13:C13"/>
    <mergeCell ref="B17:D17"/>
    <mergeCell ref="B18:D18"/>
    <mergeCell ref="B19:D19"/>
    <mergeCell ref="S21:S23"/>
    <mergeCell ref="U21:U23"/>
    <mergeCell ref="J21:J23"/>
    <mergeCell ref="M21:M23"/>
    <mergeCell ref="N20:S20"/>
    <mergeCell ref="K21:K23"/>
    <mergeCell ref="F21:F23"/>
    <mergeCell ref="E21:E23"/>
  </mergeCells>
  <dataValidations disablePrompts="1" count="1">
    <dataValidation type="list" allowBlank="1" showInputMessage="1" showErrorMessage="1" sqref="N14:S14 U14" xr:uid="{00000000-0002-0000-0000-000000000000}">
      <formula1>"Pós Venda,Pós Entrega"</formula1>
    </dataValidation>
  </dataValidations>
  <printOptions horizontalCentered="1" verticalCentered="1"/>
  <pageMargins left="0.23622047244094491" right="0.23622047244094491" top="0.55118110236220474" bottom="0.55118110236220474" header="0.31496062992125984" footer="0.31496062992125984"/>
  <pageSetup paperSize="9" scale="39" fitToHeight="0" orientation="landscape" r:id="rId1"/>
  <rowBreaks count="1" manualBreakCount="1">
    <brk id="91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M94"/>
  <sheetViews>
    <sheetView workbookViewId="0">
      <pane xSplit="2" ySplit="1" topLeftCell="AV30" activePane="bottomRight" state="frozen"/>
      <selection pane="bottomRight" activeCell="AW71" sqref="AW71"/>
      <selection pane="bottomLeft" activeCell="A2" sqref="A2"/>
      <selection pane="topRight" activeCell="C1" sqref="C1"/>
    </sheetView>
  </sheetViews>
  <sheetFormatPr defaultColWidth="8.85546875" defaultRowHeight="15"/>
  <cols>
    <col min="1" max="1" width="5" customWidth="1"/>
    <col min="2" max="2" width="17" hidden="1" customWidth="1"/>
    <col min="3" max="3" width="20" customWidth="1"/>
    <col min="4" max="7" width="12.42578125" customWidth="1"/>
    <col min="8" max="8" width="14.42578125" customWidth="1"/>
    <col min="9" max="9" width="14" customWidth="1"/>
    <col min="10" max="10" width="20" style="8" bestFit="1" customWidth="1"/>
    <col min="11" max="11" width="10.42578125" bestFit="1" customWidth="1"/>
    <col min="12" max="13" width="16.42578125" customWidth="1"/>
    <col min="14" max="14" width="14" customWidth="1"/>
    <col min="15" max="15" width="20" style="8" bestFit="1" customWidth="1"/>
    <col min="16" max="16" width="10.42578125" style="3" bestFit="1" customWidth="1"/>
    <col min="17" max="18" width="16.42578125" customWidth="1"/>
    <col min="19" max="19" width="14" customWidth="1"/>
    <col min="20" max="20" width="20" style="9" bestFit="1" customWidth="1"/>
    <col min="21" max="21" width="10.42578125" style="3" bestFit="1" customWidth="1"/>
    <col min="22" max="23" width="16.42578125" customWidth="1"/>
    <col min="24" max="24" width="14" customWidth="1"/>
    <col min="25" max="25" width="20" style="9" bestFit="1" customWidth="1"/>
    <col min="26" max="26" width="10.42578125" style="3" bestFit="1" customWidth="1"/>
    <col min="27" max="28" width="16.42578125" customWidth="1"/>
    <col min="29" max="29" width="14" customWidth="1"/>
    <col min="30" max="30" width="20" style="9" customWidth="1"/>
    <col min="31" max="31" width="10.42578125" style="3" customWidth="1"/>
    <col min="32" max="32" width="16.42578125" customWidth="1"/>
    <col min="33" max="33" width="14" customWidth="1"/>
    <col min="34" max="34" width="20" style="9" customWidth="1"/>
    <col min="35" max="35" width="10.42578125" style="3" customWidth="1"/>
    <col min="36" max="36" width="16.42578125" customWidth="1"/>
    <col min="37" max="37" width="20.42578125" customWidth="1"/>
    <col min="38" max="38" width="10.42578125" customWidth="1"/>
    <col min="39" max="39" width="12.28515625" bestFit="1" customWidth="1"/>
    <col min="40" max="40" width="23.42578125" bestFit="1" customWidth="1"/>
    <col min="41" max="41" width="20.140625" bestFit="1" customWidth="1"/>
    <col min="42" max="42" width="13.7109375" bestFit="1" customWidth="1"/>
    <col min="43" max="44" width="13.7109375" customWidth="1"/>
    <col min="45" max="45" width="6.28515625" bestFit="1" customWidth="1"/>
    <col min="46" max="46" width="18.42578125" bestFit="1" customWidth="1"/>
    <col min="47" max="47" width="15.42578125" bestFit="1" customWidth="1"/>
    <col min="48" max="48" width="21.85546875" bestFit="1" customWidth="1"/>
    <col min="49" max="49" width="29" bestFit="1" customWidth="1"/>
    <col min="51" max="51" width="0" hidden="1" customWidth="1"/>
    <col min="53" max="53" width="21" bestFit="1" customWidth="1"/>
    <col min="55" max="55" width="29" bestFit="1" customWidth="1"/>
    <col min="57" max="57" width="12.42578125" bestFit="1" customWidth="1"/>
  </cols>
  <sheetData>
    <row r="1" spans="1:65" s="3" customFormat="1">
      <c r="A1" s="1" t="s">
        <v>223</v>
      </c>
      <c r="B1" s="2" t="s">
        <v>224</v>
      </c>
      <c r="C1" s="3" t="s">
        <v>225</v>
      </c>
      <c r="D1" s="3" t="s">
        <v>226</v>
      </c>
      <c r="E1" s="3" t="s">
        <v>227</v>
      </c>
      <c r="F1" s="3" t="s">
        <v>228</v>
      </c>
      <c r="G1" s="4" t="s">
        <v>229</v>
      </c>
      <c r="H1" s="3" t="s">
        <v>230</v>
      </c>
      <c r="I1" s="3" t="s">
        <v>231</v>
      </c>
      <c r="J1" s="5" t="s">
        <v>232</v>
      </c>
      <c r="K1" s="3" t="s">
        <v>233</v>
      </c>
      <c r="L1" s="3" t="s">
        <v>234</v>
      </c>
      <c r="M1" s="3" t="s">
        <v>230</v>
      </c>
      <c r="N1" s="3" t="s">
        <v>231</v>
      </c>
      <c r="O1" s="5" t="s">
        <v>232</v>
      </c>
      <c r="P1" s="3" t="s">
        <v>233</v>
      </c>
      <c r="Q1" s="3" t="s">
        <v>234</v>
      </c>
      <c r="R1" s="3" t="s">
        <v>230</v>
      </c>
      <c r="S1" s="3" t="s">
        <v>231</v>
      </c>
      <c r="T1" s="3" t="s">
        <v>232</v>
      </c>
      <c r="U1" s="3" t="s">
        <v>233</v>
      </c>
      <c r="V1" s="3" t="s">
        <v>234</v>
      </c>
      <c r="W1" s="3" t="s">
        <v>230</v>
      </c>
      <c r="X1" s="3" t="s">
        <v>231</v>
      </c>
      <c r="Y1" s="3" t="s">
        <v>232</v>
      </c>
      <c r="Z1" s="3" t="s">
        <v>233</v>
      </c>
      <c r="AA1" s="3" t="s">
        <v>234</v>
      </c>
      <c r="AB1" s="3" t="s">
        <v>230</v>
      </c>
      <c r="AC1" s="3" t="s">
        <v>231</v>
      </c>
      <c r="AD1" s="3" t="s">
        <v>232</v>
      </c>
      <c r="AE1" s="3" t="s">
        <v>233</v>
      </c>
      <c r="AF1" s="3" t="s">
        <v>234</v>
      </c>
      <c r="AG1" s="3" t="s">
        <v>231</v>
      </c>
      <c r="AH1" s="3" t="s">
        <v>232</v>
      </c>
      <c r="AI1" s="3" t="s">
        <v>233</v>
      </c>
      <c r="AJ1" s="3" t="s">
        <v>234</v>
      </c>
      <c r="AK1" s="3" t="s">
        <v>235</v>
      </c>
      <c r="AL1" s="3" t="s">
        <v>236</v>
      </c>
      <c r="AM1" s="3" t="s">
        <v>237</v>
      </c>
      <c r="AN1" s="3" t="s">
        <v>238</v>
      </c>
      <c r="AO1" s="3" t="s">
        <v>239</v>
      </c>
      <c r="AP1" s="99" t="s">
        <v>240</v>
      </c>
      <c r="AQ1" s="99" t="s">
        <v>241</v>
      </c>
      <c r="AR1" s="99" t="s">
        <v>242</v>
      </c>
      <c r="AS1" s="3" t="s">
        <v>243</v>
      </c>
      <c r="AT1" s="6" t="s">
        <v>244</v>
      </c>
      <c r="AU1" s="3" t="s">
        <v>245</v>
      </c>
      <c r="AV1" s="3" t="s">
        <v>246</v>
      </c>
      <c r="AW1" s="3" t="s">
        <v>247</v>
      </c>
    </row>
    <row r="2" spans="1:65" s="106" customFormat="1" hidden="1">
      <c r="A2" s="103">
        <v>401</v>
      </c>
      <c r="B2" s="91"/>
      <c r="C2" s="104">
        <v>4</v>
      </c>
      <c r="D2" s="105">
        <f>379.01+33.25</f>
        <v>412.26</v>
      </c>
      <c r="E2" s="105">
        <v>0</v>
      </c>
      <c r="F2" s="105">
        <v>132</v>
      </c>
      <c r="G2" s="105">
        <f t="shared" ref="G2:G33" si="0">D2+F2</f>
        <v>544.26</v>
      </c>
      <c r="I2" s="104" t="s">
        <v>248</v>
      </c>
      <c r="J2" s="107">
        <v>190</v>
      </c>
      <c r="K2" s="108" t="s">
        <v>249</v>
      </c>
      <c r="N2" s="104" t="s">
        <v>248</v>
      </c>
      <c r="O2" s="107">
        <v>191</v>
      </c>
      <c r="P2" s="108" t="s">
        <v>249</v>
      </c>
      <c r="S2" s="104" t="s">
        <v>250</v>
      </c>
      <c r="T2" s="107" t="s">
        <v>251</v>
      </c>
      <c r="U2" s="111" t="s">
        <v>249</v>
      </c>
      <c r="X2" s="104" t="s">
        <v>252</v>
      </c>
      <c r="Y2" s="107"/>
      <c r="Z2" s="108"/>
      <c r="AA2" s="104"/>
      <c r="AB2" s="104"/>
      <c r="AC2" s="104" t="s">
        <v>252</v>
      </c>
      <c r="AD2" s="107"/>
      <c r="AE2" s="108"/>
      <c r="AG2" s="104" t="s">
        <v>252</v>
      </c>
      <c r="AH2" s="107"/>
      <c r="AI2" s="108"/>
      <c r="AK2" s="104"/>
      <c r="AM2" s="106">
        <v>55</v>
      </c>
      <c r="AN2" s="106">
        <v>6.07</v>
      </c>
      <c r="AO2" s="106" t="s">
        <v>249</v>
      </c>
      <c r="AP2" s="109">
        <f>9595*1.0216*1.01*1.0046*1.0051</f>
        <v>9996.5394432842404</v>
      </c>
      <c r="AQ2" s="109">
        <f t="shared" ref="AQ2:AR2" si="1">9595*1.0216*1.01*1.0046*1.0051</f>
        <v>9996.5394432842404</v>
      </c>
      <c r="AR2" s="109">
        <f t="shared" si="1"/>
        <v>9996.5394432842404</v>
      </c>
      <c r="AT2" s="106">
        <v>553.71</v>
      </c>
      <c r="AW2" s="106" t="s">
        <v>253</v>
      </c>
      <c r="AY2" s="106">
        <f t="shared" ref="AY2:AY33" si="2">A2+100</f>
        <v>501</v>
      </c>
      <c r="BM2">
        <v>412.26</v>
      </c>
    </row>
    <row r="3" spans="1:65" s="106" customFormat="1" hidden="1">
      <c r="A3" s="103">
        <v>402</v>
      </c>
      <c r="B3"/>
      <c r="C3" s="104">
        <v>4</v>
      </c>
      <c r="D3" s="105">
        <f>288.19+55.78</f>
        <v>343.97</v>
      </c>
      <c r="E3" s="105">
        <v>0</v>
      </c>
      <c r="F3" s="105">
        <v>150.43</v>
      </c>
      <c r="G3" s="105">
        <f t="shared" si="0"/>
        <v>494.40000000000003</v>
      </c>
      <c r="I3" s="104" t="s">
        <v>248</v>
      </c>
      <c r="J3" s="107">
        <v>188</v>
      </c>
      <c r="K3" s="108" t="s">
        <v>249</v>
      </c>
      <c r="N3" s="104" t="s">
        <v>248</v>
      </c>
      <c r="O3" s="107">
        <v>189</v>
      </c>
      <c r="P3" s="108" t="s">
        <v>249</v>
      </c>
      <c r="S3" s="104" t="s">
        <v>250</v>
      </c>
      <c r="T3" s="107" t="s">
        <v>254</v>
      </c>
      <c r="U3" s="108" t="s">
        <v>249</v>
      </c>
      <c r="X3" s="104" t="s">
        <v>252</v>
      </c>
      <c r="Y3" s="107"/>
      <c r="Z3" s="108"/>
      <c r="AA3" s="104"/>
      <c r="AB3" s="104"/>
      <c r="AC3" s="104" t="s">
        <v>252</v>
      </c>
      <c r="AD3" s="107"/>
      <c r="AE3" s="108"/>
      <c r="AG3" s="104" t="s">
        <v>252</v>
      </c>
      <c r="AH3" s="107"/>
      <c r="AI3" s="108"/>
      <c r="AK3" s="104"/>
      <c r="AM3" s="106">
        <v>56</v>
      </c>
      <c r="AN3" s="106">
        <v>5.09</v>
      </c>
      <c r="AO3" s="106" t="s">
        <v>249</v>
      </c>
      <c r="AP3" s="109">
        <f t="shared" ref="AP3:AR28" si="3">9595*1.0216*1.01*1.0046*1.0051</f>
        <v>9996.5394432842404</v>
      </c>
      <c r="AQ3" s="109">
        <f t="shared" si="3"/>
        <v>9996.5394432842404</v>
      </c>
      <c r="AR3" s="109">
        <f t="shared" si="3"/>
        <v>9996.5394432842404</v>
      </c>
      <c r="AT3" s="106">
        <v>502.73</v>
      </c>
      <c r="AW3" s="106" t="s">
        <v>255</v>
      </c>
      <c r="AY3" s="106">
        <f t="shared" si="2"/>
        <v>502</v>
      </c>
      <c r="BM3">
        <v>343.97</v>
      </c>
    </row>
    <row r="4" spans="1:65" s="106" customFormat="1" hidden="1">
      <c r="A4" s="103">
        <v>501</v>
      </c>
      <c r="B4"/>
      <c r="C4" s="104">
        <v>4</v>
      </c>
      <c r="D4" s="105">
        <v>365.71</v>
      </c>
      <c r="E4" s="105">
        <v>0</v>
      </c>
      <c r="F4" s="105">
        <v>32.89</v>
      </c>
      <c r="G4" s="105">
        <f t="shared" si="0"/>
        <v>398.59999999999997</v>
      </c>
      <c r="I4" s="104" t="s">
        <v>248</v>
      </c>
      <c r="J4" s="107">
        <v>109</v>
      </c>
      <c r="K4" s="108" t="s">
        <v>256</v>
      </c>
      <c r="N4" s="104" t="s">
        <v>248</v>
      </c>
      <c r="O4" s="107">
        <v>120</v>
      </c>
      <c r="P4" s="108" t="s">
        <v>256</v>
      </c>
      <c r="S4" s="104" t="s">
        <v>250</v>
      </c>
      <c r="T4" s="107" t="s">
        <v>257</v>
      </c>
      <c r="U4" s="108" t="s">
        <v>249</v>
      </c>
      <c r="X4" s="104" t="s">
        <v>252</v>
      </c>
      <c r="Y4" s="107"/>
      <c r="Z4" s="108"/>
      <c r="AA4" s="104"/>
      <c r="AB4" s="104"/>
      <c r="AC4" s="104" t="s">
        <v>252</v>
      </c>
      <c r="AD4" s="107"/>
      <c r="AE4" s="108"/>
      <c r="AG4" s="104" t="s">
        <v>252</v>
      </c>
      <c r="AH4" s="107"/>
      <c r="AI4" s="108"/>
      <c r="AK4" s="104"/>
      <c r="AM4" s="106">
        <v>67</v>
      </c>
      <c r="AN4" s="106">
        <v>5.99</v>
      </c>
      <c r="AO4" s="106" t="s">
        <v>249</v>
      </c>
      <c r="AP4" s="109">
        <f t="shared" si="3"/>
        <v>9996.5394432842404</v>
      </c>
      <c r="AQ4" s="109">
        <f t="shared" si="3"/>
        <v>9996.5394432842404</v>
      </c>
      <c r="AR4" s="109">
        <f t="shared" si="3"/>
        <v>9996.5394432842404</v>
      </c>
      <c r="AT4" s="106">
        <v>398.6</v>
      </c>
      <c r="AW4" s="106" t="s">
        <v>258</v>
      </c>
      <c r="AY4" s="106">
        <f t="shared" si="2"/>
        <v>601</v>
      </c>
      <c r="BM4">
        <v>365.71</v>
      </c>
    </row>
    <row r="5" spans="1:65" s="106" customFormat="1" hidden="1">
      <c r="A5" s="103">
        <v>502</v>
      </c>
      <c r="B5"/>
      <c r="C5" s="104">
        <v>4</v>
      </c>
      <c r="D5" s="105">
        <v>293.27999999999997</v>
      </c>
      <c r="E5" s="105">
        <v>0</v>
      </c>
      <c r="F5" s="105">
        <v>30.15</v>
      </c>
      <c r="G5" s="105">
        <f t="shared" si="0"/>
        <v>323.42999999999995</v>
      </c>
      <c r="I5" s="104" t="s">
        <v>250</v>
      </c>
      <c r="J5" s="107" t="s">
        <v>259</v>
      </c>
      <c r="K5" s="108" t="s">
        <v>256</v>
      </c>
      <c r="N5" s="104" t="s">
        <v>248</v>
      </c>
      <c r="O5" s="107">
        <v>83</v>
      </c>
      <c r="P5" s="108" t="s">
        <v>260</v>
      </c>
      <c r="S5" s="104" t="s">
        <v>248</v>
      </c>
      <c r="T5" s="107">
        <v>84</v>
      </c>
      <c r="U5" s="108" t="s">
        <v>260</v>
      </c>
      <c r="X5" s="104" t="s">
        <v>252</v>
      </c>
      <c r="Y5" s="107"/>
      <c r="Z5" s="108"/>
      <c r="AA5" s="7"/>
      <c r="AB5" s="7"/>
      <c r="AC5" s="7" t="s">
        <v>252</v>
      </c>
      <c r="AD5" s="8"/>
      <c r="AE5" s="3"/>
      <c r="AF5"/>
      <c r="AG5" s="7" t="s">
        <v>252</v>
      </c>
      <c r="AH5" s="8"/>
      <c r="AI5" s="3"/>
      <c r="AJ5"/>
      <c r="AK5" s="7"/>
      <c r="AL5"/>
      <c r="AM5" s="106">
        <v>2</v>
      </c>
      <c r="AN5" s="106">
        <v>5.72</v>
      </c>
      <c r="AO5" s="106" t="s">
        <v>260</v>
      </c>
      <c r="AP5" s="109">
        <f t="shared" si="3"/>
        <v>9996.5394432842404</v>
      </c>
      <c r="AQ5" s="109">
        <f t="shared" si="3"/>
        <v>9996.5394432842404</v>
      </c>
      <c r="AR5" s="109">
        <f t="shared" si="3"/>
        <v>9996.5394432842404</v>
      </c>
      <c r="AT5" s="106">
        <v>323.5</v>
      </c>
      <c r="AW5" s="106" t="s">
        <v>261</v>
      </c>
      <c r="AY5" s="106">
        <f t="shared" si="2"/>
        <v>602</v>
      </c>
      <c r="BM5">
        <v>293.27999999999997</v>
      </c>
    </row>
    <row r="6" spans="1:65" s="106" customFormat="1" hidden="1">
      <c r="A6" s="103">
        <v>601</v>
      </c>
      <c r="B6"/>
      <c r="C6" s="104">
        <v>4</v>
      </c>
      <c r="D6" s="105">
        <v>354.22</v>
      </c>
      <c r="E6" s="105">
        <v>0</v>
      </c>
      <c r="F6" s="105">
        <v>0</v>
      </c>
      <c r="G6" s="105">
        <f t="shared" si="0"/>
        <v>354.22</v>
      </c>
      <c r="I6" s="104" t="s">
        <v>248</v>
      </c>
      <c r="J6" s="107">
        <v>95</v>
      </c>
      <c r="K6" s="108" t="s">
        <v>256</v>
      </c>
      <c r="N6" s="104" t="s">
        <v>248</v>
      </c>
      <c r="O6" s="107">
        <v>108</v>
      </c>
      <c r="P6" s="108" t="s">
        <v>256</v>
      </c>
      <c r="S6" s="104" t="s">
        <v>250</v>
      </c>
      <c r="T6" s="107" t="s">
        <v>262</v>
      </c>
      <c r="U6" s="108" t="s">
        <v>249</v>
      </c>
      <c r="X6" s="104" t="s">
        <v>252</v>
      </c>
      <c r="Y6" s="107"/>
      <c r="Z6" s="108"/>
      <c r="AA6" s="104"/>
      <c r="AB6" s="104"/>
      <c r="AC6" s="104" t="s">
        <v>252</v>
      </c>
      <c r="AD6" s="107"/>
      <c r="AE6" s="108"/>
      <c r="AG6" s="104" t="s">
        <v>252</v>
      </c>
      <c r="AH6" s="107"/>
      <c r="AI6" s="108"/>
      <c r="AK6" s="104"/>
      <c r="AM6" s="106">
        <v>66</v>
      </c>
      <c r="AN6" s="106">
        <v>5.83</v>
      </c>
      <c r="AO6" s="106" t="s">
        <v>249</v>
      </c>
      <c r="AP6" s="109">
        <f t="shared" si="3"/>
        <v>9996.5394432842404</v>
      </c>
      <c r="AQ6" s="109">
        <f t="shared" si="3"/>
        <v>9996.5394432842404</v>
      </c>
      <c r="AR6" s="109">
        <f t="shared" si="3"/>
        <v>9996.5394432842404</v>
      </c>
      <c r="AT6" s="106">
        <v>354.28</v>
      </c>
      <c r="AW6" s="106" t="s">
        <v>263</v>
      </c>
      <c r="AY6" s="106">
        <f t="shared" si="2"/>
        <v>701</v>
      </c>
      <c r="BM6">
        <v>354.22</v>
      </c>
    </row>
    <row r="7" spans="1:65" s="106" customFormat="1" hidden="1">
      <c r="A7" s="103">
        <v>602</v>
      </c>
      <c r="B7"/>
      <c r="C7" s="104">
        <v>4</v>
      </c>
      <c r="D7" s="105">
        <v>308.43</v>
      </c>
      <c r="E7" s="105">
        <v>0</v>
      </c>
      <c r="F7" s="105">
        <v>0</v>
      </c>
      <c r="G7" s="105">
        <f t="shared" si="0"/>
        <v>308.43</v>
      </c>
      <c r="I7" s="104" t="s">
        <v>250</v>
      </c>
      <c r="J7" s="107" t="s">
        <v>264</v>
      </c>
      <c r="K7" s="108" t="s">
        <v>256</v>
      </c>
      <c r="N7" s="104" t="s">
        <v>248</v>
      </c>
      <c r="O7" s="107">
        <v>79</v>
      </c>
      <c r="P7" s="108" t="s">
        <v>260</v>
      </c>
      <c r="S7" s="104" t="s">
        <v>248</v>
      </c>
      <c r="T7" s="107">
        <v>80</v>
      </c>
      <c r="U7" s="108" t="s">
        <v>260</v>
      </c>
      <c r="X7" s="104" t="s">
        <v>252</v>
      </c>
      <c r="Y7" s="107"/>
      <c r="Z7" s="108"/>
      <c r="AA7" s="7"/>
      <c r="AB7" s="7"/>
      <c r="AC7" s="7" t="s">
        <v>252</v>
      </c>
      <c r="AD7" s="8"/>
      <c r="AE7" s="3"/>
      <c r="AF7"/>
      <c r="AG7" s="7" t="s">
        <v>252</v>
      </c>
      <c r="AH7" s="8"/>
      <c r="AI7" s="3"/>
      <c r="AJ7"/>
      <c r="AK7" s="7"/>
      <c r="AL7"/>
      <c r="AM7" s="106">
        <v>3</v>
      </c>
      <c r="AN7" s="106">
        <v>5.34</v>
      </c>
      <c r="AO7" s="106" t="s">
        <v>260</v>
      </c>
      <c r="AP7" s="109">
        <f t="shared" si="3"/>
        <v>9996.5394432842404</v>
      </c>
      <c r="AQ7" s="109">
        <f t="shared" si="3"/>
        <v>9996.5394432842404</v>
      </c>
      <c r="AR7" s="109">
        <f t="shared" si="3"/>
        <v>9996.5394432842404</v>
      </c>
      <c r="AT7" s="106">
        <v>308.43</v>
      </c>
      <c r="AW7" s="106" t="s">
        <v>265</v>
      </c>
      <c r="AY7" s="106">
        <f t="shared" si="2"/>
        <v>702</v>
      </c>
      <c r="BM7">
        <v>308.43</v>
      </c>
    </row>
    <row r="8" spans="1:65" s="106" customFormat="1" hidden="1">
      <c r="A8" s="103">
        <v>701</v>
      </c>
      <c r="B8"/>
      <c r="C8" s="104">
        <v>4</v>
      </c>
      <c r="D8" s="105">
        <v>365.71</v>
      </c>
      <c r="E8" s="105">
        <v>0</v>
      </c>
      <c r="F8" s="105">
        <v>0</v>
      </c>
      <c r="G8" s="105">
        <f t="shared" si="0"/>
        <v>365.71</v>
      </c>
      <c r="I8" s="104" t="s">
        <v>248</v>
      </c>
      <c r="J8" s="107">
        <v>121</v>
      </c>
      <c r="K8" s="108" t="s">
        <v>256</v>
      </c>
      <c r="N8" s="104" t="s">
        <v>248</v>
      </c>
      <c r="O8" s="107">
        <v>122</v>
      </c>
      <c r="P8" s="108" t="s">
        <v>256</v>
      </c>
      <c r="S8" s="104" t="s">
        <v>250</v>
      </c>
      <c r="T8" s="107" t="s">
        <v>266</v>
      </c>
      <c r="U8" s="108" t="s">
        <v>249</v>
      </c>
      <c r="X8" s="104" t="s">
        <v>252</v>
      </c>
      <c r="Y8" s="107"/>
      <c r="Z8" s="108"/>
      <c r="AA8" s="104"/>
      <c r="AB8" s="104"/>
      <c r="AC8" s="104" t="s">
        <v>252</v>
      </c>
      <c r="AD8" s="107"/>
      <c r="AE8" s="108"/>
      <c r="AG8" s="104" t="s">
        <v>252</v>
      </c>
      <c r="AH8" s="107"/>
      <c r="AI8" s="108"/>
      <c r="AK8" s="104"/>
      <c r="AM8" s="106">
        <v>62</v>
      </c>
      <c r="AN8" s="106">
        <v>5.0999999999999996</v>
      </c>
      <c r="AO8" s="106" t="s">
        <v>249</v>
      </c>
      <c r="AP8" s="109">
        <f t="shared" si="3"/>
        <v>9996.5394432842404</v>
      </c>
      <c r="AQ8" s="109">
        <f t="shared" si="3"/>
        <v>9996.5394432842404</v>
      </c>
      <c r="AR8" s="109">
        <f t="shared" si="3"/>
        <v>9996.5394432842404</v>
      </c>
      <c r="AT8" s="106">
        <v>365.71</v>
      </c>
      <c r="AW8" s="106" t="s">
        <v>267</v>
      </c>
      <c r="AY8" s="106">
        <f t="shared" si="2"/>
        <v>801</v>
      </c>
      <c r="BM8">
        <v>681</v>
      </c>
    </row>
    <row r="9" spans="1:65" s="106" customFormat="1" hidden="1">
      <c r="A9" s="103">
        <v>702</v>
      </c>
      <c r="B9"/>
      <c r="C9" s="104">
        <v>4</v>
      </c>
      <c r="D9" s="105">
        <v>293.27999999999997</v>
      </c>
      <c r="E9" s="105">
        <v>0</v>
      </c>
      <c r="F9" s="105">
        <v>0</v>
      </c>
      <c r="G9" s="105">
        <f t="shared" si="0"/>
        <v>293.27999999999997</v>
      </c>
      <c r="I9" s="104" t="s">
        <v>250</v>
      </c>
      <c r="J9" s="107" t="s">
        <v>268</v>
      </c>
      <c r="K9" s="108" t="s">
        <v>256</v>
      </c>
      <c r="N9" s="104" t="s">
        <v>248</v>
      </c>
      <c r="O9" s="107">
        <v>75</v>
      </c>
      <c r="P9" s="108" t="s">
        <v>260</v>
      </c>
      <c r="S9" s="104" t="s">
        <v>248</v>
      </c>
      <c r="T9" s="107">
        <v>76</v>
      </c>
      <c r="U9" s="108" t="s">
        <v>260</v>
      </c>
      <c r="X9" s="104" t="s">
        <v>252</v>
      </c>
      <c r="Y9" s="107"/>
      <c r="Z9" s="108"/>
      <c r="AA9" s="7"/>
      <c r="AB9" s="7"/>
      <c r="AC9" s="7" t="s">
        <v>252</v>
      </c>
      <c r="AD9" s="8"/>
      <c r="AE9" s="3"/>
      <c r="AF9"/>
      <c r="AG9" s="7" t="s">
        <v>252</v>
      </c>
      <c r="AH9" s="8"/>
      <c r="AI9" s="3"/>
      <c r="AJ9"/>
      <c r="AK9" s="7"/>
      <c r="AL9"/>
      <c r="AM9" s="106">
        <v>4</v>
      </c>
      <c r="AN9" s="106">
        <v>5.0199999999999996</v>
      </c>
      <c r="AO9" s="106" t="s">
        <v>260</v>
      </c>
      <c r="AP9" s="109">
        <f t="shared" si="3"/>
        <v>9996.5394432842404</v>
      </c>
      <c r="AQ9" s="109">
        <f t="shared" si="3"/>
        <v>9996.5394432842404</v>
      </c>
      <c r="AR9" s="109">
        <f t="shared" si="3"/>
        <v>9996.5394432842404</v>
      </c>
      <c r="AT9" s="106">
        <v>293.35000000000002</v>
      </c>
      <c r="AW9" s="106" t="s">
        <v>269</v>
      </c>
      <c r="AY9" s="106">
        <f t="shared" si="2"/>
        <v>802</v>
      </c>
      <c r="BM9">
        <v>266.95</v>
      </c>
    </row>
    <row r="10" spans="1:65" s="106" customFormat="1" hidden="1">
      <c r="A10" s="103">
        <v>801</v>
      </c>
      <c r="B10"/>
      <c r="C10" s="104">
        <v>4</v>
      </c>
      <c r="D10" s="105">
        <v>354.22</v>
      </c>
      <c r="E10" s="105">
        <v>0</v>
      </c>
      <c r="F10" s="105">
        <v>0</v>
      </c>
      <c r="G10" s="105">
        <f t="shared" si="0"/>
        <v>354.22</v>
      </c>
      <c r="I10" s="104" t="s">
        <v>248</v>
      </c>
      <c r="J10" s="107">
        <v>93</v>
      </c>
      <c r="K10" s="108" t="s">
        <v>256</v>
      </c>
      <c r="N10" s="104" t="s">
        <v>248</v>
      </c>
      <c r="O10" s="107">
        <v>94</v>
      </c>
      <c r="P10" s="108" t="s">
        <v>256</v>
      </c>
      <c r="S10" s="104" t="s">
        <v>250</v>
      </c>
      <c r="T10" s="107" t="s">
        <v>270</v>
      </c>
      <c r="U10" s="108" t="s">
        <v>249</v>
      </c>
      <c r="X10" s="104" t="s">
        <v>252</v>
      </c>
      <c r="Y10" s="107"/>
      <c r="Z10" s="108"/>
      <c r="AA10" s="104"/>
      <c r="AB10" s="104"/>
      <c r="AC10" s="104" t="s">
        <v>252</v>
      </c>
      <c r="AD10" s="107"/>
      <c r="AE10" s="108"/>
      <c r="AG10" s="104" t="s">
        <v>252</v>
      </c>
      <c r="AH10" s="107"/>
      <c r="AI10" s="108"/>
      <c r="AK10" s="104"/>
      <c r="AM10" s="106">
        <v>61</v>
      </c>
      <c r="AN10" s="106">
        <v>5.09</v>
      </c>
      <c r="AO10" s="106" t="s">
        <v>249</v>
      </c>
      <c r="AP10" s="109">
        <f t="shared" si="3"/>
        <v>9996.5394432842404</v>
      </c>
      <c r="AQ10" s="109">
        <f t="shared" si="3"/>
        <v>9996.5394432842404</v>
      </c>
      <c r="AR10" s="109">
        <f t="shared" si="3"/>
        <v>9996.5394432842404</v>
      </c>
      <c r="AT10" s="106">
        <v>354.28</v>
      </c>
      <c r="AW10" s="106" t="s">
        <v>271</v>
      </c>
      <c r="AY10" s="106">
        <f t="shared" si="2"/>
        <v>901</v>
      </c>
      <c r="BM10">
        <v>322.86</v>
      </c>
    </row>
    <row r="11" spans="1:65" s="106" customFormat="1" hidden="1">
      <c r="A11" s="103">
        <v>802</v>
      </c>
      <c r="B11"/>
      <c r="C11" s="104">
        <v>4</v>
      </c>
      <c r="D11" s="105">
        <v>308.43</v>
      </c>
      <c r="E11" s="105">
        <v>0</v>
      </c>
      <c r="F11" s="105">
        <v>0</v>
      </c>
      <c r="G11" s="105">
        <f t="shared" si="0"/>
        <v>308.43</v>
      </c>
      <c r="I11" s="104" t="s">
        <v>250</v>
      </c>
      <c r="J11" s="107" t="s">
        <v>272</v>
      </c>
      <c r="K11" s="108" t="s">
        <v>256</v>
      </c>
      <c r="N11" s="104" t="s">
        <v>248</v>
      </c>
      <c r="O11" s="107">
        <v>26</v>
      </c>
      <c r="P11" s="108" t="s">
        <v>260</v>
      </c>
      <c r="S11" s="104" t="s">
        <v>248</v>
      </c>
      <c r="T11" s="107">
        <v>27</v>
      </c>
      <c r="U11" s="108" t="s">
        <v>260</v>
      </c>
      <c r="X11" s="104" t="s">
        <v>252</v>
      </c>
      <c r="Y11" s="107"/>
      <c r="Z11" s="108"/>
      <c r="AA11" s="7"/>
      <c r="AB11" s="7"/>
      <c r="AC11" s="7" t="s">
        <v>252</v>
      </c>
      <c r="AD11" s="8"/>
      <c r="AE11" s="3"/>
      <c r="AF11"/>
      <c r="AG11" s="7" t="s">
        <v>252</v>
      </c>
      <c r="AH11" s="8"/>
      <c r="AI11" s="3"/>
      <c r="AJ11"/>
      <c r="AK11" s="7"/>
      <c r="AL11"/>
      <c r="AM11" s="106">
        <v>5</v>
      </c>
      <c r="AN11" s="106">
        <v>5.29</v>
      </c>
      <c r="AO11" s="106" t="s">
        <v>260</v>
      </c>
      <c r="AP11" s="109">
        <f t="shared" si="3"/>
        <v>9996.5394432842404</v>
      </c>
      <c r="AQ11" s="109">
        <f t="shared" si="3"/>
        <v>9996.5394432842404</v>
      </c>
      <c r="AR11" s="109">
        <f t="shared" si="3"/>
        <v>9996.5394432842404</v>
      </c>
      <c r="AT11" s="106">
        <v>308.43</v>
      </c>
      <c r="AW11" s="106" t="s">
        <v>273</v>
      </c>
      <c r="AY11" s="106">
        <f t="shared" si="2"/>
        <v>902</v>
      </c>
      <c r="BM11">
        <v>684</v>
      </c>
    </row>
    <row r="12" spans="1:65" s="106" customFormat="1" hidden="1">
      <c r="A12" s="103">
        <v>901</v>
      </c>
      <c r="B12"/>
      <c r="C12" s="104">
        <v>4</v>
      </c>
      <c r="D12" s="105">
        <v>365.71</v>
      </c>
      <c r="E12" s="105">
        <v>0</v>
      </c>
      <c r="F12" s="105">
        <v>0</v>
      </c>
      <c r="G12" s="105">
        <f t="shared" si="0"/>
        <v>365.71</v>
      </c>
      <c r="I12" s="104" t="s">
        <v>248</v>
      </c>
      <c r="J12" s="107">
        <v>164</v>
      </c>
      <c r="K12" s="108" t="s">
        <v>256</v>
      </c>
      <c r="N12" s="104" t="s">
        <v>248</v>
      </c>
      <c r="O12" s="107">
        <v>165</v>
      </c>
      <c r="P12" s="108" t="s">
        <v>256</v>
      </c>
      <c r="S12" s="104" t="s">
        <v>250</v>
      </c>
      <c r="T12" s="107" t="s">
        <v>274</v>
      </c>
      <c r="U12" s="108" t="s">
        <v>249</v>
      </c>
      <c r="X12" s="104" t="s">
        <v>252</v>
      </c>
      <c r="Y12" s="107"/>
      <c r="Z12" s="108"/>
      <c r="AA12" s="104"/>
      <c r="AB12" s="104"/>
      <c r="AC12" s="104" t="s">
        <v>252</v>
      </c>
      <c r="AD12" s="107"/>
      <c r="AE12" s="108"/>
      <c r="AG12" s="104" t="s">
        <v>252</v>
      </c>
      <c r="AH12" s="107"/>
      <c r="AI12" s="108"/>
      <c r="AK12" s="104"/>
      <c r="AM12" s="106">
        <v>60</v>
      </c>
      <c r="AN12" s="106">
        <v>5.09</v>
      </c>
      <c r="AO12" s="106" t="s">
        <v>249</v>
      </c>
      <c r="AP12" s="109">
        <f t="shared" si="3"/>
        <v>9996.5394432842404</v>
      </c>
      <c r="AQ12" s="109">
        <f t="shared" si="3"/>
        <v>9996.5394432842404</v>
      </c>
      <c r="AR12" s="109">
        <f t="shared" si="3"/>
        <v>9996.5394432842404</v>
      </c>
      <c r="AT12" s="106">
        <v>365.71</v>
      </c>
      <c r="AW12" s="106" t="s">
        <v>275</v>
      </c>
      <c r="AY12" s="106">
        <f t="shared" si="2"/>
        <v>1001</v>
      </c>
      <c r="BM12">
        <v>322.89</v>
      </c>
    </row>
    <row r="13" spans="1:65" s="106" customFormat="1" hidden="1">
      <c r="A13" s="103">
        <v>902</v>
      </c>
      <c r="B13"/>
      <c r="C13" s="104">
        <v>4</v>
      </c>
      <c r="D13" s="105">
        <v>293.27999999999997</v>
      </c>
      <c r="E13" s="105">
        <v>0</v>
      </c>
      <c r="F13" s="105">
        <v>0</v>
      </c>
      <c r="G13" s="105">
        <f t="shared" si="0"/>
        <v>293.27999999999997</v>
      </c>
      <c r="I13" s="104" t="s">
        <v>250</v>
      </c>
      <c r="J13" s="107" t="s">
        <v>276</v>
      </c>
      <c r="K13" s="108" t="s">
        <v>256</v>
      </c>
      <c r="N13" s="104" t="s">
        <v>248</v>
      </c>
      <c r="O13" s="107">
        <v>28</v>
      </c>
      <c r="P13" s="108" t="s">
        <v>260</v>
      </c>
      <c r="S13" s="104" t="s">
        <v>248</v>
      </c>
      <c r="T13" s="107">
        <v>29</v>
      </c>
      <c r="U13" s="108" t="s">
        <v>260</v>
      </c>
      <c r="X13" s="104" t="s">
        <v>252</v>
      </c>
      <c r="Y13" s="107"/>
      <c r="Z13" s="108"/>
      <c r="AA13" s="7"/>
      <c r="AB13" s="7"/>
      <c r="AC13" s="7" t="s">
        <v>252</v>
      </c>
      <c r="AD13" s="8"/>
      <c r="AE13" s="3"/>
      <c r="AF13"/>
      <c r="AG13" s="7" t="s">
        <v>252</v>
      </c>
      <c r="AH13" s="8"/>
      <c r="AI13" s="3"/>
      <c r="AJ13"/>
      <c r="AK13" s="7"/>
      <c r="AL13"/>
      <c r="AM13" s="106">
        <v>6</v>
      </c>
      <c r="AN13" s="106">
        <v>4.2699999999999996</v>
      </c>
      <c r="AO13" s="106" t="s">
        <v>260</v>
      </c>
      <c r="AP13" s="109">
        <f t="shared" si="3"/>
        <v>9996.5394432842404</v>
      </c>
      <c r="AQ13" s="109">
        <f t="shared" si="3"/>
        <v>9996.5394432842404</v>
      </c>
      <c r="AR13" s="109">
        <f t="shared" si="3"/>
        <v>9996.5394432842404</v>
      </c>
      <c r="AT13" s="106">
        <v>293.35000000000002</v>
      </c>
      <c r="AW13" s="106" t="s">
        <v>277</v>
      </c>
      <c r="AY13" s="106">
        <f t="shared" si="2"/>
        <v>1002</v>
      </c>
      <c r="BM13">
        <v>266.88</v>
      </c>
    </row>
    <row r="14" spans="1:65" s="106" customFormat="1" hidden="1">
      <c r="A14" s="103">
        <v>1001</v>
      </c>
      <c r="B14"/>
      <c r="C14" s="104">
        <v>4</v>
      </c>
      <c r="D14" s="105">
        <v>354.22</v>
      </c>
      <c r="E14" s="105">
        <v>0</v>
      </c>
      <c r="F14" s="105">
        <v>0</v>
      </c>
      <c r="G14" s="105">
        <f t="shared" si="0"/>
        <v>354.22</v>
      </c>
      <c r="I14" s="104" t="s">
        <v>248</v>
      </c>
      <c r="J14" s="107">
        <v>110</v>
      </c>
      <c r="K14" s="108" t="s">
        <v>256</v>
      </c>
      <c r="N14" s="104" t="s">
        <v>248</v>
      </c>
      <c r="O14" s="107">
        <v>111</v>
      </c>
      <c r="P14" s="108" t="s">
        <v>256</v>
      </c>
      <c r="S14" s="104" t="s">
        <v>250</v>
      </c>
      <c r="T14" s="107" t="s">
        <v>278</v>
      </c>
      <c r="U14" s="108" t="s">
        <v>249</v>
      </c>
      <c r="X14" s="104" t="s">
        <v>252</v>
      </c>
      <c r="Y14" s="107"/>
      <c r="Z14" s="108"/>
      <c r="AA14" s="104"/>
      <c r="AB14" s="104"/>
      <c r="AC14" s="104" t="s">
        <v>252</v>
      </c>
      <c r="AD14" s="107"/>
      <c r="AE14" s="108"/>
      <c r="AG14" s="104" t="s">
        <v>252</v>
      </c>
      <c r="AH14" s="107"/>
      <c r="AI14" s="108"/>
      <c r="AK14" s="104"/>
      <c r="AM14" s="106">
        <v>59</v>
      </c>
      <c r="AN14" s="106">
        <v>5.09</v>
      </c>
      <c r="AO14" s="106" t="s">
        <v>249</v>
      </c>
      <c r="AP14" s="109">
        <f t="shared" si="3"/>
        <v>9996.5394432842404</v>
      </c>
      <c r="AQ14" s="109">
        <f t="shared" si="3"/>
        <v>9996.5394432842404</v>
      </c>
      <c r="AR14" s="109">
        <f t="shared" si="3"/>
        <v>9996.5394432842404</v>
      </c>
      <c r="AT14" s="106">
        <v>354.28</v>
      </c>
      <c r="AW14" s="106" t="s">
        <v>279</v>
      </c>
      <c r="AY14" s="106">
        <f t="shared" si="2"/>
        <v>1101</v>
      </c>
      <c r="BM14">
        <v>322.90999999999997</v>
      </c>
    </row>
    <row r="15" spans="1:65" s="106" customFormat="1" hidden="1">
      <c r="A15" s="103">
        <v>1002</v>
      </c>
      <c r="B15"/>
      <c r="C15" s="104">
        <v>4</v>
      </c>
      <c r="D15" s="105">
        <v>308.43</v>
      </c>
      <c r="E15" s="105">
        <v>0</v>
      </c>
      <c r="F15" s="105">
        <v>0</v>
      </c>
      <c r="G15" s="105">
        <f t="shared" si="0"/>
        <v>308.43</v>
      </c>
      <c r="I15" s="104" t="s">
        <v>250</v>
      </c>
      <c r="J15" s="107" t="s">
        <v>280</v>
      </c>
      <c r="K15" s="108" t="s">
        <v>256</v>
      </c>
      <c r="N15" s="104" t="s">
        <v>248</v>
      </c>
      <c r="O15" s="107">
        <v>25</v>
      </c>
      <c r="P15" s="108" t="s">
        <v>260</v>
      </c>
      <c r="S15" s="104" t="s">
        <v>248</v>
      </c>
      <c r="T15" s="107">
        <v>30</v>
      </c>
      <c r="U15" s="108" t="s">
        <v>260</v>
      </c>
      <c r="X15" s="104" t="s">
        <v>252</v>
      </c>
      <c r="Y15" s="107"/>
      <c r="Z15" s="108"/>
      <c r="AA15" s="7"/>
      <c r="AB15" s="7"/>
      <c r="AC15" s="7" t="s">
        <v>252</v>
      </c>
      <c r="AD15" s="8"/>
      <c r="AE15" s="3"/>
      <c r="AF15"/>
      <c r="AG15" s="7" t="s">
        <v>252</v>
      </c>
      <c r="AH15" s="8"/>
      <c r="AI15" s="3"/>
      <c r="AJ15"/>
      <c r="AK15" s="7"/>
      <c r="AL15"/>
      <c r="AM15" s="106">
        <v>12</v>
      </c>
      <c r="AN15" s="106">
        <v>4.08</v>
      </c>
      <c r="AO15" s="106" t="s">
        <v>260</v>
      </c>
      <c r="AP15" s="109">
        <f t="shared" si="3"/>
        <v>9996.5394432842404</v>
      </c>
      <c r="AQ15" s="109">
        <f t="shared" si="3"/>
        <v>9996.5394432842404</v>
      </c>
      <c r="AR15" s="109">
        <f t="shared" si="3"/>
        <v>9996.5394432842404</v>
      </c>
      <c r="AT15" s="106">
        <v>308.43</v>
      </c>
      <c r="AW15" s="106" t="s">
        <v>281</v>
      </c>
      <c r="AY15" s="106">
        <f t="shared" si="2"/>
        <v>1102</v>
      </c>
      <c r="BM15">
        <v>963.35</v>
      </c>
    </row>
    <row r="16" spans="1:65" s="106" customFormat="1" hidden="1">
      <c r="A16" s="103">
        <v>1101</v>
      </c>
      <c r="B16"/>
      <c r="C16" s="104">
        <v>4</v>
      </c>
      <c r="D16" s="105">
        <v>365.71</v>
      </c>
      <c r="E16" s="105">
        <v>0</v>
      </c>
      <c r="F16" s="105">
        <v>0</v>
      </c>
      <c r="G16" s="105">
        <f t="shared" si="0"/>
        <v>365.71</v>
      </c>
      <c r="I16" s="104" t="s">
        <v>248</v>
      </c>
      <c r="J16" s="107">
        <v>118</v>
      </c>
      <c r="K16" s="108" t="s">
        <v>256</v>
      </c>
      <c r="N16" s="104" t="s">
        <v>248</v>
      </c>
      <c r="O16" s="107">
        <v>119</v>
      </c>
      <c r="P16" s="108" t="s">
        <v>256</v>
      </c>
      <c r="S16" s="104" t="s">
        <v>250</v>
      </c>
      <c r="T16" s="107" t="s">
        <v>282</v>
      </c>
      <c r="U16" s="108" t="s">
        <v>249</v>
      </c>
      <c r="X16" s="104" t="s">
        <v>252</v>
      </c>
      <c r="Y16" s="107"/>
      <c r="Z16" s="108"/>
      <c r="AA16" s="104"/>
      <c r="AB16" s="104"/>
      <c r="AC16" s="104" t="s">
        <v>252</v>
      </c>
      <c r="AD16" s="107"/>
      <c r="AE16" s="108"/>
      <c r="AG16" s="104" t="s">
        <v>252</v>
      </c>
      <c r="AH16" s="107"/>
      <c r="AI16" s="108"/>
      <c r="AK16" s="104"/>
      <c r="AM16" s="106">
        <v>58</v>
      </c>
      <c r="AN16" s="106">
        <v>5.09</v>
      </c>
      <c r="AO16" s="106" t="s">
        <v>249</v>
      </c>
      <c r="AP16" s="109">
        <f t="shared" si="3"/>
        <v>9996.5394432842404</v>
      </c>
      <c r="AQ16" s="109">
        <f t="shared" si="3"/>
        <v>9996.5394432842404</v>
      </c>
      <c r="AR16" s="109">
        <f t="shared" si="3"/>
        <v>9996.5394432842404</v>
      </c>
      <c r="AT16" s="106">
        <v>365.71</v>
      </c>
      <c r="AW16" s="106" t="s">
        <v>283</v>
      </c>
      <c r="AY16" s="106">
        <f t="shared" si="2"/>
        <v>1201</v>
      </c>
      <c r="BM16"/>
    </row>
    <row r="17" spans="1:65" s="106" customFormat="1" hidden="1">
      <c r="A17" s="103">
        <v>1102</v>
      </c>
      <c r="B17"/>
      <c r="C17" s="104">
        <v>4</v>
      </c>
      <c r="D17" s="105">
        <v>293.27999999999997</v>
      </c>
      <c r="E17" s="105">
        <v>0</v>
      </c>
      <c r="F17" s="105">
        <v>0</v>
      </c>
      <c r="G17" s="105">
        <f t="shared" si="0"/>
        <v>293.27999999999997</v>
      </c>
      <c r="I17" s="104" t="s">
        <v>250</v>
      </c>
      <c r="J17" s="107" t="s">
        <v>284</v>
      </c>
      <c r="K17" s="108" t="s">
        <v>256</v>
      </c>
      <c r="N17" s="104" t="s">
        <v>248</v>
      </c>
      <c r="O17" s="107">
        <v>22</v>
      </c>
      <c r="P17" s="108" t="s">
        <v>260</v>
      </c>
      <c r="S17" s="104" t="s">
        <v>248</v>
      </c>
      <c r="T17" s="107">
        <v>173</v>
      </c>
      <c r="U17" s="108" t="s">
        <v>256</v>
      </c>
      <c r="X17" s="104" t="s">
        <v>252</v>
      </c>
      <c r="Y17" s="107"/>
      <c r="Z17" s="108"/>
      <c r="AA17" s="7"/>
      <c r="AB17" s="7"/>
      <c r="AC17" s="7" t="s">
        <v>252</v>
      </c>
      <c r="AD17" s="8"/>
      <c r="AE17" s="3"/>
      <c r="AF17"/>
      <c r="AG17" s="7" t="s">
        <v>252</v>
      </c>
      <c r="AH17" s="8"/>
      <c r="AI17" s="3"/>
      <c r="AJ17"/>
      <c r="AK17" s="7"/>
      <c r="AL17"/>
      <c r="AM17" s="106">
        <v>1</v>
      </c>
      <c r="AN17" s="106">
        <v>4.91</v>
      </c>
      <c r="AO17" s="106" t="s">
        <v>260</v>
      </c>
      <c r="AP17" s="109">
        <f t="shared" si="3"/>
        <v>9996.5394432842404</v>
      </c>
      <c r="AQ17" s="109">
        <f t="shared" si="3"/>
        <v>9996.5394432842404</v>
      </c>
      <c r="AR17" s="109">
        <f t="shared" si="3"/>
        <v>9996.5394432842404</v>
      </c>
      <c r="AT17" s="106">
        <v>293.35000000000002</v>
      </c>
      <c r="AW17" s="106" t="s">
        <v>285</v>
      </c>
      <c r="AY17" s="106">
        <f t="shared" si="2"/>
        <v>1202</v>
      </c>
      <c r="BM17"/>
    </row>
    <row r="18" spans="1:65" s="106" customFormat="1" hidden="1">
      <c r="A18" s="103">
        <v>1201</v>
      </c>
      <c r="B18"/>
      <c r="C18" s="104">
        <v>4</v>
      </c>
      <c r="D18" s="105">
        <v>354.22</v>
      </c>
      <c r="E18" s="105">
        <v>0</v>
      </c>
      <c r="F18" s="105">
        <v>0</v>
      </c>
      <c r="G18" s="105">
        <f t="shared" si="0"/>
        <v>354.22</v>
      </c>
      <c r="I18" s="104" t="s">
        <v>248</v>
      </c>
      <c r="J18" s="107">
        <v>112</v>
      </c>
      <c r="K18" s="108" t="s">
        <v>256</v>
      </c>
      <c r="N18" s="104" t="s">
        <v>248</v>
      </c>
      <c r="O18" s="107">
        <v>117</v>
      </c>
      <c r="P18" s="108" t="s">
        <v>256</v>
      </c>
      <c r="S18" s="104" t="s">
        <v>250</v>
      </c>
      <c r="T18" s="107" t="s">
        <v>286</v>
      </c>
      <c r="U18" s="108" t="s">
        <v>249</v>
      </c>
      <c r="X18" s="104" t="s">
        <v>252</v>
      </c>
      <c r="Y18" s="107"/>
      <c r="Z18" s="108"/>
      <c r="AA18" s="104"/>
      <c r="AB18" s="104"/>
      <c r="AC18" s="104" t="s">
        <v>252</v>
      </c>
      <c r="AD18" s="107"/>
      <c r="AE18" s="108"/>
      <c r="AG18" s="104" t="s">
        <v>252</v>
      </c>
      <c r="AH18" s="107"/>
      <c r="AI18" s="108"/>
      <c r="AK18" s="104"/>
      <c r="AM18" s="106">
        <v>57</v>
      </c>
      <c r="AN18" s="106">
        <v>5.09</v>
      </c>
      <c r="AO18" s="106" t="s">
        <v>249</v>
      </c>
      <c r="AP18" s="109">
        <f t="shared" si="3"/>
        <v>9996.5394432842404</v>
      </c>
      <c r="AQ18" s="109">
        <f t="shared" si="3"/>
        <v>9996.5394432842404</v>
      </c>
      <c r="AR18" s="109">
        <f t="shared" si="3"/>
        <v>9996.5394432842404</v>
      </c>
      <c r="AT18" s="106">
        <v>354.28</v>
      </c>
      <c r="AW18" s="106" t="s">
        <v>287</v>
      </c>
      <c r="AY18" s="106">
        <f t="shared" si="2"/>
        <v>1301</v>
      </c>
      <c r="BM18"/>
    </row>
    <row r="19" spans="1:65" s="106" customFormat="1" hidden="1">
      <c r="A19" s="103">
        <v>1202</v>
      </c>
      <c r="B19"/>
      <c r="C19" s="104">
        <v>4</v>
      </c>
      <c r="D19" s="105">
        <v>308.43</v>
      </c>
      <c r="E19" s="105">
        <v>0</v>
      </c>
      <c r="F19" s="105">
        <v>0</v>
      </c>
      <c r="G19" s="105">
        <f t="shared" si="0"/>
        <v>308.43</v>
      </c>
      <c r="I19" s="104" t="s">
        <v>250</v>
      </c>
      <c r="J19" s="107" t="s">
        <v>288</v>
      </c>
      <c r="K19" s="108" t="s">
        <v>256</v>
      </c>
      <c r="N19" s="104" t="s">
        <v>248</v>
      </c>
      <c r="O19" s="107">
        <v>33</v>
      </c>
      <c r="P19" s="108" t="s">
        <v>260</v>
      </c>
      <c r="S19" s="104" t="s">
        <v>248</v>
      </c>
      <c r="T19" s="107">
        <v>128</v>
      </c>
      <c r="U19" s="108" t="s">
        <v>256</v>
      </c>
      <c r="X19" s="104" t="s">
        <v>252</v>
      </c>
      <c r="Y19" s="107"/>
      <c r="Z19" s="108"/>
      <c r="AA19" s="7"/>
      <c r="AB19" s="7"/>
      <c r="AC19" s="7" t="s">
        <v>252</v>
      </c>
      <c r="AD19" s="8"/>
      <c r="AE19" s="3"/>
      <c r="AF19"/>
      <c r="AG19" s="7" t="s">
        <v>252</v>
      </c>
      <c r="AH19" s="8"/>
      <c r="AI19" s="3"/>
      <c r="AJ19"/>
      <c r="AK19" s="7"/>
      <c r="AL19"/>
      <c r="AM19" s="106">
        <v>7</v>
      </c>
      <c r="AN19" s="106">
        <v>4.28</v>
      </c>
      <c r="AO19" s="106" t="s">
        <v>260</v>
      </c>
      <c r="AP19" s="109">
        <f t="shared" si="3"/>
        <v>9996.5394432842404</v>
      </c>
      <c r="AQ19" s="109">
        <f t="shared" si="3"/>
        <v>9996.5394432842404</v>
      </c>
      <c r="AR19" s="109">
        <f t="shared" si="3"/>
        <v>9996.5394432842404</v>
      </c>
      <c r="AT19" s="106">
        <v>308.43</v>
      </c>
      <c r="AW19" s="106" t="s">
        <v>289</v>
      </c>
      <c r="AY19" s="106">
        <f t="shared" si="2"/>
        <v>1302</v>
      </c>
      <c r="BM19"/>
    </row>
    <row r="20" spans="1:65" s="106" customFormat="1" hidden="1">
      <c r="A20" s="103">
        <v>1301</v>
      </c>
      <c r="B20"/>
      <c r="C20" s="104">
        <v>4</v>
      </c>
      <c r="D20" s="105">
        <v>365.71</v>
      </c>
      <c r="E20" s="105">
        <v>0</v>
      </c>
      <c r="F20" s="105">
        <v>0</v>
      </c>
      <c r="G20" s="105">
        <f t="shared" si="0"/>
        <v>365.71</v>
      </c>
      <c r="I20" s="104" t="s">
        <v>248</v>
      </c>
      <c r="J20" s="107">
        <v>105</v>
      </c>
      <c r="K20" s="108" t="s">
        <v>256</v>
      </c>
      <c r="N20" s="104" t="s">
        <v>248</v>
      </c>
      <c r="O20" s="107">
        <v>125</v>
      </c>
      <c r="P20" s="108" t="s">
        <v>256</v>
      </c>
      <c r="S20" s="104" t="s">
        <v>248</v>
      </c>
      <c r="T20" s="107">
        <v>175</v>
      </c>
      <c r="U20" s="108" t="s">
        <v>256</v>
      </c>
      <c r="X20" s="104" t="s">
        <v>248</v>
      </c>
      <c r="Y20" s="107">
        <v>176</v>
      </c>
      <c r="Z20" s="108" t="s">
        <v>256</v>
      </c>
      <c r="AA20" s="104"/>
      <c r="AB20" s="104"/>
      <c r="AC20" s="104" t="s">
        <v>252</v>
      </c>
      <c r="AD20" s="107"/>
      <c r="AE20" s="108"/>
      <c r="AG20" s="104" t="s">
        <v>252</v>
      </c>
      <c r="AH20" s="107"/>
      <c r="AI20" s="108"/>
      <c r="AK20" s="104"/>
      <c r="AM20" s="106">
        <v>19</v>
      </c>
      <c r="AN20" s="106">
        <v>5.7</v>
      </c>
      <c r="AO20" s="106" t="s">
        <v>256</v>
      </c>
      <c r="AP20" s="109">
        <f t="shared" si="3"/>
        <v>9996.5394432842404</v>
      </c>
      <c r="AQ20" s="109">
        <f t="shared" si="3"/>
        <v>9996.5394432842404</v>
      </c>
      <c r="AR20" s="109">
        <f t="shared" si="3"/>
        <v>9996.5394432842404</v>
      </c>
      <c r="AT20" s="106">
        <v>365.71</v>
      </c>
      <c r="AW20" s="106" t="s">
        <v>290</v>
      </c>
      <c r="AY20" s="106">
        <f t="shared" si="2"/>
        <v>1401</v>
      </c>
      <c r="BM20"/>
    </row>
    <row r="21" spans="1:65" s="106" customFormat="1" hidden="1">
      <c r="A21" s="103">
        <v>1302</v>
      </c>
      <c r="B21"/>
      <c r="C21" s="104">
        <v>4</v>
      </c>
      <c r="D21" s="105">
        <v>293.27999999999997</v>
      </c>
      <c r="E21" s="105">
        <v>0</v>
      </c>
      <c r="F21" s="105">
        <v>0</v>
      </c>
      <c r="G21" s="105">
        <f t="shared" si="0"/>
        <v>293.27999999999997</v>
      </c>
      <c r="I21" s="104" t="s">
        <v>250</v>
      </c>
      <c r="J21" s="107" t="s">
        <v>291</v>
      </c>
      <c r="K21" s="108" t="s">
        <v>256</v>
      </c>
      <c r="N21" s="104" t="s">
        <v>248</v>
      </c>
      <c r="O21" s="107">
        <v>81</v>
      </c>
      <c r="P21" s="108" t="s">
        <v>260</v>
      </c>
      <c r="S21" s="104" t="s">
        <v>248</v>
      </c>
      <c r="T21" s="107">
        <v>82</v>
      </c>
      <c r="U21" s="108" t="s">
        <v>260</v>
      </c>
      <c r="X21" s="104" t="s">
        <v>252</v>
      </c>
      <c r="Y21" s="107"/>
      <c r="Z21" s="108"/>
      <c r="AA21" s="7"/>
      <c r="AB21" s="7"/>
      <c r="AC21" s="7" t="s">
        <v>252</v>
      </c>
      <c r="AD21" s="8"/>
      <c r="AE21" s="3"/>
      <c r="AF21"/>
      <c r="AG21" s="7" t="s">
        <v>252</v>
      </c>
      <c r="AH21" s="8"/>
      <c r="AI21" s="3"/>
      <c r="AJ21"/>
      <c r="AK21" s="7"/>
      <c r="AL21"/>
      <c r="AM21" s="106">
        <v>11</v>
      </c>
      <c r="AN21" s="106">
        <v>4.08</v>
      </c>
      <c r="AO21" s="106" t="s">
        <v>260</v>
      </c>
      <c r="AP21" s="109">
        <f t="shared" si="3"/>
        <v>9996.5394432842404</v>
      </c>
      <c r="AQ21" s="109">
        <f t="shared" si="3"/>
        <v>9996.5394432842404</v>
      </c>
      <c r="AR21" s="109">
        <f t="shared" si="3"/>
        <v>9996.5394432842404</v>
      </c>
      <c r="AT21" s="106">
        <v>293.35000000000002</v>
      </c>
      <c r="AW21" s="106" t="s">
        <v>292</v>
      </c>
      <c r="AY21" s="106">
        <f t="shared" si="2"/>
        <v>1402</v>
      </c>
      <c r="BM21"/>
    </row>
    <row r="22" spans="1:65" s="106" customFormat="1" hidden="1">
      <c r="A22" s="103">
        <v>1401</v>
      </c>
      <c r="B22"/>
      <c r="C22" s="104">
        <v>4</v>
      </c>
      <c r="D22" s="105">
        <v>354.22</v>
      </c>
      <c r="E22" s="105">
        <v>0</v>
      </c>
      <c r="F22" s="105">
        <v>0</v>
      </c>
      <c r="G22" s="105">
        <f t="shared" si="0"/>
        <v>354.22</v>
      </c>
      <c r="I22" s="104" t="s">
        <v>248</v>
      </c>
      <c r="J22" s="107">
        <v>154</v>
      </c>
      <c r="K22" s="108" t="s">
        <v>256</v>
      </c>
      <c r="N22" s="104" t="s">
        <v>248</v>
      </c>
      <c r="O22" s="107">
        <v>155</v>
      </c>
      <c r="P22" s="108" t="s">
        <v>256</v>
      </c>
      <c r="S22" s="104" t="s">
        <v>248</v>
      </c>
      <c r="T22" s="107">
        <v>156</v>
      </c>
      <c r="U22" s="108" t="s">
        <v>256</v>
      </c>
      <c r="X22" s="104" t="s">
        <v>248</v>
      </c>
      <c r="Y22" s="107">
        <v>157</v>
      </c>
      <c r="Z22" s="108" t="s">
        <v>256</v>
      </c>
      <c r="AA22" s="104"/>
      <c r="AB22" s="104"/>
      <c r="AC22" s="104" t="s">
        <v>252</v>
      </c>
      <c r="AD22" s="107"/>
      <c r="AE22" s="108"/>
      <c r="AG22" s="104" t="s">
        <v>252</v>
      </c>
      <c r="AH22" s="107"/>
      <c r="AI22" s="108"/>
      <c r="AK22" s="104"/>
      <c r="AM22" s="106">
        <v>20</v>
      </c>
      <c r="AN22" s="106">
        <v>5.32</v>
      </c>
      <c r="AO22" s="106" t="s">
        <v>256</v>
      </c>
      <c r="AP22" s="109">
        <f t="shared" si="3"/>
        <v>9996.5394432842404</v>
      </c>
      <c r="AQ22" s="109">
        <f t="shared" si="3"/>
        <v>9996.5394432842404</v>
      </c>
      <c r="AR22" s="109">
        <f t="shared" si="3"/>
        <v>9996.5394432842404</v>
      </c>
      <c r="AT22" s="106">
        <v>354.28</v>
      </c>
      <c r="AW22" s="106" t="s">
        <v>293</v>
      </c>
      <c r="AY22" s="106">
        <f t="shared" si="2"/>
        <v>1501</v>
      </c>
      <c r="BM22"/>
    </row>
    <row r="23" spans="1:65" s="106" customFormat="1" hidden="1">
      <c r="A23" s="103">
        <v>1402</v>
      </c>
      <c r="B23"/>
      <c r="C23" s="104">
        <v>4</v>
      </c>
      <c r="D23" s="105">
        <v>308.43</v>
      </c>
      <c r="E23" s="105">
        <v>0</v>
      </c>
      <c r="F23" s="105">
        <v>0</v>
      </c>
      <c r="G23" s="105">
        <f t="shared" si="0"/>
        <v>308.43</v>
      </c>
      <c r="I23" s="104" t="s">
        <v>250</v>
      </c>
      <c r="J23" s="107" t="s">
        <v>294</v>
      </c>
      <c r="K23" s="108" t="s">
        <v>260</v>
      </c>
      <c r="N23" s="104" t="s">
        <v>248</v>
      </c>
      <c r="O23" s="107">
        <v>65</v>
      </c>
      <c r="P23" s="108" t="s">
        <v>260</v>
      </c>
      <c r="S23" s="104" t="s">
        <v>248</v>
      </c>
      <c r="T23" s="107">
        <v>66</v>
      </c>
      <c r="U23" s="108" t="s">
        <v>260</v>
      </c>
      <c r="X23" s="104" t="s">
        <v>252</v>
      </c>
      <c r="Y23" s="107"/>
      <c r="Z23" s="108"/>
      <c r="AA23" s="104"/>
      <c r="AB23" s="104"/>
      <c r="AC23" s="104" t="s">
        <v>252</v>
      </c>
      <c r="AD23" s="107"/>
      <c r="AE23" s="108"/>
      <c r="AG23" s="104" t="s">
        <v>252</v>
      </c>
      <c r="AH23" s="107"/>
      <c r="AI23" s="108"/>
      <c r="AK23" s="104"/>
      <c r="AM23" s="106">
        <v>8</v>
      </c>
      <c r="AN23" s="106">
        <v>4.28</v>
      </c>
      <c r="AO23" s="106" t="s">
        <v>260</v>
      </c>
      <c r="AP23" s="109">
        <f t="shared" si="3"/>
        <v>9996.5394432842404</v>
      </c>
      <c r="AQ23" s="109">
        <f t="shared" si="3"/>
        <v>9996.5394432842404</v>
      </c>
      <c r="AR23" s="109">
        <f t="shared" si="3"/>
        <v>9996.5394432842404</v>
      </c>
      <c r="AT23" s="106">
        <v>308.43</v>
      </c>
      <c r="AW23" s="106" t="s">
        <v>295</v>
      </c>
      <c r="AY23" s="106">
        <f t="shared" si="2"/>
        <v>1502</v>
      </c>
      <c r="BM23"/>
    </row>
    <row r="24" spans="1:65" s="106" customFormat="1" hidden="1">
      <c r="A24" s="103">
        <v>1501</v>
      </c>
      <c r="B24"/>
      <c r="C24" s="104">
        <v>4</v>
      </c>
      <c r="D24" s="105">
        <v>365.71</v>
      </c>
      <c r="E24" s="105">
        <v>0</v>
      </c>
      <c r="F24" s="105">
        <v>0</v>
      </c>
      <c r="G24" s="105">
        <f t="shared" si="0"/>
        <v>365.71</v>
      </c>
      <c r="I24" s="104" t="s">
        <v>248</v>
      </c>
      <c r="J24" s="107">
        <v>128</v>
      </c>
      <c r="K24" s="108" t="s">
        <v>256</v>
      </c>
      <c r="N24" s="104" t="s">
        <v>248</v>
      </c>
      <c r="O24" s="107">
        <v>129</v>
      </c>
      <c r="P24" s="108" t="s">
        <v>256</v>
      </c>
      <c r="S24" s="104" t="s">
        <v>248</v>
      </c>
      <c r="T24" s="107">
        <v>130</v>
      </c>
      <c r="U24" s="108" t="s">
        <v>256</v>
      </c>
      <c r="X24" s="104" t="s">
        <v>248</v>
      </c>
      <c r="Y24" s="107">
        <v>131</v>
      </c>
      <c r="Z24" s="108" t="s">
        <v>256</v>
      </c>
      <c r="AA24" s="104"/>
      <c r="AB24" s="104"/>
      <c r="AC24" s="104" t="s">
        <v>252</v>
      </c>
      <c r="AD24" s="107"/>
      <c r="AE24" s="108"/>
      <c r="AG24" s="104" t="s">
        <v>252</v>
      </c>
      <c r="AH24" s="107"/>
      <c r="AI24" s="108"/>
      <c r="AK24" s="104"/>
      <c r="AM24" s="106">
        <v>21</v>
      </c>
      <c r="AN24" s="106">
        <v>5.88</v>
      </c>
      <c r="AO24" s="106" t="s">
        <v>256</v>
      </c>
      <c r="AP24" s="109">
        <f t="shared" si="3"/>
        <v>9996.5394432842404</v>
      </c>
      <c r="AQ24" s="109">
        <f t="shared" si="3"/>
        <v>9996.5394432842404</v>
      </c>
      <c r="AR24" s="109">
        <f t="shared" si="3"/>
        <v>9996.5394432842404</v>
      </c>
      <c r="AT24" s="106">
        <v>365.71</v>
      </c>
      <c r="AW24" s="106" t="s">
        <v>296</v>
      </c>
      <c r="AY24" s="106">
        <f t="shared" si="2"/>
        <v>1601</v>
      </c>
      <c r="BM24"/>
    </row>
    <row r="25" spans="1:65" s="106" customFormat="1" hidden="1">
      <c r="A25" s="103">
        <v>1502</v>
      </c>
      <c r="B25"/>
      <c r="C25" s="104">
        <v>4</v>
      </c>
      <c r="D25" s="105">
        <v>293.27999999999997</v>
      </c>
      <c r="E25" s="105">
        <v>0</v>
      </c>
      <c r="F25" s="105">
        <v>0</v>
      </c>
      <c r="G25" s="105">
        <f t="shared" si="0"/>
        <v>293.27999999999997</v>
      </c>
      <c r="I25" s="104" t="s">
        <v>250</v>
      </c>
      <c r="J25" s="107" t="s">
        <v>297</v>
      </c>
      <c r="K25" s="108" t="s">
        <v>256</v>
      </c>
      <c r="N25" s="104" t="s">
        <v>248</v>
      </c>
      <c r="O25" s="107">
        <v>63</v>
      </c>
      <c r="P25" s="108" t="s">
        <v>260</v>
      </c>
      <c r="S25" s="104" t="s">
        <v>248</v>
      </c>
      <c r="T25" s="107">
        <v>64</v>
      </c>
      <c r="U25" s="108" t="s">
        <v>260</v>
      </c>
      <c r="X25" s="104" t="s">
        <v>252</v>
      </c>
      <c r="Y25" s="107"/>
      <c r="Z25" s="108"/>
      <c r="AA25" s="7"/>
      <c r="AB25" s="7"/>
      <c r="AC25" s="7" t="s">
        <v>252</v>
      </c>
      <c r="AD25" s="8"/>
      <c r="AE25" s="3"/>
      <c r="AF25"/>
      <c r="AG25" s="7" t="s">
        <v>252</v>
      </c>
      <c r="AH25" s="8"/>
      <c r="AI25" s="3"/>
      <c r="AJ25"/>
      <c r="AK25" s="7"/>
      <c r="AL25"/>
      <c r="AM25" s="106">
        <v>9</v>
      </c>
      <c r="AN25" s="106">
        <v>4.25</v>
      </c>
      <c r="AO25" s="106" t="s">
        <v>260</v>
      </c>
      <c r="AP25" s="109">
        <f t="shared" si="3"/>
        <v>9996.5394432842404</v>
      </c>
      <c r="AQ25" s="109">
        <f t="shared" si="3"/>
        <v>9996.5394432842404</v>
      </c>
      <c r="AR25" s="109">
        <f t="shared" si="3"/>
        <v>9996.5394432842404</v>
      </c>
      <c r="AT25" s="106">
        <v>293.35000000000002</v>
      </c>
      <c r="AW25" s="106" t="s">
        <v>298</v>
      </c>
      <c r="AY25" s="106">
        <f t="shared" si="2"/>
        <v>1602</v>
      </c>
      <c r="BM25"/>
    </row>
    <row r="26" spans="1:65" s="106" customFormat="1" hidden="1">
      <c r="A26" s="103">
        <v>1601</v>
      </c>
      <c r="B26"/>
      <c r="C26" s="104">
        <v>4</v>
      </c>
      <c r="D26" s="105">
        <v>354.22</v>
      </c>
      <c r="E26" s="105">
        <v>0</v>
      </c>
      <c r="F26" s="105">
        <v>0</v>
      </c>
      <c r="G26" s="105">
        <f t="shared" si="0"/>
        <v>354.22</v>
      </c>
      <c r="I26" s="104" t="s">
        <v>248</v>
      </c>
      <c r="J26" s="107">
        <v>160</v>
      </c>
      <c r="K26" s="108" t="s">
        <v>256</v>
      </c>
      <c r="N26" s="104" t="s">
        <v>248</v>
      </c>
      <c r="O26" s="107">
        <v>161</v>
      </c>
      <c r="P26" s="108" t="s">
        <v>256</v>
      </c>
      <c r="S26" s="104" t="s">
        <v>248</v>
      </c>
      <c r="T26" s="107">
        <v>162</v>
      </c>
      <c r="U26" s="108" t="s">
        <v>256</v>
      </c>
      <c r="X26" s="104" t="s">
        <v>248</v>
      </c>
      <c r="Y26" s="107">
        <v>163</v>
      </c>
      <c r="Z26" s="108" t="s">
        <v>256</v>
      </c>
      <c r="AA26" s="104"/>
      <c r="AB26" s="104"/>
      <c r="AC26" s="104" t="s">
        <v>252</v>
      </c>
      <c r="AD26" s="107"/>
      <c r="AE26" s="108"/>
      <c r="AG26" s="104" t="s">
        <v>252</v>
      </c>
      <c r="AH26" s="107"/>
      <c r="AI26" s="108"/>
      <c r="AK26" s="104"/>
      <c r="AM26" s="106">
        <v>22</v>
      </c>
      <c r="AN26" s="106">
        <v>4.4400000000000004</v>
      </c>
      <c r="AO26" s="106" t="s">
        <v>256</v>
      </c>
      <c r="AP26" s="109">
        <f t="shared" si="3"/>
        <v>9996.5394432842404</v>
      </c>
      <c r="AQ26" s="109">
        <f t="shared" si="3"/>
        <v>9996.5394432842404</v>
      </c>
      <c r="AR26" s="109">
        <f t="shared" si="3"/>
        <v>9996.5394432842404</v>
      </c>
      <c r="AT26" s="106">
        <v>354.28</v>
      </c>
      <c r="AW26" s="106" t="s">
        <v>299</v>
      </c>
      <c r="AY26" s="106">
        <f t="shared" si="2"/>
        <v>1701</v>
      </c>
      <c r="BM26"/>
    </row>
    <row r="27" spans="1:65" s="106" customFormat="1" hidden="1">
      <c r="A27" s="103">
        <v>1602</v>
      </c>
      <c r="B27"/>
      <c r="C27" s="104">
        <v>4</v>
      </c>
      <c r="D27" s="105">
        <v>308.43</v>
      </c>
      <c r="E27" s="105">
        <v>0</v>
      </c>
      <c r="F27" s="105">
        <v>0</v>
      </c>
      <c r="G27" s="105">
        <f t="shared" si="0"/>
        <v>308.43</v>
      </c>
      <c r="I27" s="104" t="s">
        <v>250</v>
      </c>
      <c r="J27" s="107" t="s">
        <v>300</v>
      </c>
      <c r="K27" s="108" t="s">
        <v>256</v>
      </c>
      <c r="N27" s="104" t="s">
        <v>248</v>
      </c>
      <c r="O27" s="107">
        <v>77</v>
      </c>
      <c r="P27" s="108" t="s">
        <v>260</v>
      </c>
      <c r="S27" s="104" t="s">
        <v>248</v>
      </c>
      <c r="T27" s="107">
        <v>78</v>
      </c>
      <c r="U27" s="108" t="s">
        <v>260</v>
      </c>
      <c r="X27" s="104" t="s">
        <v>252</v>
      </c>
      <c r="Y27" s="107"/>
      <c r="Z27" s="108"/>
      <c r="AA27" s="7"/>
      <c r="AB27" s="7"/>
      <c r="AC27" s="7" t="s">
        <v>252</v>
      </c>
      <c r="AD27" s="8"/>
      <c r="AE27" s="3"/>
      <c r="AF27"/>
      <c r="AG27" s="7" t="s">
        <v>252</v>
      </c>
      <c r="AH27" s="8"/>
      <c r="AI27" s="3"/>
      <c r="AJ27"/>
      <c r="AK27" s="7"/>
      <c r="AL27"/>
      <c r="AM27" s="106">
        <v>10</v>
      </c>
      <c r="AN27" s="106">
        <v>4.45</v>
      </c>
      <c r="AO27" s="106" t="s">
        <v>260</v>
      </c>
      <c r="AP27" s="109">
        <f t="shared" si="3"/>
        <v>9996.5394432842404</v>
      </c>
      <c r="AQ27" s="109">
        <f t="shared" si="3"/>
        <v>9996.5394432842404</v>
      </c>
      <c r="AR27" s="109">
        <f t="shared" si="3"/>
        <v>9996.5394432842404</v>
      </c>
      <c r="AT27" s="106">
        <v>308.43</v>
      </c>
      <c r="AW27" s="106" t="s">
        <v>301</v>
      </c>
      <c r="AY27" s="106">
        <f t="shared" si="2"/>
        <v>1702</v>
      </c>
      <c r="BM27"/>
    </row>
    <row r="28" spans="1:65" s="106" customFormat="1" hidden="1">
      <c r="A28" s="103">
        <v>1701</v>
      </c>
      <c r="B28"/>
      <c r="C28" s="104">
        <v>4</v>
      </c>
      <c r="D28" s="105">
        <v>365.71</v>
      </c>
      <c r="E28" s="105">
        <v>0</v>
      </c>
      <c r="F28" s="105">
        <v>0</v>
      </c>
      <c r="G28" s="105">
        <f t="shared" si="0"/>
        <v>365.71</v>
      </c>
      <c r="I28" s="104" t="s">
        <v>248</v>
      </c>
      <c r="J28" s="107">
        <v>103</v>
      </c>
      <c r="K28" s="108" t="s">
        <v>256</v>
      </c>
      <c r="N28" s="104" t="s">
        <v>248</v>
      </c>
      <c r="O28" s="107">
        <v>104</v>
      </c>
      <c r="P28" s="108" t="s">
        <v>256</v>
      </c>
      <c r="S28" s="104" t="s">
        <v>248</v>
      </c>
      <c r="T28" s="107">
        <v>124</v>
      </c>
      <c r="U28" s="108" t="s">
        <v>256</v>
      </c>
      <c r="X28" s="104" t="s">
        <v>248</v>
      </c>
      <c r="Y28" s="107">
        <v>125</v>
      </c>
      <c r="Z28" s="108" t="s">
        <v>256</v>
      </c>
      <c r="AA28" s="104"/>
      <c r="AB28" s="104"/>
      <c r="AC28" s="104" t="s">
        <v>252</v>
      </c>
      <c r="AD28" s="107"/>
      <c r="AE28" s="108"/>
      <c r="AG28" s="104" t="s">
        <v>252</v>
      </c>
      <c r="AH28" s="107"/>
      <c r="AI28" s="108"/>
      <c r="AK28" s="104"/>
      <c r="AM28" s="106">
        <v>23</v>
      </c>
      <c r="AN28" s="106">
        <v>4.2699999999999996</v>
      </c>
      <c r="AO28" s="106" t="s">
        <v>256</v>
      </c>
      <c r="AP28" s="109">
        <f t="shared" si="3"/>
        <v>9996.5394432842404</v>
      </c>
      <c r="AQ28" s="109">
        <f t="shared" si="3"/>
        <v>9996.5394432842404</v>
      </c>
      <c r="AR28" s="109">
        <f t="shared" si="3"/>
        <v>9996.5394432842404</v>
      </c>
      <c r="AT28" s="106">
        <v>365.71</v>
      </c>
      <c r="AW28" s="106" t="s">
        <v>302</v>
      </c>
      <c r="AY28" s="106">
        <f t="shared" si="2"/>
        <v>1801</v>
      </c>
      <c r="BM28"/>
    </row>
    <row r="29" spans="1:65" s="106" customFormat="1" hidden="1">
      <c r="A29" s="103">
        <v>1702</v>
      </c>
      <c r="B29"/>
      <c r="C29" s="104">
        <v>4</v>
      </c>
      <c r="D29" s="105">
        <v>293.27999999999997</v>
      </c>
      <c r="E29" s="105">
        <v>0</v>
      </c>
      <c r="F29" s="105">
        <v>0</v>
      </c>
      <c r="G29" s="105">
        <f t="shared" si="0"/>
        <v>293.27999999999997</v>
      </c>
      <c r="I29" s="104" t="s">
        <v>250</v>
      </c>
      <c r="J29" s="107" t="s">
        <v>303</v>
      </c>
      <c r="K29" s="108" t="s">
        <v>260</v>
      </c>
      <c r="N29" s="104" t="s">
        <v>248</v>
      </c>
      <c r="O29" s="107">
        <v>41</v>
      </c>
      <c r="P29" s="108" t="s">
        <v>260</v>
      </c>
      <c r="S29" s="104" t="s">
        <v>248</v>
      </c>
      <c r="T29" s="107">
        <v>42</v>
      </c>
      <c r="U29" s="108" t="s">
        <v>260</v>
      </c>
      <c r="X29" s="104" t="s">
        <v>252</v>
      </c>
      <c r="Y29" s="107"/>
      <c r="Z29" s="108"/>
      <c r="AA29" s="7"/>
      <c r="AB29" s="7"/>
      <c r="AC29" s="7" t="s">
        <v>252</v>
      </c>
      <c r="AD29" s="8"/>
      <c r="AE29" s="3"/>
      <c r="AF29"/>
      <c r="AG29" s="7" t="s">
        <v>252</v>
      </c>
      <c r="AH29" s="8"/>
      <c r="AI29" s="3"/>
      <c r="AJ29"/>
      <c r="AK29" s="7"/>
      <c r="AL29"/>
      <c r="AM29" s="106">
        <v>50</v>
      </c>
      <c r="AN29" s="106">
        <v>3.99</v>
      </c>
      <c r="AO29" s="106" t="s">
        <v>249</v>
      </c>
      <c r="AP29" s="109">
        <f>9595*1.0216*1.01*1.0046*1.0051</f>
        <v>9996.5394432842404</v>
      </c>
      <c r="AQ29" s="109">
        <f t="shared" ref="AQ29:AR29" si="4">9595*1.0216*1.01*1.0046*1.0051</f>
        <v>9996.5394432842404</v>
      </c>
      <c r="AR29" s="109">
        <f t="shared" si="4"/>
        <v>9996.5394432842404</v>
      </c>
      <c r="AT29" s="106">
        <v>293.35000000000002</v>
      </c>
      <c r="AW29" s="106" t="s">
        <v>304</v>
      </c>
      <c r="AY29" s="106">
        <f t="shared" si="2"/>
        <v>1802</v>
      </c>
      <c r="BM29"/>
    </row>
    <row r="30" spans="1:65" s="106" customFormat="1">
      <c r="A30" s="103">
        <v>1800</v>
      </c>
      <c r="B30"/>
      <c r="C30" s="104">
        <v>5</v>
      </c>
      <c r="D30" s="105">
        <v>681</v>
      </c>
      <c r="E30" s="105">
        <v>0</v>
      </c>
      <c r="F30" s="105">
        <v>0</v>
      </c>
      <c r="G30" s="105">
        <f t="shared" si="0"/>
        <v>681</v>
      </c>
      <c r="I30" s="104" t="s">
        <v>248</v>
      </c>
      <c r="J30" s="107">
        <v>186</v>
      </c>
      <c r="K30" s="108" t="s">
        <v>249</v>
      </c>
      <c r="N30" s="104" t="s">
        <v>248</v>
      </c>
      <c r="O30" s="107">
        <v>187</v>
      </c>
      <c r="P30" s="108" t="s">
        <v>249</v>
      </c>
      <c r="S30" s="104" t="s">
        <v>248</v>
      </c>
      <c r="T30" s="107">
        <v>214</v>
      </c>
      <c r="U30" s="108" t="s">
        <v>249</v>
      </c>
      <c r="X30" s="104" t="s">
        <v>250</v>
      </c>
      <c r="Y30" s="107" t="s">
        <v>305</v>
      </c>
      <c r="Z30" s="108" t="s">
        <v>256</v>
      </c>
      <c r="AA30" s="104"/>
      <c r="AB30" s="104"/>
      <c r="AC30" s="104" t="s">
        <v>252</v>
      </c>
      <c r="AD30" s="107"/>
      <c r="AE30" s="108"/>
      <c r="AG30" s="104" t="s">
        <v>252</v>
      </c>
      <c r="AH30" s="107"/>
      <c r="AI30" s="108"/>
      <c r="AK30" s="104"/>
      <c r="AM30" s="106">
        <v>35</v>
      </c>
      <c r="AN30" s="106">
        <v>5.7</v>
      </c>
      <c r="AO30" s="106" t="s">
        <v>249</v>
      </c>
      <c r="AP30" s="109">
        <f>10100*1.0216*1.01*1.0046*1.0051</f>
        <v>10522.673098193936</v>
      </c>
      <c r="AQ30" s="109">
        <f>10100*1.0216*1.01*1.0046*1.0051</f>
        <v>10522.673098193936</v>
      </c>
      <c r="AR30" s="109">
        <f>10100*1.0216*1.01*1.0046*1.0051</f>
        <v>10522.673098193936</v>
      </c>
      <c r="AT30" s="106">
        <v>681</v>
      </c>
      <c r="AW30" s="106" t="s">
        <v>306</v>
      </c>
      <c r="AY30" s="106">
        <f t="shared" si="2"/>
        <v>1900</v>
      </c>
      <c r="BM30"/>
    </row>
    <row r="31" spans="1:65" s="106" customFormat="1" hidden="1">
      <c r="A31" s="103">
        <v>1901</v>
      </c>
      <c r="B31"/>
      <c r="C31" s="104">
        <v>4</v>
      </c>
      <c r="D31" s="105">
        <v>365.71</v>
      </c>
      <c r="E31" s="105">
        <v>0</v>
      </c>
      <c r="F31" s="105">
        <v>0</v>
      </c>
      <c r="G31" s="105">
        <f t="shared" si="0"/>
        <v>365.71</v>
      </c>
      <c r="I31" s="104" t="s">
        <v>248</v>
      </c>
      <c r="J31" s="107">
        <v>170</v>
      </c>
      <c r="K31" s="108" t="s">
        <v>256</v>
      </c>
      <c r="N31" s="104" t="s">
        <v>248</v>
      </c>
      <c r="O31" s="107">
        <v>171</v>
      </c>
      <c r="P31" s="108" t="s">
        <v>256</v>
      </c>
      <c r="S31" s="104" t="s">
        <v>248</v>
      </c>
      <c r="T31" s="107">
        <v>172</v>
      </c>
      <c r="U31" s="108" t="s">
        <v>256</v>
      </c>
      <c r="X31" s="104" t="s">
        <v>248</v>
      </c>
      <c r="Y31" s="107">
        <v>173</v>
      </c>
      <c r="Z31" s="108" t="s">
        <v>256</v>
      </c>
      <c r="AA31" s="104"/>
      <c r="AB31" s="104"/>
      <c r="AC31" s="104" t="s">
        <v>252</v>
      </c>
      <c r="AD31" s="107"/>
      <c r="AE31" s="108"/>
      <c r="AG31" s="104" t="s">
        <v>252</v>
      </c>
      <c r="AH31" s="107"/>
      <c r="AI31" s="108"/>
      <c r="AK31" s="104"/>
      <c r="AM31" s="106">
        <v>24</v>
      </c>
      <c r="AN31" s="106">
        <v>4.29</v>
      </c>
      <c r="AO31" s="106" t="s">
        <v>256</v>
      </c>
      <c r="AP31" s="109">
        <f>9595*1.0216*1.01*1.0046*1.0051</f>
        <v>9996.5394432842404</v>
      </c>
      <c r="AQ31" s="109">
        <f t="shared" ref="AQ31:AR31" si="5">9595*1.0216*1.01*1.0046*1.0051</f>
        <v>9996.5394432842404</v>
      </c>
      <c r="AR31" s="109">
        <f t="shared" si="5"/>
        <v>9996.5394432842404</v>
      </c>
      <c r="AT31" s="106">
        <v>365.71</v>
      </c>
      <c r="AW31" s="106" t="s">
        <v>307</v>
      </c>
      <c r="AY31" s="106">
        <f t="shared" si="2"/>
        <v>2001</v>
      </c>
      <c r="BM31"/>
    </row>
    <row r="32" spans="1:65" s="106" customFormat="1" hidden="1">
      <c r="A32" s="103">
        <v>1902</v>
      </c>
      <c r="B32"/>
      <c r="C32" s="104">
        <v>4</v>
      </c>
      <c r="D32" s="105">
        <v>266.95</v>
      </c>
      <c r="E32" s="105">
        <v>0</v>
      </c>
      <c r="F32" s="105">
        <v>0</v>
      </c>
      <c r="G32" s="105">
        <f t="shared" si="0"/>
        <v>266.95</v>
      </c>
      <c r="I32" s="104" t="s">
        <v>248</v>
      </c>
      <c r="J32" s="112">
        <v>45</v>
      </c>
      <c r="K32" s="108" t="s">
        <v>260</v>
      </c>
      <c r="N32" s="104" t="s">
        <v>248</v>
      </c>
      <c r="O32" s="112">
        <v>46</v>
      </c>
      <c r="P32" s="108" t="s">
        <v>260</v>
      </c>
      <c r="S32" s="104" t="s">
        <v>250</v>
      </c>
      <c r="T32" s="107" t="s">
        <v>308</v>
      </c>
      <c r="U32" s="108" t="s">
        <v>260</v>
      </c>
      <c r="X32" s="104" t="s">
        <v>252</v>
      </c>
      <c r="Y32" s="107"/>
      <c r="Z32" s="108"/>
      <c r="AA32" s="104"/>
      <c r="AB32" s="104"/>
      <c r="AC32" s="104" t="s">
        <v>252</v>
      </c>
      <c r="AD32" s="107"/>
      <c r="AE32" s="108"/>
      <c r="AG32" s="104" t="s">
        <v>252</v>
      </c>
      <c r="AH32" s="107"/>
      <c r="AI32" s="108"/>
      <c r="AK32" s="104"/>
      <c r="AM32" s="106">
        <v>34</v>
      </c>
      <c r="AN32" s="106">
        <v>4.03</v>
      </c>
      <c r="AO32" s="106" t="s">
        <v>249</v>
      </c>
      <c r="AP32" s="109">
        <f t="shared" ref="AP32:AR33" si="6">9090*1.0216*1.01*1.0046*1.0051</f>
        <v>9470.4057883745445</v>
      </c>
      <c r="AQ32" s="109">
        <f t="shared" si="6"/>
        <v>9470.4057883745445</v>
      </c>
      <c r="AR32" s="109">
        <f t="shared" si="6"/>
        <v>9470.4057883745445</v>
      </c>
      <c r="AT32" s="106">
        <v>266.95</v>
      </c>
      <c r="AW32" s="106" t="s">
        <v>309</v>
      </c>
      <c r="AY32" s="106">
        <f t="shared" si="2"/>
        <v>2002</v>
      </c>
      <c r="BM32"/>
    </row>
    <row r="33" spans="1:65" s="106" customFormat="1" hidden="1">
      <c r="A33" s="103">
        <v>2001</v>
      </c>
      <c r="B33"/>
      <c r="C33" s="104">
        <v>4</v>
      </c>
      <c r="D33" s="105">
        <v>322.86</v>
      </c>
      <c r="E33" s="105">
        <v>0</v>
      </c>
      <c r="F33" s="105">
        <v>0</v>
      </c>
      <c r="G33" s="105">
        <f t="shared" si="0"/>
        <v>322.86</v>
      </c>
      <c r="I33" s="104" t="s">
        <v>248</v>
      </c>
      <c r="J33" s="107">
        <v>132</v>
      </c>
      <c r="K33" s="108" t="s">
        <v>256</v>
      </c>
      <c r="N33" s="104" t="s">
        <v>248</v>
      </c>
      <c r="O33" s="107">
        <v>133</v>
      </c>
      <c r="P33" s="108" t="s">
        <v>256</v>
      </c>
      <c r="S33" s="104" t="s">
        <v>250</v>
      </c>
      <c r="T33" s="107" t="s">
        <v>310</v>
      </c>
      <c r="U33" s="108" t="s">
        <v>256</v>
      </c>
      <c r="X33" s="104" t="s">
        <v>252</v>
      </c>
      <c r="Y33" s="107"/>
      <c r="Z33" s="108"/>
      <c r="AA33" s="104"/>
      <c r="AB33" s="104"/>
      <c r="AC33" s="104" t="s">
        <v>252</v>
      </c>
      <c r="AD33" s="107"/>
      <c r="AE33" s="108"/>
      <c r="AG33" s="104" t="s">
        <v>252</v>
      </c>
      <c r="AH33" s="107"/>
      <c r="AI33" s="108"/>
      <c r="AK33" s="104"/>
      <c r="AM33" s="106">
        <v>49</v>
      </c>
      <c r="AN33" s="106">
        <v>4.1399999999999997</v>
      </c>
      <c r="AO33" s="106" t="s">
        <v>249</v>
      </c>
      <c r="AP33" s="109">
        <f t="shared" si="6"/>
        <v>9470.4057883745445</v>
      </c>
      <c r="AQ33" s="109">
        <f t="shared" si="6"/>
        <v>9470.4057883745445</v>
      </c>
      <c r="AR33" s="109">
        <f t="shared" si="6"/>
        <v>9470.4057883745445</v>
      </c>
      <c r="AT33" s="106">
        <v>322.89</v>
      </c>
      <c r="AW33" s="106" t="s">
        <v>311</v>
      </c>
      <c r="AY33" s="106">
        <f t="shared" si="2"/>
        <v>2101</v>
      </c>
      <c r="BM33"/>
    </row>
    <row r="34" spans="1:65" s="106" customFormat="1" hidden="1">
      <c r="A34" s="103">
        <v>2002</v>
      </c>
      <c r="B34"/>
      <c r="C34" s="104">
        <v>4</v>
      </c>
      <c r="D34" s="105">
        <v>308.43</v>
      </c>
      <c r="E34" s="105">
        <v>0</v>
      </c>
      <c r="F34" s="105">
        <v>0</v>
      </c>
      <c r="G34" s="105">
        <f t="shared" ref="G34:G65" si="7">D34+F34</f>
        <v>308.43</v>
      </c>
      <c r="I34" s="104" t="s">
        <v>250</v>
      </c>
      <c r="J34" s="107" t="s">
        <v>312</v>
      </c>
      <c r="K34" s="108" t="s">
        <v>260</v>
      </c>
      <c r="N34" s="104" t="s">
        <v>248</v>
      </c>
      <c r="O34" s="107">
        <v>36</v>
      </c>
      <c r="P34" s="108" t="s">
        <v>260</v>
      </c>
      <c r="S34" s="104" t="s">
        <v>248</v>
      </c>
      <c r="T34" s="107">
        <v>20</v>
      </c>
      <c r="U34" s="108" t="s">
        <v>260</v>
      </c>
      <c r="X34" s="104" t="s">
        <v>252</v>
      </c>
      <c r="Y34" s="107"/>
      <c r="Z34" s="108"/>
      <c r="AA34" s="7"/>
      <c r="AB34" s="7"/>
      <c r="AC34" s="7" t="s">
        <v>252</v>
      </c>
      <c r="AD34" s="8"/>
      <c r="AE34" s="3"/>
      <c r="AF34"/>
      <c r="AG34" s="7" t="s">
        <v>252</v>
      </c>
      <c r="AH34" s="8"/>
      <c r="AI34" s="3"/>
      <c r="AJ34"/>
      <c r="AK34" s="7"/>
      <c r="AL34"/>
      <c r="AM34" s="106">
        <v>16</v>
      </c>
      <c r="AN34" s="106">
        <v>5.6</v>
      </c>
      <c r="AO34" s="106" t="s">
        <v>260</v>
      </c>
      <c r="AP34" s="109">
        <f>9595*1.0216*1.01*1.0046*1.0051</f>
        <v>9996.5394432842404</v>
      </c>
      <c r="AQ34" s="109">
        <f>9595*1.0216*1.01*1.0046*1.0051</f>
        <v>9996.5394432842404</v>
      </c>
      <c r="AR34" s="109">
        <f>9595*1.0216*1.01*1.0046*1.0051</f>
        <v>9996.5394432842404</v>
      </c>
      <c r="AT34" s="106">
        <v>308.43</v>
      </c>
      <c r="AW34" s="106" t="s">
        <v>313</v>
      </c>
      <c r="AY34" s="106">
        <f t="shared" ref="AY34:AY66" si="8">A34+100</f>
        <v>2102</v>
      </c>
      <c r="BM34"/>
    </row>
    <row r="35" spans="1:65" s="106" customFormat="1" hidden="1">
      <c r="A35" s="103">
        <v>2100</v>
      </c>
      <c r="B35"/>
      <c r="C35" s="104">
        <v>5</v>
      </c>
      <c r="D35" s="105">
        <v>684</v>
      </c>
      <c r="E35" s="105">
        <v>0</v>
      </c>
      <c r="F35" s="105">
        <v>0</v>
      </c>
      <c r="G35" s="105">
        <f t="shared" si="7"/>
        <v>684</v>
      </c>
      <c r="I35" s="104" t="s">
        <v>248</v>
      </c>
      <c r="J35" s="107">
        <v>180</v>
      </c>
      <c r="K35" s="108" t="s">
        <v>249</v>
      </c>
      <c r="N35" s="104" t="s">
        <v>248</v>
      </c>
      <c r="O35" s="107">
        <v>181</v>
      </c>
      <c r="P35" s="108" t="s">
        <v>249</v>
      </c>
      <c r="S35" s="104" t="s">
        <v>248</v>
      </c>
      <c r="T35" s="107">
        <v>182</v>
      </c>
      <c r="U35" s="108" t="s">
        <v>249</v>
      </c>
      <c r="X35" s="104" t="s">
        <v>250</v>
      </c>
      <c r="Y35" s="110" t="s">
        <v>314</v>
      </c>
      <c r="Z35" s="108" t="s">
        <v>260</v>
      </c>
      <c r="AA35" s="104"/>
      <c r="AB35" s="104"/>
      <c r="AC35" s="104" t="s">
        <v>252</v>
      </c>
      <c r="AD35" s="107"/>
      <c r="AE35" s="108"/>
      <c r="AG35" s="104" t="s">
        <v>252</v>
      </c>
      <c r="AH35" s="107"/>
      <c r="AI35" s="108"/>
      <c r="AK35" s="104"/>
      <c r="AM35" s="106">
        <v>37</v>
      </c>
      <c r="AN35" s="106">
        <v>5.88</v>
      </c>
      <c r="AO35" s="106" t="s">
        <v>249</v>
      </c>
      <c r="AP35" s="109">
        <f>10100*1.0216*1.01*1.0046*1.0051</f>
        <v>10522.673098193936</v>
      </c>
      <c r="AQ35" s="109">
        <f>10100*1.0216*1.01*1.0046*1.0051</f>
        <v>10522.673098193936</v>
      </c>
      <c r="AR35" s="109">
        <f>10100*1.0216*1.01*1.0046*1.0051</f>
        <v>10522.673098193936</v>
      </c>
      <c r="AT35" s="106">
        <v>684</v>
      </c>
      <c r="AW35" s="106" t="s">
        <v>315</v>
      </c>
      <c r="AY35" s="106">
        <f t="shared" si="8"/>
        <v>2200</v>
      </c>
      <c r="BM35"/>
    </row>
    <row r="36" spans="1:65" s="106" customFormat="1" hidden="1">
      <c r="A36" s="103">
        <v>2201</v>
      </c>
      <c r="B36"/>
      <c r="C36" s="104">
        <v>4</v>
      </c>
      <c r="D36" s="105">
        <v>322.89</v>
      </c>
      <c r="E36" s="105">
        <v>0</v>
      </c>
      <c r="F36" s="105">
        <v>0</v>
      </c>
      <c r="G36" s="105">
        <f t="shared" si="7"/>
        <v>322.89</v>
      </c>
      <c r="I36" s="104" t="s">
        <v>248</v>
      </c>
      <c r="J36" s="107">
        <v>31</v>
      </c>
      <c r="K36" s="108" t="s">
        <v>260</v>
      </c>
      <c r="N36" s="104" t="s">
        <v>248</v>
      </c>
      <c r="O36" s="107">
        <v>32</v>
      </c>
      <c r="P36" s="108" t="s">
        <v>260</v>
      </c>
      <c r="S36" s="104" t="s">
        <v>250</v>
      </c>
      <c r="T36" s="107" t="s">
        <v>316</v>
      </c>
      <c r="U36" s="108" t="s">
        <v>256</v>
      </c>
      <c r="X36" s="104" t="s">
        <v>252</v>
      </c>
      <c r="Y36" s="107"/>
      <c r="Z36" s="108"/>
      <c r="AA36" s="104"/>
      <c r="AB36" s="104"/>
      <c r="AC36" s="104" t="s">
        <v>252</v>
      </c>
      <c r="AD36" s="107"/>
      <c r="AE36" s="108"/>
      <c r="AG36" s="104" t="s">
        <v>252</v>
      </c>
      <c r="AH36" s="107"/>
      <c r="AI36" s="108"/>
      <c r="AK36" s="104"/>
      <c r="AM36" s="106">
        <v>13</v>
      </c>
      <c r="AN36" s="106">
        <v>4.5199999999999996</v>
      </c>
      <c r="AO36" s="106" t="s">
        <v>260</v>
      </c>
      <c r="AP36" s="109">
        <f>9090*1.0216*1.01*1.0046*1.0051</f>
        <v>9470.4057883745445</v>
      </c>
      <c r="AQ36" s="109">
        <f t="shared" ref="AQ36:AR36" si="9">9090*1.0216*1.01*1.0046*1.0051</f>
        <v>9470.4057883745445</v>
      </c>
      <c r="AR36" s="109">
        <f t="shared" si="9"/>
        <v>9470.4057883745445</v>
      </c>
      <c r="AT36" s="106">
        <v>322.89</v>
      </c>
      <c r="AW36" s="106" t="s">
        <v>317</v>
      </c>
      <c r="AY36" s="106">
        <f t="shared" si="8"/>
        <v>2301</v>
      </c>
      <c r="BM36"/>
    </row>
    <row r="37" spans="1:65" s="106" customFormat="1" hidden="1">
      <c r="A37" s="103">
        <v>2202</v>
      </c>
      <c r="B37"/>
      <c r="C37" s="104">
        <v>4</v>
      </c>
      <c r="D37" s="105">
        <v>308.43</v>
      </c>
      <c r="E37" s="105">
        <v>0</v>
      </c>
      <c r="F37" s="105">
        <v>0</v>
      </c>
      <c r="G37" s="105">
        <f t="shared" si="7"/>
        <v>308.43</v>
      </c>
      <c r="I37" s="104" t="s">
        <v>250</v>
      </c>
      <c r="J37" s="107" t="s">
        <v>318</v>
      </c>
      <c r="K37" s="108" t="s">
        <v>260</v>
      </c>
      <c r="N37" s="104" t="s">
        <v>248</v>
      </c>
      <c r="O37" s="107">
        <v>69</v>
      </c>
      <c r="P37" s="108" t="s">
        <v>260</v>
      </c>
      <c r="S37" s="104" t="s">
        <v>248</v>
      </c>
      <c r="T37" s="107">
        <v>70</v>
      </c>
      <c r="U37" s="108" t="s">
        <v>260</v>
      </c>
      <c r="X37" s="104" t="s">
        <v>252</v>
      </c>
      <c r="Y37" s="107"/>
      <c r="Z37" s="108"/>
      <c r="AA37" s="7"/>
      <c r="AB37" s="7"/>
      <c r="AC37" s="7" t="s">
        <v>252</v>
      </c>
      <c r="AD37" s="8"/>
      <c r="AE37" s="3"/>
      <c r="AF37"/>
      <c r="AG37" s="7" t="s">
        <v>252</v>
      </c>
      <c r="AH37" s="8"/>
      <c r="AI37" s="3"/>
      <c r="AJ37"/>
      <c r="AK37" s="7"/>
      <c r="AL37"/>
      <c r="AM37" s="106">
        <v>40</v>
      </c>
      <c r="AN37" s="106">
        <v>4.29</v>
      </c>
      <c r="AO37" s="106" t="s">
        <v>249</v>
      </c>
      <c r="AP37" s="109">
        <f>9595*1.0216*1.01*1.0046*1.0051</f>
        <v>9996.5394432842404</v>
      </c>
      <c r="AQ37" s="109">
        <f t="shared" ref="AQ37:AR38" si="10">9595*1.0216*1.01*1.0046*1.0051</f>
        <v>9996.5394432842404</v>
      </c>
      <c r="AR37" s="109">
        <f t="shared" si="10"/>
        <v>9996.5394432842404</v>
      </c>
      <c r="AT37" s="106">
        <v>308.43</v>
      </c>
      <c r="AW37" s="106" t="s">
        <v>319</v>
      </c>
      <c r="AY37" s="106">
        <f t="shared" si="8"/>
        <v>2302</v>
      </c>
      <c r="BM37"/>
    </row>
    <row r="38" spans="1:65" s="106" customFormat="1" hidden="1">
      <c r="A38" s="103">
        <v>2301</v>
      </c>
      <c r="B38"/>
      <c r="C38" s="104">
        <v>4</v>
      </c>
      <c r="D38" s="105">
        <v>365.71</v>
      </c>
      <c r="E38" s="105">
        <v>0</v>
      </c>
      <c r="F38" s="105">
        <v>0</v>
      </c>
      <c r="G38" s="105">
        <f t="shared" si="7"/>
        <v>365.71</v>
      </c>
      <c r="I38" s="104" t="s">
        <v>248</v>
      </c>
      <c r="J38" s="107">
        <v>166</v>
      </c>
      <c r="K38" s="108" t="s">
        <v>256</v>
      </c>
      <c r="N38" s="104" t="s">
        <v>248</v>
      </c>
      <c r="O38" s="107">
        <v>167</v>
      </c>
      <c r="P38" s="108" t="s">
        <v>256</v>
      </c>
      <c r="S38" s="104" t="s">
        <v>248</v>
      </c>
      <c r="T38" s="107">
        <v>168</v>
      </c>
      <c r="U38" s="108" t="s">
        <v>256</v>
      </c>
      <c r="X38" s="104" t="s">
        <v>248</v>
      </c>
      <c r="Y38" s="107">
        <v>169</v>
      </c>
      <c r="Z38" s="108" t="s">
        <v>256</v>
      </c>
      <c r="AA38" s="104"/>
      <c r="AB38" s="104"/>
      <c r="AC38" s="104" t="s">
        <v>252</v>
      </c>
      <c r="AD38" s="107"/>
      <c r="AE38" s="108"/>
      <c r="AG38" s="104" t="s">
        <v>252</v>
      </c>
      <c r="AH38" s="107"/>
      <c r="AI38" s="108"/>
      <c r="AK38" s="104"/>
      <c r="AM38" s="106">
        <v>25</v>
      </c>
      <c r="AN38" s="106">
        <v>4.29</v>
      </c>
      <c r="AO38" s="106" t="s">
        <v>256</v>
      </c>
      <c r="AP38" s="109">
        <f>9595*1.0216*1.01*1.0046*1.0051</f>
        <v>9996.5394432842404</v>
      </c>
      <c r="AQ38" s="109">
        <f t="shared" si="10"/>
        <v>9996.5394432842404</v>
      </c>
      <c r="AR38" s="109">
        <f t="shared" si="10"/>
        <v>9996.5394432842404</v>
      </c>
      <c r="AT38" s="106">
        <v>365.71</v>
      </c>
      <c r="AW38" s="106" t="s">
        <v>320</v>
      </c>
      <c r="AY38" s="106">
        <f t="shared" si="8"/>
        <v>2401</v>
      </c>
      <c r="BM38"/>
    </row>
    <row r="39" spans="1:65" s="106" customFormat="1" hidden="1">
      <c r="A39" s="103">
        <v>2302</v>
      </c>
      <c r="B39"/>
      <c r="C39" s="104">
        <v>4</v>
      </c>
      <c r="D39" s="105">
        <v>266.88</v>
      </c>
      <c r="E39" s="105">
        <v>0</v>
      </c>
      <c r="F39" s="105">
        <v>0</v>
      </c>
      <c r="G39" s="105">
        <f t="shared" si="7"/>
        <v>266.88</v>
      </c>
      <c r="I39" s="104" t="s">
        <v>248</v>
      </c>
      <c r="J39" s="107">
        <v>44</v>
      </c>
      <c r="K39" s="108" t="s">
        <v>260</v>
      </c>
      <c r="N39" s="104" t="s">
        <v>248</v>
      </c>
      <c r="O39" s="107">
        <v>47</v>
      </c>
      <c r="P39" s="108" t="s">
        <v>260</v>
      </c>
      <c r="S39" s="104" t="s">
        <v>250</v>
      </c>
      <c r="T39" s="107" t="s">
        <v>321</v>
      </c>
      <c r="U39" s="108" t="s">
        <v>260</v>
      </c>
      <c r="X39" s="104" t="s">
        <v>252</v>
      </c>
      <c r="Y39" s="107"/>
      <c r="Z39" s="108"/>
      <c r="AA39" s="104"/>
      <c r="AB39" s="104"/>
      <c r="AC39" s="104" t="s">
        <v>252</v>
      </c>
      <c r="AD39" s="107"/>
      <c r="AE39" s="108"/>
      <c r="AG39" s="104" t="s">
        <v>252</v>
      </c>
      <c r="AH39" s="107"/>
      <c r="AI39" s="108"/>
      <c r="AK39" s="104"/>
      <c r="AM39" s="106">
        <v>31</v>
      </c>
      <c r="AN39" s="106">
        <v>4.17</v>
      </c>
      <c r="AO39" s="106" t="s">
        <v>249</v>
      </c>
      <c r="AP39" s="109">
        <f>9090*1.0216*1.01*1.0046*1.0051</f>
        <v>9470.4057883745445</v>
      </c>
      <c r="AQ39" s="109">
        <f t="shared" ref="AQ39:AR39" si="11">9090*1.0216*1.01*1.0046*1.0051</f>
        <v>9470.4057883745445</v>
      </c>
      <c r="AR39" s="109">
        <f t="shared" si="11"/>
        <v>9470.4057883745445</v>
      </c>
      <c r="AT39" s="106">
        <v>266.95</v>
      </c>
      <c r="AW39" s="106" t="s">
        <v>322</v>
      </c>
      <c r="AY39" s="106">
        <f t="shared" si="8"/>
        <v>2402</v>
      </c>
      <c r="BM39"/>
    </row>
    <row r="40" spans="1:65" s="106" customFormat="1">
      <c r="A40" s="103">
        <v>2400</v>
      </c>
      <c r="B40"/>
      <c r="C40" s="104">
        <v>5</v>
      </c>
      <c r="D40" s="105">
        <v>681</v>
      </c>
      <c r="E40" s="105">
        <v>0</v>
      </c>
      <c r="F40" s="105">
        <v>0</v>
      </c>
      <c r="G40" s="105">
        <f t="shared" si="7"/>
        <v>681</v>
      </c>
      <c r="I40" s="104" t="s">
        <v>248</v>
      </c>
      <c r="J40" s="107">
        <v>220</v>
      </c>
      <c r="K40" s="108" t="s">
        <v>249</v>
      </c>
      <c r="N40" s="104" t="s">
        <v>248</v>
      </c>
      <c r="O40" s="107">
        <v>221</v>
      </c>
      <c r="P40" s="108" t="s">
        <v>249</v>
      </c>
      <c r="S40" s="104" t="s">
        <v>248</v>
      </c>
      <c r="T40" s="107">
        <v>222</v>
      </c>
      <c r="U40" s="108" t="s">
        <v>249</v>
      </c>
      <c r="X40" s="104" t="s">
        <v>250</v>
      </c>
      <c r="Y40" s="107" t="s">
        <v>323</v>
      </c>
      <c r="Z40" s="108" t="s">
        <v>256</v>
      </c>
      <c r="AA40" s="104"/>
      <c r="AB40" s="104"/>
      <c r="AC40" s="104" t="s">
        <v>252</v>
      </c>
      <c r="AD40" s="107"/>
      <c r="AE40" s="108"/>
      <c r="AG40" s="104" t="s">
        <v>252</v>
      </c>
      <c r="AH40" s="107"/>
      <c r="AI40" s="108"/>
      <c r="AK40" s="104"/>
      <c r="AM40" s="106">
        <v>33</v>
      </c>
      <c r="AN40" s="106">
        <v>4.3499999999999996</v>
      </c>
      <c r="AO40" s="106" t="s">
        <v>249</v>
      </c>
      <c r="AP40" s="109">
        <f>10100*1.0216*1.01*1.0046*1.0051</f>
        <v>10522.673098193936</v>
      </c>
      <c r="AQ40" s="109">
        <f t="shared" ref="AQ40:AR40" si="12">10100*1.0216*1.01*1.0046*1.0051</f>
        <v>10522.673098193936</v>
      </c>
      <c r="AR40" s="109">
        <f t="shared" si="12"/>
        <v>10522.673098193936</v>
      </c>
      <c r="AT40" s="106">
        <v>681</v>
      </c>
      <c r="AW40" s="106" t="s">
        <v>324</v>
      </c>
      <c r="AY40" s="106">
        <f t="shared" si="8"/>
        <v>2500</v>
      </c>
      <c r="BM40"/>
    </row>
    <row r="41" spans="1:65" s="106" customFormat="1" hidden="1">
      <c r="A41" s="103">
        <v>2501</v>
      </c>
      <c r="B41"/>
      <c r="C41" s="104">
        <v>4</v>
      </c>
      <c r="D41" s="105">
        <v>365.71</v>
      </c>
      <c r="E41" s="105">
        <v>0</v>
      </c>
      <c r="F41" s="105">
        <v>0</v>
      </c>
      <c r="G41" s="105">
        <f t="shared" si="7"/>
        <v>365.71</v>
      </c>
      <c r="I41" s="104" t="s">
        <v>248</v>
      </c>
      <c r="J41" s="107">
        <v>106</v>
      </c>
      <c r="K41" s="108" t="s">
        <v>256</v>
      </c>
      <c r="N41" s="104" t="s">
        <v>248</v>
      </c>
      <c r="O41" s="107">
        <v>107</v>
      </c>
      <c r="P41" s="108" t="s">
        <v>256</v>
      </c>
      <c r="S41" s="104" t="s">
        <v>248</v>
      </c>
      <c r="T41" s="107">
        <v>123</v>
      </c>
      <c r="U41" s="108" t="s">
        <v>256</v>
      </c>
      <c r="X41" s="104" t="s">
        <v>248</v>
      </c>
      <c r="Y41" s="107">
        <v>124</v>
      </c>
      <c r="Z41" s="108" t="s">
        <v>256</v>
      </c>
      <c r="AA41" s="104"/>
      <c r="AB41" s="104"/>
      <c r="AC41" s="104" t="s">
        <v>252</v>
      </c>
      <c r="AD41" s="107"/>
      <c r="AE41" s="108"/>
      <c r="AG41" s="104" t="s">
        <v>252</v>
      </c>
      <c r="AH41" s="107"/>
      <c r="AI41" s="108"/>
      <c r="AK41" s="104"/>
      <c r="AM41" s="106">
        <v>18</v>
      </c>
      <c r="AN41" s="106">
        <v>5.6</v>
      </c>
      <c r="AO41" s="106" t="s">
        <v>256</v>
      </c>
      <c r="AP41" s="109">
        <f>9595*1.0216*1.01*1.0046*1.0051</f>
        <v>9996.5394432842404</v>
      </c>
      <c r="AQ41" s="109">
        <f t="shared" ref="AQ41:AR41" si="13">9595*1.0216*1.01*1.0046*1.0051</f>
        <v>9996.5394432842404</v>
      </c>
      <c r="AR41" s="109">
        <f t="shared" si="13"/>
        <v>9996.5394432842404</v>
      </c>
      <c r="AT41" s="106">
        <v>365.71</v>
      </c>
      <c r="AW41" s="106" t="s">
        <v>325</v>
      </c>
      <c r="AY41" s="106">
        <f t="shared" si="8"/>
        <v>2601</v>
      </c>
      <c r="BM41"/>
    </row>
    <row r="42" spans="1:65" s="106" customFormat="1" hidden="1">
      <c r="A42" s="103">
        <v>2502</v>
      </c>
      <c r="B42"/>
      <c r="C42" s="104">
        <v>4</v>
      </c>
      <c r="D42" s="105">
        <v>266.95</v>
      </c>
      <c r="E42" s="105">
        <v>0</v>
      </c>
      <c r="F42" s="105">
        <v>0</v>
      </c>
      <c r="G42" s="105">
        <f t="shared" si="7"/>
        <v>266.95</v>
      </c>
      <c r="I42" s="104" t="s">
        <v>250</v>
      </c>
      <c r="J42" s="107" t="s">
        <v>326</v>
      </c>
      <c r="K42" s="108" t="s">
        <v>260</v>
      </c>
      <c r="N42" s="104" t="s">
        <v>248</v>
      </c>
      <c r="O42" s="107">
        <v>14</v>
      </c>
      <c r="P42" s="108" t="s">
        <v>260</v>
      </c>
      <c r="S42" s="104" t="s">
        <v>248</v>
      </c>
      <c r="T42" s="107">
        <v>15</v>
      </c>
      <c r="U42" s="108" t="s">
        <v>260</v>
      </c>
      <c r="X42" s="104" t="s">
        <v>252</v>
      </c>
      <c r="Y42" s="107"/>
      <c r="Z42" s="108"/>
      <c r="AA42" s="104"/>
      <c r="AB42" s="104"/>
      <c r="AC42" s="104" t="s">
        <v>252</v>
      </c>
      <c r="AD42" s="107"/>
      <c r="AE42" s="108"/>
      <c r="AG42" s="104" t="s">
        <v>252</v>
      </c>
      <c r="AH42" s="107"/>
      <c r="AI42" s="108"/>
      <c r="AK42" s="104"/>
      <c r="AM42" s="106">
        <v>53</v>
      </c>
      <c r="AN42" s="106">
        <v>3.99</v>
      </c>
      <c r="AO42" s="106" t="s">
        <v>249</v>
      </c>
      <c r="AP42" s="109">
        <f>9090*1.0216*1.01*1.0046*1.0051</f>
        <v>9470.4057883745445</v>
      </c>
      <c r="AQ42" s="109">
        <f t="shared" ref="AQ42:AR43" si="14">9090*1.0216*1.01*1.0046*1.0051</f>
        <v>9470.4057883745445</v>
      </c>
      <c r="AR42" s="109">
        <f t="shared" si="14"/>
        <v>9470.4057883745445</v>
      </c>
      <c r="AT42" s="106">
        <v>266.95</v>
      </c>
      <c r="AW42" s="106" t="s">
        <v>327</v>
      </c>
      <c r="AY42" s="106">
        <f t="shared" si="8"/>
        <v>2602</v>
      </c>
      <c r="BM42"/>
    </row>
    <row r="43" spans="1:65" s="106" customFormat="1" hidden="1">
      <c r="A43" s="103">
        <v>2601</v>
      </c>
      <c r="B43"/>
      <c r="C43" s="104">
        <v>4</v>
      </c>
      <c r="D43" s="105">
        <v>322.86</v>
      </c>
      <c r="E43" s="105">
        <v>0</v>
      </c>
      <c r="F43" s="105">
        <v>0</v>
      </c>
      <c r="G43" s="105">
        <f t="shared" si="7"/>
        <v>322.86</v>
      </c>
      <c r="I43" s="104" t="s">
        <v>248</v>
      </c>
      <c r="J43" s="107">
        <v>134</v>
      </c>
      <c r="K43" s="108" t="s">
        <v>256</v>
      </c>
      <c r="N43" s="104" t="s">
        <v>250</v>
      </c>
      <c r="O43" s="107" t="s">
        <v>328</v>
      </c>
      <c r="P43" s="108" t="s">
        <v>256</v>
      </c>
      <c r="S43" s="104" t="s">
        <v>248</v>
      </c>
      <c r="T43" s="107">
        <v>21</v>
      </c>
      <c r="U43" s="108" t="s">
        <v>260</v>
      </c>
      <c r="X43" s="104" t="s">
        <v>252</v>
      </c>
      <c r="Y43" s="107"/>
      <c r="Z43" s="108"/>
      <c r="AA43" s="104"/>
      <c r="AB43" s="104"/>
      <c r="AC43" s="104" t="s">
        <v>252</v>
      </c>
      <c r="AD43" s="107"/>
      <c r="AE43" s="108"/>
      <c r="AG43" s="104" t="s">
        <v>252</v>
      </c>
      <c r="AH43" s="107"/>
      <c r="AI43" s="108"/>
      <c r="AK43" s="104"/>
      <c r="AM43" s="106">
        <v>14</v>
      </c>
      <c r="AN43" s="106">
        <v>4.07</v>
      </c>
      <c r="AO43" s="106" t="s">
        <v>260</v>
      </c>
      <c r="AP43" s="109">
        <f>9090*1.0216*1.01*1.0046*1.0051</f>
        <v>9470.4057883745445</v>
      </c>
      <c r="AQ43" s="109">
        <f t="shared" si="14"/>
        <v>9470.4057883745445</v>
      </c>
      <c r="AR43" s="109">
        <f t="shared" si="14"/>
        <v>9470.4057883745445</v>
      </c>
      <c r="AT43" s="106">
        <v>322.89</v>
      </c>
      <c r="AW43" s="106" t="s">
        <v>329</v>
      </c>
      <c r="AY43" s="106">
        <f t="shared" si="8"/>
        <v>2701</v>
      </c>
      <c r="BM43"/>
    </row>
    <row r="44" spans="1:65" s="106" customFormat="1" hidden="1">
      <c r="A44" s="103">
        <v>2602</v>
      </c>
      <c r="B44"/>
      <c r="C44" s="104">
        <v>4</v>
      </c>
      <c r="D44" s="105">
        <v>308.43</v>
      </c>
      <c r="E44" s="105">
        <v>0</v>
      </c>
      <c r="F44" s="105">
        <v>0</v>
      </c>
      <c r="G44" s="105">
        <f t="shared" si="7"/>
        <v>308.43</v>
      </c>
      <c r="I44" s="104" t="s">
        <v>250</v>
      </c>
      <c r="J44" s="107" t="s">
        <v>330</v>
      </c>
      <c r="K44" s="108" t="s">
        <v>260</v>
      </c>
      <c r="N44" s="104" t="s">
        <v>248</v>
      </c>
      <c r="O44" s="107">
        <v>67</v>
      </c>
      <c r="P44" s="108" t="s">
        <v>260</v>
      </c>
      <c r="S44" s="104" t="s">
        <v>248</v>
      </c>
      <c r="T44" s="107">
        <v>68</v>
      </c>
      <c r="U44" s="108" t="s">
        <v>260</v>
      </c>
      <c r="X44" s="104" t="s">
        <v>252</v>
      </c>
      <c r="Y44" s="107"/>
      <c r="Z44" s="108"/>
      <c r="AA44" s="7"/>
      <c r="AB44" s="7"/>
      <c r="AC44" s="7" t="s">
        <v>252</v>
      </c>
      <c r="AD44" s="8"/>
      <c r="AE44" s="3"/>
      <c r="AF44"/>
      <c r="AG44" s="7" t="s">
        <v>252</v>
      </c>
      <c r="AH44" s="8"/>
      <c r="AI44" s="3"/>
      <c r="AJ44"/>
      <c r="AK44" s="7"/>
      <c r="AL44"/>
      <c r="AM44" s="106">
        <v>41</v>
      </c>
      <c r="AN44" s="106">
        <v>4.29</v>
      </c>
      <c r="AO44" s="106" t="s">
        <v>249</v>
      </c>
      <c r="AP44" s="109">
        <f>9595*1.0216*1.01*1.0046*1.0051</f>
        <v>9996.5394432842404</v>
      </c>
      <c r="AQ44" s="109">
        <f t="shared" ref="AQ44:AR44" si="15">9595*1.0216*1.01*1.0046*1.0051</f>
        <v>9996.5394432842404</v>
      </c>
      <c r="AR44" s="109">
        <f t="shared" si="15"/>
        <v>9996.5394432842404</v>
      </c>
      <c r="AT44" s="106">
        <v>308.43</v>
      </c>
      <c r="AW44" s="106" t="s">
        <v>331</v>
      </c>
      <c r="AY44" s="106">
        <f t="shared" si="8"/>
        <v>2702</v>
      </c>
      <c r="BM44"/>
    </row>
    <row r="45" spans="1:65" s="106" customFormat="1" hidden="1">
      <c r="A45" s="103">
        <v>2700</v>
      </c>
      <c r="B45"/>
      <c r="C45" s="104">
        <v>5</v>
      </c>
      <c r="D45" s="105">
        <v>684</v>
      </c>
      <c r="E45" s="105">
        <v>0</v>
      </c>
      <c r="F45" s="105">
        <v>0</v>
      </c>
      <c r="G45" s="105">
        <f t="shared" si="7"/>
        <v>684</v>
      </c>
      <c r="I45" s="104" t="s">
        <v>248</v>
      </c>
      <c r="J45" s="107">
        <v>184</v>
      </c>
      <c r="K45" s="108" t="s">
        <v>249</v>
      </c>
      <c r="N45" s="104" t="s">
        <v>248</v>
      </c>
      <c r="O45" s="107">
        <v>185</v>
      </c>
      <c r="P45" s="108" t="s">
        <v>249</v>
      </c>
      <c r="S45" s="104" t="s">
        <v>248</v>
      </c>
      <c r="T45" s="107">
        <v>192</v>
      </c>
      <c r="U45" s="108" t="s">
        <v>249</v>
      </c>
      <c r="X45" s="104" t="s">
        <v>250</v>
      </c>
      <c r="Y45" s="107" t="s">
        <v>332</v>
      </c>
      <c r="Z45" s="108" t="s">
        <v>256</v>
      </c>
      <c r="AA45" s="104"/>
      <c r="AB45" s="104"/>
      <c r="AC45" s="104" t="s">
        <v>252</v>
      </c>
      <c r="AD45" s="107"/>
      <c r="AE45" s="108"/>
      <c r="AG45" s="104" t="s">
        <v>252</v>
      </c>
      <c r="AH45" s="107"/>
      <c r="AI45" s="108"/>
      <c r="AK45" s="104"/>
      <c r="AM45" s="106">
        <v>54</v>
      </c>
      <c r="AN45" s="106">
        <v>7.92</v>
      </c>
      <c r="AO45" s="106" t="s">
        <v>249</v>
      </c>
      <c r="AP45" s="109">
        <f>10100*1.0216*1.01*1.0046*1.0051</f>
        <v>10522.673098193936</v>
      </c>
      <c r="AQ45" s="109">
        <f t="shared" ref="AQ45:AR45" si="16">10100*1.0216*1.01*1.0046*1.0051</f>
        <v>10522.673098193936</v>
      </c>
      <c r="AR45" s="109">
        <f t="shared" si="16"/>
        <v>10522.673098193936</v>
      </c>
      <c r="AT45" s="106">
        <v>684</v>
      </c>
      <c r="AW45" s="106" t="s">
        <v>333</v>
      </c>
      <c r="AY45" s="106">
        <f t="shared" si="8"/>
        <v>2800</v>
      </c>
      <c r="BM45"/>
    </row>
    <row r="46" spans="1:65" s="106" customFormat="1" hidden="1">
      <c r="A46" s="103">
        <v>2801</v>
      </c>
      <c r="B46"/>
      <c r="C46" s="104">
        <v>4</v>
      </c>
      <c r="D46" s="105">
        <v>322.89</v>
      </c>
      <c r="E46" s="105">
        <v>0</v>
      </c>
      <c r="F46" s="105">
        <v>0</v>
      </c>
      <c r="G46" s="105">
        <f t="shared" si="7"/>
        <v>322.89</v>
      </c>
      <c r="I46" s="104" t="s">
        <v>248</v>
      </c>
      <c r="J46" s="107">
        <v>87</v>
      </c>
      <c r="K46" s="108" t="s">
        <v>260</v>
      </c>
      <c r="N46" s="104" t="s">
        <v>248</v>
      </c>
      <c r="O46" s="107">
        <v>5</v>
      </c>
      <c r="P46" s="108" t="s">
        <v>260</v>
      </c>
      <c r="S46" s="104" t="s">
        <v>250</v>
      </c>
      <c r="T46" s="107" t="s">
        <v>334</v>
      </c>
      <c r="U46" s="108" t="s">
        <v>256</v>
      </c>
      <c r="X46" s="104" t="s">
        <v>252</v>
      </c>
      <c r="Y46" s="107"/>
      <c r="Z46" s="108"/>
      <c r="AA46" s="104"/>
      <c r="AB46" s="104"/>
      <c r="AC46" s="104" t="s">
        <v>252</v>
      </c>
      <c r="AD46" s="107"/>
      <c r="AE46" s="108"/>
      <c r="AG46" s="104" t="s">
        <v>252</v>
      </c>
      <c r="AH46" s="107"/>
      <c r="AI46" s="108"/>
      <c r="AK46" s="104"/>
      <c r="AM46" s="106">
        <v>27</v>
      </c>
      <c r="AN46" s="106">
        <v>4.51</v>
      </c>
      <c r="AO46" s="106" t="s">
        <v>256</v>
      </c>
      <c r="AP46" s="109">
        <f>9090*1.0216*1.01*1.0046*1.0051</f>
        <v>9470.4057883745445</v>
      </c>
      <c r="AQ46" s="109">
        <f t="shared" ref="AQ46:AR46" si="17">9090*1.0216*1.01*1.0046*1.0051</f>
        <v>9470.4057883745445</v>
      </c>
      <c r="AR46" s="109">
        <f t="shared" si="17"/>
        <v>9470.4057883745445</v>
      </c>
      <c r="AT46" s="106">
        <v>322.89</v>
      </c>
      <c r="AW46" s="106" t="s">
        <v>335</v>
      </c>
      <c r="AY46" s="106">
        <f t="shared" si="8"/>
        <v>2901</v>
      </c>
      <c r="BM46"/>
    </row>
    <row r="47" spans="1:65" s="106" customFormat="1" hidden="1">
      <c r="A47" s="103">
        <v>2802</v>
      </c>
      <c r="B47"/>
      <c r="C47" s="104">
        <v>4</v>
      </c>
      <c r="D47" s="105">
        <v>308.43</v>
      </c>
      <c r="E47" s="105">
        <v>0</v>
      </c>
      <c r="F47" s="105">
        <v>0</v>
      </c>
      <c r="G47" s="105">
        <f t="shared" si="7"/>
        <v>308.43</v>
      </c>
      <c r="I47" s="104" t="s">
        <v>250</v>
      </c>
      <c r="J47" s="107" t="s">
        <v>336</v>
      </c>
      <c r="K47" s="108" t="s">
        <v>260</v>
      </c>
      <c r="N47" s="104" t="s">
        <v>248</v>
      </c>
      <c r="O47" s="107">
        <v>34</v>
      </c>
      <c r="P47" s="108" t="s">
        <v>260</v>
      </c>
      <c r="S47" s="104" t="s">
        <v>248</v>
      </c>
      <c r="T47" s="107">
        <v>35</v>
      </c>
      <c r="U47" s="108" t="s">
        <v>260</v>
      </c>
      <c r="X47" s="104" t="s">
        <v>252</v>
      </c>
      <c r="Y47" s="107"/>
      <c r="Z47" s="108"/>
      <c r="AA47" s="7"/>
      <c r="AB47" s="7"/>
      <c r="AC47" s="7" t="s">
        <v>252</v>
      </c>
      <c r="AD47" s="8"/>
      <c r="AE47" s="3"/>
      <c r="AF47"/>
      <c r="AG47" s="7" t="s">
        <v>252</v>
      </c>
      <c r="AH47" s="8"/>
      <c r="AI47" s="3"/>
      <c r="AJ47"/>
      <c r="AK47" s="7"/>
      <c r="AL47"/>
      <c r="AM47" s="106">
        <v>42</v>
      </c>
      <c r="AN47" s="106">
        <v>4.25</v>
      </c>
      <c r="AO47" s="106" t="s">
        <v>249</v>
      </c>
      <c r="AP47" s="109">
        <f>9595*1.0216*1.01*1.0046*1.0051</f>
        <v>9996.5394432842404</v>
      </c>
      <c r="AQ47" s="109">
        <f t="shared" ref="AQ47:AR48" si="18">9595*1.0216*1.01*1.0046*1.0051</f>
        <v>9996.5394432842404</v>
      </c>
      <c r="AR47" s="109">
        <f t="shared" si="18"/>
        <v>9996.5394432842404</v>
      </c>
      <c r="AT47" s="106">
        <v>308.43</v>
      </c>
      <c r="AW47" s="106" t="s">
        <v>337</v>
      </c>
      <c r="AY47" s="106">
        <f t="shared" si="8"/>
        <v>2902</v>
      </c>
      <c r="BM47"/>
    </row>
    <row r="48" spans="1:65" s="106" customFormat="1" hidden="1">
      <c r="A48" s="103">
        <v>2901</v>
      </c>
      <c r="B48"/>
      <c r="C48" s="104">
        <v>4</v>
      </c>
      <c r="D48" s="105">
        <v>365.71</v>
      </c>
      <c r="E48" s="105">
        <v>0</v>
      </c>
      <c r="F48" s="105">
        <v>0</v>
      </c>
      <c r="G48" s="105">
        <f t="shared" si="7"/>
        <v>365.71</v>
      </c>
      <c r="I48" s="104" t="s">
        <v>248</v>
      </c>
      <c r="J48" s="107">
        <v>113</v>
      </c>
      <c r="K48" s="108" t="s">
        <v>256</v>
      </c>
      <c r="N48" s="104" t="s">
        <v>248</v>
      </c>
      <c r="O48" s="107">
        <v>114</v>
      </c>
      <c r="P48" s="108" t="s">
        <v>256</v>
      </c>
      <c r="S48" s="104" t="s">
        <v>248</v>
      </c>
      <c r="T48" s="107">
        <v>115</v>
      </c>
      <c r="U48" s="108" t="s">
        <v>256</v>
      </c>
      <c r="X48" s="104" t="s">
        <v>248</v>
      </c>
      <c r="Y48" s="107">
        <v>116</v>
      </c>
      <c r="Z48" s="108" t="s">
        <v>256</v>
      </c>
      <c r="AA48" s="104"/>
      <c r="AB48" s="104"/>
      <c r="AC48" s="104" t="s">
        <v>252</v>
      </c>
      <c r="AD48" s="107"/>
      <c r="AE48" s="108"/>
      <c r="AG48" s="104" t="s">
        <v>252</v>
      </c>
      <c r="AH48" s="107"/>
      <c r="AI48" s="108"/>
      <c r="AK48" s="104"/>
      <c r="AM48" s="106">
        <v>17</v>
      </c>
      <c r="AN48" s="106">
        <v>4.91</v>
      </c>
      <c r="AO48" s="106" t="s">
        <v>256</v>
      </c>
      <c r="AP48" s="109">
        <f>9595*1.0216*1.01*1.0046*1.0051</f>
        <v>9996.5394432842404</v>
      </c>
      <c r="AQ48" s="109">
        <f t="shared" si="18"/>
        <v>9996.5394432842404</v>
      </c>
      <c r="AR48" s="109">
        <f t="shared" si="18"/>
        <v>9996.5394432842404</v>
      </c>
      <c r="AT48" s="106">
        <v>365.71</v>
      </c>
      <c r="AW48" s="106" t="s">
        <v>338</v>
      </c>
      <c r="AY48" s="106">
        <f t="shared" si="8"/>
        <v>3001</v>
      </c>
      <c r="BM48"/>
    </row>
    <row r="49" spans="1:65" s="106" customFormat="1" hidden="1">
      <c r="A49" s="103">
        <v>2902</v>
      </c>
      <c r="B49"/>
      <c r="C49" s="104">
        <v>4</v>
      </c>
      <c r="D49" s="105">
        <v>266.88</v>
      </c>
      <c r="E49" s="105">
        <v>0</v>
      </c>
      <c r="F49" s="105">
        <v>0</v>
      </c>
      <c r="G49" s="105">
        <f t="shared" si="7"/>
        <v>266.88</v>
      </c>
      <c r="I49" s="104" t="s">
        <v>250</v>
      </c>
      <c r="J49" s="107" t="s">
        <v>339</v>
      </c>
      <c r="K49" s="108" t="s">
        <v>260</v>
      </c>
      <c r="N49" s="104" t="s">
        <v>248</v>
      </c>
      <c r="O49" s="107">
        <v>13</v>
      </c>
      <c r="P49" s="108" t="s">
        <v>260</v>
      </c>
      <c r="S49" s="104" t="s">
        <v>248</v>
      </c>
      <c r="T49" s="107">
        <v>43</v>
      </c>
      <c r="U49" s="108" t="s">
        <v>260</v>
      </c>
      <c r="X49" s="104" t="s">
        <v>252</v>
      </c>
      <c r="Y49" s="107"/>
      <c r="Z49" s="108"/>
      <c r="AA49" s="104"/>
      <c r="AB49" s="104"/>
      <c r="AC49" s="104" t="s">
        <v>252</v>
      </c>
      <c r="AD49" s="107"/>
      <c r="AE49" s="108"/>
      <c r="AG49" s="104" t="s">
        <v>252</v>
      </c>
      <c r="AH49" s="107"/>
      <c r="AI49" s="108"/>
      <c r="AK49" s="104"/>
      <c r="AM49" s="106">
        <v>52</v>
      </c>
      <c r="AN49" s="106">
        <v>3.99</v>
      </c>
      <c r="AO49" s="106" t="s">
        <v>249</v>
      </c>
      <c r="AP49" s="109">
        <f>9090*1.0216*1.01*1.0046*1.0051</f>
        <v>9470.4057883745445</v>
      </c>
      <c r="AQ49" s="109">
        <f t="shared" ref="AQ49:AR49" si="19">9090*1.0216*1.01*1.0046*1.0051</f>
        <v>9470.4057883745445</v>
      </c>
      <c r="AR49" s="109">
        <f t="shared" si="19"/>
        <v>9470.4057883745445</v>
      </c>
      <c r="AT49" s="106">
        <v>266.95</v>
      </c>
      <c r="AW49" s="106" t="s">
        <v>340</v>
      </c>
      <c r="AY49" s="106">
        <f t="shared" si="8"/>
        <v>3002</v>
      </c>
      <c r="BM49"/>
    </row>
    <row r="50" spans="1:65" s="106" customFormat="1" hidden="1">
      <c r="A50" s="103">
        <v>3000</v>
      </c>
      <c r="B50"/>
      <c r="C50" s="104">
        <v>5</v>
      </c>
      <c r="D50" s="105">
        <v>681</v>
      </c>
      <c r="E50" s="105">
        <v>0</v>
      </c>
      <c r="F50" s="105">
        <v>0</v>
      </c>
      <c r="G50" s="105">
        <f t="shared" si="7"/>
        <v>681</v>
      </c>
      <c r="I50" s="104" t="s">
        <v>248</v>
      </c>
      <c r="J50" s="107">
        <v>216</v>
      </c>
      <c r="K50" s="108" t="s">
        <v>249</v>
      </c>
      <c r="N50" s="104" t="s">
        <v>248</v>
      </c>
      <c r="O50" s="107">
        <v>217</v>
      </c>
      <c r="P50" s="108" t="s">
        <v>249</v>
      </c>
      <c r="S50" s="104" t="s">
        <v>248</v>
      </c>
      <c r="T50" s="107">
        <v>218</v>
      </c>
      <c r="U50" s="108" t="s">
        <v>249</v>
      </c>
      <c r="X50" s="104" t="s">
        <v>250</v>
      </c>
      <c r="Y50" s="107" t="s">
        <v>341</v>
      </c>
      <c r="Z50" s="108" t="s">
        <v>249</v>
      </c>
      <c r="AA50" s="104"/>
      <c r="AB50" s="104"/>
      <c r="AC50" s="104" t="s">
        <v>252</v>
      </c>
      <c r="AD50" s="107"/>
      <c r="AE50" s="108"/>
      <c r="AG50" s="104" t="s">
        <v>252</v>
      </c>
      <c r="AH50" s="107"/>
      <c r="AI50" s="108"/>
      <c r="AK50" s="104"/>
      <c r="AM50" s="106">
        <v>64</v>
      </c>
      <c r="AN50" s="106">
        <v>7.01</v>
      </c>
      <c r="AO50" s="106" t="s">
        <v>249</v>
      </c>
      <c r="AP50" s="109">
        <f>10100*1.0216*1.01*1.0046*1.0051</f>
        <v>10522.673098193936</v>
      </c>
      <c r="AQ50" s="109">
        <f t="shared" ref="AQ50:AR50" si="20">10100*1.0216*1.01*1.0046*1.0051</f>
        <v>10522.673098193936</v>
      </c>
      <c r="AR50" s="109">
        <f t="shared" si="20"/>
        <v>10522.673098193936</v>
      </c>
      <c r="AT50" s="106">
        <v>681</v>
      </c>
      <c r="AW50" s="106" t="s">
        <v>342</v>
      </c>
      <c r="AY50" s="106">
        <f t="shared" si="8"/>
        <v>3100</v>
      </c>
      <c r="BM50"/>
    </row>
    <row r="51" spans="1:65" s="106" customFormat="1" hidden="1">
      <c r="A51" s="103">
        <v>3101</v>
      </c>
      <c r="B51"/>
      <c r="C51" s="104">
        <v>4</v>
      </c>
      <c r="D51" s="105">
        <v>365.71</v>
      </c>
      <c r="E51" s="105">
        <v>0</v>
      </c>
      <c r="F51" s="105">
        <v>0</v>
      </c>
      <c r="G51" s="105">
        <f t="shared" si="7"/>
        <v>365.71</v>
      </c>
      <c r="I51" s="104" t="s">
        <v>248</v>
      </c>
      <c r="J51" s="107">
        <v>150</v>
      </c>
      <c r="K51" s="108" t="s">
        <v>256</v>
      </c>
      <c r="N51" s="104" t="s">
        <v>248</v>
      </c>
      <c r="O51" s="107">
        <v>151</v>
      </c>
      <c r="P51" s="108" t="s">
        <v>256</v>
      </c>
      <c r="S51" s="104" t="s">
        <v>248</v>
      </c>
      <c r="T51" s="107">
        <v>152</v>
      </c>
      <c r="U51" s="108" t="s">
        <v>256</v>
      </c>
      <c r="X51" s="104" t="s">
        <v>248</v>
      </c>
      <c r="Y51" s="107">
        <v>153</v>
      </c>
      <c r="Z51" s="108" t="s">
        <v>256</v>
      </c>
      <c r="AA51" s="104"/>
      <c r="AB51" s="104"/>
      <c r="AC51" s="104" t="s">
        <v>252</v>
      </c>
      <c r="AD51" s="107"/>
      <c r="AE51" s="108"/>
      <c r="AG51" s="104" t="s">
        <v>252</v>
      </c>
      <c r="AH51" s="107"/>
      <c r="AI51" s="108"/>
      <c r="AK51" s="104"/>
      <c r="AM51" s="106">
        <v>26</v>
      </c>
      <c r="AN51" s="106">
        <v>4.25</v>
      </c>
      <c r="AO51" s="106" t="s">
        <v>256</v>
      </c>
      <c r="AP51" s="109">
        <f>9595*1.0216*1.01*1.0046*1.0051</f>
        <v>9996.5394432842404</v>
      </c>
      <c r="AQ51" s="109">
        <f t="shared" ref="AQ51:AR51" si="21">9595*1.0216*1.01*1.0046*1.0051</f>
        <v>9996.5394432842404</v>
      </c>
      <c r="AR51" s="109">
        <f t="shared" si="21"/>
        <v>9996.5394432842404</v>
      </c>
      <c r="AT51" s="106">
        <v>365.71</v>
      </c>
      <c r="AW51" s="106" t="s">
        <v>343</v>
      </c>
      <c r="AY51" s="106">
        <f t="shared" si="8"/>
        <v>3201</v>
      </c>
      <c r="BM51"/>
    </row>
    <row r="52" spans="1:65" s="106" customFormat="1" hidden="1">
      <c r="A52" s="103">
        <v>3102</v>
      </c>
      <c r="B52"/>
      <c r="C52" s="104">
        <v>4</v>
      </c>
      <c r="D52" s="105">
        <v>266.95</v>
      </c>
      <c r="E52" s="105">
        <v>0</v>
      </c>
      <c r="F52" s="105">
        <v>0</v>
      </c>
      <c r="G52" s="105">
        <f t="shared" si="7"/>
        <v>266.95</v>
      </c>
      <c r="I52" s="104" t="s">
        <v>248</v>
      </c>
      <c r="J52" s="107">
        <v>8</v>
      </c>
      <c r="K52" s="108" t="s">
        <v>260</v>
      </c>
      <c r="N52" s="104" t="s">
        <v>250</v>
      </c>
      <c r="O52" s="107" t="s">
        <v>344</v>
      </c>
      <c r="P52" s="108" t="s">
        <v>260</v>
      </c>
      <c r="S52" s="104" t="s">
        <v>248</v>
      </c>
      <c r="T52" s="107">
        <v>12</v>
      </c>
      <c r="U52" s="108" t="s">
        <v>260</v>
      </c>
      <c r="X52" s="104" t="s">
        <v>252</v>
      </c>
      <c r="Y52" s="107"/>
      <c r="Z52" s="108"/>
      <c r="AA52" s="104"/>
      <c r="AB52" s="104"/>
      <c r="AC52" s="104" t="s">
        <v>252</v>
      </c>
      <c r="AD52" s="107"/>
      <c r="AE52" s="108"/>
      <c r="AG52" s="104" t="s">
        <v>252</v>
      </c>
      <c r="AH52" s="107"/>
      <c r="AI52" s="108"/>
      <c r="AK52" s="104"/>
      <c r="AM52" s="106">
        <v>51</v>
      </c>
      <c r="AN52" s="106">
        <v>3.99</v>
      </c>
      <c r="AO52" s="106" t="s">
        <v>249</v>
      </c>
      <c r="AP52" s="109">
        <f>9090*1.0216*1.01*1.0046*1.0051</f>
        <v>9470.4057883745445</v>
      </c>
      <c r="AQ52" s="109">
        <f t="shared" ref="AQ52:AR53" si="22">9090*1.0216*1.01*1.0046*1.0051</f>
        <v>9470.4057883745445</v>
      </c>
      <c r="AR52" s="109">
        <f t="shared" si="22"/>
        <v>9470.4057883745445</v>
      </c>
      <c r="AT52" s="106">
        <v>266.95</v>
      </c>
      <c r="AW52" s="106" t="s">
        <v>345</v>
      </c>
      <c r="AY52" s="106">
        <f t="shared" si="8"/>
        <v>3202</v>
      </c>
      <c r="BM52"/>
    </row>
    <row r="53" spans="1:65" s="106" customFormat="1" hidden="1">
      <c r="A53" s="103">
        <v>3201</v>
      </c>
      <c r="B53"/>
      <c r="C53" s="104">
        <v>4</v>
      </c>
      <c r="D53" s="105">
        <v>322.86</v>
      </c>
      <c r="E53" s="105">
        <v>0</v>
      </c>
      <c r="F53" s="105">
        <v>0</v>
      </c>
      <c r="G53" s="105">
        <f t="shared" si="7"/>
        <v>322.86</v>
      </c>
      <c r="I53" s="104" t="s">
        <v>250</v>
      </c>
      <c r="J53" s="107" t="s">
        <v>346</v>
      </c>
      <c r="K53" s="108" t="s">
        <v>256</v>
      </c>
      <c r="N53" s="104" t="s">
        <v>248</v>
      </c>
      <c r="O53" s="107">
        <v>23</v>
      </c>
      <c r="P53" s="108" t="s">
        <v>260</v>
      </c>
      <c r="S53" s="104" t="s">
        <v>248</v>
      </c>
      <c r="T53" s="107">
        <v>24</v>
      </c>
      <c r="U53" s="108" t="s">
        <v>260</v>
      </c>
      <c r="X53" s="104" t="s">
        <v>252</v>
      </c>
      <c r="Y53" s="107"/>
      <c r="Z53" s="108"/>
      <c r="AA53" s="104"/>
      <c r="AB53" s="104"/>
      <c r="AC53" s="104" t="s">
        <v>252</v>
      </c>
      <c r="AD53" s="107"/>
      <c r="AE53" s="108"/>
      <c r="AG53" s="104" t="s">
        <v>252</v>
      </c>
      <c r="AH53" s="107"/>
      <c r="AI53" s="108"/>
      <c r="AK53" s="104"/>
      <c r="AM53" s="106">
        <v>28</v>
      </c>
      <c r="AN53" s="106">
        <v>4.1900000000000004</v>
      </c>
      <c r="AO53" s="106" t="s">
        <v>256</v>
      </c>
      <c r="AP53" s="109">
        <f>9090*1.0216*1.01*1.0046*1.0051</f>
        <v>9470.4057883745445</v>
      </c>
      <c r="AQ53" s="109">
        <f t="shared" si="22"/>
        <v>9470.4057883745445</v>
      </c>
      <c r="AR53" s="109">
        <f t="shared" si="22"/>
        <v>9470.4057883745445</v>
      </c>
      <c r="AT53" s="106">
        <v>322.89</v>
      </c>
      <c r="AW53" s="106" t="s">
        <v>347</v>
      </c>
      <c r="AY53" s="106">
        <f t="shared" si="8"/>
        <v>3301</v>
      </c>
      <c r="BM53"/>
    </row>
    <row r="54" spans="1:65" s="106" customFormat="1" hidden="1">
      <c r="A54" s="103">
        <v>3202</v>
      </c>
      <c r="B54"/>
      <c r="C54" s="104">
        <v>4</v>
      </c>
      <c r="D54" s="105">
        <v>308.43</v>
      </c>
      <c r="E54" s="105">
        <v>0</v>
      </c>
      <c r="F54" s="105">
        <v>0</v>
      </c>
      <c r="G54" s="105">
        <f t="shared" si="7"/>
        <v>308.43</v>
      </c>
      <c r="I54" s="104" t="s">
        <v>250</v>
      </c>
      <c r="J54" s="107" t="s">
        <v>348</v>
      </c>
      <c r="K54" s="108" t="s">
        <v>260</v>
      </c>
      <c r="N54" s="104" t="s">
        <v>248</v>
      </c>
      <c r="O54" s="107">
        <v>18</v>
      </c>
      <c r="P54" s="108" t="s">
        <v>260</v>
      </c>
      <c r="S54" s="104" t="s">
        <v>248</v>
      </c>
      <c r="T54" s="107">
        <v>19</v>
      </c>
      <c r="U54" s="108" t="s">
        <v>260</v>
      </c>
      <c r="X54" s="104" t="s">
        <v>252</v>
      </c>
      <c r="Y54" s="107"/>
      <c r="Z54" s="108"/>
      <c r="AA54" s="7"/>
      <c r="AB54" s="7"/>
      <c r="AC54" s="7" t="s">
        <v>252</v>
      </c>
      <c r="AD54" s="8"/>
      <c r="AE54" s="3"/>
      <c r="AF54"/>
      <c r="AG54" s="7" t="s">
        <v>252</v>
      </c>
      <c r="AH54" s="8"/>
      <c r="AI54" s="3"/>
      <c r="AJ54"/>
      <c r="AK54" s="7"/>
      <c r="AL54"/>
      <c r="AM54" s="106">
        <v>43</v>
      </c>
      <c r="AN54" s="106">
        <v>4.51</v>
      </c>
      <c r="AO54" s="106" t="s">
        <v>249</v>
      </c>
      <c r="AP54" s="109">
        <f>9595*1.0216*1.01*1.0046*1.0051</f>
        <v>9996.5394432842404</v>
      </c>
      <c r="AQ54" s="109">
        <f t="shared" ref="AQ54:AR54" si="23">9595*1.0216*1.01*1.0046*1.0051</f>
        <v>9996.5394432842404</v>
      </c>
      <c r="AR54" s="109">
        <f t="shared" si="23"/>
        <v>9996.5394432842404</v>
      </c>
      <c r="AT54" s="106">
        <v>308.43</v>
      </c>
      <c r="AW54" s="106" t="s">
        <v>349</v>
      </c>
      <c r="AY54" s="106">
        <f t="shared" si="8"/>
        <v>3302</v>
      </c>
      <c r="BM54"/>
    </row>
    <row r="55" spans="1:65" s="106" customFormat="1" hidden="1">
      <c r="A55" s="103">
        <v>3300</v>
      </c>
      <c r="B55"/>
      <c r="C55" s="104">
        <v>5</v>
      </c>
      <c r="D55" s="105">
        <v>684</v>
      </c>
      <c r="E55" s="105">
        <v>0</v>
      </c>
      <c r="F55" s="105">
        <v>0</v>
      </c>
      <c r="G55" s="105">
        <f t="shared" si="7"/>
        <v>684</v>
      </c>
      <c r="I55" s="104" t="s">
        <v>248</v>
      </c>
      <c r="J55" s="107">
        <v>177</v>
      </c>
      <c r="K55" s="108" t="s">
        <v>249</v>
      </c>
      <c r="N55" s="104" t="s">
        <v>248</v>
      </c>
      <c r="O55" s="107">
        <v>178</v>
      </c>
      <c r="P55" s="108" t="s">
        <v>249</v>
      </c>
      <c r="S55" s="104" t="s">
        <v>248</v>
      </c>
      <c r="T55" s="107">
        <v>179</v>
      </c>
      <c r="U55" s="108" t="s">
        <v>249</v>
      </c>
      <c r="X55" s="104" t="s">
        <v>250</v>
      </c>
      <c r="Y55" s="107" t="s">
        <v>350</v>
      </c>
      <c r="Z55" s="108" t="s">
        <v>260</v>
      </c>
      <c r="AA55" s="104"/>
      <c r="AB55" s="104"/>
      <c r="AC55" s="104" t="s">
        <v>252</v>
      </c>
      <c r="AD55" s="107"/>
      <c r="AE55" s="108"/>
      <c r="AG55" s="104" t="s">
        <v>252</v>
      </c>
      <c r="AH55" s="107"/>
      <c r="AI55" s="108"/>
      <c r="AK55" s="104"/>
      <c r="AM55" s="106">
        <v>36</v>
      </c>
      <c r="AN55" s="106">
        <v>5.32</v>
      </c>
      <c r="AO55" s="106" t="s">
        <v>249</v>
      </c>
      <c r="AP55" s="109">
        <f>10100*1.0216*1.01*1.0046*1.0051</f>
        <v>10522.673098193936</v>
      </c>
      <c r="AQ55" s="109">
        <f t="shared" ref="AQ55:AR55" si="24">10100*1.0216*1.01*1.0046*1.0051</f>
        <v>10522.673098193936</v>
      </c>
      <c r="AR55" s="109">
        <f t="shared" si="24"/>
        <v>10522.673098193936</v>
      </c>
      <c r="AT55" s="106">
        <v>684</v>
      </c>
      <c r="AW55" s="106" t="s">
        <v>351</v>
      </c>
      <c r="AY55" s="106">
        <f t="shared" si="8"/>
        <v>3400</v>
      </c>
      <c r="BM55"/>
    </row>
    <row r="56" spans="1:65" s="106" customFormat="1" hidden="1">
      <c r="A56" s="103">
        <v>3401</v>
      </c>
      <c r="B56"/>
      <c r="C56" s="104">
        <v>4</v>
      </c>
      <c r="D56" s="105">
        <v>322.89</v>
      </c>
      <c r="E56" s="105">
        <v>0</v>
      </c>
      <c r="F56" s="105">
        <v>0</v>
      </c>
      <c r="G56" s="105">
        <f t="shared" si="7"/>
        <v>322.89</v>
      </c>
      <c r="I56" s="104" t="s">
        <v>250</v>
      </c>
      <c r="J56" s="107" t="s">
        <v>352</v>
      </c>
      <c r="K56" s="108" t="s">
        <v>256</v>
      </c>
      <c r="N56" s="104" t="s">
        <v>248</v>
      </c>
      <c r="O56" s="107">
        <v>73</v>
      </c>
      <c r="P56" s="108" t="s">
        <v>260</v>
      </c>
      <c r="S56" s="104" t="s">
        <v>248</v>
      </c>
      <c r="T56" s="107">
        <v>74</v>
      </c>
      <c r="U56" s="108" t="s">
        <v>260</v>
      </c>
      <c r="X56" s="104" t="s">
        <v>252</v>
      </c>
      <c r="Y56" s="107"/>
      <c r="Z56" s="108"/>
      <c r="AA56" s="104"/>
      <c r="AB56" s="104"/>
      <c r="AC56" s="104" t="s">
        <v>252</v>
      </c>
      <c r="AD56" s="107"/>
      <c r="AE56" s="108"/>
      <c r="AG56" s="104" t="s">
        <v>252</v>
      </c>
      <c r="AH56" s="107"/>
      <c r="AI56" s="108"/>
      <c r="AK56" s="104"/>
      <c r="AM56" s="106">
        <v>32</v>
      </c>
      <c r="AN56" s="106">
        <v>4.6100000000000003</v>
      </c>
      <c r="AO56" s="106" t="s">
        <v>249</v>
      </c>
      <c r="AP56" s="109">
        <f>9090*1.0216*1.01*1.0046*1.0051</f>
        <v>9470.4057883745445</v>
      </c>
      <c r="AQ56" s="109">
        <f t="shared" ref="AQ56:AR56" si="25">9090*1.0216*1.01*1.0046*1.0051</f>
        <v>9470.4057883745445</v>
      </c>
      <c r="AR56" s="109">
        <f t="shared" si="25"/>
        <v>9470.4057883745445</v>
      </c>
      <c r="AT56" s="106">
        <v>322.89</v>
      </c>
      <c r="AW56" s="106" t="s">
        <v>353</v>
      </c>
      <c r="AY56" s="106">
        <f t="shared" si="8"/>
        <v>3501</v>
      </c>
      <c r="BM56"/>
    </row>
    <row r="57" spans="1:65" s="106" customFormat="1" hidden="1">
      <c r="A57" s="103">
        <v>3402</v>
      </c>
      <c r="B57"/>
      <c r="C57" s="104">
        <v>4</v>
      </c>
      <c r="D57" s="105">
        <v>308.43</v>
      </c>
      <c r="E57" s="105">
        <v>0</v>
      </c>
      <c r="F57" s="105">
        <v>0</v>
      </c>
      <c r="G57" s="105">
        <f t="shared" si="7"/>
        <v>308.43</v>
      </c>
      <c r="I57" s="104" t="s">
        <v>250</v>
      </c>
      <c r="J57" s="107" t="s">
        <v>354</v>
      </c>
      <c r="K57" s="108" t="s">
        <v>260</v>
      </c>
      <c r="N57" s="104" t="s">
        <v>248</v>
      </c>
      <c r="O57" s="107">
        <v>37</v>
      </c>
      <c r="P57" s="108" t="s">
        <v>260</v>
      </c>
      <c r="S57" s="104" t="s">
        <v>248</v>
      </c>
      <c r="T57" s="107">
        <v>38</v>
      </c>
      <c r="U57" s="108" t="s">
        <v>260</v>
      </c>
      <c r="X57" s="104" t="s">
        <v>252</v>
      </c>
      <c r="Y57" s="107"/>
      <c r="Z57" s="108"/>
      <c r="AA57" s="7"/>
      <c r="AB57" s="7"/>
      <c r="AC57" s="7" t="s">
        <v>252</v>
      </c>
      <c r="AD57" s="8"/>
      <c r="AE57" s="3"/>
      <c r="AF57"/>
      <c r="AG57" s="7" t="s">
        <v>252</v>
      </c>
      <c r="AH57" s="8"/>
      <c r="AI57" s="3"/>
      <c r="AJ57"/>
      <c r="AK57" s="7"/>
      <c r="AL57"/>
      <c r="AM57" s="106">
        <v>44</v>
      </c>
      <c r="AN57" s="106">
        <v>4.1900000000000004</v>
      </c>
      <c r="AO57" s="106" t="s">
        <v>249</v>
      </c>
      <c r="AP57" s="109">
        <f>9595*1.0216*1.01*1.0046*1.0051</f>
        <v>9996.5394432842404</v>
      </c>
      <c r="AQ57" s="109">
        <f t="shared" ref="AQ57:AR58" si="26">9595*1.0216*1.01*1.0046*1.0051</f>
        <v>9996.5394432842404</v>
      </c>
      <c r="AR57" s="109">
        <f t="shared" si="26"/>
        <v>9996.5394432842404</v>
      </c>
      <c r="AT57" s="106">
        <v>308.43</v>
      </c>
      <c r="AW57" s="106" t="s">
        <v>355</v>
      </c>
      <c r="AY57" s="106">
        <f t="shared" si="8"/>
        <v>3502</v>
      </c>
      <c r="BM57"/>
    </row>
    <row r="58" spans="1:65" s="106" customFormat="1" hidden="1">
      <c r="A58" s="103">
        <v>3501</v>
      </c>
      <c r="B58"/>
      <c r="C58" s="104">
        <v>4</v>
      </c>
      <c r="D58" s="105">
        <v>365.71</v>
      </c>
      <c r="E58" s="105">
        <v>0</v>
      </c>
      <c r="F58" s="105">
        <v>0</v>
      </c>
      <c r="G58" s="105">
        <f t="shared" si="7"/>
        <v>365.71</v>
      </c>
      <c r="I58" s="104" t="s">
        <v>248</v>
      </c>
      <c r="J58" s="107">
        <v>92</v>
      </c>
      <c r="K58" s="108" t="s">
        <v>256</v>
      </c>
      <c r="N58" s="104" t="s">
        <v>248</v>
      </c>
      <c r="O58" s="107">
        <v>174</v>
      </c>
      <c r="P58" s="108" t="s">
        <v>256</v>
      </c>
      <c r="S58" s="104" t="s">
        <v>248</v>
      </c>
      <c r="T58" s="107">
        <v>158</v>
      </c>
      <c r="U58" s="108" t="s">
        <v>256</v>
      </c>
      <c r="X58" s="104" t="s">
        <v>248</v>
      </c>
      <c r="Y58" s="107">
        <v>159</v>
      </c>
      <c r="Z58" s="108" t="s">
        <v>256</v>
      </c>
      <c r="AA58" s="104"/>
      <c r="AB58" s="104"/>
      <c r="AC58" s="104" t="s">
        <v>252</v>
      </c>
      <c r="AD58" s="107"/>
      <c r="AE58" s="108"/>
      <c r="AG58" s="104" t="s">
        <v>252</v>
      </c>
      <c r="AH58" s="107"/>
      <c r="AI58" s="108"/>
      <c r="AK58" s="104"/>
      <c r="AM58" s="106">
        <v>30</v>
      </c>
      <c r="AN58" s="106">
        <v>4.66</v>
      </c>
      <c r="AO58" s="106" t="s">
        <v>256</v>
      </c>
      <c r="AP58" s="109">
        <f>9595*1.0216*1.01*1.0046*1.0051</f>
        <v>9996.5394432842404</v>
      </c>
      <c r="AQ58" s="109">
        <f t="shared" si="26"/>
        <v>9996.5394432842404</v>
      </c>
      <c r="AR58" s="109">
        <f t="shared" si="26"/>
        <v>9996.5394432842404</v>
      </c>
      <c r="AT58" s="106">
        <v>365.71</v>
      </c>
      <c r="AW58" s="106" t="s">
        <v>356</v>
      </c>
      <c r="AY58" s="106">
        <f t="shared" si="8"/>
        <v>3601</v>
      </c>
      <c r="BM58"/>
    </row>
    <row r="59" spans="1:65" s="106" customFormat="1" hidden="1">
      <c r="A59" s="103">
        <v>3502</v>
      </c>
      <c r="B59"/>
      <c r="C59" s="104">
        <v>4</v>
      </c>
      <c r="D59" s="105">
        <v>266.88</v>
      </c>
      <c r="E59" s="105">
        <v>0</v>
      </c>
      <c r="F59" s="105">
        <v>0</v>
      </c>
      <c r="G59" s="105">
        <f t="shared" si="7"/>
        <v>266.88</v>
      </c>
      <c r="I59" s="104" t="s">
        <v>250</v>
      </c>
      <c r="J59" s="107" t="s">
        <v>357</v>
      </c>
      <c r="K59" s="108" t="s">
        <v>260</v>
      </c>
      <c r="N59" s="104" t="s">
        <v>248</v>
      </c>
      <c r="O59" s="107">
        <v>6</v>
      </c>
      <c r="P59" s="108" t="s">
        <v>260</v>
      </c>
      <c r="S59" s="104" t="s">
        <v>248</v>
      </c>
      <c r="T59" s="107">
        <v>7</v>
      </c>
      <c r="U59" s="108" t="s">
        <v>260</v>
      </c>
      <c r="X59" s="104" t="s">
        <v>252</v>
      </c>
      <c r="Y59" s="107"/>
      <c r="Z59" s="108"/>
      <c r="AA59" s="104"/>
      <c r="AB59" s="104"/>
      <c r="AC59" s="104" t="s">
        <v>252</v>
      </c>
      <c r="AD59" s="107"/>
      <c r="AE59" s="108"/>
      <c r="AG59" s="104" t="s">
        <v>252</v>
      </c>
      <c r="AH59" s="107"/>
      <c r="AI59" s="108"/>
      <c r="AK59" s="104"/>
      <c r="AM59" s="106">
        <v>48</v>
      </c>
      <c r="AN59" s="106">
        <v>5</v>
      </c>
      <c r="AO59" s="106" t="s">
        <v>249</v>
      </c>
      <c r="AP59" s="109">
        <f>9090*1.0216*1.01*1.0046*1.0051</f>
        <v>9470.4057883745445</v>
      </c>
      <c r="AQ59" s="109">
        <f t="shared" ref="AQ59:AR59" si="27">9090*1.0216*1.01*1.0046*1.0051</f>
        <v>9470.4057883745445</v>
      </c>
      <c r="AR59" s="109">
        <f t="shared" si="27"/>
        <v>9470.4057883745445</v>
      </c>
      <c r="AT59" s="106">
        <v>266.95</v>
      </c>
      <c r="AW59" s="106" t="s">
        <v>358</v>
      </c>
      <c r="AY59" s="106">
        <f t="shared" si="8"/>
        <v>3602</v>
      </c>
      <c r="BM59"/>
    </row>
    <row r="60" spans="1:65" s="106" customFormat="1" hidden="1">
      <c r="A60" s="103">
        <v>3600</v>
      </c>
      <c r="B60"/>
      <c r="C60" s="104">
        <v>5</v>
      </c>
      <c r="D60" s="105">
        <v>681</v>
      </c>
      <c r="E60" s="105">
        <v>0</v>
      </c>
      <c r="F60" s="105">
        <v>0</v>
      </c>
      <c r="G60" s="105">
        <f t="shared" si="7"/>
        <v>681</v>
      </c>
      <c r="I60" s="104" t="s">
        <v>248</v>
      </c>
      <c r="J60" s="107">
        <v>211</v>
      </c>
      <c r="K60" s="108" t="s">
        <v>249</v>
      </c>
      <c r="N60" s="104" t="s">
        <v>248</v>
      </c>
      <c r="O60" s="107">
        <v>215</v>
      </c>
      <c r="P60" s="108" t="s">
        <v>249</v>
      </c>
      <c r="S60" s="104" t="s">
        <v>248</v>
      </c>
      <c r="T60" s="107">
        <v>219</v>
      </c>
      <c r="U60" s="108" t="s">
        <v>249</v>
      </c>
      <c r="X60" s="104" t="s">
        <v>250</v>
      </c>
      <c r="Y60" s="107" t="s">
        <v>359</v>
      </c>
      <c r="Z60" s="108" t="s">
        <v>249</v>
      </c>
      <c r="AA60" s="104"/>
      <c r="AB60" s="104"/>
      <c r="AC60" s="104" t="s">
        <v>252</v>
      </c>
      <c r="AD60" s="107"/>
      <c r="AE60" s="108"/>
      <c r="AG60" s="104" t="s">
        <v>252</v>
      </c>
      <c r="AH60" s="107"/>
      <c r="AI60" s="108"/>
      <c r="AK60" s="104"/>
      <c r="AM60" s="106">
        <v>63</v>
      </c>
      <c r="AN60" s="106">
        <v>7.03</v>
      </c>
      <c r="AO60" s="106" t="s">
        <v>249</v>
      </c>
      <c r="AP60" s="109">
        <f>10100*1.0216*1.01*1.0046*1.0051</f>
        <v>10522.673098193936</v>
      </c>
      <c r="AQ60" s="109">
        <f t="shared" ref="AQ60:AR60" si="28">10100*1.0216*1.01*1.0046*1.0051</f>
        <v>10522.673098193936</v>
      </c>
      <c r="AR60" s="109">
        <f t="shared" si="28"/>
        <v>10522.673098193936</v>
      </c>
      <c r="AT60" s="106">
        <v>681</v>
      </c>
      <c r="AW60" s="106" t="s">
        <v>360</v>
      </c>
      <c r="AY60" s="106">
        <f t="shared" si="8"/>
        <v>3700</v>
      </c>
      <c r="BM60"/>
    </row>
    <row r="61" spans="1:65" s="106" customFormat="1" hidden="1">
      <c r="A61" s="103">
        <v>3701</v>
      </c>
      <c r="B61"/>
      <c r="C61" s="104">
        <v>4</v>
      </c>
      <c r="D61" s="105">
        <v>365.71</v>
      </c>
      <c r="E61" s="105">
        <v>0</v>
      </c>
      <c r="F61" s="105">
        <v>0</v>
      </c>
      <c r="G61" s="105">
        <f t="shared" si="7"/>
        <v>365.71</v>
      </c>
      <c r="I61" s="104" t="s">
        <v>248</v>
      </c>
      <c r="J61" s="107">
        <v>99</v>
      </c>
      <c r="K61" s="108" t="s">
        <v>256</v>
      </c>
      <c r="N61" s="104" t="s">
        <v>248</v>
      </c>
      <c r="O61" s="107">
        <v>100</v>
      </c>
      <c r="P61" s="108" t="s">
        <v>256</v>
      </c>
      <c r="S61" s="104" t="s">
        <v>248</v>
      </c>
      <c r="T61" s="107">
        <v>101</v>
      </c>
      <c r="U61" s="108" t="s">
        <v>256</v>
      </c>
      <c r="X61" s="104" t="s">
        <v>248</v>
      </c>
      <c r="Y61" s="107">
        <v>102</v>
      </c>
      <c r="Z61" s="108" t="s">
        <v>256</v>
      </c>
      <c r="AA61" s="104"/>
      <c r="AB61" s="104"/>
      <c r="AC61" s="104" t="s">
        <v>252</v>
      </c>
      <c r="AD61" s="107"/>
      <c r="AE61" s="108"/>
      <c r="AG61" s="104" t="s">
        <v>252</v>
      </c>
      <c r="AH61" s="107"/>
      <c r="AI61" s="108"/>
      <c r="AK61" s="104"/>
      <c r="AM61" s="106">
        <v>29</v>
      </c>
      <c r="AN61" s="106">
        <v>4.1900000000000004</v>
      </c>
      <c r="AO61" s="106" t="s">
        <v>256</v>
      </c>
      <c r="AP61" s="109">
        <f>9595*1.0216*1.01*1.0046*1.0051</f>
        <v>9996.5394432842404</v>
      </c>
      <c r="AQ61" s="109">
        <f t="shared" ref="AQ61:AR61" si="29">9595*1.0216*1.01*1.0046*1.0051</f>
        <v>9996.5394432842404</v>
      </c>
      <c r="AR61" s="109">
        <f t="shared" si="29"/>
        <v>9996.5394432842404</v>
      </c>
      <c r="AT61" s="106">
        <v>365.71</v>
      </c>
      <c r="AW61" s="106" t="s">
        <v>361</v>
      </c>
      <c r="AY61" s="106">
        <f t="shared" si="8"/>
        <v>3801</v>
      </c>
      <c r="BM61"/>
    </row>
    <row r="62" spans="1:65" s="106" customFormat="1" hidden="1">
      <c r="A62" s="103">
        <v>3702</v>
      </c>
      <c r="B62"/>
      <c r="C62" s="104">
        <v>4</v>
      </c>
      <c r="D62" s="105">
        <v>266.95</v>
      </c>
      <c r="E62" s="105">
        <v>0</v>
      </c>
      <c r="F62" s="105">
        <v>0</v>
      </c>
      <c r="G62" s="105">
        <f t="shared" si="7"/>
        <v>266.95</v>
      </c>
      <c r="I62" s="104" t="s">
        <v>248</v>
      </c>
      <c r="J62" s="107">
        <v>1</v>
      </c>
      <c r="K62" s="108" t="s">
        <v>260</v>
      </c>
      <c r="N62" s="104" t="s">
        <v>248</v>
      </c>
      <c r="O62" s="107">
        <v>2</v>
      </c>
      <c r="P62" s="108" t="s">
        <v>260</v>
      </c>
      <c r="S62" s="104" t="s">
        <v>250</v>
      </c>
      <c r="T62" s="107" t="s">
        <v>362</v>
      </c>
      <c r="U62" s="108" t="s">
        <v>260</v>
      </c>
      <c r="X62" s="104" t="s">
        <v>252</v>
      </c>
      <c r="Y62" s="107"/>
      <c r="Z62" s="108"/>
      <c r="AA62" s="104"/>
      <c r="AB62" s="104"/>
      <c r="AC62" s="104" t="s">
        <v>252</v>
      </c>
      <c r="AD62" s="107"/>
      <c r="AE62" s="108"/>
      <c r="AG62" s="104" t="s">
        <v>252</v>
      </c>
      <c r="AH62" s="107"/>
      <c r="AI62" s="108"/>
      <c r="AK62" s="104"/>
      <c r="AM62" s="106">
        <v>15</v>
      </c>
      <c r="AN62" s="106">
        <v>4.07</v>
      </c>
      <c r="AO62" s="106" t="s">
        <v>260</v>
      </c>
      <c r="AP62" s="109">
        <f>9090*1.0216*1.01*1.0046*1.0051</f>
        <v>9470.4057883745445</v>
      </c>
      <c r="AQ62" s="109">
        <f t="shared" ref="AQ62:AR63" si="30">9090*1.0216*1.01*1.0046*1.0051</f>
        <v>9470.4057883745445</v>
      </c>
      <c r="AR62" s="109">
        <f t="shared" si="30"/>
        <v>9470.4057883745445</v>
      </c>
      <c r="AT62" s="106">
        <v>266.95</v>
      </c>
      <c r="AW62" s="106" t="s">
        <v>363</v>
      </c>
      <c r="AY62" s="106">
        <f t="shared" si="8"/>
        <v>3802</v>
      </c>
      <c r="BM62"/>
    </row>
    <row r="63" spans="1:65" s="106" customFormat="1" hidden="1">
      <c r="A63" s="103">
        <v>3801</v>
      </c>
      <c r="B63"/>
      <c r="C63" s="104">
        <v>4</v>
      </c>
      <c r="D63" s="105">
        <v>322.86</v>
      </c>
      <c r="E63" s="105">
        <v>0</v>
      </c>
      <c r="F63" s="105">
        <v>0</v>
      </c>
      <c r="G63" s="105">
        <f t="shared" si="7"/>
        <v>322.86</v>
      </c>
      <c r="I63" s="104" t="s">
        <v>252</v>
      </c>
      <c r="J63" s="107" t="s">
        <v>364</v>
      </c>
      <c r="K63" s="108" t="s">
        <v>252</v>
      </c>
      <c r="N63" s="104" t="s">
        <v>248</v>
      </c>
      <c r="O63" s="107">
        <v>85</v>
      </c>
      <c r="P63" s="108" t="s">
        <v>260</v>
      </c>
      <c r="S63" s="104" t="s">
        <v>248</v>
      </c>
      <c r="T63" s="107">
        <v>86</v>
      </c>
      <c r="U63" s="108" t="s">
        <v>260</v>
      </c>
      <c r="X63" s="104" t="s">
        <v>252</v>
      </c>
      <c r="Y63" s="107"/>
      <c r="Z63" s="108"/>
      <c r="AA63" s="104"/>
      <c r="AB63" s="104"/>
      <c r="AC63" s="104" t="s">
        <v>252</v>
      </c>
      <c r="AD63" s="107"/>
      <c r="AE63" s="108"/>
      <c r="AG63" s="104" t="s">
        <v>252</v>
      </c>
      <c r="AH63" s="107"/>
      <c r="AI63" s="108"/>
      <c r="AK63" s="104"/>
      <c r="AM63" s="106">
        <v>39</v>
      </c>
      <c r="AN63" s="106">
        <v>4.2699999999999996</v>
      </c>
      <c r="AO63" s="106" t="s">
        <v>249</v>
      </c>
      <c r="AP63" s="109">
        <f>9090*1.0216*1.01*1.0046*1.0051</f>
        <v>9470.4057883745445</v>
      </c>
      <c r="AQ63" s="109">
        <f t="shared" si="30"/>
        <v>9470.4057883745445</v>
      </c>
      <c r="AR63" s="109">
        <f t="shared" si="30"/>
        <v>9470.4057883745445</v>
      </c>
      <c r="AT63" s="106">
        <v>322.89</v>
      </c>
      <c r="AW63" s="106" t="s">
        <v>365</v>
      </c>
      <c r="AY63" s="106">
        <f t="shared" si="8"/>
        <v>3901</v>
      </c>
      <c r="BM63"/>
    </row>
    <row r="64" spans="1:65" s="106" customFormat="1" hidden="1">
      <c r="A64" s="103">
        <v>3802</v>
      </c>
      <c r="B64"/>
      <c r="C64" s="104">
        <v>4</v>
      </c>
      <c r="D64" s="105">
        <v>308.43</v>
      </c>
      <c r="E64" s="105">
        <v>0</v>
      </c>
      <c r="F64" s="105">
        <v>0</v>
      </c>
      <c r="G64" s="105">
        <f t="shared" si="7"/>
        <v>308.43</v>
      </c>
      <c r="I64" s="104" t="s">
        <v>250</v>
      </c>
      <c r="J64" s="107" t="s">
        <v>366</v>
      </c>
      <c r="K64" s="108" t="s">
        <v>260</v>
      </c>
      <c r="N64" s="104" t="s">
        <v>248</v>
      </c>
      <c r="O64" s="107">
        <v>39</v>
      </c>
      <c r="P64" s="108" t="s">
        <v>260</v>
      </c>
      <c r="S64" s="104" t="s">
        <v>248</v>
      </c>
      <c r="T64" s="107">
        <v>40</v>
      </c>
      <c r="U64" s="108" t="s">
        <v>260</v>
      </c>
      <c r="X64" s="104" t="s">
        <v>252</v>
      </c>
      <c r="Y64" s="107"/>
      <c r="Z64" s="108"/>
      <c r="AA64" s="7"/>
      <c r="AB64" s="7"/>
      <c r="AC64" s="7" t="s">
        <v>252</v>
      </c>
      <c r="AD64" s="8"/>
      <c r="AE64" s="3"/>
      <c r="AF64"/>
      <c r="AG64" s="7" t="s">
        <v>252</v>
      </c>
      <c r="AH64" s="8"/>
      <c r="AI64" s="3"/>
      <c r="AJ64"/>
      <c r="AK64" s="7"/>
      <c r="AL64"/>
      <c r="AM64" s="106">
        <v>45</v>
      </c>
      <c r="AN64" s="106">
        <v>4.1900000000000004</v>
      </c>
      <c r="AO64" s="106" t="s">
        <v>249</v>
      </c>
      <c r="AP64" s="109">
        <f>9595*1.0216*1.01*1.0046*1.0051</f>
        <v>9996.5394432842404</v>
      </c>
      <c r="AQ64" s="109">
        <f t="shared" ref="AQ64:AR64" si="31">9595*1.0216*1.01*1.0046*1.0051</f>
        <v>9996.5394432842404</v>
      </c>
      <c r="AR64" s="109">
        <f t="shared" si="31"/>
        <v>9996.5394432842404</v>
      </c>
      <c r="AT64" s="106">
        <v>308.43</v>
      </c>
      <c r="AW64" s="106" t="s">
        <v>367</v>
      </c>
      <c r="AY64" s="106">
        <f t="shared" si="8"/>
        <v>3902</v>
      </c>
      <c r="BM64"/>
    </row>
    <row r="65" spans="1:65" s="106" customFormat="1" hidden="1">
      <c r="A65" s="103">
        <v>3900</v>
      </c>
      <c r="B65"/>
      <c r="C65" s="104">
        <v>4</v>
      </c>
      <c r="D65" s="105">
        <v>684</v>
      </c>
      <c r="E65" s="105">
        <v>0</v>
      </c>
      <c r="F65" s="105">
        <v>0</v>
      </c>
      <c r="G65" s="105">
        <f t="shared" si="7"/>
        <v>684</v>
      </c>
      <c r="I65" s="104" t="s">
        <v>248</v>
      </c>
      <c r="J65" s="107">
        <v>183</v>
      </c>
      <c r="K65" s="108" t="s">
        <v>249</v>
      </c>
      <c r="N65" s="104" t="s">
        <v>248</v>
      </c>
      <c r="O65" s="107">
        <v>193</v>
      </c>
      <c r="P65" s="108" t="s">
        <v>249</v>
      </c>
      <c r="S65" s="104" t="s">
        <v>248</v>
      </c>
      <c r="T65" s="107">
        <v>194</v>
      </c>
      <c r="U65" s="108" t="s">
        <v>249</v>
      </c>
      <c r="X65" s="104" t="s">
        <v>250</v>
      </c>
      <c r="Y65" s="110" t="s">
        <v>368</v>
      </c>
      <c r="Z65" s="108" t="s">
        <v>260</v>
      </c>
      <c r="AA65" s="104"/>
      <c r="AB65" s="104"/>
      <c r="AC65" s="104" t="s">
        <v>252</v>
      </c>
      <c r="AD65" s="107"/>
      <c r="AE65" s="108"/>
      <c r="AG65" s="104" t="s">
        <v>252</v>
      </c>
      <c r="AH65" s="107"/>
      <c r="AI65" s="108"/>
      <c r="AK65" s="104"/>
      <c r="AM65" s="106">
        <v>47</v>
      </c>
      <c r="AN65" s="106">
        <v>5.03</v>
      </c>
      <c r="AO65" s="106" t="s">
        <v>249</v>
      </c>
      <c r="AP65" s="109">
        <f>10100*1.0216*1.01*1.0046*1.0051</f>
        <v>10522.673098193936</v>
      </c>
      <c r="AQ65" s="109">
        <f t="shared" ref="AQ65:AR65" si="32">10100*1.0216*1.01*1.0046*1.0051</f>
        <v>10522.673098193936</v>
      </c>
      <c r="AR65" s="109">
        <f t="shared" si="32"/>
        <v>10522.673098193936</v>
      </c>
      <c r="AT65" s="106">
        <v>684</v>
      </c>
      <c r="AW65" s="106" t="s">
        <v>369</v>
      </c>
      <c r="AY65" s="106">
        <f t="shared" si="8"/>
        <v>4000</v>
      </c>
      <c r="BM65"/>
    </row>
    <row r="66" spans="1:65" s="106" customFormat="1" hidden="1">
      <c r="A66" s="103">
        <v>4001</v>
      </c>
      <c r="B66"/>
      <c r="C66" s="104">
        <v>4</v>
      </c>
      <c r="D66" s="105">
        <v>322.90999999999997</v>
      </c>
      <c r="E66" s="105">
        <v>0</v>
      </c>
      <c r="F66" s="105">
        <v>0</v>
      </c>
      <c r="G66" s="105">
        <f t="shared" ref="G66:G68" si="33">D66+F66</f>
        <v>322.90999999999997</v>
      </c>
      <c r="I66" s="104" t="s">
        <v>250</v>
      </c>
      <c r="J66" s="107" t="s">
        <v>370</v>
      </c>
      <c r="K66" s="108" t="s">
        <v>249</v>
      </c>
      <c r="N66" s="104" t="s">
        <v>248</v>
      </c>
      <c r="O66" s="107">
        <v>88</v>
      </c>
      <c r="P66" s="108" t="s">
        <v>260</v>
      </c>
      <c r="S66" s="104" t="s">
        <v>248</v>
      </c>
      <c r="T66" s="107">
        <v>89</v>
      </c>
      <c r="U66" s="108" t="s">
        <v>260</v>
      </c>
      <c r="X66" s="104" t="s">
        <v>252</v>
      </c>
      <c r="Y66" s="107"/>
      <c r="Z66" s="108"/>
      <c r="AA66" s="104"/>
      <c r="AB66" s="104"/>
      <c r="AC66" s="104" t="s">
        <v>252</v>
      </c>
      <c r="AD66" s="107"/>
      <c r="AE66" s="108"/>
      <c r="AG66" s="104" t="s">
        <v>252</v>
      </c>
      <c r="AH66" s="107"/>
      <c r="AI66" s="108"/>
      <c r="AK66" s="104"/>
      <c r="AM66" s="106">
        <v>38</v>
      </c>
      <c r="AN66" s="106">
        <v>4.4400000000000004</v>
      </c>
      <c r="AO66" s="106" t="s">
        <v>249</v>
      </c>
      <c r="AP66" s="109">
        <f>9090*1.0216*1.01*1.0046*1.0051</f>
        <v>9470.4057883745445</v>
      </c>
      <c r="AQ66" s="109">
        <f t="shared" ref="AQ66:AR66" si="34">9090*1.0216*1.01*1.0046*1.0051</f>
        <v>9470.4057883745445</v>
      </c>
      <c r="AR66" s="109">
        <f t="shared" si="34"/>
        <v>9470.4057883745445</v>
      </c>
      <c r="AT66" s="106">
        <v>322.89</v>
      </c>
      <c r="AW66" s="106" t="s">
        <v>371</v>
      </c>
      <c r="AY66" s="106">
        <f t="shared" si="8"/>
        <v>4101</v>
      </c>
      <c r="BM66"/>
    </row>
    <row r="67" spans="1:65" s="106" customFormat="1" hidden="1">
      <c r="A67" s="103">
        <v>4002</v>
      </c>
      <c r="B67"/>
      <c r="C67" s="104">
        <v>4</v>
      </c>
      <c r="D67" s="105">
        <v>308.43</v>
      </c>
      <c r="E67" s="105">
        <v>0</v>
      </c>
      <c r="F67" s="105">
        <v>0</v>
      </c>
      <c r="G67" s="105">
        <f t="shared" si="33"/>
        <v>308.43</v>
      </c>
      <c r="I67" s="104" t="s">
        <v>250</v>
      </c>
      <c r="J67" s="107" t="s">
        <v>372</v>
      </c>
      <c r="K67" s="108" t="s">
        <v>260</v>
      </c>
      <c r="N67" s="104" t="s">
        <v>248</v>
      </c>
      <c r="O67" s="107">
        <v>16</v>
      </c>
      <c r="P67" s="108" t="s">
        <v>260</v>
      </c>
      <c r="S67" s="104" t="s">
        <v>248</v>
      </c>
      <c r="T67" s="107">
        <v>17</v>
      </c>
      <c r="U67" s="108" t="s">
        <v>260</v>
      </c>
      <c r="X67" s="104" t="s">
        <v>252</v>
      </c>
      <c r="Y67" s="107"/>
      <c r="Z67" s="108"/>
      <c r="AA67" s="7"/>
      <c r="AB67" s="7"/>
      <c r="AC67" s="7" t="s">
        <v>252</v>
      </c>
      <c r="AD67" s="8"/>
      <c r="AE67" s="3"/>
      <c r="AF67"/>
      <c r="AG67" s="7" t="s">
        <v>252</v>
      </c>
      <c r="AH67" s="8"/>
      <c r="AI67" s="3"/>
      <c r="AJ67"/>
      <c r="AK67" s="7"/>
      <c r="AL67"/>
      <c r="AM67" s="106">
        <v>46</v>
      </c>
      <c r="AN67" s="106">
        <v>4.2699999999999996</v>
      </c>
      <c r="AO67" s="106" t="s">
        <v>249</v>
      </c>
      <c r="AP67" s="109">
        <f>9595*1.0216*1.01*1.0046*1.0051</f>
        <v>9996.5394432842404</v>
      </c>
      <c r="AQ67" s="109">
        <f t="shared" ref="AQ67:AR67" si="35">9595*1.0216*1.01*1.0046*1.0051</f>
        <v>9996.5394432842404</v>
      </c>
      <c r="AR67" s="109">
        <f t="shared" si="35"/>
        <v>9996.5394432842404</v>
      </c>
      <c r="AT67" s="106">
        <v>308.43</v>
      </c>
      <c r="AW67" s="106" t="s">
        <v>373</v>
      </c>
      <c r="AY67" s="106">
        <f t="shared" ref="AY67:AY68" si="36">A67+100</f>
        <v>4102</v>
      </c>
      <c r="BM67"/>
    </row>
    <row r="68" spans="1:65" s="106" customFormat="1" hidden="1">
      <c r="A68" s="103">
        <v>4100</v>
      </c>
      <c r="B68"/>
      <c r="C68" s="104">
        <v>7</v>
      </c>
      <c r="D68" s="105">
        <v>963.35</v>
      </c>
      <c r="E68" s="105">
        <v>0</v>
      </c>
      <c r="F68" s="105">
        <f>96.66+39.63</f>
        <v>136.29</v>
      </c>
      <c r="G68" s="105">
        <f t="shared" si="33"/>
        <v>1099.6400000000001</v>
      </c>
      <c r="I68" s="104" t="s">
        <v>248</v>
      </c>
      <c r="J68" s="107">
        <v>213</v>
      </c>
      <c r="K68" s="108" t="s">
        <v>249</v>
      </c>
      <c r="N68" s="104" t="s">
        <v>248</v>
      </c>
      <c r="O68" s="107">
        <v>212</v>
      </c>
      <c r="P68" s="108" t="s">
        <v>249</v>
      </c>
      <c r="S68" s="104" t="s">
        <v>248</v>
      </c>
      <c r="T68" s="107">
        <v>210</v>
      </c>
      <c r="U68" s="108" t="s">
        <v>249</v>
      </c>
      <c r="X68" s="104" t="s">
        <v>248</v>
      </c>
      <c r="Y68" s="107">
        <v>209</v>
      </c>
      <c r="Z68" s="108" t="s">
        <v>249</v>
      </c>
      <c r="AA68" s="104"/>
      <c r="AB68" s="104"/>
      <c r="AC68" s="104" t="s">
        <v>248</v>
      </c>
      <c r="AD68" s="107">
        <v>208</v>
      </c>
      <c r="AE68" s="108" t="s">
        <v>249</v>
      </c>
      <c r="AG68" s="104" t="s">
        <v>250</v>
      </c>
      <c r="AH68" s="107" t="s">
        <v>374</v>
      </c>
      <c r="AI68" s="108" t="str">
        <f>IFERROR(INDEX('[1]Vagas e Escaninhos'!$A$2:$D$227,MATCH('Banco de Dados'!AH68,'[1]Vagas e Escaninhos'!$A$2:$A$227,0),3),"-")</f>
        <v>TER</v>
      </c>
      <c r="AK68" s="104"/>
      <c r="AM68" s="106">
        <v>65</v>
      </c>
      <c r="AN68" s="106">
        <v>7.02</v>
      </c>
      <c r="AO68" s="106" t="s">
        <v>249</v>
      </c>
      <c r="AP68" s="109">
        <f>11110*1.0216*1.01*1.0046*1.0051</f>
        <v>11574.940408013332</v>
      </c>
      <c r="AQ68" s="109">
        <f t="shared" ref="AQ68:AR68" si="37">11110*1.0216*1.01*1.0046*1.0051</f>
        <v>11574.940408013332</v>
      </c>
      <c r="AR68" s="109">
        <f t="shared" si="37"/>
        <v>11574.940408013332</v>
      </c>
      <c r="AT68" s="106">
        <v>1100.32</v>
      </c>
      <c r="AW68" s="106" t="s">
        <v>375</v>
      </c>
      <c r="AY68" s="106">
        <f t="shared" si="36"/>
        <v>4200</v>
      </c>
      <c r="BM68"/>
    </row>
    <row r="69" spans="1:65">
      <c r="J69" s="113"/>
      <c r="O69" s="113"/>
      <c r="Y69" s="113"/>
    </row>
    <row r="70" spans="1:65">
      <c r="J70" s="113"/>
      <c r="O70" s="113"/>
    </row>
    <row r="72" spans="1:65">
      <c r="T72" s="8"/>
      <c r="Y72" s="8"/>
      <c r="Z72" s="8"/>
    </row>
    <row r="73" spans="1:65">
      <c r="Y73" s="8"/>
      <c r="AD73" s="8"/>
      <c r="AH73" s="8"/>
    </row>
    <row r="84" spans="1:65">
      <c r="C84" t="s">
        <v>376</v>
      </c>
    </row>
    <row r="86" spans="1:65">
      <c r="C86" s="103">
        <v>1402</v>
      </c>
      <c r="E86" s="104">
        <v>4</v>
      </c>
      <c r="F86" s="105">
        <v>308.43</v>
      </c>
      <c r="G86" s="105">
        <v>0</v>
      </c>
      <c r="H86" s="105">
        <v>0</v>
      </c>
      <c r="I86" s="105">
        <f t="shared" ref="I86:I87" si="38">F86+H86</f>
        <v>308.43</v>
      </c>
      <c r="J86" s="106"/>
      <c r="K86" s="104" t="s">
        <v>250</v>
      </c>
      <c r="L86" s="107" t="s">
        <v>300</v>
      </c>
      <c r="M86" s="108" t="s">
        <v>256</v>
      </c>
      <c r="N86" s="106"/>
      <c r="O86" s="106"/>
      <c r="P86" s="104" t="s">
        <v>248</v>
      </c>
      <c r="Q86" s="107">
        <v>77</v>
      </c>
      <c r="R86" s="108" t="s">
        <v>260</v>
      </c>
      <c r="S86" s="106"/>
      <c r="T86" s="106"/>
      <c r="U86" s="104" t="s">
        <v>248</v>
      </c>
      <c r="V86" s="107">
        <v>78</v>
      </c>
      <c r="W86" s="108" t="s">
        <v>260</v>
      </c>
      <c r="X86" s="106"/>
      <c r="Y86" s="106"/>
      <c r="Z86" s="104" t="s">
        <v>252</v>
      </c>
      <c r="AA86" s="107"/>
      <c r="AB86" s="108"/>
      <c r="AC86" s="7"/>
      <c r="AD86" s="7"/>
      <c r="AE86" s="7" t="s">
        <v>252</v>
      </c>
      <c r="AF86" s="8"/>
      <c r="AG86" s="3"/>
      <c r="AH86"/>
      <c r="AI86" s="7" t="s">
        <v>252</v>
      </c>
      <c r="AJ86" s="8"/>
      <c r="AK86" s="3"/>
      <c r="AM86" s="7"/>
      <c r="AO86" s="106">
        <v>10</v>
      </c>
      <c r="AP86" s="106">
        <v>4.45</v>
      </c>
      <c r="AQ86" s="106" t="s">
        <v>260</v>
      </c>
      <c r="AR86" s="109">
        <v>9500</v>
      </c>
      <c r="AS86" s="109">
        <v>9500</v>
      </c>
      <c r="AT86" s="109">
        <v>9500</v>
      </c>
      <c r="AU86" s="106"/>
      <c r="AV86" s="106">
        <v>308.43</v>
      </c>
      <c r="AW86" s="106"/>
      <c r="AX86" s="106"/>
      <c r="AY86" s="106" t="s">
        <v>301</v>
      </c>
    </row>
    <row r="87" spans="1:65">
      <c r="C87" s="103">
        <v>1602</v>
      </c>
      <c r="E87" s="104">
        <v>4</v>
      </c>
      <c r="F87" s="105">
        <v>308.43</v>
      </c>
      <c r="G87" s="105">
        <v>0</v>
      </c>
      <c r="H87" s="105">
        <v>0</v>
      </c>
      <c r="I87" s="105">
        <f t="shared" si="38"/>
        <v>308.43</v>
      </c>
      <c r="J87" s="106"/>
      <c r="K87" s="104" t="s">
        <v>250</v>
      </c>
      <c r="L87" s="107" t="s">
        <v>294</v>
      </c>
      <c r="M87" s="108" t="s">
        <v>260</v>
      </c>
      <c r="N87" s="106"/>
      <c r="O87" s="106"/>
      <c r="P87" s="104" t="s">
        <v>248</v>
      </c>
      <c r="Q87" s="107">
        <v>65</v>
      </c>
      <c r="R87" s="108" t="s">
        <v>260</v>
      </c>
      <c r="S87" s="106"/>
      <c r="T87" s="106"/>
      <c r="U87" s="104" t="s">
        <v>248</v>
      </c>
      <c r="V87" s="107">
        <v>66</v>
      </c>
      <c r="W87" s="108" t="s">
        <v>260</v>
      </c>
      <c r="X87" s="106"/>
      <c r="Y87" s="106"/>
      <c r="Z87" s="104" t="s">
        <v>252</v>
      </c>
      <c r="AA87" s="107"/>
      <c r="AB87" s="108"/>
      <c r="AC87" s="104"/>
      <c r="AD87" s="104"/>
      <c r="AE87" s="104" t="s">
        <v>252</v>
      </c>
      <c r="AF87" s="107"/>
      <c r="AG87" s="108"/>
      <c r="AH87" s="106"/>
      <c r="AI87" s="104" t="s">
        <v>252</v>
      </c>
      <c r="AJ87" s="107"/>
      <c r="AK87" s="108"/>
      <c r="AL87" s="106"/>
      <c r="AM87" s="104"/>
      <c r="AN87" s="106"/>
      <c r="AO87" s="106">
        <v>8</v>
      </c>
      <c r="AP87" s="106">
        <v>4.28</v>
      </c>
      <c r="AQ87" s="106" t="s">
        <v>260</v>
      </c>
      <c r="AR87" s="109">
        <v>9500</v>
      </c>
      <c r="AS87" s="109">
        <v>9500</v>
      </c>
      <c r="AT87" s="109">
        <v>9500</v>
      </c>
      <c r="AU87" s="106"/>
      <c r="AV87" s="106">
        <v>308.43</v>
      </c>
      <c r="AW87" s="106"/>
      <c r="AX87" s="106"/>
      <c r="AY87" s="106" t="s">
        <v>295</v>
      </c>
    </row>
    <row r="92" spans="1:65">
      <c r="C92" t="s">
        <v>377</v>
      </c>
    </row>
    <row r="93" spans="1:65" s="106" customFormat="1">
      <c r="A93" s="103">
        <v>1301</v>
      </c>
      <c r="B93"/>
      <c r="C93" s="104">
        <v>4</v>
      </c>
      <c r="D93" s="105">
        <v>365.71</v>
      </c>
      <c r="E93" s="105">
        <v>0</v>
      </c>
      <c r="F93" s="105">
        <v>0</v>
      </c>
      <c r="G93" s="105">
        <f t="shared" ref="G93:G94" si="39">D93+F93</f>
        <v>365.71</v>
      </c>
      <c r="I93" s="104" t="s">
        <v>248</v>
      </c>
      <c r="J93" s="107">
        <v>113</v>
      </c>
      <c r="K93" s="108" t="s">
        <v>256</v>
      </c>
      <c r="N93" s="104" t="s">
        <v>248</v>
      </c>
      <c r="O93" s="107">
        <v>114</v>
      </c>
      <c r="P93" s="108" t="s">
        <v>256</v>
      </c>
      <c r="S93" s="104" t="s">
        <v>248</v>
      </c>
      <c r="T93" s="107">
        <v>115</v>
      </c>
      <c r="U93" s="108" t="s">
        <v>256</v>
      </c>
      <c r="X93" s="104" t="s">
        <v>248</v>
      </c>
      <c r="Y93" s="107">
        <v>116</v>
      </c>
      <c r="Z93" s="108" t="s">
        <v>256</v>
      </c>
      <c r="AA93" s="104"/>
      <c r="AB93" s="104"/>
      <c r="AC93" s="104" t="s">
        <v>252</v>
      </c>
      <c r="AD93" s="107"/>
      <c r="AE93" s="108"/>
      <c r="AG93" s="104" t="s">
        <v>252</v>
      </c>
      <c r="AH93" s="107"/>
      <c r="AI93" s="108"/>
      <c r="AK93" s="104"/>
      <c r="AM93" s="106">
        <v>19</v>
      </c>
      <c r="AN93" s="106">
        <v>5.7</v>
      </c>
      <c r="AO93" s="106" t="s">
        <v>256</v>
      </c>
      <c r="AP93" s="109">
        <f>9595*1.0216*1.01</f>
        <v>9900.2745200000008</v>
      </c>
      <c r="AQ93" s="109">
        <f t="shared" ref="AQ93:AR94" si="40">9595*1.0216*1.01</f>
        <v>9900.2745200000008</v>
      </c>
      <c r="AR93" s="109">
        <f t="shared" si="40"/>
        <v>9900.2745200000008</v>
      </c>
      <c r="AT93" s="106">
        <v>365.71</v>
      </c>
      <c r="AW93" s="106" t="s">
        <v>338</v>
      </c>
      <c r="AY93" s="106">
        <f t="shared" ref="AY93:AY94" si="41">A93+100</f>
        <v>1401</v>
      </c>
      <c r="BM93"/>
    </row>
    <row r="94" spans="1:65" s="106" customFormat="1">
      <c r="A94" s="103">
        <v>2901</v>
      </c>
      <c r="B94"/>
      <c r="C94" s="104">
        <v>4</v>
      </c>
      <c r="D94" s="105">
        <v>365.71</v>
      </c>
      <c r="E94" s="105">
        <v>0</v>
      </c>
      <c r="F94" s="105">
        <v>0</v>
      </c>
      <c r="G94" s="105">
        <f t="shared" si="39"/>
        <v>365.71</v>
      </c>
      <c r="I94" s="104" t="s">
        <v>248</v>
      </c>
      <c r="J94" s="107">
        <v>105</v>
      </c>
      <c r="K94" s="108" t="s">
        <v>256</v>
      </c>
      <c r="N94" s="104" t="s">
        <v>248</v>
      </c>
      <c r="O94" s="107">
        <v>125</v>
      </c>
      <c r="P94" s="108" t="s">
        <v>256</v>
      </c>
      <c r="S94" s="104" t="s">
        <v>248</v>
      </c>
      <c r="T94" s="107">
        <v>175</v>
      </c>
      <c r="U94" s="108" t="s">
        <v>256</v>
      </c>
      <c r="X94" s="104" t="s">
        <v>248</v>
      </c>
      <c r="Y94" s="107">
        <v>176</v>
      </c>
      <c r="Z94" s="108" t="s">
        <v>256</v>
      </c>
      <c r="AA94" s="104"/>
      <c r="AB94" s="104"/>
      <c r="AC94" s="104" t="s">
        <v>252</v>
      </c>
      <c r="AD94" s="107"/>
      <c r="AE94" s="108"/>
      <c r="AG94" s="104" t="s">
        <v>252</v>
      </c>
      <c r="AH94" s="107"/>
      <c r="AI94" s="108"/>
      <c r="AK94" s="104"/>
      <c r="AM94" s="106">
        <v>17</v>
      </c>
      <c r="AN94" s="106">
        <v>4.91</v>
      </c>
      <c r="AO94" s="106" t="s">
        <v>256</v>
      </c>
      <c r="AP94" s="109">
        <f>9595*1.0216*1.01</f>
        <v>9900.2745200000008</v>
      </c>
      <c r="AQ94" s="109">
        <f t="shared" si="40"/>
        <v>9900.2745200000008</v>
      </c>
      <c r="AR94" s="109">
        <f t="shared" si="40"/>
        <v>9900.2745200000008</v>
      </c>
      <c r="AT94" s="106">
        <v>365.71</v>
      </c>
      <c r="AW94" s="106" t="s">
        <v>290</v>
      </c>
      <c r="AY94" s="106">
        <f t="shared" si="41"/>
        <v>3001</v>
      </c>
      <c r="BM94"/>
    </row>
  </sheetData>
  <autoFilter ref="A1:AW68" xr:uid="{00000000-0001-0000-0100-000000000000}">
    <filterColumn colId="0">
      <filters>
        <filter val="1800"/>
        <filter val="2400"/>
      </filters>
    </filterColumn>
  </autoFilter>
  <phoneticPr fontId="22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5CEB-C8A5-48F8-8B20-C7BCCD7A35E7}">
  <dimension ref="A1:AL68"/>
  <sheetViews>
    <sheetView workbookViewId="0"/>
  </sheetViews>
  <sheetFormatPr defaultColWidth="8.85546875" defaultRowHeight="15"/>
  <cols>
    <col min="1" max="1" width="14.42578125" bestFit="1" customWidth="1"/>
    <col min="2" max="2" width="12.42578125" bestFit="1" customWidth="1"/>
    <col min="3" max="3" width="16" bestFit="1" customWidth="1"/>
    <col min="4" max="4" width="15.7109375" bestFit="1" customWidth="1"/>
    <col min="5" max="5" width="12.42578125" bestFit="1" customWidth="1"/>
    <col min="6" max="6" width="16.42578125" bestFit="1" customWidth="1"/>
    <col min="7" max="7" width="11.140625" bestFit="1" customWidth="1"/>
    <col min="8" max="8" width="18.42578125" bestFit="1" customWidth="1"/>
    <col min="9" max="9" width="26" bestFit="1" customWidth="1"/>
    <col min="10" max="10" width="20" bestFit="1" customWidth="1"/>
    <col min="11" max="11" width="12.7109375" bestFit="1" customWidth="1"/>
    <col min="12" max="12" width="14.7109375" bestFit="1" customWidth="1"/>
    <col min="13" max="13" width="17.42578125" bestFit="1" customWidth="1"/>
    <col min="14" max="14" width="16" bestFit="1" customWidth="1"/>
    <col min="15" max="15" width="19" bestFit="1" customWidth="1"/>
    <col min="16" max="16" width="23.28515625" bestFit="1" customWidth="1"/>
    <col min="17" max="17" width="15.42578125" bestFit="1" customWidth="1"/>
    <col min="18" max="18" width="18.7109375" bestFit="1" customWidth="1"/>
    <col min="19" max="19" width="19.42578125" bestFit="1" customWidth="1"/>
    <col min="20" max="20" width="23.42578125" bestFit="1" customWidth="1"/>
    <col min="21" max="21" width="24" bestFit="1" customWidth="1"/>
    <col min="22" max="22" width="39.7109375" bestFit="1" customWidth="1"/>
    <col min="23" max="23" width="25.7109375" bestFit="1" customWidth="1"/>
    <col min="24" max="24" width="15.85546875" bestFit="1" customWidth="1"/>
    <col min="25" max="25" width="14.42578125" bestFit="1" customWidth="1"/>
    <col min="26" max="29" width="10.42578125" bestFit="1" customWidth="1"/>
    <col min="30" max="30" width="29" bestFit="1" customWidth="1"/>
    <col min="31" max="34" width="10.42578125" bestFit="1" customWidth="1"/>
    <col min="35" max="35" width="11.85546875" bestFit="1" customWidth="1"/>
    <col min="36" max="36" width="14.42578125" bestFit="1" customWidth="1"/>
    <col min="37" max="37" width="22" bestFit="1" customWidth="1"/>
    <col min="38" max="38" width="22.140625" bestFit="1" customWidth="1"/>
  </cols>
  <sheetData>
    <row r="1" spans="1:38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t="s">
        <v>387</v>
      </c>
      <c r="K1" t="s">
        <v>388</v>
      </c>
      <c r="L1" t="s">
        <v>389</v>
      </c>
      <c r="M1" t="s">
        <v>390</v>
      </c>
      <c r="N1" t="s">
        <v>391</v>
      </c>
      <c r="O1" t="s">
        <v>392</v>
      </c>
      <c r="P1" t="s">
        <v>393</v>
      </c>
      <c r="Q1" t="s">
        <v>394</v>
      </c>
      <c r="R1" t="s">
        <v>395</v>
      </c>
      <c r="S1" t="s">
        <v>396</v>
      </c>
      <c r="T1" t="s">
        <v>397</v>
      </c>
      <c r="U1" t="s">
        <v>398</v>
      </c>
      <c r="V1" t="s">
        <v>399</v>
      </c>
      <c r="W1" t="s">
        <v>400</v>
      </c>
      <c r="X1" t="s">
        <v>401</v>
      </c>
      <c r="Y1" t="s">
        <v>402</v>
      </c>
      <c r="Z1" t="s">
        <v>403</v>
      </c>
      <c r="AA1" t="s">
        <v>404</v>
      </c>
      <c r="AB1" t="s">
        <v>405</v>
      </c>
      <c r="AC1" t="s">
        <v>406</v>
      </c>
      <c r="AD1" t="s">
        <v>407</v>
      </c>
      <c r="AE1" t="s">
        <v>408</v>
      </c>
      <c r="AF1" t="s">
        <v>409</v>
      </c>
      <c r="AG1" t="s">
        <v>410</v>
      </c>
      <c r="AH1" t="s">
        <v>411</v>
      </c>
      <c r="AI1" t="s">
        <v>412</v>
      </c>
      <c r="AJ1" t="s">
        <v>413</v>
      </c>
      <c r="AK1" t="s">
        <v>414</v>
      </c>
      <c r="AL1" t="s">
        <v>415</v>
      </c>
    </row>
    <row r="2" spans="1:38">
      <c r="A2">
        <v>1</v>
      </c>
      <c r="B2">
        <v>68</v>
      </c>
      <c r="C2">
        <v>53</v>
      </c>
      <c r="D2">
        <v>1</v>
      </c>
      <c r="E2" t="s">
        <v>416</v>
      </c>
      <c r="H2">
        <v>2.0519511381599999E-2</v>
      </c>
      <c r="I2">
        <v>2.05195113816E-4</v>
      </c>
      <c r="J2">
        <v>401</v>
      </c>
      <c r="K2">
        <v>1</v>
      </c>
      <c r="N2">
        <v>0</v>
      </c>
      <c r="V2" s="304"/>
      <c r="W2" s="304"/>
      <c r="X2" s="304">
        <v>44357</v>
      </c>
      <c r="Y2" t="s">
        <v>417</v>
      </c>
      <c r="Z2" t="s">
        <v>418</v>
      </c>
      <c r="AA2" t="s">
        <v>419</v>
      </c>
      <c r="AC2" t="s">
        <v>420</v>
      </c>
      <c r="AD2" t="s">
        <v>253</v>
      </c>
      <c r="AE2" t="s">
        <v>249</v>
      </c>
      <c r="AF2" t="s">
        <v>421</v>
      </c>
      <c r="AG2" t="s">
        <v>249</v>
      </c>
      <c r="AH2" t="s">
        <v>422</v>
      </c>
      <c r="AJ2" t="s">
        <v>90</v>
      </c>
    </row>
    <row r="3" spans="1:38">
      <c r="A3">
        <v>1</v>
      </c>
      <c r="B3">
        <v>68</v>
      </c>
      <c r="C3">
        <v>53</v>
      </c>
      <c r="D3">
        <v>2</v>
      </c>
      <c r="E3" t="s">
        <v>416</v>
      </c>
      <c r="H3">
        <v>1.8739511381599998E-2</v>
      </c>
      <c r="I3">
        <v>1.87395113816E-4</v>
      </c>
      <c r="J3">
        <v>402</v>
      </c>
      <c r="K3">
        <v>1</v>
      </c>
      <c r="N3">
        <v>0</v>
      </c>
      <c r="V3" s="304"/>
      <c r="W3" s="304"/>
      <c r="X3" s="304">
        <v>44357</v>
      </c>
      <c r="Y3" t="s">
        <v>417</v>
      </c>
      <c r="Z3" t="s">
        <v>423</v>
      </c>
      <c r="AA3" t="s">
        <v>424</v>
      </c>
      <c r="AC3" t="s">
        <v>425</v>
      </c>
      <c r="AD3" t="s">
        <v>255</v>
      </c>
      <c r="AE3" t="s">
        <v>249</v>
      </c>
      <c r="AF3" t="s">
        <v>426</v>
      </c>
      <c r="AG3" t="s">
        <v>249</v>
      </c>
      <c r="AH3" t="s">
        <v>422</v>
      </c>
      <c r="AJ3" t="s">
        <v>90</v>
      </c>
    </row>
    <row r="4" spans="1:38">
      <c r="A4">
        <v>1</v>
      </c>
      <c r="B4">
        <v>68</v>
      </c>
      <c r="C4">
        <v>53</v>
      </c>
      <c r="D4">
        <v>3</v>
      </c>
      <c r="E4" t="s">
        <v>416</v>
      </c>
      <c r="H4">
        <v>1.5409511381600001E-2</v>
      </c>
      <c r="I4">
        <v>1.5409511381600001E-4</v>
      </c>
      <c r="J4">
        <v>501</v>
      </c>
      <c r="K4">
        <v>1</v>
      </c>
      <c r="N4">
        <v>0</v>
      </c>
      <c r="V4" s="304"/>
      <c r="W4" s="304"/>
      <c r="X4" s="304">
        <v>44357</v>
      </c>
      <c r="Y4" t="s">
        <v>417</v>
      </c>
      <c r="Z4" t="s">
        <v>427</v>
      </c>
      <c r="AA4" t="s">
        <v>428</v>
      </c>
      <c r="AC4" t="s">
        <v>429</v>
      </c>
      <c r="AD4" t="s">
        <v>258</v>
      </c>
      <c r="AE4" t="s">
        <v>430</v>
      </c>
      <c r="AF4" t="s">
        <v>431</v>
      </c>
      <c r="AG4" t="s">
        <v>249</v>
      </c>
      <c r="AH4" t="s">
        <v>422</v>
      </c>
      <c r="AJ4" t="s">
        <v>90</v>
      </c>
    </row>
    <row r="5" spans="1:38">
      <c r="A5">
        <v>1</v>
      </c>
      <c r="B5">
        <v>68</v>
      </c>
      <c r="C5">
        <v>53</v>
      </c>
      <c r="D5">
        <v>4</v>
      </c>
      <c r="E5" t="s">
        <v>416</v>
      </c>
      <c r="H5">
        <v>1.2799511381599999E-2</v>
      </c>
      <c r="I5">
        <v>1.27995113816E-4</v>
      </c>
      <c r="J5">
        <v>502</v>
      </c>
      <c r="K5">
        <v>1</v>
      </c>
      <c r="N5">
        <v>0</v>
      </c>
      <c r="V5" s="304"/>
      <c r="W5" s="304"/>
      <c r="X5" s="304">
        <v>44357</v>
      </c>
      <c r="Y5" t="s">
        <v>417</v>
      </c>
      <c r="Z5" t="s">
        <v>432</v>
      </c>
      <c r="AA5" t="s">
        <v>433</v>
      </c>
      <c r="AC5" t="s">
        <v>434</v>
      </c>
      <c r="AD5" t="s">
        <v>261</v>
      </c>
      <c r="AE5" t="s">
        <v>435</v>
      </c>
      <c r="AF5" t="s">
        <v>436</v>
      </c>
      <c r="AG5" t="s">
        <v>260</v>
      </c>
      <c r="AH5" t="s">
        <v>422</v>
      </c>
      <c r="AJ5" t="s">
        <v>90</v>
      </c>
    </row>
    <row r="6" spans="1:38">
      <c r="A6">
        <v>1</v>
      </c>
      <c r="B6">
        <v>68</v>
      </c>
      <c r="C6">
        <v>53</v>
      </c>
      <c r="D6">
        <v>5</v>
      </c>
      <c r="E6" t="s">
        <v>416</v>
      </c>
      <c r="H6">
        <v>1.38495113816E-2</v>
      </c>
      <c r="I6">
        <v>1.3849511381600001E-4</v>
      </c>
      <c r="J6">
        <v>601</v>
      </c>
      <c r="K6">
        <v>1</v>
      </c>
      <c r="N6">
        <v>0</v>
      </c>
      <c r="V6" s="304"/>
      <c r="W6" s="304"/>
      <c r="X6" s="304">
        <v>44357</v>
      </c>
      <c r="Y6" t="s">
        <v>417</v>
      </c>
      <c r="Z6" t="s">
        <v>437</v>
      </c>
      <c r="AA6" t="s">
        <v>438</v>
      </c>
      <c r="AC6" t="s">
        <v>439</v>
      </c>
      <c r="AD6" t="s">
        <v>263</v>
      </c>
      <c r="AE6" t="s">
        <v>430</v>
      </c>
      <c r="AF6" t="s">
        <v>440</v>
      </c>
      <c r="AG6" t="s">
        <v>249</v>
      </c>
      <c r="AH6" t="s">
        <v>422</v>
      </c>
      <c r="AJ6" t="s">
        <v>90</v>
      </c>
    </row>
    <row r="7" spans="1:38">
      <c r="A7">
        <v>1</v>
      </c>
      <c r="B7">
        <v>68</v>
      </c>
      <c r="C7">
        <v>53</v>
      </c>
      <c r="D7">
        <v>6</v>
      </c>
      <c r="E7" t="s">
        <v>416</v>
      </c>
      <c r="H7">
        <v>1.22695113816E-2</v>
      </c>
      <c r="I7">
        <v>1.22695113816E-4</v>
      </c>
      <c r="J7">
        <v>602</v>
      </c>
      <c r="K7">
        <v>1</v>
      </c>
      <c r="N7">
        <v>0</v>
      </c>
      <c r="V7" s="304"/>
      <c r="W7" s="304"/>
      <c r="X7" s="304">
        <v>44357</v>
      </c>
      <c r="Y7" t="s">
        <v>417</v>
      </c>
      <c r="Z7" t="s">
        <v>441</v>
      </c>
      <c r="AA7" t="s">
        <v>442</v>
      </c>
      <c r="AC7" t="s">
        <v>443</v>
      </c>
      <c r="AD7" t="s">
        <v>265</v>
      </c>
      <c r="AE7" t="s">
        <v>435</v>
      </c>
      <c r="AF7" t="s">
        <v>444</v>
      </c>
      <c r="AG7" t="s">
        <v>260</v>
      </c>
      <c r="AH7" t="s">
        <v>422</v>
      </c>
      <c r="AJ7" t="s">
        <v>90</v>
      </c>
    </row>
    <row r="8" spans="1:38">
      <c r="A8">
        <v>1</v>
      </c>
      <c r="B8">
        <v>68</v>
      </c>
      <c r="C8">
        <v>53</v>
      </c>
      <c r="D8">
        <v>7</v>
      </c>
      <c r="E8" t="s">
        <v>416</v>
      </c>
      <c r="H8">
        <v>1.42295113816E-2</v>
      </c>
      <c r="I8">
        <v>1.4229511381599999E-4</v>
      </c>
      <c r="J8">
        <v>701</v>
      </c>
      <c r="K8">
        <v>1</v>
      </c>
      <c r="N8">
        <v>0</v>
      </c>
      <c r="V8" s="304"/>
      <c r="W8" s="304"/>
      <c r="X8" s="304">
        <v>44357</v>
      </c>
      <c r="Y8" t="s">
        <v>417</v>
      </c>
      <c r="Z8" t="s">
        <v>445</v>
      </c>
      <c r="AA8" t="s">
        <v>446</v>
      </c>
      <c r="AC8" t="s">
        <v>447</v>
      </c>
      <c r="AD8" t="s">
        <v>267</v>
      </c>
      <c r="AE8" t="s">
        <v>430</v>
      </c>
      <c r="AF8" t="s">
        <v>448</v>
      </c>
      <c r="AG8" t="s">
        <v>249</v>
      </c>
      <c r="AH8" t="s">
        <v>422</v>
      </c>
      <c r="AJ8" t="s">
        <v>90</v>
      </c>
    </row>
    <row r="9" spans="1:38">
      <c r="A9">
        <v>1</v>
      </c>
      <c r="B9">
        <v>68</v>
      </c>
      <c r="C9">
        <v>53</v>
      </c>
      <c r="D9">
        <v>8</v>
      </c>
      <c r="E9" t="s">
        <v>416</v>
      </c>
      <c r="H9">
        <v>1.17195113816E-2</v>
      </c>
      <c r="I9">
        <v>1.1719511381600001E-4</v>
      </c>
      <c r="J9">
        <v>702</v>
      </c>
      <c r="K9">
        <v>1</v>
      </c>
      <c r="N9">
        <v>0</v>
      </c>
      <c r="V9" s="304"/>
      <c r="W9" s="304"/>
      <c r="X9" s="304">
        <v>44357</v>
      </c>
      <c r="Y9" t="s">
        <v>417</v>
      </c>
      <c r="Z9" t="s">
        <v>449</v>
      </c>
      <c r="AA9" t="s">
        <v>450</v>
      </c>
      <c r="AC9" t="s">
        <v>451</v>
      </c>
      <c r="AD9" t="s">
        <v>269</v>
      </c>
      <c r="AE9" t="s">
        <v>435</v>
      </c>
      <c r="AF9" t="s">
        <v>452</v>
      </c>
      <c r="AG9" t="s">
        <v>260</v>
      </c>
      <c r="AH9" t="s">
        <v>422</v>
      </c>
      <c r="AJ9" t="s">
        <v>90</v>
      </c>
    </row>
    <row r="10" spans="1:38">
      <c r="A10">
        <v>1</v>
      </c>
      <c r="B10">
        <v>68</v>
      </c>
      <c r="C10">
        <v>53</v>
      </c>
      <c r="D10">
        <v>9</v>
      </c>
      <c r="E10" t="s">
        <v>416</v>
      </c>
      <c r="H10">
        <v>1.3829511381600001E-2</v>
      </c>
      <c r="I10">
        <v>1.38295113816E-4</v>
      </c>
      <c r="J10">
        <v>801</v>
      </c>
      <c r="K10">
        <v>1</v>
      </c>
      <c r="N10">
        <v>0</v>
      </c>
      <c r="V10" s="304"/>
      <c r="W10" s="304"/>
      <c r="X10" s="304">
        <v>44357</v>
      </c>
      <c r="Y10" t="s">
        <v>417</v>
      </c>
      <c r="Z10" t="s">
        <v>453</v>
      </c>
      <c r="AA10" t="s">
        <v>438</v>
      </c>
      <c r="AC10" t="s">
        <v>425</v>
      </c>
      <c r="AD10" t="s">
        <v>271</v>
      </c>
      <c r="AE10" t="s">
        <v>430</v>
      </c>
      <c r="AF10" t="s">
        <v>454</v>
      </c>
      <c r="AG10" t="s">
        <v>249</v>
      </c>
      <c r="AH10" t="s">
        <v>422</v>
      </c>
      <c r="AJ10" t="s">
        <v>90</v>
      </c>
    </row>
    <row r="11" spans="1:38">
      <c r="A11">
        <v>1</v>
      </c>
      <c r="B11">
        <v>68</v>
      </c>
      <c r="C11">
        <v>53</v>
      </c>
      <c r="D11">
        <v>10</v>
      </c>
      <c r="E11" t="s">
        <v>416</v>
      </c>
      <c r="H11">
        <v>1.22695113816E-2</v>
      </c>
      <c r="I11">
        <v>1.22695113816E-4</v>
      </c>
      <c r="J11">
        <v>802</v>
      </c>
      <c r="K11">
        <v>1</v>
      </c>
      <c r="N11">
        <v>0</v>
      </c>
      <c r="V11" s="304"/>
      <c r="W11" s="304"/>
      <c r="X11" s="304">
        <v>44357</v>
      </c>
      <c r="Y11" t="s">
        <v>417</v>
      </c>
      <c r="Z11" t="s">
        <v>455</v>
      </c>
      <c r="AA11" t="s">
        <v>442</v>
      </c>
      <c r="AC11" t="s">
        <v>456</v>
      </c>
      <c r="AD11" t="s">
        <v>273</v>
      </c>
      <c r="AE11" t="s">
        <v>435</v>
      </c>
      <c r="AF11" t="s">
        <v>457</v>
      </c>
      <c r="AG11" t="s">
        <v>260</v>
      </c>
      <c r="AH11" t="s">
        <v>422</v>
      </c>
      <c r="AJ11" t="s">
        <v>90</v>
      </c>
    </row>
    <row r="12" spans="1:38">
      <c r="A12">
        <v>1</v>
      </c>
      <c r="B12">
        <v>68</v>
      </c>
      <c r="C12">
        <v>53</v>
      </c>
      <c r="D12">
        <v>11</v>
      </c>
      <c r="E12" t="s">
        <v>416</v>
      </c>
      <c r="H12">
        <v>1.42295113816E-2</v>
      </c>
      <c r="I12">
        <v>1.4229511381599999E-4</v>
      </c>
      <c r="J12">
        <v>901</v>
      </c>
      <c r="K12">
        <v>1</v>
      </c>
      <c r="N12">
        <v>1</v>
      </c>
      <c r="V12" s="304"/>
      <c r="W12" s="304"/>
      <c r="X12" s="304">
        <v>44357</v>
      </c>
      <c r="Y12" t="s">
        <v>417</v>
      </c>
      <c r="Z12" t="s">
        <v>458</v>
      </c>
      <c r="AA12" t="s">
        <v>446</v>
      </c>
      <c r="AC12" t="s">
        <v>425</v>
      </c>
      <c r="AD12" t="s">
        <v>275</v>
      </c>
      <c r="AE12" t="s">
        <v>430</v>
      </c>
      <c r="AF12" t="s">
        <v>459</v>
      </c>
      <c r="AG12" t="s">
        <v>249</v>
      </c>
      <c r="AH12" t="s">
        <v>422</v>
      </c>
      <c r="AJ12" t="s">
        <v>89</v>
      </c>
    </row>
    <row r="13" spans="1:38">
      <c r="A13">
        <v>1</v>
      </c>
      <c r="B13">
        <v>68</v>
      </c>
      <c r="C13">
        <v>53</v>
      </c>
      <c r="D13">
        <v>12</v>
      </c>
      <c r="E13" t="s">
        <v>416</v>
      </c>
      <c r="H13">
        <v>1.16895113816E-2</v>
      </c>
      <c r="I13">
        <v>1.16895113816E-4</v>
      </c>
      <c r="J13">
        <v>902</v>
      </c>
      <c r="K13">
        <v>1</v>
      </c>
      <c r="N13">
        <v>0</v>
      </c>
      <c r="V13" s="304"/>
      <c r="W13" s="304"/>
      <c r="X13" s="304">
        <v>44357</v>
      </c>
      <c r="Y13" t="s">
        <v>417</v>
      </c>
      <c r="Z13" t="s">
        <v>460</v>
      </c>
      <c r="AA13" t="s">
        <v>450</v>
      </c>
      <c r="AC13" t="s">
        <v>461</v>
      </c>
      <c r="AD13" t="s">
        <v>277</v>
      </c>
      <c r="AE13" t="s">
        <v>435</v>
      </c>
      <c r="AF13" t="s">
        <v>462</v>
      </c>
      <c r="AG13" t="s">
        <v>260</v>
      </c>
      <c r="AH13" t="s">
        <v>422</v>
      </c>
      <c r="AJ13" t="s">
        <v>90</v>
      </c>
    </row>
    <row r="14" spans="1:38">
      <c r="A14">
        <v>1</v>
      </c>
      <c r="B14">
        <v>68</v>
      </c>
      <c r="C14">
        <v>53</v>
      </c>
      <c r="D14">
        <v>13</v>
      </c>
      <c r="E14" t="s">
        <v>416</v>
      </c>
      <c r="H14">
        <v>1.39695113816E-2</v>
      </c>
      <c r="I14">
        <v>1.3969511381600001E-4</v>
      </c>
      <c r="J14">
        <v>1001</v>
      </c>
      <c r="K14">
        <v>1</v>
      </c>
      <c r="N14">
        <v>0</v>
      </c>
      <c r="V14" s="304"/>
      <c r="W14" s="304"/>
      <c r="X14" s="304">
        <v>44357</v>
      </c>
      <c r="Y14" t="s">
        <v>417</v>
      </c>
      <c r="Z14" t="s">
        <v>453</v>
      </c>
      <c r="AA14" t="s">
        <v>438</v>
      </c>
      <c r="AC14" t="s">
        <v>425</v>
      </c>
      <c r="AD14" t="s">
        <v>279</v>
      </c>
      <c r="AE14" t="s">
        <v>430</v>
      </c>
      <c r="AF14" t="s">
        <v>463</v>
      </c>
      <c r="AG14" t="s">
        <v>249</v>
      </c>
      <c r="AH14" t="s">
        <v>464</v>
      </c>
      <c r="AJ14" t="s">
        <v>90</v>
      </c>
    </row>
    <row r="15" spans="1:38">
      <c r="A15">
        <v>1</v>
      </c>
      <c r="B15">
        <v>68</v>
      </c>
      <c r="C15">
        <v>53</v>
      </c>
      <c r="D15">
        <v>14</v>
      </c>
      <c r="E15" t="s">
        <v>416</v>
      </c>
      <c r="H15">
        <v>1.22295113816E-2</v>
      </c>
      <c r="I15">
        <v>1.2229511381599999E-4</v>
      </c>
      <c r="J15">
        <v>1002</v>
      </c>
      <c r="K15">
        <v>1</v>
      </c>
      <c r="N15">
        <v>0</v>
      </c>
      <c r="V15" s="304"/>
      <c r="W15" s="304"/>
      <c r="X15" s="304">
        <v>44357</v>
      </c>
      <c r="Y15" t="s">
        <v>417</v>
      </c>
      <c r="Z15" t="s">
        <v>465</v>
      </c>
      <c r="AA15" t="s">
        <v>442</v>
      </c>
      <c r="AC15" t="s">
        <v>466</v>
      </c>
      <c r="AD15" t="s">
        <v>281</v>
      </c>
      <c r="AE15" t="s">
        <v>435</v>
      </c>
      <c r="AF15" t="s">
        <v>467</v>
      </c>
      <c r="AG15" t="s">
        <v>260</v>
      </c>
      <c r="AH15" t="s">
        <v>422</v>
      </c>
      <c r="AJ15" t="s">
        <v>90</v>
      </c>
    </row>
    <row r="16" spans="1:38">
      <c r="A16">
        <v>1</v>
      </c>
      <c r="B16">
        <v>68</v>
      </c>
      <c r="C16">
        <v>53</v>
      </c>
      <c r="D16">
        <v>15</v>
      </c>
      <c r="E16" t="s">
        <v>416</v>
      </c>
      <c r="H16">
        <v>1.42295113816E-2</v>
      </c>
      <c r="I16">
        <v>1.4229511381599999E-4</v>
      </c>
      <c r="J16">
        <v>1101</v>
      </c>
      <c r="K16">
        <v>1</v>
      </c>
      <c r="N16">
        <v>1</v>
      </c>
      <c r="V16" s="304"/>
      <c r="W16" s="304"/>
      <c r="X16" s="304">
        <v>44357</v>
      </c>
      <c r="Y16" t="s">
        <v>417</v>
      </c>
      <c r="Z16" t="s">
        <v>458</v>
      </c>
      <c r="AA16" t="s">
        <v>446</v>
      </c>
      <c r="AC16" t="s">
        <v>425</v>
      </c>
      <c r="AD16" t="s">
        <v>283</v>
      </c>
      <c r="AE16" t="s">
        <v>430</v>
      </c>
      <c r="AF16" t="s">
        <v>468</v>
      </c>
      <c r="AG16" t="s">
        <v>249</v>
      </c>
      <c r="AH16" t="s">
        <v>422</v>
      </c>
      <c r="AJ16" t="s">
        <v>89</v>
      </c>
    </row>
    <row r="17" spans="1:36">
      <c r="A17">
        <v>1</v>
      </c>
      <c r="B17">
        <v>68</v>
      </c>
      <c r="C17">
        <v>53</v>
      </c>
      <c r="D17">
        <v>16</v>
      </c>
      <c r="E17" t="s">
        <v>416</v>
      </c>
      <c r="H17">
        <v>1.17095113816E-2</v>
      </c>
      <c r="I17">
        <v>1.17095113816E-4</v>
      </c>
      <c r="J17">
        <v>1102</v>
      </c>
      <c r="K17">
        <v>1</v>
      </c>
      <c r="N17">
        <v>0</v>
      </c>
      <c r="V17" s="304"/>
      <c r="W17" s="304"/>
      <c r="X17" s="304">
        <v>44357</v>
      </c>
      <c r="Y17" t="s">
        <v>417</v>
      </c>
      <c r="Z17" t="s">
        <v>469</v>
      </c>
      <c r="AA17" t="s">
        <v>450</v>
      </c>
      <c r="AC17" t="s">
        <v>470</v>
      </c>
      <c r="AD17" t="s">
        <v>285</v>
      </c>
      <c r="AE17" t="s">
        <v>435</v>
      </c>
      <c r="AF17" t="s">
        <v>471</v>
      </c>
      <c r="AG17" t="s">
        <v>260</v>
      </c>
      <c r="AH17" t="s">
        <v>422</v>
      </c>
      <c r="AJ17" t="s">
        <v>90</v>
      </c>
    </row>
    <row r="18" spans="1:36">
      <c r="A18">
        <v>1</v>
      </c>
      <c r="B18">
        <v>68</v>
      </c>
      <c r="C18">
        <v>53</v>
      </c>
      <c r="D18">
        <v>17</v>
      </c>
      <c r="E18" t="s">
        <v>416</v>
      </c>
      <c r="H18">
        <v>1.3829511381600001E-2</v>
      </c>
      <c r="I18">
        <v>1.38295113816E-4</v>
      </c>
      <c r="J18">
        <v>1201</v>
      </c>
      <c r="K18">
        <v>1</v>
      </c>
      <c r="N18">
        <v>0</v>
      </c>
      <c r="V18" s="304"/>
      <c r="W18" s="304"/>
      <c r="X18" s="304">
        <v>44357</v>
      </c>
      <c r="Y18" t="s">
        <v>417</v>
      </c>
      <c r="Z18" t="s">
        <v>453</v>
      </c>
      <c r="AA18" t="s">
        <v>438</v>
      </c>
      <c r="AC18" t="s">
        <v>425</v>
      </c>
      <c r="AD18" t="s">
        <v>287</v>
      </c>
      <c r="AE18" t="s">
        <v>430</v>
      </c>
      <c r="AF18" t="s">
        <v>472</v>
      </c>
      <c r="AG18" t="s">
        <v>249</v>
      </c>
      <c r="AH18" t="s">
        <v>422</v>
      </c>
      <c r="AJ18" t="s">
        <v>90</v>
      </c>
    </row>
    <row r="19" spans="1:36">
      <c r="A19">
        <v>1</v>
      </c>
      <c r="B19">
        <v>68</v>
      </c>
      <c r="C19">
        <v>53</v>
      </c>
      <c r="D19">
        <v>18</v>
      </c>
      <c r="E19" t="s">
        <v>416</v>
      </c>
      <c r="H19">
        <v>1.22295113816E-2</v>
      </c>
      <c r="I19">
        <v>1.2229511381599999E-4</v>
      </c>
      <c r="J19">
        <v>1202</v>
      </c>
      <c r="K19">
        <v>1</v>
      </c>
      <c r="N19">
        <v>0</v>
      </c>
      <c r="V19" s="304"/>
      <c r="W19" s="304"/>
      <c r="X19" s="304">
        <v>44357</v>
      </c>
      <c r="Y19" t="s">
        <v>417</v>
      </c>
      <c r="Z19" t="s">
        <v>473</v>
      </c>
      <c r="AA19" t="s">
        <v>442</v>
      </c>
      <c r="AC19" t="s">
        <v>474</v>
      </c>
      <c r="AD19" t="s">
        <v>289</v>
      </c>
      <c r="AE19" t="s">
        <v>475</v>
      </c>
      <c r="AF19" t="s">
        <v>476</v>
      </c>
      <c r="AG19" t="s">
        <v>260</v>
      </c>
      <c r="AH19" t="s">
        <v>422</v>
      </c>
      <c r="AJ19" t="s">
        <v>90</v>
      </c>
    </row>
    <row r="20" spans="1:36">
      <c r="A20">
        <v>1</v>
      </c>
      <c r="B20">
        <v>68</v>
      </c>
      <c r="C20">
        <v>53</v>
      </c>
      <c r="D20">
        <v>19</v>
      </c>
      <c r="E20" t="s">
        <v>416</v>
      </c>
      <c r="H20">
        <v>1.4240544901200001E-2</v>
      </c>
      <c r="I20">
        <v>1.4240544901199999E-4</v>
      </c>
      <c r="J20">
        <v>1301</v>
      </c>
      <c r="K20">
        <v>1</v>
      </c>
      <c r="N20">
        <v>1</v>
      </c>
      <c r="V20" s="304"/>
      <c r="W20" s="304"/>
      <c r="X20" s="304">
        <v>44357</v>
      </c>
      <c r="Y20" t="s">
        <v>417</v>
      </c>
      <c r="Z20" t="s">
        <v>477</v>
      </c>
      <c r="AA20" t="s">
        <v>446</v>
      </c>
      <c r="AC20" t="s">
        <v>470</v>
      </c>
      <c r="AD20" t="s">
        <v>290</v>
      </c>
      <c r="AE20" t="s">
        <v>256</v>
      </c>
      <c r="AF20" t="s">
        <v>478</v>
      </c>
      <c r="AG20" t="s">
        <v>256</v>
      </c>
      <c r="AH20" t="s">
        <v>422</v>
      </c>
      <c r="AJ20" t="s">
        <v>89</v>
      </c>
    </row>
    <row r="21" spans="1:36">
      <c r="A21">
        <v>1</v>
      </c>
      <c r="B21">
        <v>68</v>
      </c>
      <c r="C21">
        <v>53</v>
      </c>
      <c r="D21">
        <v>20</v>
      </c>
      <c r="E21" t="s">
        <v>416</v>
      </c>
      <c r="H21">
        <v>1.16895113816E-2</v>
      </c>
      <c r="I21">
        <v>1.16895113816E-4</v>
      </c>
      <c r="J21">
        <v>1302</v>
      </c>
      <c r="K21">
        <v>1</v>
      </c>
      <c r="N21">
        <v>0</v>
      </c>
      <c r="V21" s="304"/>
      <c r="W21" s="304"/>
      <c r="X21" s="304">
        <v>44357</v>
      </c>
      <c r="Y21" t="s">
        <v>417</v>
      </c>
      <c r="Z21" t="s">
        <v>479</v>
      </c>
      <c r="AA21" t="s">
        <v>450</v>
      </c>
      <c r="AC21" t="s">
        <v>466</v>
      </c>
      <c r="AD21" t="s">
        <v>292</v>
      </c>
      <c r="AE21" t="s">
        <v>435</v>
      </c>
      <c r="AF21" t="s">
        <v>480</v>
      </c>
      <c r="AG21" t="s">
        <v>260</v>
      </c>
      <c r="AH21" t="s">
        <v>422</v>
      </c>
      <c r="AJ21" t="s">
        <v>90</v>
      </c>
    </row>
    <row r="22" spans="1:36">
      <c r="A22">
        <v>1</v>
      </c>
      <c r="B22">
        <v>68</v>
      </c>
      <c r="C22">
        <v>53</v>
      </c>
      <c r="D22">
        <v>21</v>
      </c>
      <c r="E22" t="s">
        <v>416</v>
      </c>
      <c r="H22">
        <v>1.3820544901200001E-2</v>
      </c>
      <c r="I22">
        <v>1.3820544901199999E-4</v>
      </c>
      <c r="J22">
        <v>1401</v>
      </c>
      <c r="K22">
        <v>1</v>
      </c>
      <c r="N22">
        <v>0</v>
      </c>
      <c r="V22" s="304"/>
      <c r="W22" s="304"/>
      <c r="X22" s="304">
        <v>44357</v>
      </c>
      <c r="Y22" t="s">
        <v>417</v>
      </c>
      <c r="Z22" t="s">
        <v>481</v>
      </c>
      <c r="AA22" t="s">
        <v>438</v>
      </c>
      <c r="AC22" t="s">
        <v>482</v>
      </c>
      <c r="AD22" t="s">
        <v>293</v>
      </c>
      <c r="AE22" t="s">
        <v>256</v>
      </c>
      <c r="AF22" t="s">
        <v>483</v>
      </c>
      <c r="AG22" t="s">
        <v>256</v>
      </c>
      <c r="AH22" t="s">
        <v>422</v>
      </c>
      <c r="AJ22" t="s">
        <v>90</v>
      </c>
    </row>
    <row r="23" spans="1:36">
      <c r="A23">
        <v>1</v>
      </c>
      <c r="B23">
        <v>68</v>
      </c>
      <c r="C23">
        <v>53</v>
      </c>
      <c r="D23">
        <v>22</v>
      </c>
      <c r="E23" t="s">
        <v>416</v>
      </c>
      <c r="H23">
        <v>1.22295113816E-2</v>
      </c>
      <c r="I23">
        <v>1.2229511381599999E-4</v>
      </c>
      <c r="J23">
        <v>1402</v>
      </c>
      <c r="K23">
        <v>1</v>
      </c>
      <c r="N23">
        <v>8</v>
      </c>
      <c r="P23">
        <v>12</v>
      </c>
      <c r="Q23" t="s">
        <v>484</v>
      </c>
      <c r="V23" s="304"/>
      <c r="W23" s="304"/>
      <c r="X23" s="304">
        <v>44357</v>
      </c>
      <c r="Y23" t="s">
        <v>417</v>
      </c>
      <c r="Z23" t="s">
        <v>473</v>
      </c>
      <c r="AA23" t="s">
        <v>442</v>
      </c>
      <c r="AC23" t="s">
        <v>474</v>
      </c>
      <c r="AD23" t="s">
        <v>295</v>
      </c>
      <c r="AE23" t="s">
        <v>260</v>
      </c>
      <c r="AF23" t="s">
        <v>485</v>
      </c>
      <c r="AG23" t="s">
        <v>260</v>
      </c>
      <c r="AH23" t="s">
        <v>422</v>
      </c>
      <c r="AJ23" t="s">
        <v>91</v>
      </c>
    </row>
    <row r="24" spans="1:36">
      <c r="A24">
        <v>1</v>
      </c>
      <c r="B24">
        <v>68</v>
      </c>
      <c r="C24">
        <v>53</v>
      </c>
      <c r="D24">
        <v>23</v>
      </c>
      <c r="E24" t="s">
        <v>416</v>
      </c>
      <c r="H24">
        <v>1.42305449012E-2</v>
      </c>
      <c r="I24">
        <v>1.4230544901200001E-4</v>
      </c>
      <c r="J24">
        <v>1501</v>
      </c>
      <c r="K24">
        <v>1</v>
      </c>
      <c r="N24">
        <v>1</v>
      </c>
      <c r="V24" s="304"/>
      <c r="W24" s="304"/>
      <c r="X24" s="304">
        <v>44357</v>
      </c>
      <c r="Y24" t="s">
        <v>417</v>
      </c>
      <c r="Z24" t="s">
        <v>486</v>
      </c>
      <c r="AA24" t="s">
        <v>446</v>
      </c>
      <c r="AC24" t="s">
        <v>487</v>
      </c>
      <c r="AD24" t="s">
        <v>296</v>
      </c>
      <c r="AE24" t="s">
        <v>256</v>
      </c>
      <c r="AF24" t="s">
        <v>488</v>
      </c>
      <c r="AG24" t="s">
        <v>256</v>
      </c>
      <c r="AH24" t="s">
        <v>422</v>
      </c>
      <c r="AJ24" t="s">
        <v>89</v>
      </c>
    </row>
    <row r="25" spans="1:36">
      <c r="A25">
        <v>1</v>
      </c>
      <c r="B25">
        <v>68</v>
      </c>
      <c r="C25">
        <v>53</v>
      </c>
      <c r="D25">
        <v>24</v>
      </c>
      <c r="E25" t="s">
        <v>416</v>
      </c>
      <c r="H25">
        <v>1.16895113816E-2</v>
      </c>
      <c r="I25">
        <v>1.16895113816E-4</v>
      </c>
      <c r="J25">
        <v>1502</v>
      </c>
      <c r="K25">
        <v>1</v>
      </c>
      <c r="N25">
        <v>0</v>
      </c>
      <c r="V25" s="304"/>
      <c r="W25" s="304"/>
      <c r="X25" s="304">
        <v>44357</v>
      </c>
      <c r="Y25" t="s">
        <v>417</v>
      </c>
      <c r="Z25" t="s">
        <v>489</v>
      </c>
      <c r="AA25" t="s">
        <v>450</v>
      </c>
      <c r="AC25" t="s">
        <v>490</v>
      </c>
      <c r="AD25" t="s">
        <v>298</v>
      </c>
      <c r="AE25" t="s">
        <v>435</v>
      </c>
      <c r="AF25" t="s">
        <v>491</v>
      </c>
      <c r="AG25" t="s">
        <v>260</v>
      </c>
      <c r="AH25" t="s">
        <v>422</v>
      </c>
      <c r="AJ25" t="s">
        <v>90</v>
      </c>
    </row>
    <row r="26" spans="1:36">
      <c r="A26">
        <v>1</v>
      </c>
      <c r="B26">
        <v>68</v>
      </c>
      <c r="C26">
        <v>53</v>
      </c>
      <c r="D26">
        <v>25</v>
      </c>
      <c r="E26" t="s">
        <v>416</v>
      </c>
      <c r="H26">
        <v>1.38005449012E-2</v>
      </c>
      <c r="I26">
        <v>1.3800544901199999E-4</v>
      </c>
      <c r="J26">
        <v>1601</v>
      </c>
      <c r="K26">
        <v>1</v>
      </c>
      <c r="N26">
        <v>0</v>
      </c>
      <c r="V26" s="304"/>
      <c r="W26" s="304"/>
      <c r="X26" s="304">
        <v>44357</v>
      </c>
      <c r="Y26" t="s">
        <v>417</v>
      </c>
      <c r="Z26" t="s">
        <v>492</v>
      </c>
      <c r="AA26" t="s">
        <v>438</v>
      </c>
      <c r="AC26" t="s">
        <v>493</v>
      </c>
      <c r="AD26" t="s">
        <v>299</v>
      </c>
      <c r="AE26" t="s">
        <v>256</v>
      </c>
      <c r="AF26" t="s">
        <v>494</v>
      </c>
      <c r="AG26" t="s">
        <v>256</v>
      </c>
      <c r="AH26" t="s">
        <v>422</v>
      </c>
      <c r="AJ26" t="s">
        <v>90</v>
      </c>
    </row>
    <row r="27" spans="1:36">
      <c r="A27">
        <v>1</v>
      </c>
      <c r="B27">
        <v>68</v>
      </c>
      <c r="C27">
        <v>53</v>
      </c>
      <c r="D27">
        <v>26</v>
      </c>
      <c r="E27" t="s">
        <v>416</v>
      </c>
      <c r="H27">
        <v>1.22395113816E-2</v>
      </c>
      <c r="I27">
        <v>1.22395113816E-4</v>
      </c>
      <c r="J27">
        <v>1602</v>
      </c>
      <c r="K27">
        <v>1</v>
      </c>
      <c r="N27">
        <v>1</v>
      </c>
      <c r="V27" s="304"/>
      <c r="W27" s="304"/>
      <c r="X27" s="304">
        <v>44357</v>
      </c>
      <c r="Y27" t="s">
        <v>417</v>
      </c>
      <c r="Z27" t="s">
        <v>495</v>
      </c>
      <c r="AA27" t="s">
        <v>442</v>
      </c>
      <c r="AC27" t="s">
        <v>496</v>
      </c>
      <c r="AD27" t="s">
        <v>301</v>
      </c>
      <c r="AE27" t="s">
        <v>435</v>
      </c>
      <c r="AF27" t="s">
        <v>497</v>
      </c>
      <c r="AG27" t="s">
        <v>260</v>
      </c>
      <c r="AH27" t="s">
        <v>422</v>
      </c>
      <c r="AJ27" t="s">
        <v>89</v>
      </c>
    </row>
    <row r="28" spans="1:36">
      <c r="A28">
        <v>1</v>
      </c>
      <c r="B28">
        <v>68</v>
      </c>
      <c r="C28">
        <v>53</v>
      </c>
      <c r="D28">
        <v>27</v>
      </c>
      <c r="E28" t="s">
        <v>416</v>
      </c>
      <c r="H28">
        <v>1.4190544901199999E-2</v>
      </c>
      <c r="I28">
        <v>1.41905449012E-4</v>
      </c>
      <c r="J28">
        <v>1701</v>
      </c>
      <c r="K28">
        <v>1</v>
      </c>
      <c r="N28">
        <v>1</v>
      </c>
      <c r="V28" s="304"/>
      <c r="W28" s="304"/>
      <c r="X28" s="304">
        <v>44357</v>
      </c>
      <c r="Y28" t="s">
        <v>417</v>
      </c>
      <c r="Z28" t="s">
        <v>498</v>
      </c>
      <c r="AA28" t="s">
        <v>446</v>
      </c>
      <c r="AC28" t="s">
        <v>461</v>
      </c>
      <c r="AD28" t="s">
        <v>302</v>
      </c>
      <c r="AE28" t="s">
        <v>256</v>
      </c>
      <c r="AF28" t="s">
        <v>499</v>
      </c>
      <c r="AG28" t="s">
        <v>256</v>
      </c>
      <c r="AH28" t="s">
        <v>422</v>
      </c>
      <c r="AJ28" t="s">
        <v>89</v>
      </c>
    </row>
    <row r="29" spans="1:36">
      <c r="A29">
        <v>1</v>
      </c>
      <c r="B29">
        <v>68</v>
      </c>
      <c r="C29">
        <v>53</v>
      </c>
      <c r="D29">
        <v>28</v>
      </c>
      <c r="E29" t="s">
        <v>416</v>
      </c>
      <c r="H29">
        <v>1.1659511381600001E-2</v>
      </c>
      <c r="I29">
        <v>1.16595113816E-4</v>
      </c>
      <c r="J29">
        <v>1702</v>
      </c>
      <c r="K29">
        <v>1</v>
      </c>
      <c r="N29">
        <v>0</v>
      </c>
      <c r="V29" s="304"/>
      <c r="W29" s="304"/>
      <c r="X29" s="304">
        <v>44357</v>
      </c>
      <c r="Y29" t="s">
        <v>417</v>
      </c>
      <c r="Z29" t="s">
        <v>500</v>
      </c>
      <c r="AA29" t="s">
        <v>450</v>
      </c>
      <c r="AC29" t="s">
        <v>501</v>
      </c>
      <c r="AD29" t="s">
        <v>304</v>
      </c>
      <c r="AE29" t="s">
        <v>260</v>
      </c>
      <c r="AF29" t="s">
        <v>502</v>
      </c>
      <c r="AG29" t="s">
        <v>249</v>
      </c>
      <c r="AH29" t="s">
        <v>422</v>
      </c>
      <c r="AJ29" t="s">
        <v>90</v>
      </c>
    </row>
    <row r="30" spans="1:36">
      <c r="A30">
        <v>1</v>
      </c>
      <c r="B30">
        <v>68</v>
      </c>
      <c r="C30">
        <v>53</v>
      </c>
      <c r="D30">
        <v>29</v>
      </c>
      <c r="E30" t="s">
        <v>416</v>
      </c>
      <c r="H30">
        <v>2.56605449012E-2</v>
      </c>
      <c r="I30">
        <v>2.5660544901200003E-4</v>
      </c>
      <c r="J30">
        <v>1800</v>
      </c>
      <c r="K30">
        <v>1</v>
      </c>
      <c r="N30">
        <v>0</v>
      </c>
      <c r="V30" s="304"/>
      <c r="W30" s="304"/>
      <c r="X30" s="304">
        <v>44357</v>
      </c>
      <c r="Y30" t="s">
        <v>417</v>
      </c>
      <c r="Z30" t="s">
        <v>503</v>
      </c>
      <c r="AA30" t="s">
        <v>504</v>
      </c>
      <c r="AC30" t="s">
        <v>505</v>
      </c>
      <c r="AD30" t="s">
        <v>506</v>
      </c>
      <c r="AE30" t="s">
        <v>507</v>
      </c>
      <c r="AF30" t="s">
        <v>508</v>
      </c>
      <c r="AG30" t="s">
        <v>249</v>
      </c>
      <c r="AH30" t="s">
        <v>509</v>
      </c>
      <c r="AJ30" t="s">
        <v>90</v>
      </c>
    </row>
    <row r="31" spans="1:36">
      <c r="A31">
        <v>1</v>
      </c>
      <c r="B31">
        <v>68</v>
      </c>
      <c r="C31">
        <v>53</v>
      </c>
      <c r="D31">
        <v>30</v>
      </c>
      <c r="E31" t="s">
        <v>416</v>
      </c>
      <c r="H31">
        <v>1.4200544901200001E-2</v>
      </c>
      <c r="I31">
        <v>1.4200544901200001E-4</v>
      </c>
      <c r="J31">
        <v>1901</v>
      </c>
      <c r="K31">
        <v>1</v>
      </c>
      <c r="N31">
        <v>1</v>
      </c>
      <c r="V31" s="304"/>
      <c r="W31" s="304"/>
      <c r="X31" s="304">
        <v>44357</v>
      </c>
      <c r="Y31" t="s">
        <v>417</v>
      </c>
      <c r="Z31" t="s">
        <v>510</v>
      </c>
      <c r="AA31" t="s">
        <v>446</v>
      </c>
      <c r="AC31" t="s">
        <v>511</v>
      </c>
      <c r="AD31" t="s">
        <v>307</v>
      </c>
      <c r="AE31" t="s">
        <v>256</v>
      </c>
      <c r="AF31" t="s">
        <v>512</v>
      </c>
      <c r="AG31" t="s">
        <v>256</v>
      </c>
      <c r="AH31" t="s">
        <v>422</v>
      </c>
      <c r="AJ31" t="s">
        <v>89</v>
      </c>
    </row>
    <row r="32" spans="1:36">
      <c r="A32">
        <v>1</v>
      </c>
      <c r="B32">
        <v>68</v>
      </c>
      <c r="C32">
        <v>53</v>
      </c>
      <c r="D32">
        <v>31</v>
      </c>
      <c r="E32" t="s">
        <v>416</v>
      </c>
      <c r="H32">
        <v>1.07495113816E-2</v>
      </c>
      <c r="I32">
        <v>1.07495113816E-4</v>
      </c>
      <c r="J32">
        <v>1902</v>
      </c>
      <c r="K32">
        <v>1</v>
      </c>
      <c r="N32">
        <v>0</v>
      </c>
      <c r="V32" s="304"/>
      <c r="W32" s="304"/>
      <c r="X32" s="304">
        <v>44357</v>
      </c>
      <c r="Y32" t="s">
        <v>417</v>
      </c>
      <c r="Z32" t="s">
        <v>513</v>
      </c>
      <c r="AA32" t="s">
        <v>514</v>
      </c>
      <c r="AC32" t="s">
        <v>515</v>
      </c>
      <c r="AD32" t="s">
        <v>309</v>
      </c>
      <c r="AE32" t="s">
        <v>260</v>
      </c>
      <c r="AF32" t="s">
        <v>516</v>
      </c>
      <c r="AG32" t="s">
        <v>249</v>
      </c>
      <c r="AH32" t="s">
        <v>422</v>
      </c>
      <c r="AJ32" t="s">
        <v>90</v>
      </c>
    </row>
    <row r="33" spans="1:36">
      <c r="A33">
        <v>1</v>
      </c>
      <c r="B33">
        <v>68</v>
      </c>
      <c r="C33">
        <v>53</v>
      </c>
      <c r="D33">
        <v>32</v>
      </c>
      <c r="E33" t="s">
        <v>416</v>
      </c>
      <c r="H33">
        <v>1.27095113816E-2</v>
      </c>
      <c r="I33">
        <v>1.27095113816E-4</v>
      </c>
      <c r="J33">
        <v>2001</v>
      </c>
      <c r="K33">
        <v>1</v>
      </c>
      <c r="N33">
        <v>0</v>
      </c>
      <c r="V33" s="304"/>
      <c r="W33" s="304"/>
      <c r="X33" s="304">
        <v>44357</v>
      </c>
      <c r="Y33" t="s">
        <v>417</v>
      </c>
      <c r="Z33" t="s">
        <v>517</v>
      </c>
      <c r="AA33" t="s">
        <v>518</v>
      </c>
      <c r="AC33" t="s">
        <v>519</v>
      </c>
      <c r="AD33" t="s">
        <v>311</v>
      </c>
      <c r="AE33" t="s">
        <v>256</v>
      </c>
      <c r="AF33" t="s">
        <v>520</v>
      </c>
      <c r="AG33" t="s">
        <v>249</v>
      </c>
      <c r="AH33" t="s">
        <v>422</v>
      </c>
      <c r="AJ33" t="s">
        <v>90</v>
      </c>
    </row>
    <row r="34" spans="1:36">
      <c r="A34">
        <v>1</v>
      </c>
      <c r="B34">
        <v>68</v>
      </c>
      <c r="C34">
        <v>53</v>
      </c>
      <c r="D34">
        <v>33</v>
      </c>
      <c r="E34" t="s">
        <v>416</v>
      </c>
      <c r="H34">
        <v>1.22795113816E-2</v>
      </c>
      <c r="I34">
        <v>1.2279511381600001E-4</v>
      </c>
      <c r="J34">
        <v>2002</v>
      </c>
      <c r="K34">
        <v>1</v>
      </c>
      <c r="N34">
        <v>1</v>
      </c>
      <c r="V34" s="304"/>
      <c r="W34" s="304"/>
      <c r="X34" s="304">
        <v>44357</v>
      </c>
      <c r="Y34" t="s">
        <v>417</v>
      </c>
      <c r="Z34" t="s">
        <v>521</v>
      </c>
      <c r="AA34" t="s">
        <v>442</v>
      </c>
      <c r="AC34" t="s">
        <v>522</v>
      </c>
      <c r="AD34" t="s">
        <v>313</v>
      </c>
      <c r="AE34" t="s">
        <v>260</v>
      </c>
      <c r="AF34" t="s">
        <v>523</v>
      </c>
      <c r="AG34" t="s">
        <v>260</v>
      </c>
      <c r="AH34" t="s">
        <v>422</v>
      </c>
      <c r="AJ34" t="s">
        <v>89</v>
      </c>
    </row>
    <row r="35" spans="1:36">
      <c r="A35">
        <v>1</v>
      </c>
      <c r="B35">
        <v>68</v>
      </c>
      <c r="C35">
        <v>53</v>
      </c>
      <c r="D35">
        <v>34</v>
      </c>
      <c r="E35" t="s">
        <v>416</v>
      </c>
      <c r="H35">
        <v>2.57605449012E-2</v>
      </c>
      <c r="I35">
        <v>2.57605449012E-4</v>
      </c>
      <c r="J35">
        <v>2100</v>
      </c>
      <c r="K35">
        <v>1</v>
      </c>
      <c r="N35">
        <v>1</v>
      </c>
      <c r="V35" s="304"/>
      <c r="W35" s="304"/>
      <c r="X35" s="304">
        <v>44357</v>
      </c>
      <c r="Y35" t="s">
        <v>417</v>
      </c>
      <c r="Z35" t="s">
        <v>524</v>
      </c>
      <c r="AA35" t="s">
        <v>525</v>
      </c>
      <c r="AC35" t="s">
        <v>487</v>
      </c>
      <c r="AD35" t="s">
        <v>526</v>
      </c>
      <c r="AE35" t="s">
        <v>507</v>
      </c>
      <c r="AF35" t="s">
        <v>527</v>
      </c>
      <c r="AG35" t="s">
        <v>249</v>
      </c>
      <c r="AH35" t="s">
        <v>509</v>
      </c>
      <c r="AJ35" t="s">
        <v>89</v>
      </c>
    </row>
    <row r="36" spans="1:36">
      <c r="A36">
        <v>1</v>
      </c>
      <c r="B36">
        <v>68</v>
      </c>
      <c r="C36">
        <v>53</v>
      </c>
      <c r="D36">
        <v>35</v>
      </c>
      <c r="E36" t="s">
        <v>416</v>
      </c>
      <c r="H36">
        <v>1.27395113816E-2</v>
      </c>
      <c r="I36">
        <v>1.2739511381600001E-4</v>
      </c>
      <c r="J36">
        <v>2201</v>
      </c>
      <c r="K36">
        <v>1</v>
      </c>
      <c r="N36">
        <v>0</v>
      </c>
      <c r="V36" s="304"/>
      <c r="W36" s="304"/>
      <c r="X36" s="304">
        <v>44357</v>
      </c>
      <c r="Y36" t="s">
        <v>417</v>
      </c>
      <c r="Z36" t="s">
        <v>528</v>
      </c>
      <c r="AA36" t="s">
        <v>529</v>
      </c>
      <c r="AC36" t="s">
        <v>530</v>
      </c>
      <c r="AD36" t="s">
        <v>317</v>
      </c>
      <c r="AE36" t="s">
        <v>475</v>
      </c>
      <c r="AF36" t="s">
        <v>531</v>
      </c>
      <c r="AG36" t="s">
        <v>260</v>
      </c>
      <c r="AH36" t="s">
        <v>422</v>
      </c>
      <c r="AJ36" t="s">
        <v>90</v>
      </c>
    </row>
    <row r="37" spans="1:36">
      <c r="A37">
        <v>1</v>
      </c>
      <c r="B37">
        <v>68</v>
      </c>
      <c r="C37">
        <v>53</v>
      </c>
      <c r="D37">
        <v>36</v>
      </c>
      <c r="E37" t="s">
        <v>416</v>
      </c>
      <c r="H37">
        <v>1.2209511381599999E-2</v>
      </c>
      <c r="I37">
        <v>1.2209511381599999E-4</v>
      </c>
      <c r="J37">
        <v>2202</v>
      </c>
      <c r="K37">
        <v>1</v>
      </c>
      <c r="N37">
        <v>1</v>
      </c>
      <c r="V37" s="304"/>
      <c r="W37" s="304"/>
      <c r="X37" s="304">
        <v>44357</v>
      </c>
      <c r="Y37" t="s">
        <v>417</v>
      </c>
      <c r="Z37" t="s">
        <v>532</v>
      </c>
      <c r="AA37" t="s">
        <v>442</v>
      </c>
      <c r="AC37" t="s">
        <v>511</v>
      </c>
      <c r="AD37" t="s">
        <v>319</v>
      </c>
      <c r="AE37" t="s">
        <v>260</v>
      </c>
      <c r="AF37" t="s">
        <v>533</v>
      </c>
      <c r="AG37" t="s">
        <v>249</v>
      </c>
      <c r="AH37" t="s">
        <v>422</v>
      </c>
      <c r="AJ37" t="s">
        <v>89</v>
      </c>
    </row>
    <row r="38" spans="1:36">
      <c r="A38">
        <v>1</v>
      </c>
      <c r="B38">
        <v>68</v>
      </c>
      <c r="C38">
        <v>53</v>
      </c>
      <c r="D38">
        <v>37</v>
      </c>
      <c r="E38" t="s">
        <v>416</v>
      </c>
      <c r="H38">
        <v>1.4200544901200001E-2</v>
      </c>
      <c r="I38">
        <v>1.4200544901200001E-4</v>
      </c>
      <c r="J38">
        <v>2301</v>
      </c>
      <c r="K38">
        <v>1</v>
      </c>
      <c r="N38">
        <v>1</v>
      </c>
      <c r="V38" s="304"/>
      <c r="W38" s="304"/>
      <c r="X38" s="304">
        <v>44357</v>
      </c>
      <c r="Y38" t="s">
        <v>417</v>
      </c>
      <c r="Z38" t="s">
        <v>510</v>
      </c>
      <c r="AA38" t="s">
        <v>446</v>
      </c>
      <c r="AC38" t="s">
        <v>511</v>
      </c>
      <c r="AD38" t="s">
        <v>320</v>
      </c>
      <c r="AE38" t="s">
        <v>256</v>
      </c>
      <c r="AF38" t="s">
        <v>534</v>
      </c>
      <c r="AG38" t="s">
        <v>256</v>
      </c>
      <c r="AH38" t="s">
        <v>422</v>
      </c>
      <c r="AJ38" t="s">
        <v>89</v>
      </c>
    </row>
    <row r="39" spans="1:36">
      <c r="A39">
        <v>1</v>
      </c>
      <c r="B39">
        <v>68</v>
      </c>
      <c r="C39">
        <v>53</v>
      </c>
      <c r="D39">
        <v>38</v>
      </c>
      <c r="E39" t="s">
        <v>416</v>
      </c>
      <c r="H39">
        <v>1.07395113816E-2</v>
      </c>
      <c r="I39">
        <v>1.07395113816E-4</v>
      </c>
      <c r="J39">
        <v>2302</v>
      </c>
      <c r="K39">
        <v>1</v>
      </c>
      <c r="N39">
        <v>0</v>
      </c>
      <c r="V39" s="304"/>
      <c r="W39" s="304"/>
      <c r="X39" s="304">
        <v>44357</v>
      </c>
      <c r="Y39" t="s">
        <v>417</v>
      </c>
      <c r="Z39" t="s">
        <v>535</v>
      </c>
      <c r="AA39" t="s">
        <v>536</v>
      </c>
      <c r="AC39" t="s">
        <v>537</v>
      </c>
      <c r="AD39" t="s">
        <v>322</v>
      </c>
      <c r="AE39" t="s">
        <v>260</v>
      </c>
      <c r="AF39" t="s">
        <v>538</v>
      </c>
      <c r="AG39" t="s">
        <v>249</v>
      </c>
      <c r="AH39" t="s">
        <v>422</v>
      </c>
      <c r="AJ39" t="s">
        <v>90</v>
      </c>
    </row>
    <row r="40" spans="1:36">
      <c r="A40">
        <v>1</v>
      </c>
      <c r="B40">
        <v>68</v>
      </c>
      <c r="C40">
        <v>53</v>
      </c>
      <c r="D40">
        <v>39</v>
      </c>
      <c r="E40" t="s">
        <v>416</v>
      </c>
      <c r="H40">
        <v>2.5690544901199999E-2</v>
      </c>
      <c r="I40">
        <v>2.5690544901199998E-4</v>
      </c>
      <c r="J40">
        <v>2400</v>
      </c>
      <c r="K40">
        <v>1</v>
      </c>
      <c r="N40">
        <v>0</v>
      </c>
      <c r="V40" s="304"/>
      <c r="W40" s="304"/>
      <c r="X40" s="304">
        <v>44357</v>
      </c>
      <c r="Y40" t="s">
        <v>417</v>
      </c>
      <c r="Z40" t="s">
        <v>539</v>
      </c>
      <c r="AA40" t="s">
        <v>504</v>
      </c>
      <c r="AC40" t="s">
        <v>540</v>
      </c>
      <c r="AD40" t="s">
        <v>541</v>
      </c>
      <c r="AE40" t="s">
        <v>507</v>
      </c>
      <c r="AF40" t="s">
        <v>542</v>
      </c>
      <c r="AG40" t="s">
        <v>249</v>
      </c>
      <c r="AH40" t="s">
        <v>543</v>
      </c>
      <c r="AJ40" t="s">
        <v>90</v>
      </c>
    </row>
    <row r="41" spans="1:36">
      <c r="A41">
        <v>1</v>
      </c>
      <c r="B41">
        <v>68</v>
      </c>
      <c r="C41">
        <v>53</v>
      </c>
      <c r="D41">
        <v>40</v>
      </c>
      <c r="E41" t="s">
        <v>416</v>
      </c>
      <c r="H41">
        <v>1.43005449012E-2</v>
      </c>
      <c r="I41">
        <v>1.43005449012E-4</v>
      </c>
      <c r="J41">
        <v>2501</v>
      </c>
      <c r="K41">
        <v>1</v>
      </c>
      <c r="N41">
        <v>8</v>
      </c>
      <c r="P41">
        <v>12</v>
      </c>
      <c r="Q41" t="s">
        <v>484</v>
      </c>
      <c r="V41" s="304"/>
      <c r="W41" s="304"/>
      <c r="X41" s="304">
        <v>44357</v>
      </c>
      <c r="Y41" t="s">
        <v>417</v>
      </c>
      <c r="Z41" t="s">
        <v>544</v>
      </c>
      <c r="AA41" t="s">
        <v>446</v>
      </c>
      <c r="AC41" t="s">
        <v>522</v>
      </c>
      <c r="AD41" t="s">
        <v>325</v>
      </c>
      <c r="AE41" t="s">
        <v>256</v>
      </c>
      <c r="AF41" t="s">
        <v>545</v>
      </c>
      <c r="AG41" t="s">
        <v>256</v>
      </c>
      <c r="AH41" t="s">
        <v>546</v>
      </c>
      <c r="AJ41" t="s">
        <v>91</v>
      </c>
    </row>
    <row r="42" spans="1:36">
      <c r="A42">
        <v>1</v>
      </c>
      <c r="B42">
        <v>68</v>
      </c>
      <c r="C42">
        <v>53</v>
      </c>
      <c r="D42">
        <v>41</v>
      </c>
      <c r="E42" t="s">
        <v>416</v>
      </c>
      <c r="H42">
        <v>1.07395113816E-2</v>
      </c>
      <c r="I42">
        <v>1.07395113816E-4</v>
      </c>
      <c r="J42">
        <v>2502</v>
      </c>
      <c r="K42">
        <v>1</v>
      </c>
      <c r="N42">
        <v>8</v>
      </c>
      <c r="P42">
        <v>12</v>
      </c>
      <c r="Q42" t="s">
        <v>484</v>
      </c>
      <c r="V42" s="304"/>
      <c r="W42" s="304"/>
      <c r="X42" s="304">
        <v>44357</v>
      </c>
      <c r="Y42" t="s">
        <v>417</v>
      </c>
      <c r="Z42" t="s">
        <v>547</v>
      </c>
      <c r="AA42" t="s">
        <v>514</v>
      </c>
      <c r="AC42" t="s">
        <v>501</v>
      </c>
      <c r="AD42" t="s">
        <v>327</v>
      </c>
      <c r="AE42" t="s">
        <v>260</v>
      </c>
      <c r="AF42" t="s">
        <v>548</v>
      </c>
      <c r="AG42" t="s">
        <v>249</v>
      </c>
      <c r="AH42" t="s">
        <v>422</v>
      </c>
      <c r="AJ42" t="s">
        <v>91</v>
      </c>
    </row>
    <row r="43" spans="1:36">
      <c r="A43">
        <v>1</v>
      </c>
      <c r="B43">
        <v>68</v>
      </c>
      <c r="C43">
        <v>53</v>
      </c>
      <c r="D43">
        <v>42</v>
      </c>
      <c r="E43" t="s">
        <v>416</v>
      </c>
      <c r="H43">
        <v>1.2729511381600001E-2</v>
      </c>
      <c r="I43">
        <v>1.2729511381600001E-4</v>
      </c>
      <c r="J43">
        <v>2601</v>
      </c>
      <c r="K43">
        <v>1</v>
      </c>
      <c r="N43">
        <v>0</v>
      </c>
      <c r="V43" s="304"/>
      <c r="W43" s="304"/>
      <c r="X43" s="304">
        <v>44357</v>
      </c>
      <c r="Y43" t="s">
        <v>417</v>
      </c>
      <c r="Z43" t="s">
        <v>549</v>
      </c>
      <c r="AA43" t="s">
        <v>518</v>
      </c>
      <c r="AC43" t="s">
        <v>550</v>
      </c>
      <c r="AD43" t="s">
        <v>329</v>
      </c>
      <c r="AE43" t="s">
        <v>435</v>
      </c>
      <c r="AF43" t="s">
        <v>551</v>
      </c>
      <c r="AG43" t="s">
        <v>260</v>
      </c>
      <c r="AH43" t="s">
        <v>422</v>
      </c>
      <c r="AJ43" t="s">
        <v>90</v>
      </c>
    </row>
    <row r="44" spans="1:36">
      <c r="A44">
        <v>1</v>
      </c>
      <c r="B44">
        <v>68</v>
      </c>
      <c r="C44">
        <v>53</v>
      </c>
      <c r="D44">
        <v>43</v>
      </c>
      <c r="E44" t="s">
        <v>416</v>
      </c>
      <c r="H44">
        <v>1.2209511381599999E-2</v>
      </c>
      <c r="I44">
        <v>1.2209511381599999E-4</v>
      </c>
      <c r="J44">
        <v>2602</v>
      </c>
      <c r="K44">
        <v>1</v>
      </c>
      <c r="N44">
        <v>1</v>
      </c>
      <c r="V44" s="304"/>
      <c r="W44" s="304"/>
      <c r="X44" s="304">
        <v>44357</v>
      </c>
      <c r="Y44" t="s">
        <v>417</v>
      </c>
      <c r="Z44" t="s">
        <v>532</v>
      </c>
      <c r="AA44" t="s">
        <v>442</v>
      </c>
      <c r="AC44" t="s">
        <v>511</v>
      </c>
      <c r="AD44" t="s">
        <v>331</v>
      </c>
      <c r="AE44" t="s">
        <v>260</v>
      </c>
      <c r="AF44" t="s">
        <v>552</v>
      </c>
      <c r="AG44" t="s">
        <v>249</v>
      </c>
      <c r="AH44" t="s">
        <v>422</v>
      </c>
      <c r="AJ44" t="s">
        <v>89</v>
      </c>
    </row>
    <row r="45" spans="1:36">
      <c r="A45">
        <v>1</v>
      </c>
      <c r="B45">
        <v>68</v>
      </c>
      <c r="C45">
        <v>53</v>
      </c>
      <c r="D45">
        <v>44</v>
      </c>
      <c r="E45" t="s">
        <v>416</v>
      </c>
      <c r="H45">
        <v>2.5820544901200001E-2</v>
      </c>
      <c r="I45">
        <v>2.5820544901200001E-4</v>
      </c>
      <c r="J45">
        <v>2700</v>
      </c>
      <c r="K45">
        <v>1</v>
      </c>
      <c r="N45">
        <v>0</v>
      </c>
      <c r="V45" s="304"/>
      <c r="W45" s="304"/>
      <c r="X45" s="304">
        <v>44357</v>
      </c>
      <c r="Y45" t="s">
        <v>417</v>
      </c>
      <c r="Z45" t="s">
        <v>553</v>
      </c>
      <c r="AA45" t="s">
        <v>525</v>
      </c>
      <c r="AC45" t="s">
        <v>554</v>
      </c>
      <c r="AD45" t="s">
        <v>360</v>
      </c>
      <c r="AE45" t="s">
        <v>249</v>
      </c>
      <c r="AF45" t="s">
        <v>555</v>
      </c>
      <c r="AG45" t="s">
        <v>249</v>
      </c>
      <c r="AH45" t="s">
        <v>509</v>
      </c>
      <c r="AJ45" t="s">
        <v>90</v>
      </c>
    </row>
    <row r="46" spans="1:36">
      <c r="A46">
        <v>1</v>
      </c>
      <c r="B46">
        <v>68</v>
      </c>
      <c r="C46">
        <v>53</v>
      </c>
      <c r="D46">
        <v>45</v>
      </c>
      <c r="E46" t="s">
        <v>416</v>
      </c>
      <c r="H46">
        <v>1.27095113816E-2</v>
      </c>
      <c r="I46">
        <v>1.27095113816E-4</v>
      </c>
      <c r="J46">
        <v>2801</v>
      </c>
      <c r="K46">
        <v>1</v>
      </c>
      <c r="N46">
        <v>0</v>
      </c>
      <c r="V46" s="304"/>
      <c r="W46" s="304"/>
      <c r="X46" s="304">
        <v>44357</v>
      </c>
      <c r="Y46" t="s">
        <v>417</v>
      </c>
      <c r="Z46" t="s">
        <v>556</v>
      </c>
      <c r="AA46" t="s">
        <v>529</v>
      </c>
      <c r="AC46" t="s">
        <v>557</v>
      </c>
      <c r="AD46" t="s">
        <v>335</v>
      </c>
      <c r="AE46" t="s">
        <v>475</v>
      </c>
      <c r="AF46" t="s">
        <v>558</v>
      </c>
      <c r="AG46" t="s">
        <v>256</v>
      </c>
      <c r="AH46" t="s">
        <v>422</v>
      </c>
      <c r="AJ46" t="s">
        <v>90</v>
      </c>
    </row>
    <row r="47" spans="1:36">
      <c r="A47">
        <v>1</v>
      </c>
      <c r="B47">
        <v>68</v>
      </c>
      <c r="C47">
        <v>53</v>
      </c>
      <c r="D47">
        <v>46</v>
      </c>
      <c r="E47" t="s">
        <v>416</v>
      </c>
      <c r="H47">
        <v>1.2209511381599999E-2</v>
      </c>
      <c r="I47">
        <v>1.2209511381599999E-4</v>
      </c>
      <c r="J47">
        <v>2802</v>
      </c>
      <c r="K47">
        <v>1</v>
      </c>
      <c r="N47">
        <v>1</v>
      </c>
      <c r="V47" s="304"/>
      <c r="W47" s="304"/>
      <c r="X47" s="304">
        <v>44357</v>
      </c>
      <c r="Y47" t="s">
        <v>417</v>
      </c>
      <c r="Z47" t="s">
        <v>559</v>
      </c>
      <c r="AA47" t="s">
        <v>442</v>
      </c>
      <c r="AC47" t="s">
        <v>490</v>
      </c>
      <c r="AD47" t="s">
        <v>337</v>
      </c>
      <c r="AE47" t="s">
        <v>260</v>
      </c>
      <c r="AF47" t="s">
        <v>560</v>
      </c>
      <c r="AG47" t="s">
        <v>249</v>
      </c>
      <c r="AH47" t="s">
        <v>422</v>
      </c>
      <c r="AJ47" t="s">
        <v>89</v>
      </c>
    </row>
    <row r="48" spans="1:36">
      <c r="A48">
        <v>1</v>
      </c>
      <c r="B48">
        <v>68</v>
      </c>
      <c r="C48">
        <v>53</v>
      </c>
      <c r="D48">
        <v>47</v>
      </c>
      <c r="E48" t="s">
        <v>416</v>
      </c>
      <c r="H48">
        <v>1.42305449012E-2</v>
      </c>
      <c r="I48">
        <v>1.4230544901200001E-4</v>
      </c>
      <c r="J48">
        <v>2901</v>
      </c>
      <c r="K48">
        <v>1</v>
      </c>
      <c r="N48">
        <v>0</v>
      </c>
      <c r="V48" s="304"/>
      <c r="W48" s="304"/>
      <c r="X48" s="304">
        <v>44357</v>
      </c>
      <c r="Y48" t="s">
        <v>417</v>
      </c>
      <c r="Z48" t="s">
        <v>561</v>
      </c>
      <c r="AA48" t="s">
        <v>446</v>
      </c>
      <c r="AC48" t="s">
        <v>505</v>
      </c>
      <c r="AD48" t="s">
        <v>338</v>
      </c>
      <c r="AE48" t="s">
        <v>256</v>
      </c>
      <c r="AF48" t="s">
        <v>562</v>
      </c>
      <c r="AG48" t="s">
        <v>256</v>
      </c>
      <c r="AH48" t="s">
        <v>422</v>
      </c>
      <c r="AJ48" t="s">
        <v>90</v>
      </c>
    </row>
    <row r="49" spans="1:36">
      <c r="A49">
        <v>1</v>
      </c>
      <c r="B49">
        <v>68</v>
      </c>
      <c r="C49">
        <v>53</v>
      </c>
      <c r="D49">
        <v>48</v>
      </c>
      <c r="E49" t="s">
        <v>416</v>
      </c>
      <c r="H49">
        <v>1.07395113816E-2</v>
      </c>
      <c r="I49">
        <v>1.07395113816E-4</v>
      </c>
      <c r="J49">
        <v>2902</v>
      </c>
      <c r="K49">
        <v>1</v>
      </c>
      <c r="N49">
        <v>0</v>
      </c>
      <c r="V49" s="304"/>
      <c r="W49" s="304"/>
      <c r="X49" s="304">
        <v>44357</v>
      </c>
      <c r="Y49" t="s">
        <v>417</v>
      </c>
      <c r="Z49" t="s">
        <v>563</v>
      </c>
      <c r="AA49" t="s">
        <v>536</v>
      </c>
      <c r="AC49" t="s">
        <v>501</v>
      </c>
      <c r="AD49" t="s">
        <v>340</v>
      </c>
      <c r="AE49" t="s">
        <v>260</v>
      </c>
      <c r="AF49" t="s">
        <v>564</v>
      </c>
      <c r="AG49" t="s">
        <v>249</v>
      </c>
      <c r="AH49" t="s">
        <v>422</v>
      </c>
      <c r="AJ49" t="s">
        <v>90</v>
      </c>
    </row>
    <row r="50" spans="1:36">
      <c r="A50">
        <v>1</v>
      </c>
      <c r="B50">
        <v>68</v>
      </c>
      <c r="C50">
        <v>53</v>
      </c>
      <c r="D50">
        <v>49</v>
      </c>
      <c r="E50" t="s">
        <v>416</v>
      </c>
      <c r="H50">
        <v>2.5690544901199999E-2</v>
      </c>
      <c r="I50">
        <v>2.5690544901199998E-4</v>
      </c>
      <c r="J50">
        <v>3000</v>
      </c>
      <c r="K50">
        <v>1</v>
      </c>
      <c r="N50">
        <v>8</v>
      </c>
      <c r="P50">
        <v>3</v>
      </c>
      <c r="Q50" t="s">
        <v>565</v>
      </c>
      <c r="V50" s="304"/>
      <c r="W50" s="304"/>
      <c r="X50" s="304">
        <v>44357</v>
      </c>
      <c r="Y50" t="s">
        <v>417</v>
      </c>
      <c r="Z50" t="s">
        <v>566</v>
      </c>
      <c r="AA50" t="s">
        <v>504</v>
      </c>
      <c r="AC50" t="s">
        <v>567</v>
      </c>
      <c r="AD50" t="s">
        <v>342</v>
      </c>
      <c r="AE50" t="s">
        <v>249</v>
      </c>
      <c r="AF50" t="s">
        <v>568</v>
      </c>
      <c r="AG50" t="s">
        <v>249</v>
      </c>
      <c r="AH50" t="s">
        <v>509</v>
      </c>
      <c r="AJ50" t="s">
        <v>91</v>
      </c>
    </row>
    <row r="51" spans="1:36">
      <c r="A51">
        <v>1</v>
      </c>
      <c r="B51">
        <v>68</v>
      </c>
      <c r="C51">
        <v>53</v>
      </c>
      <c r="D51">
        <v>50</v>
      </c>
      <c r="E51" t="s">
        <v>416</v>
      </c>
      <c r="H51">
        <v>1.4190544901199999E-2</v>
      </c>
      <c r="I51">
        <v>1.41905449012E-4</v>
      </c>
      <c r="J51">
        <v>3101</v>
      </c>
      <c r="K51">
        <v>1</v>
      </c>
      <c r="N51">
        <v>1</v>
      </c>
      <c r="V51" s="304"/>
      <c r="W51" s="304"/>
      <c r="X51" s="304">
        <v>44357</v>
      </c>
      <c r="Y51" t="s">
        <v>417</v>
      </c>
      <c r="Z51" t="s">
        <v>569</v>
      </c>
      <c r="AA51" t="s">
        <v>446</v>
      </c>
      <c r="AC51" t="s">
        <v>490</v>
      </c>
      <c r="AD51" t="s">
        <v>343</v>
      </c>
      <c r="AE51" t="s">
        <v>256</v>
      </c>
      <c r="AF51" t="s">
        <v>570</v>
      </c>
      <c r="AG51" t="s">
        <v>256</v>
      </c>
      <c r="AH51" t="s">
        <v>422</v>
      </c>
      <c r="AJ51" t="s">
        <v>89</v>
      </c>
    </row>
    <row r="52" spans="1:36">
      <c r="A52">
        <v>1</v>
      </c>
      <c r="B52">
        <v>68</v>
      </c>
      <c r="C52">
        <v>53</v>
      </c>
      <c r="D52">
        <v>51</v>
      </c>
      <c r="E52" t="s">
        <v>416</v>
      </c>
      <c r="H52">
        <v>1.07395113816E-2</v>
      </c>
      <c r="I52">
        <v>1.07395113816E-4</v>
      </c>
      <c r="J52">
        <v>3102</v>
      </c>
      <c r="K52">
        <v>1</v>
      </c>
      <c r="N52">
        <v>8</v>
      </c>
      <c r="P52">
        <v>12</v>
      </c>
      <c r="Q52" t="s">
        <v>484</v>
      </c>
      <c r="V52" s="304"/>
      <c r="W52" s="304"/>
      <c r="X52" s="304">
        <v>44357</v>
      </c>
      <c r="Y52" t="s">
        <v>417</v>
      </c>
      <c r="Z52" t="s">
        <v>547</v>
      </c>
      <c r="AA52" t="s">
        <v>514</v>
      </c>
      <c r="AC52" t="s">
        <v>501</v>
      </c>
      <c r="AD52" t="s">
        <v>345</v>
      </c>
      <c r="AE52" t="s">
        <v>260</v>
      </c>
      <c r="AF52" t="s">
        <v>571</v>
      </c>
      <c r="AG52" t="s">
        <v>249</v>
      </c>
      <c r="AH52" t="s">
        <v>422</v>
      </c>
      <c r="AJ52" t="s">
        <v>91</v>
      </c>
    </row>
    <row r="53" spans="1:36">
      <c r="A53">
        <v>1</v>
      </c>
      <c r="B53">
        <v>68</v>
      </c>
      <c r="C53">
        <v>53</v>
      </c>
      <c r="D53">
        <v>52</v>
      </c>
      <c r="E53" t="s">
        <v>416</v>
      </c>
      <c r="H53">
        <v>1.2839511381599999E-2</v>
      </c>
      <c r="I53">
        <v>1.2839511381600001E-4</v>
      </c>
      <c r="J53">
        <v>3201</v>
      </c>
      <c r="K53">
        <v>1</v>
      </c>
      <c r="N53">
        <v>0</v>
      </c>
      <c r="V53" s="304"/>
      <c r="W53" s="304"/>
      <c r="X53" s="304">
        <v>44357</v>
      </c>
      <c r="Y53" t="s">
        <v>417</v>
      </c>
      <c r="Z53" t="s">
        <v>572</v>
      </c>
      <c r="AA53" t="s">
        <v>518</v>
      </c>
      <c r="AC53" t="s">
        <v>573</v>
      </c>
      <c r="AD53" t="s">
        <v>347</v>
      </c>
      <c r="AE53" t="s">
        <v>435</v>
      </c>
      <c r="AF53" t="s">
        <v>574</v>
      </c>
      <c r="AG53" t="s">
        <v>256</v>
      </c>
      <c r="AH53" t="s">
        <v>464</v>
      </c>
      <c r="AJ53" t="s">
        <v>90</v>
      </c>
    </row>
    <row r="54" spans="1:36">
      <c r="A54">
        <v>1</v>
      </c>
      <c r="B54">
        <v>68</v>
      </c>
      <c r="C54">
        <v>53</v>
      </c>
      <c r="D54">
        <v>53</v>
      </c>
      <c r="E54" t="s">
        <v>416</v>
      </c>
      <c r="H54">
        <v>1.2289511381599999E-2</v>
      </c>
      <c r="I54">
        <v>1.2289511381600001E-4</v>
      </c>
      <c r="J54">
        <v>3202</v>
      </c>
      <c r="K54">
        <v>1</v>
      </c>
      <c r="N54">
        <v>1</v>
      </c>
      <c r="V54" s="304"/>
      <c r="W54" s="304"/>
      <c r="X54" s="304">
        <v>44357</v>
      </c>
      <c r="Y54" t="s">
        <v>417</v>
      </c>
      <c r="Z54" t="s">
        <v>575</v>
      </c>
      <c r="AA54" t="s">
        <v>442</v>
      </c>
      <c r="AC54" t="s">
        <v>557</v>
      </c>
      <c r="AD54" t="s">
        <v>349</v>
      </c>
      <c r="AE54" t="s">
        <v>260</v>
      </c>
      <c r="AF54" t="s">
        <v>576</v>
      </c>
      <c r="AG54" t="s">
        <v>249</v>
      </c>
      <c r="AH54" t="s">
        <v>546</v>
      </c>
      <c r="AJ54" t="s">
        <v>89</v>
      </c>
    </row>
    <row r="55" spans="1:36">
      <c r="A55">
        <v>1</v>
      </c>
      <c r="B55">
        <v>68</v>
      </c>
      <c r="C55">
        <v>53</v>
      </c>
      <c r="D55">
        <v>54</v>
      </c>
      <c r="E55" t="s">
        <v>416</v>
      </c>
      <c r="H55">
        <v>2.57505449012E-2</v>
      </c>
      <c r="I55">
        <v>2.5750544901199999E-4</v>
      </c>
      <c r="J55">
        <v>3300</v>
      </c>
      <c r="K55">
        <v>1</v>
      </c>
      <c r="N55">
        <v>0</v>
      </c>
      <c r="V55" s="304"/>
      <c r="W55" s="304"/>
      <c r="X55" s="304">
        <v>44357</v>
      </c>
      <c r="Y55" t="s">
        <v>417</v>
      </c>
      <c r="Z55" t="s">
        <v>577</v>
      </c>
      <c r="AA55" t="s">
        <v>525</v>
      </c>
      <c r="AC55" t="s">
        <v>482</v>
      </c>
      <c r="AD55" t="s">
        <v>351</v>
      </c>
      <c r="AE55" t="s">
        <v>578</v>
      </c>
      <c r="AF55" t="s">
        <v>579</v>
      </c>
      <c r="AG55" t="s">
        <v>249</v>
      </c>
      <c r="AH55" t="s">
        <v>509</v>
      </c>
      <c r="AJ55" t="s">
        <v>90</v>
      </c>
    </row>
    <row r="56" spans="1:36">
      <c r="A56">
        <v>1</v>
      </c>
      <c r="B56">
        <v>68</v>
      </c>
      <c r="C56">
        <v>53</v>
      </c>
      <c r="D56">
        <v>55</v>
      </c>
      <c r="E56" t="s">
        <v>416</v>
      </c>
      <c r="H56">
        <v>1.27095113816E-2</v>
      </c>
      <c r="I56">
        <v>1.27095113816E-4</v>
      </c>
      <c r="J56">
        <v>3401</v>
      </c>
      <c r="K56">
        <v>1</v>
      </c>
      <c r="N56">
        <v>0</v>
      </c>
      <c r="V56" s="304"/>
      <c r="W56" s="304"/>
      <c r="X56" s="304">
        <v>44357</v>
      </c>
      <c r="Y56" t="s">
        <v>417</v>
      </c>
      <c r="Z56" t="s">
        <v>580</v>
      </c>
      <c r="AA56" t="s">
        <v>529</v>
      </c>
      <c r="AC56" t="s">
        <v>581</v>
      </c>
      <c r="AD56" t="s">
        <v>353</v>
      </c>
      <c r="AE56" t="s">
        <v>435</v>
      </c>
      <c r="AF56" t="s">
        <v>582</v>
      </c>
      <c r="AG56" t="s">
        <v>249</v>
      </c>
      <c r="AH56" t="s">
        <v>422</v>
      </c>
      <c r="AJ56" t="s">
        <v>90</v>
      </c>
    </row>
    <row r="57" spans="1:36">
      <c r="A57">
        <v>1</v>
      </c>
      <c r="B57">
        <v>68</v>
      </c>
      <c r="C57">
        <v>53</v>
      </c>
      <c r="D57">
        <v>56</v>
      </c>
      <c r="E57" t="s">
        <v>416</v>
      </c>
      <c r="H57">
        <v>1.2209511381599999E-2</v>
      </c>
      <c r="I57">
        <v>1.2209511381599999E-4</v>
      </c>
      <c r="J57">
        <v>3402</v>
      </c>
      <c r="K57">
        <v>1</v>
      </c>
      <c r="N57">
        <v>8</v>
      </c>
      <c r="P57">
        <v>3</v>
      </c>
      <c r="Q57" t="s">
        <v>565</v>
      </c>
      <c r="V57" s="304"/>
      <c r="W57" s="304"/>
      <c r="X57" s="304">
        <v>44357</v>
      </c>
      <c r="Y57" t="s">
        <v>417</v>
      </c>
      <c r="Z57" t="s">
        <v>583</v>
      </c>
      <c r="AA57" t="s">
        <v>442</v>
      </c>
      <c r="AC57" t="s">
        <v>573</v>
      </c>
      <c r="AD57" t="s">
        <v>355</v>
      </c>
      <c r="AE57" t="s">
        <v>260</v>
      </c>
      <c r="AF57" t="s">
        <v>584</v>
      </c>
      <c r="AG57" t="s">
        <v>249</v>
      </c>
      <c r="AH57" t="s">
        <v>422</v>
      </c>
      <c r="AJ57" t="s">
        <v>91</v>
      </c>
    </row>
    <row r="58" spans="1:36">
      <c r="A58">
        <v>1</v>
      </c>
      <c r="B58">
        <v>68</v>
      </c>
      <c r="C58">
        <v>53</v>
      </c>
      <c r="D58">
        <v>57</v>
      </c>
      <c r="E58" t="s">
        <v>416</v>
      </c>
      <c r="H58">
        <v>1.4200544901200001E-2</v>
      </c>
      <c r="I58">
        <v>1.4200544901200001E-4</v>
      </c>
      <c r="J58">
        <v>3501</v>
      </c>
      <c r="K58">
        <v>1</v>
      </c>
      <c r="N58">
        <v>1</v>
      </c>
      <c r="V58" s="304"/>
      <c r="W58" s="304"/>
      <c r="X58" s="304">
        <v>44357</v>
      </c>
      <c r="Y58" t="s">
        <v>417</v>
      </c>
      <c r="Z58" t="s">
        <v>585</v>
      </c>
      <c r="AA58" t="s">
        <v>446</v>
      </c>
      <c r="AC58" t="s">
        <v>586</v>
      </c>
      <c r="AD58" t="s">
        <v>356</v>
      </c>
      <c r="AE58" t="s">
        <v>256</v>
      </c>
      <c r="AF58" t="s">
        <v>587</v>
      </c>
      <c r="AG58" t="s">
        <v>256</v>
      </c>
      <c r="AH58" t="s">
        <v>422</v>
      </c>
      <c r="AJ58" t="s">
        <v>89</v>
      </c>
    </row>
    <row r="59" spans="1:36">
      <c r="A59">
        <v>1</v>
      </c>
      <c r="B59">
        <v>68</v>
      </c>
      <c r="C59">
        <v>53</v>
      </c>
      <c r="D59">
        <v>58</v>
      </c>
      <c r="E59" t="s">
        <v>416</v>
      </c>
      <c r="H59">
        <v>1.0769511381600001E-2</v>
      </c>
      <c r="I59">
        <v>1.0769511381600001E-4</v>
      </c>
      <c r="J59">
        <v>3502</v>
      </c>
      <c r="K59">
        <v>1</v>
      </c>
      <c r="N59">
        <v>0</v>
      </c>
      <c r="V59" s="304"/>
      <c r="W59" s="304"/>
      <c r="X59" s="304">
        <v>44357</v>
      </c>
      <c r="Y59" t="s">
        <v>417</v>
      </c>
      <c r="Z59" t="s">
        <v>588</v>
      </c>
      <c r="AA59" t="s">
        <v>536</v>
      </c>
      <c r="AC59" t="s">
        <v>457</v>
      </c>
      <c r="AD59" t="s">
        <v>358</v>
      </c>
      <c r="AE59" t="s">
        <v>260</v>
      </c>
      <c r="AF59" t="s">
        <v>589</v>
      </c>
      <c r="AG59" t="s">
        <v>249</v>
      </c>
      <c r="AH59" t="s">
        <v>422</v>
      </c>
      <c r="AJ59" t="s">
        <v>90</v>
      </c>
    </row>
    <row r="60" spans="1:36">
      <c r="A60">
        <v>1</v>
      </c>
      <c r="B60">
        <v>68</v>
      </c>
      <c r="C60">
        <v>53</v>
      </c>
      <c r="D60">
        <v>59</v>
      </c>
      <c r="E60" t="s">
        <v>416</v>
      </c>
      <c r="H60">
        <v>2.5690544901199999E-2</v>
      </c>
      <c r="I60">
        <v>2.5690544901199998E-4</v>
      </c>
      <c r="J60">
        <v>3600</v>
      </c>
      <c r="K60">
        <v>1</v>
      </c>
      <c r="N60">
        <v>8</v>
      </c>
      <c r="P60">
        <v>4</v>
      </c>
      <c r="Q60" t="s">
        <v>590</v>
      </c>
      <c r="V60" s="304"/>
      <c r="W60" s="304"/>
      <c r="X60" s="304">
        <v>44357</v>
      </c>
      <c r="Y60" t="s">
        <v>417</v>
      </c>
      <c r="Z60" t="s">
        <v>591</v>
      </c>
      <c r="AA60" t="s">
        <v>504</v>
      </c>
      <c r="AC60" t="s">
        <v>592</v>
      </c>
      <c r="AD60" t="s">
        <v>333</v>
      </c>
      <c r="AE60" t="s">
        <v>578</v>
      </c>
      <c r="AF60" t="s">
        <v>593</v>
      </c>
      <c r="AG60" t="s">
        <v>249</v>
      </c>
      <c r="AH60" t="s">
        <v>509</v>
      </c>
      <c r="AJ60" t="s">
        <v>91</v>
      </c>
    </row>
    <row r="61" spans="1:36">
      <c r="A61">
        <v>1</v>
      </c>
      <c r="B61">
        <v>68</v>
      </c>
      <c r="C61">
        <v>53</v>
      </c>
      <c r="D61">
        <v>60</v>
      </c>
      <c r="E61" t="s">
        <v>416</v>
      </c>
      <c r="H61">
        <v>1.4190544901199999E-2</v>
      </c>
      <c r="I61">
        <v>1.41905449012E-4</v>
      </c>
      <c r="J61">
        <v>3701</v>
      </c>
      <c r="K61">
        <v>1</v>
      </c>
      <c r="N61">
        <v>1</v>
      </c>
      <c r="V61" s="304"/>
      <c r="W61" s="304"/>
      <c r="X61" s="304">
        <v>44357</v>
      </c>
      <c r="Y61" t="s">
        <v>417</v>
      </c>
      <c r="Z61" t="s">
        <v>594</v>
      </c>
      <c r="AA61" t="s">
        <v>446</v>
      </c>
      <c r="AC61" t="s">
        <v>573</v>
      </c>
      <c r="AD61" t="s">
        <v>361</v>
      </c>
      <c r="AE61" t="s">
        <v>256</v>
      </c>
      <c r="AF61" t="s">
        <v>595</v>
      </c>
      <c r="AG61" t="s">
        <v>256</v>
      </c>
      <c r="AH61" t="s">
        <v>422</v>
      </c>
      <c r="AJ61" t="s">
        <v>89</v>
      </c>
    </row>
    <row r="62" spans="1:36">
      <c r="A62">
        <v>1</v>
      </c>
      <c r="B62">
        <v>68</v>
      </c>
      <c r="C62">
        <v>53</v>
      </c>
      <c r="D62">
        <v>61</v>
      </c>
      <c r="E62" t="s">
        <v>416</v>
      </c>
      <c r="H62">
        <v>1.0769511381600001E-2</v>
      </c>
      <c r="I62">
        <v>1.0769511381600001E-4</v>
      </c>
      <c r="J62">
        <v>3702</v>
      </c>
      <c r="K62">
        <v>1</v>
      </c>
      <c r="N62">
        <v>0</v>
      </c>
      <c r="V62" s="304"/>
      <c r="W62" s="304"/>
      <c r="X62" s="304">
        <v>44357</v>
      </c>
      <c r="Y62" t="s">
        <v>417</v>
      </c>
      <c r="Z62" t="s">
        <v>596</v>
      </c>
      <c r="AA62" t="s">
        <v>514</v>
      </c>
      <c r="AC62" t="s">
        <v>550</v>
      </c>
      <c r="AD62" t="s">
        <v>363</v>
      </c>
      <c r="AE62" t="s">
        <v>260</v>
      </c>
      <c r="AF62" t="s">
        <v>597</v>
      </c>
      <c r="AG62" t="s">
        <v>260</v>
      </c>
      <c r="AH62" t="s">
        <v>422</v>
      </c>
      <c r="AJ62" t="s">
        <v>90</v>
      </c>
    </row>
    <row r="63" spans="1:36">
      <c r="A63">
        <v>1</v>
      </c>
      <c r="B63">
        <v>68</v>
      </c>
      <c r="C63">
        <v>53</v>
      </c>
      <c r="D63">
        <v>62</v>
      </c>
      <c r="E63" t="s">
        <v>416</v>
      </c>
      <c r="H63">
        <v>1.2639511381600001E-2</v>
      </c>
      <c r="I63">
        <v>1.2639511381600001E-4</v>
      </c>
      <c r="J63">
        <v>3801</v>
      </c>
      <c r="K63">
        <v>1</v>
      </c>
      <c r="N63">
        <v>0</v>
      </c>
      <c r="V63" s="304"/>
      <c r="W63" s="304"/>
      <c r="X63" s="304">
        <v>44357</v>
      </c>
      <c r="Y63" t="s">
        <v>417</v>
      </c>
      <c r="Z63" t="s">
        <v>598</v>
      </c>
      <c r="AA63" t="s">
        <v>518</v>
      </c>
      <c r="AC63" t="s">
        <v>461</v>
      </c>
      <c r="AD63" t="s">
        <v>365</v>
      </c>
      <c r="AE63" t="s">
        <v>578</v>
      </c>
      <c r="AF63" t="s">
        <v>599</v>
      </c>
      <c r="AG63" t="s">
        <v>249</v>
      </c>
      <c r="AH63" t="s">
        <v>546</v>
      </c>
      <c r="AJ63" t="s">
        <v>90</v>
      </c>
    </row>
    <row r="64" spans="1:36">
      <c r="A64">
        <v>1</v>
      </c>
      <c r="B64">
        <v>68</v>
      </c>
      <c r="C64">
        <v>53</v>
      </c>
      <c r="D64">
        <v>63</v>
      </c>
      <c r="E64" t="s">
        <v>416</v>
      </c>
      <c r="H64">
        <v>1.2209511381599999E-2</v>
      </c>
      <c r="I64">
        <v>1.2209511381599999E-4</v>
      </c>
      <c r="J64">
        <v>3802</v>
      </c>
      <c r="K64">
        <v>1</v>
      </c>
      <c r="N64">
        <v>8</v>
      </c>
      <c r="P64">
        <v>13</v>
      </c>
      <c r="Q64" t="s">
        <v>600</v>
      </c>
      <c r="V64" s="304"/>
      <c r="W64" s="304"/>
      <c r="X64" s="304">
        <v>44357</v>
      </c>
      <c r="Y64" t="s">
        <v>417</v>
      </c>
      <c r="Z64" t="s">
        <v>583</v>
      </c>
      <c r="AA64" t="s">
        <v>442</v>
      </c>
      <c r="AC64" t="s">
        <v>573</v>
      </c>
      <c r="AD64" t="s">
        <v>367</v>
      </c>
      <c r="AE64" t="s">
        <v>260</v>
      </c>
      <c r="AF64" t="s">
        <v>601</v>
      </c>
      <c r="AG64" t="s">
        <v>249</v>
      </c>
      <c r="AH64" t="s">
        <v>422</v>
      </c>
      <c r="AJ64" t="s">
        <v>91</v>
      </c>
    </row>
    <row r="65" spans="1:36">
      <c r="A65">
        <v>1</v>
      </c>
      <c r="B65">
        <v>68</v>
      </c>
      <c r="C65">
        <v>53</v>
      </c>
      <c r="D65">
        <v>64</v>
      </c>
      <c r="E65" t="s">
        <v>416</v>
      </c>
      <c r="H65">
        <v>2.5740544901200001E-2</v>
      </c>
      <c r="I65">
        <v>2.5740544901199999E-4</v>
      </c>
      <c r="J65">
        <v>3900</v>
      </c>
      <c r="K65">
        <v>1</v>
      </c>
      <c r="N65">
        <v>1</v>
      </c>
      <c r="V65" s="304"/>
      <c r="W65" s="304"/>
      <c r="X65" s="304">
        <v>44357</v>
      </c>
      <c r="Y65" t="s">
        <v>417</v>
      </c>
      <c r="Z65" t="s">
        <v>602</v>
      </c>
      <c r="AA65" t="s">
        <v>525</v>
      </c>
      <c r="AC65" t="s">
        <v>603</v>
      </c>
      <c r="AD65" t="s">
        <v>369</v>
      </c>
      <c r="AE65" t="s">
        <v>578</v>
      </c>
      <c r="AF65" t="s">
        <v>604</v>
      </c>
      <c r="AG65" t="s">
        <v>249</v>
      </c>
      <c r="AH65" t="s">
        <v>509</v>
      </c>
      <c r="AJ65" t="s">
        <v>89</v>
      </c>
    </row>
    <row r="66" spans="1:36">
      <c r="A66">
        <v>1</v>
      </c>
      <c r="B66">
        <v>68</v>
      </c>
      <c r="C66">
        <v>53</v>
      </c>
      <c r="D66">
        <v>65</v>
      </c>
      <c r="E66" t="s">
        <v>416</v>
      </c>
      <c r="H66">
        <v>1.26495113816E-2</v>
      </c>
      <c r="I66">
        <v>1.2649511381599999E-4</v>
      </c>
      <c r="J66">
        <v>4001</v>
      </c>
      <c r="K66">
        <v>1</v>
      </c>
      <c r="N66">
        <v>0</v>
      </c>
      <c r="V66" s="304"/>
      <c r="W66" s="304"/>
      <c r="X66" s="304">
        <v>44357</v>
      </c>
      <c r="Y66" t="s">
        <v>417</v>
      </c>
      <c r="Z66" t="s">
        <v>605</v>
      </c>
      <c r="AA66" t="s">
        <v>606</v>
      </c>
      <c r="AC66" t="s">
        <v>493</v>
      </c>
      <c r="AD66" t="s">
        <v>371</v>
      </c>
      <c r="AE66" t="s">
        <v>578</v>
      </c>
      <c r="AF66" t="s">
        <v>607</v>
      </c>
      <c r="AG66" t="s">
        <v>249</v>
      </c>
      <c r="AH66" t="s">
        <v>546</v>
      </c>
      <c r="AJ66" t="s">
        <v>90</v>
      </c>
    </row>
    <row r="67" spans="1:36">
      <c r="A67">
        <v>1</v>
      </c>
      <c r="B67">
        <v>68</v>
      </c>
      <c r="C67">
        <v>53</v>
      </c>
      <c r="D67">
        <v>66</v>
      </c>
      <c r="E67" t="s">
        <v>416</v>
      </c>
      <c r="H67">
        <v>1.2209511381599999E-2</v>
      </c>
      <c r="I67">
        <v>1.2209511381599999E-4</v>
      </c>
      <c r="J67">
        <v>4002</v>
      </c>
      <c r="K67">
        <v>1</v>
      </c>
      <c r="N67">
        <v>1</v>
      </c>
      <c r="V67" s="304"/>
      <c r="W67" s="304"/>
      <c r="X67" s="304">
        <v>44357</v>
      </c>
      <c r="Y67" t="s">
        <v>417</v>
      </c>
      <c r="Z67" t="s">
        <v>608</v>
      </c>
      <c r="AA67" t="s">
        <v>442</v>
      </c>
      <c r="AC67" t="s">
        <v>461</v>
      </c>
      <c r="AD67" t="s">
        <v>373</v>
      </c>
      <c r="AE67" t="s">
        <v>260</v>
      </c>
      <c r="AF67" t="s">
        <v>609</v>
      </c>
      <c r="AG67" t="s">
        <v>249</v>
      </c>
      <c r="AH67" t="s">
        <v>422</v>
      </c>
      <c r="AJ67" t="s">
        <v>89</v>
      </c>
    </row>
    <row r="68" spans="1:36">
      <c r="A68">
        <v>1</v>
      </c>
      <c r="B68">
        <v>68</v>
      </c>
      <c r="C68">
        <v>53</v>
      </c>
      <c r="D68">
        <v>67</v>
      </c>
      <c r="E68" t="s">
        <v>416</v>
      </c>
      <c r="H68">
        <v>4.03415784224E-2</v>
      </c>
      <c r="I68">
        <v>4.0341578422399999E-4</v>
      </c>
      <c r="J68">
        <v>4100</v>
      </c>
      <c r="K68">
        <v>1</v>
      </c>
      <c r="N68">
        <v>1</v>
      </c>
      <c r="V68" s="304"/>
      <c r="W68" s="304"/>
      <c r="X68" s="304">
        <v>44357</v>
      </c>
      <c r="Y68" t="s">
        <v>417</v>
      </c>
      <c r="Z68" t="s">
        <v>610</v>
      </c>
      <c r="AA68" t="s">
        <v>611</v>
      </c>
      <c r="AC68" t="s">
        <v>612</v>
      </c>
      <c r="AD68" t="s">
        <v>375</v>
      </c>
      <c r="AE68" t="s">
        <v>249</v>
      </c>
      <c r="AF68" t="s">
        <v>613</v>
      </c>
      <c r="AG68" t="s">
        <v>249</v>
      </c>
      <c r="AH68" t="s">
        <v>422</v>
      </c>
      <c r="AJ68" t="s">
        <v>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8785BC711E134FBAD535BC61C6E57A" ma:contentTypeVersion="3" ma:contentTypeDescription="Crie um novo documento." ma:contentTypeScope="" ma:versionID="1ce06025c17acb8071ac2600dc975c94">
  <xsd:schema xmlns:xsd="http://www.w3.org/2001/XMLSchema" xmlns:xs="http://www.w3.org/2001/XMLSchema" xmlns:p="http://schemas.microsoft.com/office/2006/metadata/properties" xmlns:ns2="638e83a3-9e52-49fb-982a-146fc436d5cc" targetNamespace="http://schemas.microsoft.com/office/2006/metadata/properties" ma:root="true" ma:fieldsID="52f22ffa748393c486a0e008911da4b0" ns2:_="">
    <xsd:import namespace="638e83a3-9e52-49fb-982a-146fc436d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e83a3-9e52-49fb-982a-146fc436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E I H A A B Q S w M E F A A C A A g A E Y 5 q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E Y 5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O a l O Y 3 y Z v P A Q A A I o R A A A T A B w A R m 9 y b X V s Y X M v U 2 V j d G l v b j E u b S C i G A A o o B Q A A A A A A A A A A A A A A A A A A A A A A A A A A A C t W M 1 u 2 z g Q v g f o O x D u I T a g N e r 8 B 0 U P r i y j 6 T p 2 Y s n p o S g M W p r Y K m R R J a n s F k W f Z g 9 7 2 q f I i + 1 I p m S J k u I g s S 4 m 5 4 f z w 5 n R Z w l w p c 9 C Y m 9 + e + / f H L w 5 E C v K w S M m C 0 U c S N o j H 0 g A 8 o D g M 2 S h B N z b P 4 L u g E q 6 o A L a L X t 6 9 4 d 9 O 3 r X a x m k N e v P 8 O f r b Q z 8 5 4 e W b Y 0 s 0 y H q o S H 8 z c Q 8 D n 3 P I D e c e W p p r S M O g q r d O F 7 f A F e b y Y I X 6 J M F q I 2 J y m w B B h l y 6 l J 2 5 Q E N F K t A G Y D r r 3 M G k k L p 3 / s u 9 V h 2 / q 3 0 C k f 6 S z a f b b x j 3 E X p G 6 7 2 d x B 6 v s e U 6 N t 2 c N 8 h T Y / j R w y z J z m V q O D J 1 H W T S l j a k s o 4 S 8 A A h D t 3 R R y l p l G p k J G E x 9 F R N p d + F C H d I F O Q w G + 4 v + 4 H 8 T K G Y H O y 8 t N k a 1 8 I m v m X 3 M 0 U X B a u k g Q g n + E O f E m v a U Q L M h Y 6 C U t q r u g D i A L d p N 6 z I p 0 J v h U 1 e 9 n i K F s c Z 4 u T b H G a L c 6 y x X m 2 u M g W l 3 m F Y A j X f q j S M R d p 9 p K a + G 6 J C I I V c 1 i U 1 0 l G G 8 G 9 T I m p 6 8 P p 5 L r o c b t c k d 6 C d Z M L p h 5 g z X V L B a r x C r e j c c r l q z F L 1 a z x C s V d 1 d r W e s J L R D 8 G z G W W x C v s 5 u X / 9 P 0 8 8 W g G q 2 3 U L F D u K k 2 u r s k 0 k U L P a Z x S C + r 5 1 z p y X 5 G X O 7 v A H I C k w Q q 6 1 X a u X l a 1 u x O Z l M q 4 T z e c g k q h 9 6 s p K I + C V 8 W Z + B 6 w p U + T A 2 O 8 w G 7 N Z K m J u X 7 Y 1 N + I N n s 0 o e e M o n 1 d Z d N I q x H b j i 2 N W R p p + t 3 0 G u h H D f T j B v r J n g P P x 6 p O P 2 u g n z f Q L x r o l / X 0 O x q k Q z r l k r 5 d G N k v D s 3 s 2 x b 5 8 s k a k 4 Y m R f z x j j i J w O H A F x E L H / 9 7 g O B w l 0 5 v o 1 M 5 v q n N y d W Y t H s G O T L I a e f l 4 W w c H T G c h / S Q W C O 0 f r j x L N m O B 7 v c P l I n T E E A f 8 C h u j P Q Y 6 W B L R 8 x f G f u V D h R C r c x t u U u A y 9 O B B o 6 V Y a s Z A T J m D 8 n m r N M Z 0 0 e k L M 7 m n O l Y M e I B 0 K x 2 8 K F U h g y T o k H z z H z m i R c b g O i L n C 5 2 8 F e X u 7 0 8 d / H f 9 i m b r D b y r C o A i 6 q K K l R p A y a m t 3 X 4 V T 5 Q P L l y v l E 2 u P J a G L + 2 S E j a + i Q y c y x p u T z 5 G q 8 j 2 G n m l U z N B k / B c k w g z V v u F w C O 7 2 P 6 W x C e / X a G 7 Z S 3 d c U L 0 D F e q u Z A N r d Z 2 7 L 2 L I + t x r + z L K H G L T s a i X 5 W W 6 1 A 1 L o W 6 u d g + L X 5 1 a z i e m r N 1 l A 2 3 t N b A V 9 1 e e 2 C t I U D l Y I r e q w B h L 3 6 n Q j a N 3 Z d D U 4 W L n e D I S T O 0 l w c C e Z Z w 7 D O k e q Y G H r W 8 d I P z m 8 b Y 3 8 c E U F G f o B v p s 9 K l p 4 q E M X A X R t C M C V U / a X a K d f J g w C 1 F 2 R 9 t d i B X 5 L X j z H H U J D D z l 5 z h L y 2 U U n t 5 J c A u k H C H v x r b Q 1 4 X A a i n v G 1 y Y L 4 n X o / I x A t G t 8 M n 7 9 a l X / + r Q M I l G D h P F 6 A f z 3 7 8 6 B H 9 b a e / 8 / U E s B A i 0 A F A A C A A g A E Y 5 q U 5 c m N K S k A A A A 9 Q A A A B I A A A A A A A A A A A A A A A A A A A A A A E N v b m Z p Z y 9 Q Y W N r Y W d l L n h t b F B L A Q I t A B Q A A g A I A B G O a l M P y u m r p A A A A O k A A A A T A A A A A A A A A A A A A A A A A P A A A A B b Q 2 9 u d G V u d F 9 U e X B l c 1 0 u e G 1 s U E s B A i 0 A F A A C A A g A E Y 5 q U 5 j f J m 8 8 B A A A i h E A A B M A A A A A A A A A A A A A A A A A 4 Q E A A E Z v c m 1 1 b G F z L 1 N l Y 3 R p b 2 4 x L m 1 Q S w U G A A A A A A M A A w D C A A A A a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B w A A A A A A A B u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I w O j Q 4 O j M 1 L j Q 1 O T Q 4 M j J a I i A v P j x F b n R y e S B U e X B l P S J G a W x s Q 2 9 s d W 1 u V H l w Z X M i I F Z h b H V l P S J z R F F J T U F n W U N C Z 1 F F Q l F R R 0 J B M E 5 B Z 1 l H Q m c w R U J 3 Y 0 h C Z 1 l H Q m d Z R 0 J n W U d C Z 1 F H Q W d J P S I g L z 4 8 R W 5 0 c n k g V H l w Z T 0 i R m l s b E N v b H V t b k 5 h b W V z I i B W Y W x 1 Z T 0 i c 1 s m c X V v d D t h b m V 4 b 3 N f d W 5 p Z C Z x d W 9 0 O y w m c X V v d D t Q c m 9 k X 3 V u a W Q m c X V v d D s s J n F 1 b 3 Q 7 R W 1 w c m V z Y V 9 1 b m l k J n F 1 b 3 Q 7 L C Z x d W 9 0 O 0 5 1 b V B l c l 9 1 b m l k J n F 1 b 3 Q 7 L C Z x d W 9 0 O 0 9 i c m F f d W 5 p Z C Z x d W 9 0 O y w m c X V v d D t O d W 1 P Y m V f d W 5 p Z C Z x d W 9 0 O y w m c X V v d D t D b 2 R f b 2 J l J n F 1 b 3 Q 7 L C Z x d W 9 0 O 0 Z y Y W N h b 0 l k Z W F s X 3 V u a W Q m c X V v d D s s J n F 1 b 3 Q 7 R n J h Y 2 F v S W R l Y W x E Z W N p b W F s X 3 V u a W Q m c X V v d D s s J n F 1 b 3 Q 7 S W R l b n R p Z m l j Y W R v c l 9 1 b m l k J n F 1 b 3 Q 7 L C Z x d W 9 0 O 1 F 0 Z G V f d W 5 p Z C Z x d W 9 0 O y w m c X V v d D t D b 2 R p Z 2 9 f V W 5 p Z C Z x d W 9 0 O y w m c X V v d D t Q b 3 J j Z W 5 0 U H J f V W 5 p Z C Z x d W 9 0 O y w m c X V v d D t W Z W 5 k a W R v X 3 V u a W Q m c X V v d D s s J n F 1 b 3 Q 7 V G l w b 0 N v b n R y Y X R v X 3 V k d C Z x d W 9 0 O y w m c X V v d D t O d W 1 D Y X R l Z 1 N 0 Y X R 1 c 1 9 1 b m l k J n F 1 b 3 Q 7 L C Z x d W 9 0 O 0 R l c 2 N f Y 3 N 1 c C Z x d W 9 0 O y w m c X V v d D t D b 2 R U a X B Q c m 9 k X 3 V u a W Q m c X V v d D s s J n F 1 b 3 Q 7 R G V z Y 3 J p Y 2 F v X 3 R p c H B y b 2 Q m c X V v d D s s J n F 1 b 3 Q 7 U m V 0 Z X J Q c m l t Q W x 1 Z 3 V l b F 9 1 Z H Q m c X V v d D s s J n F 1 b 3 Q 7 U G 9 y Y 2 V u d E N v b W l z c 2 F v X 3 V u a W Q m c X V v d D s s J n F 1 b 3 Q 7 R G F 0 Y V J l Y 2 9 u a G V j a W 1 l b n R v U m V j Z W l 0 Y U 1 h c G F f d W 5 p Z C Z x d W 9 0 O y w m c X V v d D t E Y X R h R W 5 0 c m V n Y U N o Y X Z l c 1 9 1 b m l k J n F 1 b 3 Q 7 L C Z x d W 9 0 O 0 R h d G F D Y W R f d W 5 p Z C Z x d W 9 0 O y w m c X V v d D t V c 3 J D Y W R f d W 5 p Z C Z x d W 9 0 O y w m c X V v d D t D M V 9 1 b m l k J n F 1 b 3 Q 7 L C Z x d W 9 0 O 0 M y X 3 V u a W Q m c X V v d D s s J n F 1 b 3 Q 7 Q z N f d W 5 p Z C Z x d W 9 0 O y w m c X V v d D t D N F 9 1 b m l k J n F 1 b 3 Q 7 L C Z x d W 9 0 O 0 M 1 X 3 V u a W Q m c X V v d D s s J n F 1 b 3 Q 7 Q z Z f d W 5 p Z C Z x d W 9 0 O y w m c X V v d D t D N 1 9 1 b m l k J n F 1 b 3 Q 7 L C Z x d W 9 0 O 0 M 4 X 3 V u a W Q m c X V v d D s s J n F 1 b 3 Q 7 Q z l f d W 5 p Z C Z x d W 9 0 O y w m c X V v d D t Q c m V j b 0 1 p b i Z x d W 9 0 O y w m c X V v d D t E Z X N j c l 9 z d G F 0 d X M m c X V v d D s s J n F 1 b 3 Q 7 T 2 J q R X N w Z W x o b 1 R v c F 9 1 b m l k J n F 1 b 3 Q 7 L C Z x d W 9 0 O 0 9 i a k V z c G V s a G 9 M Z W Z 0 X 3 V u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Z v b n R l L n t h b m V 4 b 3 N f d W 5 p Z C w w f S Z x d W 9 0 O y w m c X V v d D t T Z W N 0 a W 9 u M S 9 D b 2 5 z d W x 0 Y T E v R m 9 u d G U u e 1 B y b 2 R f d W 5 p Z C w x f S Z x d W 9 0 O y w m c X V v d D t T Z W N 0 a W 9 u M S 9 D b 2 5 z d W x 0 Y T E v R m 9 u d G U u e 0 V t c H J l c 2 F f d W 5 p Z C w y f S Z x d W 9 0 O y w m c X V v d D t T Z W N 0 a W 9 u M S 9 D b 2 5 z d W x 0 Y T E v R m 9 u d G U u e 0 5 1 b V B l c l 9 1 b m l k L D N 9 J n F 1 b 3 Q 7 L C Z x d W 9 0 O 1 N l Y 3 R p b 2 4 x L 0 N v b n N 1 b H R h M S 9 G b 2 5 0 Z S 5 7 T 2 J y Y V 9 1 b m l k L D R 9 J n F 1 b 3 Q 7 L C Z x d W 9 0 O 1 N l Y 3 R p b 2 4 x L 0 N v b n N 1 b H R h M S 9 G b 2 5 0 Z S 5 7 T n V t T 2 J l X 3 V u a W Q s N X 0 m c X V v d D s s J n F 1 b 3 Q 7 U 2 V j d G l v b j E v Q 2 9 u c 3 V s d G E x L 0 Z v b n R l L n t D b 2 R f b 2 J l L D Z 9 J n F 1 b 3 Q 7 L C Z x d W 9 0 O 1 N l Y 3 R p b 2 4 x L 0 N v b n N 1 b H R h M S 9 G b 2 5 0 Z S 5 7 R n J h Y 2 F v S W R l Y W x f d W 5 p Z C w 3 f S Z x d W 9 0 O y w m c X V v d D t T Z W N 0 a W 9 u M S 9 D b 2 5 z d W x 0 Y T E v R m 9 u d G U u e 0 Z y Y W N h b 0 l k Z W F s R G V j a W 1 h b F 9 1 b m l k L D h 9 J n F 1 b 3 Q 7 L C Z x d W 9 0 O 1 N l Y 3 R p b 2 4 x L 0 N v b n N 1 b H R h M S 9 U a X B v I E F s d G V y Y W R v L n t J Z G V u d G l m a W N h Z G 9 y X 3 V u a W Q s O X 0 m c X V v d D s s J n F 1 b 3 Q 7 U 2 V j d G l v b j E v Q 2 9 u c 3 V s d G E x L 0 Z v b n R l L n t R d G R l X 3 V u a W Q s M T B 9 J n F 1 b 3 Q 7 L C Z x d W 9 0 O 1 N l Y 3 R p b 2 4 x L 0 N v b n N 1 b H R h M S 9 G b 2 5 0 Z S 5 7 Q 2 9 k a W d v X 1 V u a W Q s M T F 9 J n F 1 b 3 Q 7 L C Z x d W 9 0 O 1 N l Y 3 R p b 2 4 x L 0 N v b n N 1 b H R h M S 9 G b 2 5 0 Z S 5 7 U G 9 y Y 2 V u d F B y X 1 V u a W Q s M T J 9 J n F 1 b 3 Q 7 L C Z x d W 9 0 O 1 N l Y 3 R p b 2 4 x L 0 N v b n N 1 b H R h M S 9 G b 2 5 0 Z S 5 7 V m V u Z G l k b 1 9 1 b m l k L D E z f S Z x d W 9 0 O y w m c X V v d D t T Z W N 0 a W 9 u M S 9 D b 2 5 z d W x 0 Y T E v R m 9 u d G U u e 1 R p c G 9 D b 2 5 0 c m F 0 b 1 9 1 Z H Q s M T R 9 J n F 1 b 3 Q 7 L C Z x d W 9 0 O 1 N l Y 3 R p b 2 4 x L 0 N v b n N 1 b H R h M S 9 G b 2 5 0 Z S 5 7 T n V t Q 2 F 0 Z W d T d G F 0 d X N f d W 5 p Z C w x N X 0 m c X V v d D s s J n F 1 b 3 Q 7 U 2 V j d G l v b j E v Q 2 9 u c 3 V s d G E x L 0 Z v b n R l L n t E Z X N j X 2 N z d X A s M T Z 9 J n F 1 b 3 Q 7 L C Z x d W 9 0 O 1 N l Y 3 R p b 2 4 x L 0 N v b n N 1 b H R h M S 9 G b 2 5 0 Z S 5 7 Q 2 9 k V G l w U H J v Z F 9 1 b m l k L D E 3 f S Z x d W 9 0 O y w m c X V v d D t T Z W N 0 a W 9 u M S 9 D b 2 5 z d W x 0 Y T E v R m 9 u d G U u e 0 R l c 2 N y a W N h b 1 9 0 a X B w c m 9 k L D E 4 f S Z x d W 9 0 O y w m c X V v d D t T Z W N 0 a W 9 u M S 9 D b 2 5 z d W x 0 Y T E v R m 9 u d G U u e 1 J l d G V y U H J p b U F s d W d 1 Z W x f d W R 0 L D E 5 f S Z x d W 9 0 O y w m c X V v d D t T Z W N 0 a W 9 u M S 9 D b 2 5 z d W x 0 Y T E v R m 9 u d G U u e 1 B v c m N l b n R D b 2 1 p c 3 N h b 1 9 1 b m l k L D I w f S Z x d W 9 0 O y w m c X V v d D t T Z W N 0 a W 9 u M S 9 D b 2 5 z d W x 0 Y T E v R m 9 u d G U u e 0 R h d G F S Z W N v b m h l Y 2 l t Z W 5 0 b 1 J l Y 2 V p d G F N Y X B h X 3 V u a W Q s M j F 9 J n F 1 b 3 Q 7 L C Z x d W 9 0 O 1 N l Y 3 R p b 2 4 x L 0 N v b n N 1 b H R h M S 9 G b 2 5 0 Z S 5 7 R G F 0 Y U V u d H J l Z 2 F D a G F 2 Z X N f d W 5 p Z C w y M n 0 m c X V v d D s s J n F 1 b 3 Q 7 U 2 V j d G l v b j E v Q 2 9 u c 3 V s d G E x L 0 Z v b n R l L n t E Y X R h Q 2 F k X 3 V u a W Q s M j N 9 J n F 1 b 3 Q 7 L C Z x d W 9 0 O 1 N l Y 3 R p b 2 4 x L 0 N v b n N 1 b H R h M S 9 G b 2 5 0 Z S 5 7 V X N y Q 2 F k X 3 V u a W Q s M j R 9 J n F 1 b 3 Q 7 L C Z x d W 9 0 O 1 N l Y 3 R p b 2 4 x L 0 N v b n N 1 b H R h M S 9 G b 2 5 0 Z S 5 7 Q z F f d W 5 p Z C w y N X 0 m c X V v d D s s J n F 1 b 3 Q 7 U 2 V j d G l v b j E v Q 2 9 u c 3 V s d G E x L 0 Z v b n R l L n t D M l 9 1 b m l k L D I 2 f S Z x d W 9 0 O y w m c X V v d D t T Z W N 0 a W 9 u M S 9 D b 2 5 z d W x 0 Y T E v R m 9 u d G U u e 0 M z X 3 V u a W Q s M j d 9 J n F 1 b 3 Q 7 L C Z x d W 9 0 O 1 N l Y 3 R p b 2 4 x L 0 N v b n N 1 b H R h M S 9 G b 2 5 0 Z S 5 7 Q z R f d W 5 p Z C w y O H 0 m c X V v d D s s J n F 1 b 3 Q 7 U 2 V j d G l v b j E v Q 2 9 u c 3 V s d G E x L 0 Z v b n R l L n t D N V 9 1 b m l k L D I 5 f S Z x d W 9 0 O y w m c X V v d D t T Z W N 0 a W 9 u M S 9 D b 2 5 z d W x 0 Y T E v R m 9 u d G U u e 0 M 2 X 3 V u a W Q s M z B 9 J n F 1 b 3 Q 7 L C Z x d W 9 0 O 1 N l Y 3 R p b 2 4 x L 0 N v b n N 1 b H R h M S 9 G b 2 5 0 Z S 5 7 Q z d f d W 5 p Z C w z M X 0 m c X V v d D s s J n F 1 b 3 Q 7 U 2 V j d G l v b j E v Q 2 9 u c 3 V s d G E x L 0 Z v b n R l L n t D O F 9 1 b m l k L D M y f S Z x d W 9 0 O y w m c X V v d D t T Z W N 0 a W 9 u M S 9 D b 2 5 z d W x 0 Y T E v R m 9 u d G U u e 0 M 5 X 3 V u a W Q s M z N 9 J n F 1 b 3 Q 7 L C Z x d W 9 0 O 1 N l Y 3 R p b 2 4 x L 0 N v b n N 1 b H R h M S 9 G b 2 5 0 Z S 5 7 U H J l Y 2 9 N a W 4 s M z R 9 J n F 1 b 3 Q 7 L C Z x d W 9 0 O 1 N l Y 3 R p b 2 4 x L 0 N v b n N 1 b H R h M S 9 G b 2 5 0 Z S 5 7 R G V z Y 3 J f c 3 R h d H V z L D M 1 f S Z x d W 9 0 O y w m c X V v d D t T Z W N 0 a W 9 u M S 9 D b 2 5 z d W x 0 Y T E v R m 9 u d G U u e 0 9 i a k V z c G V s a G 9 U b 3 B f d W 5 p Z C w z N n 0 m c X V v d D s s J n F 1 b 3 Q 7 U 2 V j d G l v b j E v Q 2 9 u c 3 V s d G E x L 0 Z v b n R l L n t P Y m p F c 3 B l b G h v T G V m d F 9 1 b m l k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9 u c 3 V s d G E x L 0 Z v b n R l L n t h b m V 4 b 3 N f d W 5 p Z C w w f S Z x d W 9 0 O y w m c X V v d D t T Z W N 0 a W 9 u M S 9 D b 2 5 z d W x 0 Y T E v R m 9 u d G U u e 1 B y b 2 R f d W 5 p Z C w x f S Z x d W 9 0 O y w m c X V v d D t T Z W N 0 a W 9 u M S 9 D b 2 5 z d W x 0 Y T E v R m 9 u d G U u e 0 V t c H J l c 2 F f d W 5 p Z C w y f S Z x d W 9 0 O y w m c X V v d D t T Z W N 0 a W 9 u M S 9 D b 2 5 z d W x 0 Y T E v R m 9 u d G U u e 0 5 1 b V B l c l 9 1 b m l k L D N 9 J n F 1 b 3 Q 7 L C Z x d W 9 0 O 1 N l Y 3 R p b 2 4 x L 0 N v b n N 1 b H R h M S 9 G b 2 5 0 Z S 5 7 T 2 J y Y V 9 1 b m l k L D R 9 J n F 1 b 3 Q 7 L C Z x d W 9 0 O 1 N l Y 3 R p b 2 4 x L 0 N v b n N 1 b H R h M S 9 G b 2 5 0 Z S 5 7 T n V t T 2 J l X 3 V u a W Q s N X 0 m c X V v d D s s J n F 1 b 3 Q 7 U 2 V j d G l v b j E v Q 2 9 u c 3 V s d G E x L 0 Z v b n R l L n t D b 2 R f b 2 J l L D Z 9 J n F 1 b 3 Q 7 L C Z x d W 9 0 O 1 N l Y 3 R p b 2 4 x L 0 N v b n N 1 b H R h M S 9 G b 2 5 0 Z S 5 7 R n J h Y 2 F v S W R l Y W x f d W 5 p Z C w 3 f S Z x d W 9 0 O y w m c X V v d D t T Z W N 0 a W 9 u M S 9 D b 2 5 z d W x 0 Y T E v R m 9 u d G U u e 0 Z y Y W N h b 0 l k Z W F s R G V j a W 1 h b F 9 1 b m l k L D h 9 J n F 1 b 3 Q 7 L C Z x d W 9 0 O 1 N l Y 3 R p b 2 4 x L 0 N v b n N 1 b H R h M S 9 U a X B v I E F s d G V y Y W R v L n t J Z G V u d G l m a W N h Z G 9 y X 3 V u a W Q s O X 0 m c X V v d D s s J n F 1 b 3 Q 7 U 2 V j d G l v b j E v Q 2 9 u c 3 V s d G E x L 0 Z v b n R l L n t R d G R l X 3 V u a W Q s M T B 9 J n F 1 b 3 Q 7 L C Z x d W 9 0 O 1 N l Y 3 R p b 2 4 x L 0 N v b n N 1 b H R h M S 9 G b 2 5 0 Z S 5 7 Q 2 9 k a W d v X 1 V u a W Q s M T F 9 J n F 1 b 3 Q 7 L C Z x d W 9 0 O 1 N l Y 3 R p b 2 4 x L 0 N v b n N 1 b H R h M S 9 G b 2 5 0 Z S 5 7 U G 9 y Y 2 V u d F B y X 1 V u a W Q s M T J 9 J n F 1 b 3 Q 7 L C Z x d W 9 0 O 1 N l Y 3 R p b 2 4 x L 0 N v b n N 1 b H R h M S 9 G b 2 5 0 Z S 5 7 V m V u Z G l k b 1 9 1 b m l k L D E z f S Z x d W 9 0 O y w m c X V v d D t T Z W N 0 a W 9 u M S 9 D b 2 5 z d W x 0 Y T E v R m 9 u d G U u e 1 R p c G 9 D b 2 5 0 c m F 0 b 1 9 1 Z H Q s M T R 9 J n F 1 b 3 Q 7 L C Z x d W 9 0 O 1 N l Y 3 R p b 2 4 x L 0 N v b n N 1 b H R h M S 9 G b 2 5 0 Z S 5 7 T n V t Q 2 F 0 Z W d T d G F 0 d X N f d W 5 p Z C w x N X 0 m c X V v d D s s J n F 1 b 3 Q 7 U 2 V j d G l v b j E v Q 2 9 u c 3 V s d G E x L 0 Z v b n R l L n t E Z X N j X 2 N z d X A s M T Z 9 J n F 1 b 3 Q 7 L C Z x d W 9 0 O 1 N l Y 3 R p b 2 4 x L 0 N v b n N 1 b H R h M S 9 G b 2 5 0 Z S 5 7 Q 2 9 k V G l w U H J v Z F 9 1 b m l k L D E 3 f S Z x d W 9 0 O y w m c X V v d D t T Z W N 0 a W 9 u M S 9 D b 2 5 z d W x 0 Y T E v R m 9 u d G U u e 0 R l c 2 N y a W N h b 1 9 0 a X B w c m 9 k L D E 4 f S Z x d W 9 0 O y w m c X V v d D t T Z W N 0 a W 9 u M S 9 D b 2 5 z d W x 0 Y T E v R m 9 u d G U u e 1 J l d G V y U H J p b U F s d W d 1 Z W x f d W R 0 L D E 5 f S Z x d W 9 0 O y w m c X V v d D t T Z W N 0 a W 9 u M S 9 D b 2 5 z d W x 0 Y T E v R m 9 u d G U u e 1 B v c m N l b n R D b 2 1 p c 3 N h b 1 9 1 b m l k L D I w f S Z x d W 9 0 O y w m c X V v d D t T Z W N 0 a W 9 u M S 9 D b 2 5 z d W x 0 Y T E v R m 9 u d G U u e 0 R h d G F S Z W N v b m h l Y 2 l t Z W 5 0 b 1 J l Y 2 V p d G F N Y X B h X 3 V u a W Q s M j F 9 J n F 1 b 3 Q 7 L C Z x d W 9 0 O 1 N l Y 3 R p b 2 4 x L 0 N v b n N 1 b H R h M S 9 G b 2 5 0 Z S 5 7 R G F 0 Y U V u d H J l Z 2 F D a G F 2 Z X N f d W 5 p Z C w y M n 0 m c X V v d D s s J n F 1 b 3 Q 7 U 2 V j d G l v b j E v Q 2 9 u c 3 V s d G E x L 0 Z v b n R l L n t E Y X R h Q 2 F k X 3 V u a W Q s M j N 9 J n F 1 b 3 Q 7 L C Z x d W 9 0 O 1 N l Y 3 R p b 2 4 x L 0 N v b n N 1 b H R h M S 9 G b 2 5 0 Z S 5 7 V X N y Q 2 F k X 3 V u a W Q s M j R 9 J n F 1 b 3 Q 7 L C Z x d W 9 0 O 1 N l Y 3 R p b 2 4 x L 0 N v b n N 1 b H R h M S 9 G b 2 5 0 Z S 5 7 Q z F f d W 5 p Z C w y N X 0 m c X V v d D s s J n F 1 b 3 Q 7 U 2 V j d G l v b j E v Q 2 9 u c 3 V s d G E x L 0 Z v b n R l L n t D M l 9 1 b m l k L D I 2 f S Z x d W 9 0 O y w m c X V v d D t T Z W N 0 a W 9 u M S 9 D b 2 5 z d W x 0 Y T E v R m 9 u d G U u e 0 M z X 3 V u a W Q s M j d 9 J n F 1 b 3 Q 7 L C Z x d W 9 0 O 1 N l Y 3 R p b 2 4 x L 0 N v b n N 1 b H R h M S 9 G b 2 5 0 Z S 5 7 Q z R f d W 5 p Z C w y O H 0 m c X V v d D s s J n F 1 b 3 Q 7 U 2 V j d G l v b j E v Q 2 9 u c 3 V s d G E x L 0 Z v b n R l L n t D N V 9 1 b m l k L D I 5 f S Z x d W 9 0 O y w m c X V v d D t T Z W N 0 a W 9 u M S 9 D b 2 5 z d W x 0 Y T E v R m 9 u d G U u e 0 M 2 X 3 V u a W Q s M z B 9 J n F 1 b 3 Q 7 L C Z x d W 9 0 O 1 N l Y 3 R p b 2 4 x L 0 N v b n N 1 b H R h M S 9 G b 2 5 0 Z S 5 7 Q z d f d W 5 p Z C w z M X 0 m c X V v d D s s J n F 1 b 3 Q 7 U 2 V j d G l v b j E v Q 2 9 u c 3 V s d G E x L 0 Z v b n R l L n t D O F 9 1 b m l k L D M y f S Z x d W 9 0 O y w m c X V v d D t T Z W N 0 a W 9 u M S 9 D b 2 5 z d W x 0 Y T E v R m 9 u d G U u e 0 M 5 X 3 V u a W Q s M z N 9 J n F 1 b 3 Q 7 L C Z x d W 9 0 O 1 N l Y 3 R p b 2 4 x L 0 N v b n N 1 b H R h M S 9 G b 2 5 0 Z S 5 7 U H J l Y 2 9 N a W 4 s M z R 9 J n F 1 b 3 Q 7 L C Z x d W 9 0 O 1 N l Y 3 R p b 2 4 x L 0 N v b n N 1 b H R h M S 9 G b 2 5 0 Z S 5 7 R G V z Y 3 J f c 3 R h d H V z L D M 1 f S Z x d W 9 0 O y w m c X V v d D t T Z W N 0 a W 9 u M S 9 D b 2 5 z d W x 0 Y T E v R m 9 u d G U u e 0 9 i a k V z c G V s a G 9 U b 3 B f d W 5 p Z C w z N n 0 m c X V v d D s s J n F 1 b 3 Q 7 U 2 V j d G l v b j E v Q 2 9 u c 3 V s d G E x L 0 Z v b n R l L n t P Y m p F c 3 B l b G h v T G V m d F 9 1 b m l k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L M V L t v 2 L k u z a 2 T V l Y B 5 5 A A A A A A C A A A A A A A D Z g A A w A A A A B A A A A D z f 9 8 F 4 s Z O P Q y b G W j d 8 r h U A A A A A A S A A A C g A A A A E A A A A K 8 e b A 3 2 3 S w w M n B a J 9 5 3 R L l Q A A A A E + F z S p D p s h M 1 x W + i q O r f z T a k 8 O A F G W q 8 W L 2 K g 7 j l l L i g H x s q j H k L K A Y 8 9 l t z Y h R C V A R 9 7 H M G w K d 7 s l z W r b V b U e g e o r w k V n F 9 f E 3 A 4 4 b G M I k U A A A A q L k c 2 P S n K R J V + 6 a y L m m C U K 1 Q a i M = < / D a t a M a s h u p > 
</file>

<file path=customXml/itemProps1.xml><?xml version="1.0" encoding="utf-8"?>
<ds:datastoreItem xmlns:ds="http://schemas.openxmlformats.org/officeDocument/2006/customXml" ds:itemID="{FA800FA9-1D8C-4379-9262-D93DCA4D65DC}"/>
</file>

<file path=customXml/itemProps2.xml><?xml version="1.0" encoding="utf-8"?>
<ds:datastoreItem xmlns:ds="http://schemas.openxmlformats.org/officeDocument/2006/customXml" ds:itemID="{C0121BF9-1425-4E40-9321-0A204BC35499}"/>
</file>

<file path=customXml/itemProps3.xml><?xml version="1.0" encoding="utf-8"?>
<ds:datastoreItem xmlns:ds="http://schemas.openxmlformats.org/officeDocument/2006/customXml" ds:itemID="{AD8C8F8A-47C9-46A2-AA33-6203C3B60025}"/>
</file>

<file path=customXml/itemProps4.xml><?xml version="1.0" encoding="utf-8"?>
<ds:datastoreItem xmlns:ds="http://schemas.openxmlformats.org/officeDocument/2006/customXml" ds:itemID="{B219E31B-C6CC-4045-8805-1004494583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PLANEJAMENTO CITY</dc:creator>
  <cp:keywords/>
  <dc:description/>
  <cp:lastModifiedBy>Felipe Augusto Didonet</cp:lastModifiedBy>
  <cp:revision/>
  <dcterms:created xsi:type="dcterms:W3CDTF">2021-03-22T15:17:20Z</dcterms:created>
  <dcterms:modified xsi:type="dcterms:W3CDTF">2023-07-14T16:20:19Z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0x0101002A8785BC711E134FBAD535BC61C6E57A</vt:lpwstr>
  </property>
</Properties>
</file>