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6" documentId="13_ncr:1_{CB049BE2-F873-AA4F-8E45-00C76133FBAB}" xr6:coauthVersionLast="47" xr6:coauthVersionMax="47" xr10:uidLastSave="{F819A526-6DCA-4D7F-ABC8-D798534145C6}"/>
  <bookViews>
    <workbookView xWindow="0" yWindow="500" windowWidth="38400" windowHeight="21100" tabRatio="669" firstSheet="2" xr2:uid="{00000000-000D-0000-FFFF-FFFF00000000}"/>
  </bookViews>
  <sheets>
    <sheet name="Piloto" sheetId="27" r:id="rId1"/>
    <sheet name="Consulta1" sheetId="28" state="hidden" r:id="rId2"/>
    <sheet name="Tabelas" sheetId="29" r:id="rId3"/>
  </sheets>
  <definedNames>
    <definedName name="_xlnm._FilterDatabase" localSheetId="0" hidden="1">Piloto!$B$79:$H$131</definedName>
    <definedName name="_xlnm._FilterDatabase" localSheetId="2" hidden="1">Tabelas!$A$21:$Y$74</definedName>
    <definedName name="_xlnm.Print_Area" localSheetId="2">Tabelas!$B$2:$X$74</definedName>
    <definedName name="DadosExternos_1" localSheetId="1" hidden="1">'Consulta1'!$A$1:$AL$2</definedName>
    <definedName name="Excel_BuiltIn_Print_Area_3">#REF!</definedName>
    <definedName name="_xlnm.Print_Titles" localSheetId="2">Tabelas!$2:$23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0" i="27" l="1"/>
  <c r="I129" i="27"/>
  <c r="I127" i="27"/>
  <c r="I126" i="27"/>
  <c r="I125" i="27"/>
  <c r="I121" i="27"/>
  <c r="I118" i="27"/>
  <c r="I113" i="27"/>
  <c r="I105" i="27"/>
  <c r="I97" i="27"/>
  <c r="I96" i="27"/>
  <c r="I94" i="27"/>
  <c r="I93" i="27"/>
  <c r="I92" i="27"/>
  <c r="I90" i="27"/>
  <c r="I89" i="27"/>
  <c r="I88" i="27"/>
  <c r="I87" i="27"/>
  <c r="I86" i="27"/>
  <c r="I85" i="27"/>
  <c r="I84" i="27"/>
  <c r="I83" i="27"/>
  <c r="I82" i="27"/>
  <c r="I81" i="27"/>
  <c r="D25" i="29" l="1"/>
  <c r="D24" i="29"/>
  <c r="I117" i="27"/>
  <c r="I104" i="27"/>
  <c r="I124" i="27"/>
  <c r="I120" i="27"/>
  <c r="I109" i="27"/>
  <c r="I100" i="27"/>
  <c r="I101" i="27" l="1"/>
  <c r="I131" i="27"/>
  <c r="I128" i="27"/>
  <c r="I123" i="27"/>
  <c r="I122" i="27"/>
  <c r="I114" i="27"/>
  <c r="I119" i="27"/>
  <c r="I116" i="27"/>
  <c r="I115" i="27"/>
  <c r="I112" i="27"/>
  <c r="I111" i="27"/>
  <c r="I108" i="27"/>
  <c r="I107" i="27"/>
  <c r="I103" i="27"/>
  <c r="I110" i="27"/>
  <c r="I106" i="27"/>
  <c r="I102" i="27"/>
  <c r="I99" i="27"/>
  <c r="I98" i="27"/>
  <c r="I95" i="27"/>
  <c r="I91" i="27"/>
  <c r="B67" i="27"/>
  <c r="C5" i="27"/>
  <c r="C14" i="29" s="1"/>
  <c r="B131" i="27"/>
  <c r="B130" i="27"/>
  <c r="B129" i="27"/>
  <c r="B128" i="27"/>
  <c r="B127" i="27"/>
  <c r="B126" i="27"/>
  <c r="N126" i="27" s="1"/>
  <c r="B125" i="27"/>
  <c r="N125" i="27" s="1"/>
  <c r="B124" i="27"/>
  <c r="N124" i="27" s="1"/>
  <c r="B123" i="27"/>
  <c r="N123" i="27" s="1"/>
  <c r="B122" i="27"/>
  <c r="N122" i="27" s="1"/>
  <c r="B121" i="27"/>
  <c r="N121" i="27" s="1"/>
  <c r="B120" i="27"/>
  <c r="N120" i="27" s="1"/>
  <c r="B119" i="27"/>
  <c r="B118" i="27"/>
  <c r="B117" i="27"/>
  <c r="B116" i="27"/>
  <c r="B115" i="27"/>
  <c r="B114" i="27"/>
  <c r="N114" i="27" s="1"/>
  <c r="B113" i="27"/>
  <c r="N113" i="27" s="1"/>
  <c r="B112" i="27"/>
  <c r="N112" i="27" s="1"/>
  <c r="B111" i="27"/>
  <c r="N111" i="27" s="1"/>
  <c r="B110" i="27"/>
  <c r="N110" i="27" s="1"/>
  <c r="B109" i="27"/>
  <c r="N109" i="27" s="1"/>
  <c r="B108" i="27"/>
  <c r="N108" i="27" s="1"/>
  <c r="B107" i="27"/>
  <c r="B106" i="27"/>
  <c r="B105" i="27"/>
  <c r="B104" i="27"/>
  <c r="B103" i="27"/>
  <c r="B102" i="27"/>
  <c r="N102" i="27" s="1"/>
  <c r="B101" i="27"/>
  <c r="N101" i="27" s="1"/>
  <c r="B100" i="27"/>
  <c r="N100" i="27" s="1"/>
  <c r="B99" i="27"/>
  <c r="N99" i="27" s="1"/>
  <c r="B98" i="27"/>
  <c r="N98" i="27" s="1"/>
  <c r="B97" i="27"/>
  <c r="N97" i="27" s="1"/>
  <c r="B96" i="27"/>
  <c r="N96" i="27" s="1"/>
  <c r="B95" i="27"/>
  <c r="B94" i="27"/>
  <c r="B93" i="27"/>
  <c r="B92" i="27"/>
  <c r="B91" i="27"/>
  <c r="B90" i="27"/>
  <c r="N90" i="27" s="1"/>
  <c r="B89" i="27"/>
  <c r="B88" i="27"/>
  <c r="N88" i="27" s="1"/>
  <c r="B87" i="27"/>
  <c r="N87" i="27" s="1"/>
  <c r="B86" i="27"/>
  <c r="N86" i="27" s="1"/>
  <c r="B85" i="27"/>
  <c r="N85" i="27" s="1"/>
  <c r="B84" i="27"/>
  <c r="N84" i="27" s="1"/>
  <c r="B83" i="27"/>
  <c r="B82" i="27"/>
  <c r="B81" i="27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H14" i="29"/>
  <c r="C15" i="29"/>
  <c r="Q15" i="29"/>
  <c r="R15" i="29"/>
  <c r="S15" i="29"/>
  <c r="T15" i="29"/>
  <c r="X15" i="29"/>
  <c r="U15" i="29"/>
  <c r="S17" i="29"/>
  <c r="S22" i="29" s="1"/>
  <c r="N89" i="27" l="1"/>
  <c r="Y45" i="29"/>
  <c r="N93" i="27"/>
  <c r="N105" i="27"/>
  <c r="N117" i="27"/>
  <c r="N129" i="27"/>
  <c r="N82" i="27"/>
  <c r="N94" i="27"/>
  <c r="N106" i="27"/>
  <c r="N118" i="27"/>
  <c r="N130" i="27"/>
  <c r="N83" i="27"/>
  <c r="N91" i="27"/>
  <c r="N95" i="27"/>
  <c r="N103" i="27"/>
  <c r="N107" i="27"/>
  <c r="N115" i="27"/>
  <c r="N119" i="27"/>
  <c r="N127" i="27"/>
  <c r="N131" i="27"/>
  <c r="N92" i="27"/>
  <c r="N104" i="27"/>
  <c r="N116" i="27"/>
  <c r="N128" i="27"/>
  <c r="R19" i="29"/>
  <c r="R17" i="29"/>
  <c r="R22" i="29" s="1"/>
  <c r="Q19" i="29"/>
  <c r="Q17" i="29"/>
  <c r="Q22" i="29" s="1"/>
  <c r="X17" i="29"/>
  <c r="U19" i="29"/>
  <c r="U17" i="29"/>
  <c r="U22" i="29" s="1"/>
  <c r="T19" i="29"/>
  <c r="T17" i="29"/>
  <c r="T22" i="29" s="1"/>
  <c r="S19" i="29"/>
  <c r="H9" i="27" l="1"/>
  <c r="AP166" i="27"/>
  <c r="AN166" i="27"/>
  <c r="AP176" i="27"/>
  <c r="AQ169" i="27"/>
  <c r="AQ170" i="27" s="1"/>
  <c r="AQ171" i="27" s="1"/>
  <c r="AQ172" i="27" s="1"/>
  <c r="AQ173" i="27" s="1"/>
  <c r="AQ174" i="27" s="1"/>
  <c r="AQ175" i="27" s="1"/>
  <c r="AN176" i="27"/>
  <c r="AO169" i="27"/>
  <c r="AO170" i="27" s="1"/>
  <c r="AO171" i="27" s="1"/>
  <c r="AO172" i="27" s="1"/>
  <c r="AO173" i="27" s="1"/>
  <c r="AO174" i="27" s="1"/>
  <c r="AO175" i="27" s="1"/>
  <c r="A158" i="27"/>
  <c r="D158" i="27" s="1"/>
  <c r="A157" i="27"/>
  <c r="C59" i="27"/>
  <c r="B157" i="27" s="1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60" i="27"/>
  <c r="N81" i="27"/>
  <c r="D59" i="27" l="1"/>
  <c r="E59" i="27" s="1"/>
  <c r="D60" i="27"/>
  <c r="E60" i="27" s="1"/>
  <c r="B158" i="27"/>
  <c r="C158" i="27"/>
  <c r="E158" i="27" s="1"/>
  <c r="F158" i="27" l="1"/>
  <c r="A24" i="29"/>
  <c r="E14" i="29"/>
  <c r="E15" i="29"/>
  <c r="Q18" i="29"/>
  <c r="R18" i="29"/>
  <c r="C24" i="29"/>
  <c r="G81" i="27" s="1"/>
  <c r="C26" i="29"/>
  <c r="G83" i="27" s="1"/>
  <c r="C27" i="29"/>
  <c r="G84" i="27" s="1"/>
  <c r="C28" i="29"/>
  <c r="G85" i="27" s="1"/>
  <c r="C29" i="29"/>
  <c r="G86" i="27" s="1"/>
  <c r="C30" i="29"/>
  <c r="G87" i="27" s="1"/>
  <c r="C31" i="29"/>
  <c r="G88" i="27" s="1"/>
  <c r="C32" i="29"/>
  <c r="G89" i="27" s="1"/>
  <c r="C33" i="29"/>
  <c r="G90" i="27" s="1"/>
  <c r="C34" i="29"/>
  <c r="G91" i="27" s="1"/>
  <c r="C35" i="29"/>
  <c r="G92" i="27" s="1"/>
  <c r="C36" i="29"/>
  <c r="G93" i="27" s="1"/>
  <c r="C37" i="29"/>
  <c r="G94" i="27" s="1"/>
  <c r="C38" i="29"/>
  <c r="G95" i="27" s="1"/>
  <c r="C39" i="29"/>
  <c r="G96" i="27" s="1"/>
  <c r="C40" i="29"/>
  <c r="G97" i="27" s="1"/>
  <c r="C41" i="29"/>
  <c r="G98" i="27" s="1"/>
  <c r="C42" i="29"/>
  <c r="G99" i="27" s="1"/>
  <c r="C43" i="29"/>
  <c r="G100" i="27" s="1"/>
  <c r="C44" i="29"/>
  <c r="G101" i="27" s="1"/>
  <c r="C45" i="29"/>
  <c r="G102" i="27" s="1"/>
  <c r="C46" i="29"/>
  <c r="G103" i="27" s="1"/>
  <c r="C47" i="29"/>
  <c r="G104" i="27" s="1"/>
  <c r="C48" i="29"/>
  <c r="G105" i="27" s="1"/>
  <c r="C49" i="29"/>
  <c r="G106" i="27" s="1"/>
  <c r="C50" i="29"/>
  <c r="G107" i="27" s="1"/>
  <c r="C51" i="29"/>
  <c r="G108" i="27" s="1"/>
  <c r="C52" i="29"/>
  <c r="G109" i="27" s="1"/>
  <c r="C53" i="29"/>
  <c r="G110" i="27" s="1"/>
  <c r="C55" i="29"/>
  <c r="G112" i="27" s="1"/>
  <c r="C56" i="29"/>
  <c r="G113" i="27" s="1"/>
  <c r="C57" i="29"/>
  <c r="G114" i="27" s="1"/>
  <c r="C58" i="29"/>
  <c r="G115" i="27" s="1"/>
  <c r="C59" i="29"/>
  <c r="G116" i="27" s="1"/>
  <c r="C60" i="29"/>
  <c r="G117" i="27" s="1"/>
  <c r="C61" i="29"/>
  <c r="G118" i="27" s="1"/>
  <c r="C62" i="29"/>
  <c r="G119" i="27" s="1"/>
  <c r="C64" i="29"/>
  <c r="G121" i="27" s="1"/>
  <c r="C65" i="29"/>
  <c r="G122" i="27" s="1"/>
  <c r="C66" i="29"/>
  <c r="G123" i="27" s="1"/>
  <c r="C67" i="29"/>
  <c r="G124" i="27" s="1"/>
  <c r="C68" i="29"/>
  <c r="G125" i="27" s="1"/>
  <c r="C69" i="29"/>
  <c r="G126" i="27" s="1"/>
  <c r="C70" i="29"/>
  <c r="G127" i="27" s="1"/>
  <c r="C72" i="29"/>
  <c r="G129" i="27" s="1"/>
  <c r="C73" i="29"/>
  <c r="G130" i="27" s="1"/>
  <c r="C74" i="29"/>
  <c r="G131" i="27" s="1"/>
  <c r="S18" i="29" l="1"/>
  <c r="C71" i="29"/>
  <c r="G128" i="27" s="1"/>
  <c r="C63" i="29"/>
  <c r="G120" i="27" s="1"/>
  <c r="C25" i="29"/>
  <c r="G82" i="27" s="1"/>
  <c r="C54" i="29"/>
  <c r="G111" i="27" s="1"/>
  <c r="Q16" i="29"/>
  <c r="R16" i="29"/>
  <c r="S16" i="29"/>
  <c r="S23" i="29" s="1"/>
  <c r="T16" i="29"/>
  <c r="T23" i="29" s="1"/>
  <c r="U16" i="29"/>
  <c r="U23" i="29" s="1"/>
  <c r="U18" i="29"/>
  <c r="T18" i="29"/>
  <c r="V19" i="29" l="1"/>
  <c r="AL166" i="27" l="1"/>
  <c r="AL176" i="27"/>
  <c r="AM169" i="27"/>
  <c r="AM170" i="27" s="1"/>
  <c r="AM171" i="27" s="1"/>
  <c r="AM172" i="27" s="1"/>
  <c r="AM173" i="27" s="1"/>
  <c r="AM174" i="27" s="1"/>
  <c r="AM175" i="27" s="1"/>
  <c r="AJ166" i="27"/>
  <c r="AJ176" i="27"/>
  <c r="AK169" i="27"/>
  <c r="AK170" i="27" s="1"/>
  <c r="AK171" i="27" s="1"/>
  <c r="AK172" i="27" s="1"/>
  <c r="AK173" i="27" s="1"/>
  <c r="AK174" i="27" s="1"/>
  <c r="AK175" i="27" s="1"/>
  <c r="AH166" i="27"/>
  <c r="AH176" i="27"/>
  <c r="AI169" i="27"/>
  <c r="AI170" i="27" s="1"/>
  <c r="AI171" i="27" s="1"/>
  <c r="AI172" i="27" s="1"/>
  <c r="AI173" i="27" s="1"/>
  <c r="AI174" i="27" s="1"/>
  <c r="AI175" i="27" s="1"/>
  <c r="AF166" i="27"/>
  <c r="AF176" i="27"/>
  <c r="AG169" i="27"/>
  <c r="AG170" i="27" s="1"/>
  <c r="AG171" i="27" s="1"/>
  <c r="AG172" i="27" s="1"/>
  <c r="AG173" i="27" s="1"/>
  <c r="AG174" i="27" s="1"/>
  <c r="AG175" i="27" s="1"/>
  <c r="AD166" i="27"/>
  <c r="AB166" i="27"/>
  <c r="A156" i="27"/>
  <c r="A155" i="27"/>
  <c r="A154" i="27"/>
  <c r="A153" i="27"/>
  <c r="A152" i="27"/>
  <c r="A151" i="27"/>
  <c r="AD176" i="27"/>
  <c r="AE169" i="27"/>
  <c r="AE170" i="27" s="1"/>
  <c r="AE171" i="27" s="1"/>
  <c r="AE172" i="27" s="1"/>
  <c r="AE173" i="27" s="1"/>
  <c r="AE174" i="27" s="1"/>
  <c r="AE175" i="27" s="1"/>
  <c r="L131" i="27"/>
  <c r="C131" i="27" s="1"/>
  <c r="L130" i="27"/>
  <c r="C130" i="27" s="1"/>
  <c r="L129" i="27"/>
  <c r="C129" i="27" s="1"/>
  <c r="L128" i="27"/>
  <c r="C128" i="27" s="1"/>
  <c r="L127" i="27"/>
  <c r="C127" i="27" s="1"/>
  <c r="L126" i="27"/>
  <c r="C126" i="27" s="1"/>
  <c r="L125" i="27"/>
  <c r="C125" i="27" s="1"/>
  <c r="L124" i="27"/>
  <c r="C124" i="27" s="1"/>
  <c r="L123" i="27"/>
  <c r="C123" i="27" s="1"/>
  <c r="L122" i="27"/>
  <c r="C122" i="27" s="1"/>
  <c r="L121" i="27"/>
  <c r="C121" i="27" s="1"/>
  <c r="L120" i="27"/>
  <c r="C120" i="27" s="1"/>
  <c r="L119" i="27"/>
  <c r="C119" i="27" s="1"/>
  <c r="L118" i="27"/>
  <c r="C118" i="27" s="1"/>
  <c r="L117" i="27"/>
  <c r="C117" i="27" s="1"/>
  <c r="L116" i="27"/>
  <c r="C116" i="27" s="1"/>
  <c r="L115" i="27"/>
  <c r="C115" i="27" s="1"/>
  <c r="L114" i="27"/>
  <c r="C114" i="27" s="1"/>
  <c r="L113" i="27"/>
  <c r="C113" i="27" s="1"/>
  <c r="L112" i="27"/>
  <c r="C112" i="27" s="1"/>
  <c r="L111" i="27"/>
  <c r="C111" i="27" s="1"/>
  <c r="L110" i="27"/>
  <c r="C110" i="27" s="1"/>
  <c r="F110" i="27" s="1"/>
  <c r="H110" i="27" s="1"/>
  <c r="L109" i="27"/>
  <c r="C109" i="27" s="1"/>
  <c r="F109" i="27" s="1"/>
  <c r="H109" i="27" s="1"/>
  <c r="L108" i="27"/>
  <c r="C108" i="27" s="1"/>
  <c r="F108" i="27" s="1"/>
  <c r="H108" i="27" s="1"/>
  <c r="L107" i="27"/>
  <c r="C107" i="27" s="1"/>
  <c r="F107" i="27" s="1"/>
  <c r="H107" i="27" s="1"/>
  <c r="L106" i="27"/>
  <c r="C106" i="27" s="1"/>
  <c r="F106" i="27" s="1"/>
  <c r="H106" i="27" s="1"/>
  <c r="Y74" i="29"/>
  <c r="Y73" i="29"/>
  <c r="Y72" i="29"/>
  <c r="Y71" i="29"/>
  <c r="Y69" i="29"/>
  <c r="Y68" i="29"/>
  <c r="Y67" i="29"/>
  <c r="Y66" i="29"/>
  <c r="Y65" i="29"/>
  <c r="Y64" i="29"/>
  <c r="Y63" i="29"/>
  <c r="Y62" i="29"/>
  <c r="Y61" i="29"/>
  <c r="Y60" i="29"/>
  <c r="Y58" i="29"/>
  <c r="Y57" i="29"/>
  <c r="Y56" i="29"/>
  <c r="Y55" i="29"/>
  <c r="Y54" i="29"/>
  <c r="Y53" i="29"/>
  <c r="Y52" i="29"/>
  <c r="Y51" i="29"/>
  <c r="Y50" i="29"/>
  <c r="Y44" i="29"/>
  <c r="Y41" i="29"/>
  <c r="Y40" i="29"/>
  <c r="Y34" i="29"/>
  <c r="Y24" i="29"/>
  <c r="H15" i="29"/>
  <c r="X16" i="29" s="1"/>
  <c r="F118" i="27" l="1"/>
  <c r="H118" i="27" s="1"/>
  <c r="N61" i="29" s="1"/>
  <c r="P61" i="29" s="1"/>
  <c r="F111" i="27"/>
  <c r="H111" i="27" s="1"/>
  <c r="N54" i="29" s="1"/>
  <c r="P54" i="29" s="1"/>
  <c r="F115" i="27"/>
  <c r="H115" i="27" s="1"/>
  <c r="N58" i="29" s="1"/>
  <c r="P58" i="29" s="1"/>
  <c r="F112" i="27"/>
  <c r="H112" i="27" s="1"/>
  <c r="N55" i="29" s="1"/>
  <c r="P55" i="29" s="1"/>
  <c r="F113" i="27"/>
  <c r="H113" i="27" s="1"/>
  <c r="N56" i="29" s="1"/>
  <c r="P56" i="29" s="1"/>
  <c r="F116" i="27"/>
  <c r="H116" i="27" s="1"/>
  <c r="N59" i="29" s="1"/>
  <c r="P59" i="29" s="1"/>
  <c r="F117" i="27"/>
  <c r="H117" i="27" s="1"/>
  <c r="N60" i="29" s="1"/>
  <c r="P60" i="29" s="1"/>
  <c r="F119" i="27"/>
  <c r="H119" i="27" s="1"/>
  <c r="N62" i="29" s="1"/>
  <c r="P62" i="29" s="1"/>
  <c r="F120" i="27"/>
  <c r="H120" i="27" s="1"/>
  <c r="N63" i="29" s="1"/>
  <c r="P63" i="29" s="1"/>
  <c r="F130" i="27"/>
  <c r="H130" i="27" s="1"/>
  <c r="N73" i="29" s="1"/>
  <c r="P73" i="29" s="1"/>
  <c r="T73" i="29" s="1"/>
  <c r="F131" i="27"/>
  <c r="H131" i="27" s="1"/>
  <c r="N74" i="29" s="1"/>
  <c r="P74" i="29" s="1"/>
  <c r="F129" i="27"/>
  <c r="H129" i="27" s="1"/>
  <c r="N72" i="29" s="1"/>
  <c r="P72" i="29" s="1"/>
  <c r="F128" i="27"/>
  <c r="H128" i="27" s="1"/>
  <c r="N71" i="29" s="1"/>
  <c r="P71" i="29" s="1"/>
  <c r="F127" i="27"/>
  <c r="H127" i="27" s="1"/>
  <c r="N70" i="29" s="1"/>
  <c r="P70" i="29" s="1"/>
  <c r="F126" i="27"/>
  <c r="H126" i="27" s="1"/>
  <c r="N69" i="29" s="1"/>
  <c r="P69" i="29" s="1"/>
  <c r="F125" i="27"/>
  <c r="H125" i="27" s="1"/>
  <c r="N68" i="29" s="1"/>
  <c r="P68" i="29" s="1"/>
  <c r="F124" i="27"/>
  <c r="H124" i="27" s="1"/>
  <c r="N67" i="29" s="1"/>
  <c r="P67" i="29" s="1"/>
  <c r="F123" i="27"/>
  <c r="H123" i="27" s="1"/>
  <c r="N66" i="29" s="1"/>
  <c r="P66" i="29" s="1"/>
  <c r="F122" i="27"/>
  <c r="H122" i="27" s="1"/>
  <c r="N65" i="29" s="1"/>
  <c r="P65" i="29" s="1"/>
  <c r="F121" i="27"/>
  <c r="H121" i="27" s="1"/>
  <c r="N64" i="29" s="1"/>
  <c r="P64" i="29" s="1"/>
  <c r="F114" i="27"/>
  <c r="H114" i="27" s="1"/>
  <c r="N57" i="29" s="1"/>
  <c r="P57" i="29" s="1"/>
  <c r="N49" i="29"/>
  <c r="P49" i="29" s="1"/>
  <c r="N52" i="29"/>
  <c r="P52" i="29" s="1"/>
  <c r="N53" i="29"/>
  <c r="P53" i="29" s="1"/>
  <c r="N50" i="29"/>
  <c r="P50" i="29" s="1"/>
  <c r="N51" i="29"/>
  <c r="P51" i="29" s="1"/>
  <c r="J9" i="27"/>
  <c r="C157" i="27"/>
  <c r="E157" i="27" s="1"/>
  <c r="F157" i="27" s="1"/>
  <c r="D157" i="27"/>
  <c r="Y29" i="29"/>
  <c r="Y26" i="29"/>
  <c r="Y38" i="29"/>
  <c r="Y27" i="29"/>
  <c r="Y39" i="29"/>
  <c r="C153" i="27"/>
  <c r="Y30" i="29"/>
  <c r="Y31" i="29"/>
  <c r="Y43" i="29"/>
  <c r="Y32" i="29"/>
  <c r="Y28" i="29"/>
  <c r="Y46" i="29"/>
  <c r="C152" i="27"/>
  <c r="Y70" i="29"/>
  <c r="Y35" i="29"/>
  <c r="Y47" i="29"/>
  <c r="Y59" i="29"/>
  <c r="Y42" i="29"/>
  <c r="Y33" i="29"/>
  <c r="Y36" i="29"/>
  <c r="Y48" i="29"/>
  <c r="Y25" i="29"/>
  <c r="Y37" i="29"/>
  <c r="Y49" i="29"/>
  <c r="C151" i="27"/>
  <c r="D55" i="27"/>
  <c r="E55" i="27" s="1"/>
  <c r="D56" i="27"/>
  <c r="E56" i="27" s="1"/>
  <c r="D57" i="27"/>
  <c r="E57" i="27" s="1"/>
  <c r="D54" i="27"/>
  <c r="E54" i="27" s="1"/>
  <c r="D58" i="27"/>
  <c r="E58" i="27" s="1"/>
  <c r="C154" i="27"/>
  <c r="C155" i="27"/>
  <c r="C156" i="27"/>
  <c r="B151" i="27"/>
  <c r="B153" i="27"/>
  <c r="B154" i="27"/>
  <c r="B155" i="27"/>
  <c r="B156" i="27"/>
  <c r="B152" i="27"/>
  <c r="AB176" i="27"/>
  <c r="Z176" i="27"/>
  <c r="X176" i="27"/>
  <c r="V176" i="27"/>
  <c r="T176" i="27"/>
  <c r="R176" i="27"/>
  <c r="P176" i="27"/>
  <c r="N176" i="27"/>
  <c r="L176" i="27"/>
  <c r="J176" i="27"/>
  <c r="H176" i="27"/>
  <c r="F176" i="27"/>
  <c r="D176" i="27"/>
  <c r="AC169" i="27"/>
  <c r="AC170" i="27" s="1"/>
  <c r="AC171" i="27" s="1"/>
  <c r="AC172" i="27" s="1"/>
  <c r="AC173" i="27" s="1"/>
  <c r="AC174" i="27" s="1"/>
  <c r="AC175" i="27" s="1"/>
  <c r="D53" i="27" s="1"/>
  <c r="E53" i="27" s="1"/>
  <c r="AA169" i="27"/>
  <c r="AA170" i="27" s="1"/>
  <c r="AA171" i="27" s="1"/>
  <c r="AA172" i="27" s="1"/>
  <c r="AA173" i="27" s="1"/>
  <c r="AA174" i="27" s="1"/>
  <c r="AA175" i="27" s="1"/>
  <c r="Y169" i="27"/>
  <c r="Y170" i="27" s="1"/>
  <c r="Y171" i="27" s="1"/>
  <c r="Y172" i="27" s="1"/>
  <c r="Y173" i="27" s="1"/>
  <c r="Y174" i="27" s="1"/>
  <c r="Y175" i="27" s="1"/>
  <c r="W169" i="27"/>
  <c r="W170" i="27" s="1"/>
  <c r="W171" i="27" s="1"/>
  <c r="W172" i="27" s="1"/>
  <c r="W173" i="27" s="1"/>
  <c r="W174" i="27" s="1"/>
  <c r="W175" i="27" s="1"/>
  <c r="U169" i="27"/>
  <c r="U170" i="27" s="1"/>
  <c r="U171" i="27" s="1"/>
  <c r="U172" i="27" s="1"/>
  <c r="U173" i="27" s="1"/>
  <c r="U174" i="27" s="1"/>
  <c r="U175" i="27" s="1"/>
  <c r="S169" i="27"/>
  <c r="S170" i="27" s="1"/>
  <c r="S171" i="27" s="1"/>
  <c r="S172" i="27" s="1"/>
  <c r="S173" i="27" s="1"/>
  <c r="S174" i="27" s="1"/>
  <c r="S175" i="27" s="1"/>
  <c r="Q169" i="27"/>
  <c r="Q170" i="27" s="1"/>
  <c r="Q171" i="27" s="1"/>
  <c r="Q172" i="27" s="1"/>
  <c r="Q173" i="27" s="1"/>
  <c r="Q174" i="27" s="1"/>
  <c r="Q175" i="27" s="1"/>
  <c r="O169" i="27"/>
  <c r="O170" i="27" s="1"/>
  <c r="O171" i="27" s="1"/>
  <c r="O172" i="27" s="1"/>
  <c r="O173" i="27" s="1"/>
  <c r="O174" i="27" s="1"/>
  <c r="O175" i="27" s="1"/>
  <c r="M169" i="27"/>
  <c r="M170" i="27" s="1"/>
  <c r="M171" i="27" s="1"/>
  <c r="M172" i="27" s="1"/>
  <c r="M173" i="27" s="1"/>
  <c r="M174" i="27" s="1"/>
  <c r="M175" i="27" s="1"/>
  <c r="K169" i="27"/>
  <c r="K170" i="27" s="1"/>
  <c r="K171" i="27" s="1"/>
  <c r="K172" i="27" s="1"/>
  <c r="K173" i="27" s="1"/>
  <c r="K174" i="27" s="1"/>
  <c r="K175" i="27" s="1"/>
  <c r="I169" i="27"/>
  <c r="I170" i="27" s="1"/>
  <c r="I171" i="27" s="1"/>
  <c r="I172" i="27" s="1"/>
  <c r="I173" i="27" s="1"/>
  <c r="I174" i="27" s="1"/>
  <c r="I175" i="27" s="1"/>
  <c r="G169" i="27"/>
  <c r="G170" i="27" s="1"/>
  <c r="G171" i="27" s="1"/>
  <c r="G172" i="27" s="1"/>
  <c r="G173" i="27" s="1"/>
  <c r="G174" i="27" s="1"/>
  <c r="G175" i="27" s="1"/>
  <c r="E169" i="27"/>
  <c r="E170" i="27" s="1"/>
  <c r="E171" i="27" s="1"/>
  <c r="E172" i="27" s="1"/>
  <c r="E173" i="27" s="1"/>
  <c r="E174" i="27" s="1"/>
  <c r="E175" i="27" s="1"/>
  <c r="C169" i="27"/>
  <c r="C170" i="27" s="1"/>
  <c r="C171" i="27" s="1"/>
  <c r="C172" i="27" s="1"/>
  <c r="C173" i="27" s="1"/>
  <c r="C174" i="27" s="1"/>
  <c r="C175" i="27" s="1"/>
  <c r="C176" i="27" s="1"/>
  <c r="D9" i="27" s="1"/>
  <c r="A169" i="27"/>
  <c r="A170" i="27" s="1"/>
  <c r="A171" i="27" s="1"/>
  <c r="A172" i="27" s="1"/>
  <c r="A173" i="27" s="1"/>
  <c r="A174" i="27" s="1"/>
  <c r="Z166" i="27"/>
  <c r="X166" i="27"/>
  <c r="V166" i="27"/>
  <c r="T166" i="27"/>
  <c r="R166" i="27"/>
  <c r="P166" i="27"/>
  <c r="N166" i="27"/>
  <c r="L166" i="27"/>
  <c r="J166" i="27"/>
  <c r="H166" i="27"/>
  <c r="F166" i="27"/>
  <c r="D166" i="27"/>
  <c r="A150" i="27"/>
  <c r="C150" i="27" s="1"/>
  <c r="A149" i="27"/>
  <c r="A148" i="27"/>
  <c r="A147" i="27"/>
  <c r="A146" i="27"/>
  <c r="A145" i="27"/>
  <c r="A144" i="27"/>
  <c r="A143" i="27"/>
  <c r="A142" i="27"/>
  <c r="A141" i="27"/>
  <c r="A140" i="27"/>
  <c r="A139" i="27"/>
  <c r="L105" i="27"/>
  <c r="C105" i="27" s="1"/>
  <c r="F105" i="27" s="1"/>
  <c r="H105" i="27" s="1"/>
  <c r="N48" i="29" s="1"/>
  <c r="P48" i="29" s="1"/>
  <c r="L104" i="27"/>
  <c r="C104" i="27" s="1"/>
  <c r="F104" i="27" s="1"/>
  <c r="H104" i="27" s="1"/>
  <c r="N47" i="29" s="1"/>
  <c r="P47" i="29" s="1"/>
  <c r="L103" i="27"/>
  <c r="C103" i="27" s="1"/>
  <c r="F103" i="27" s="1"/>
  <c r="H103" i="27" s="1"/>
  <c r="N46" i="29" s="1"/>
  <c r="P46" i="29" s="1"/>
  <c r="L102" i="27"/>
  <c r="C102" i="27" s="1"/>
  <c r="F102" i="27" s="1"/>
  <c r="H102" i="27" s="1"/>
  <c r="N45" i="29" s="1"/>
  <c r="P45" i="29" s="1"/>
  <c r="L101" i="27"/>
  <c r="C101" i="27" s="1"/>
  <c r="F101" i="27" s="1"/>
  <c r="H101" i="27" s="1"/>
  <c r="N44" i="29" s="1"/>
  <c r="P44" i="29" s="1"/>
  <c r="L100" i="27"/>
  <c r="C100" i="27" s="1"/>
  <c r="F100" i="27" s="1"/>
  <c r="H100" i="27" s="1"/>
  <c r="N43" i="29" s="1"/>
  <c r="P43" i="29" s="1"/>
  <c r="L99" i="27"/>
  <c r="C99" i="27" s="1"/>
  <c r="F99" i="27" s="1"/>
  <c r="H99" i="27" s="1"/>
  <c r="N42" i="29" s="1"/>
  <c r="P42" i="29" s="1"/>
  <c r="L98" i="27"/>
  <c r="C98" i="27" s="1"/>
  <c r="F98" i="27" s="1"/>
  <c r="H98" i="27" s="1"/>
  <c r="N41" i="29" s="1"/>
  <c r="P41" i="29" s="1"/>
  <c r="L97" i="27"/>
  <c r="C97" i="27" s="1"/>
  <c r="F97" i="27" s="1"/>
  <c r="H97" i="27" s="1"/>
  <c r="N40" i="29" s="1"/>
  <c r="P40" i="29" s="1"/>
  <c r="L96" i="27"/>
  <c r="C96" i="27" s="1"/>
  <c r="F96" i="27" s="1"/>
  <c r="H96" i="27" s="1"/>
  <c r="N39" i="29" s="1"/>
  <c r="P39" i="29" s="1"/>
  <c r="L95" i="27"/>
  <c r="C95" i="27" s="1"/>
  <c r="F95" i="27" s="1"/>
  <c r="H95" i="27" s="1"/>
  <c r="N38" i="29" s="1"/>
  <c r="P38" i="29" s="1"/>
  <c r="L94" i="27"/>
  <c r="C94" i="27" s="1"/>
  <c r="F94" i="27" s="1"/>
  <c r="H94" i="27" s="1"/>
  <c r="N37" i="29" s="1"/>
  <c r="P37" i="29" s="1"/>
  <c r="L93" i="27"/>
  <c r="C93" i="27" s="1"/>
  <c r="F93" i="27" s="1"/>
  <c r="H93" i="27" s="1"/>
  <c r="N36" i="29" s="1"/>
  <c r="P36" i="29" s="1"/>
  <c r="L92" i="27"/>
  <c r="C92" i="27" s="1"/>
  <c r="F92" i="27" s="1"/>
  <c r="H92" i="27" s="1"/>
  <c r="N35" i="29" s="1"/>
  <c r="P35" i="29" s="1"/>
  <c r="L91" i="27"/>
  <c r="C91" i="27" s="1"/>
  <c r="F91" i="27" s="1"/>
  <c r="H91" i="27" s="1"/>
  <c r="N34" i="29" s="1"/>
  <c r="P34" i="29" s="1"/>
  <c r="L90" i="27"/>
  <c r="C90" i="27" s="1"/>
  <c r="F90" i="27" s="1"/>
  <c r="H90" i="27" s="1"/>
  <c r="N33" i="29" s="1"/>
  <c r="P33" i="29" s="1"/>
  <c r="L89" i="27"/>
  <c r="C89" i="27" s="1"/>
  <c r="F89" i="27" s="1"/>
  <c r="H89" i="27" s="1"/>
  <c r="N32" i="29" s="1"/>
  <c r="P32" i="29" s="1"/>
  <c r="L88" i="27"/>
  <c r="C88" i="27" s="1"/>
  <c r="F88" i="27" s="1"/>
  <c r="H88" i="27" s="1"/>
  <c r="N31" i="29" s="1"/>
  <c r="P31" i="29" s="1"/>
  <c r="L87" i="27"/>
  <c r="C87" i="27" s="1"/>
  <c r="F87" i="27" s="1"/>
  <c r="H87" i="27" s="1"/>
  <c r="N30" i="29" s="1"/>
  <c r="P30" i="29" s="1"/>
  <c r="L86" i="27"/>
  <c r="C86" i="27" s="1"/>
  <c r="F86" i="27" s="1"/>
  <c r="H86" i="27" s="1"/>
  <c r="L85" i="27"/>
  <c r="C85" i="27" s="1"/>
  <c r="F85" i="27" s="1"/>
  <c r="H85" i="27" s="1"/>
  <c r="L84" i="27"/>
  <c r="C84" i="27" s="1"/>
  <c r="F84" i="27" s="1"/>
  <c r="H84" i="27" s="1"/>
  <c r="L83" i="27"/>
  <c r="C83" i="27" s="1"/>
  <c r="F83" i="27" s="1"/>
  <c r="H83" i="27" s="1"/>
  <c r="L82" i="27"/>
  <c r="C82" i="27" s="1"/>
  <c r="F82" i="27" s="1"/>
  <c r="H82" i="27" s="1"/>
  <c r="N25" i="29" s="1"/>
  <c r="P25" i="29" s="1"/>
  <c r="L81" i="27"/>
  <c r="C81" i="27" s="1"/>
  <c r="B71" i="27"/>
  <c r="B70" i="27"/>
  <c r="B69" i="27"/>
  <c r="B68" i="27"/>
  <c r="B150" i="27"/>
  <c r="B149" i="27"/>
  <c r="B148" i="27"/>
  <c r="B147" i="27"/>
  <c r="B146" i="27"/>
  <c r="B145" i="27"/>
  <c r="B144" i="27"/>
  <c r="B143" i="27"/>
  <c r="B142" i="27"/>
  <c r="B141" i="27"/>
  <c r="B140" i="27"/>
  <c r="B139" i="27"/>
  <c r="F14" i="27"/>
  <c r="D6" i="27"/>
  <c r="D5" i="27"/>
  <c r="F6" i="27" s="1"/>
  <c r="G6" i="27" s="1"/>
  <c r="C72" i="27" l="1"/>
  <c r="X19" i="29" s="1"/>
  <c r="R73" i="29"/>
  <c r="Q73" i="29"/>
  <c r="U73" i="29"/>
  <c r="S73" i="29"/>
  <c r="U60" i="29"/>
  <c r="Q60" i="29"/>
  <c r="T60" i="29"/>
  <c r="S60" i="29"/>
  <c r="R60" i="29"/>
  <c r="R74" i="29"/>
  <c r="U74" i="29"/>
  <c r="Q74" i="29"/>
  <c r="T74" i="29"/>
  <c r="S74" i="29"/>
  <c r="X74" i="29"/>
  <c r="X60" i="29"/>
  <c r="X73" i="29"/>
  <c r="B72" i="27"/>
  <c r="R72" i="29"/>
  <c r="U72" i="29"/>
  <c r="Q72" i="29"/>
  <c r="T72" i="29"/>
  <c r="X72" i="29"/>
  <c r="S72" i="29"/>
  <c r="S71" i="29"/>
  <c r="R71" i="29"/>
  <c r="U71" i="29"/>
  <c r="Q71" i="29"/>
  <c r="T71" i="29"/>
  <c r="X71" i="29"/>
  <c r="R70" i="29"/>
  <c r="U70" i="29"/>
  <c r="Q70" i="29"/>
  <c r="T70" i="29"/>
  <c r="X70" i="29"/>
  <c r="S70" i="29"/>
  <c r="T69" i="29"/>
  <c r="X69" i="29"/>
  <c r="S69" i="29"/>
  <c r="U69" i="29"/>
  <c r="R69" i="29"/>
  <c r="Q69" i="29"/>
  <c r="X68" i="29"/>
  <c r="S68" i="29"/>
  <c r="T68" i="29"/>
  <c r="R68" i="29"/>
  <c r="U68" i="29"/>
  <c r="Q68" i="29"/>
  <c r="S67" i="29"/>
  <c r="U67" i="29"/>
  <c r="X67" i="29"/>
  <c r="T67" i="29"/>
  <c r="R67" i="29"/>
  <c r="Q67" i="29"/>
  <c r="R66" i="29"/>
  <c r="T66" i="29"/>
  <c r="Q66" i="29"/>
  <c r="S66" i="29"/>
  <c r="X66" i="29"/>
  <c r="U66" i="29"/>
  <c r="R65" i="29"/>
  <c r="T65" i="29"/>
  <c r="Q65" i="29"/>
  <c r="S65" i="29"/>
  <c r="X65" i="29"/>
  <c r="U65" i="29"/>
  <c r="Q64" i="29"/>
  <c r="S64" i="29"/>
  <c r="R64" i="29"/>
  <c r="U64" i="29"/>
  <c r="T64" i="29"/>
  <c r="X64" i="29"/>
  <c r="X25" i="29"/>
  <c r="U25" i="29"/>
  <c r="T25" i="29"/>
  <c r="S25" i="29"/>
  <c r="R25" i="29"/>
  <c r="Q25" i="29"/>
  <c r="X37" i="29"/>
  <c r="U37" i="29"/>
  <c r="T37" i="29"/>
  <c r="S37" i="29"/>
  <c r="R37" i="29"/>
  <c r="Q37" i="29"/>
  <c r="X50" i="29"/>
  <c r="U50" i="29"/>
  <c r="T50" i="29"/>
  <c r="S50" i="29"/>
  <c r="R50" i="29"/>
  <c r="Q50" i="29"/>
  <c r="S48" i="29"/>
  <c r="U48" i="29"/>
  <c r="T48" i="29"/>
  <c r="R48" i="29"/>
  <c r="Q48" i="29"/>
  <c r="X48" i="29"/>
  <c r="Q39" i="29"/>
  <c r="X39" i="29"/>
  <c r="U39" i="29"/>
  <c r="T39" i="29"/>
  <c r="S39" i="29"/>
  <c r="R39" i="29"/>
  <c r="T57" i="29"/>
  <c r="S57" i="29"/>
  <c r="R57" i="29"/>
  <c r="Q57" i="29"/>
  <c r="X57" i="29"/>
  <c r="U57" i="29"/>
  <c r="Q38" i="29"/>
  <c r="X38" i="29"/>
  <c r="U38" i="29"/>
  <c r="T38" i="29"/>
  <c r="S38" i="29"/>
  <c r="R38" i="29"/>
  <c r="R41" i="29"/>
  <c r="Q41" i="29"/>
  <c r="X41" i="29"/>
  <c r="U41" i="29"/>
  <c r="T41" i="29"/>
  <c r="S41" i="29"/>
  <c r="R53" i="29"/>
  <c r="Q53" i="29"/>
  <c r="X53" i="29"/>
  <c r="U53" i="29"/>
  <c r="T53" i="29"/>
  <c r="S53" i="29"/>
  <c r="S56" i="29"/>
  <c r="Q56" i="29"/>
  <c r="R56" i="29"/>
  <c r="X56" i="29"/>
  <c r="T56" i="29"/>
  <c r="U56" i="29"/>
  <c r="R30" i="29"/>
  <c r="Q30" i="29"/>
  <c r="X30" i="29"/>
  <c r="U30" i="29"/>
  <c r="T30" i="29"/>
  <c r="S30" i="29"/>
  <c r="S42" i="29"/>
  <c r="R42" i="29"/>
  <c r="Q42" i="29"/>
  <c r="X42" i="29"/>
  <c r="U42" i="29"/>
  <c r="T42" i="29"/>
  <c r="Q52" i="29"/>
  <c r="X52" i="29"/>
  <c r="U52" i="29"/>
  <c r="T52" i="29"/>
  <c r="R52" i="29"/>
  <c r="S52" i="29"/>
  <c r="U36" i="29"/>
  <c r="S36" i="29"/>
  <c r="T36" i="29"/>
  <c r="R36" i="29"/>
  <c r="Q36" i="29"/>
  <c r="X36" i="29"/>
  <c r="S43" i="29"/>
  <c r="R43" i="29"/>
  <c r="Q43" i="29"/>
  <c r="X43" i="29"/>
  <c r="U43" i="29"/>
  <c r="T43" i="29"/>
  <c r="X62" i="29"/>
  <c r="U62" i="29"/>
  <c r="T62" i="29"/>
  <c r="S62" i="29"/>
  <c r="Q62" i="29"/>
  <c r="R62" i="29"/>
  <c r="T32" i="29"/>
  <c r="S32" i="29"/>
  <c r="Q32" i="29"/>
  <c r="R32" i="29"/>
  <c r="X32" i="29"/>
  <c r="U32" i="29"/>
  <c r="S55" i="29"/>
  <c r="R55" i="29"/>
  <c r="X55" i="29"/>
  <c r="Q55" i="29"/>
  <c r="U55" i="29"/>
  <c r="T55" i="29"/>
  <c r="Q40" i="29"/>
  <c r="X40" i="29"/>
  <c r="U40" i="29"/>
  <c r="T40" i="29"/>
  <c r="R40" i="29"/>
  <c r="S40" i="29"/>
  <c r="T33" i="29"/>
  <c r="S33" i="29"/>
  <c r="R33" i="29"/>
  <c r="Q33" i="29"/>
  <c r="X33" i="29"/>
  <c r="U33" i="29"/>
  <c r="Q63" i="29"/>
  <c r="X63" i="29"/>
  <c r="U63" i="29"/>
  <c r="T63" i="29"/>
  <c r="S63" i="29"/>
  <c r="R63" i="29"/>
  <c r="S31" i="29"/>
  <c r="R31" i="29"/>
  <c r="Q31" i="29"/>
  <c r="X31" i="29"/>
  <c r="U31" i="29"/>
  <c r="T31" i="29"/>
  <c r="T45" i="29"/>
  <c r="S45" i="29"/>
  <c r="R45" i="29"/>
  <c r="Q45" i="29"/>
  <c r="X45" i="29"/>
  <c r="U45" i="29"/>
  <c r="U34" i="29"/>
  <c r="T34" i="29"/>
  <c r="S34" i="29"/>
  <c r="R34" i="29"/>
  <c r="Q34" i="29"/>
  <c r="X34" i="29"/>
  <c r="U46" i="29"/>
  <c r="T46" i="29"/>
  <c r="S46" i="29"/>
  <c r="R46" i="29"/>
  <c r="Q46" i="29"/>
  <c r="X46" i="29"/>
  <c r="X49" i="29"/>
  <c r="U49" i="29"/>
  <c r="T49" i="29"/>
  <c r="S49" i="29"/>
  <c r="R49" i="29"/>
  <c r="Q49" i="29"/>
  <c r="U59" i="29"/>
  <c r="T59" i="29"/>
  <c r="S59" i="29"/>
  <c r="R59" i="29"/>
  <c r="Q59" i="29"/>
  <c r="X59" i="29"/>
  <c r="T44" i="29"/>
  <c r="Q44" i="29"/>
  <c r="S44" i="29"/>
  <c r="R44" i="29"/>
  <c r="X44" i="29"/>
  <c r="U44" i="29"/>
  <c r="U35" i="29"/>
  <c r="T35" i="29"/>
  <c r="S35" i="29"/>
  <c r="R35" i="29"/>
  <c r="Q35" i="29"/>
  <c r="X35" i="29"/>
  <c r="U47" i="29"/>
  <c r="T47" i="29"/>
  <c r="S47" i="29"/>
  <c r="R47" i="29"/>
  <c r="Q47" i="29"/>
  <c r="X47" i="29"/>
  <c r="R54" i="29"/>
  <c r="Q54" i="29"/>
  <c r="X54" i="29"/>
  <c r="U54" i="29"/>
  <c r="T54" i="29"/>
  <c r="S54" i="29"/>
  <c r="U58" i="29"/>
  <c r="T58" i="29"/>
  <c r="S58" i="29"/>
  <c r="R58" i="29"/>
  <c r="Q58" i="29"/>
  <c r="X58" i="29"/>
  <c r="Q51" i="29"/>
  <c r="X51" i="29"/>
  <c r="U51" i="29"/>
  <c r="T51" i="29"/>
  <c r="S51" i="29"/>
  <c r="R51" i="29"/>
  <c r="X61" i="29"/>
  <c r="U61" i="29"/>
  <c r="T61" i="29"/>
  <c r="S61" i="29"/>
  <c r="R61" i="29"/>
  <c r="Q61" i="29"/>
  <c r="F81" i="27"/>
  <c r="H81" i="27" s="1"/>
  <c r="N24" i="29" s="1"/>
  <c r="N28" i="29"/>
  <c r="P28" i="29" s="1"/>
  <c r="N26" i="29"/>
  <c r="P26" i="29" s="1"/>
  <c r="N27" i="29"/>
  <c r="P27" i="29" s="1"/>
  <c r="H68" i="27"/>
  <c r="D41" i="27"/>
  <c r="E41" i="27" s="1"/>
  <c r="D52" i="27"/>
  <c r="E52" i="27" s="1"/>
  <c r="D46" i="27"/>
  <c r="E46" i="27" s="1"/>
  <c r="H72" i="27"/>
  <c r="H69" i="27"/>
  <c r="D51" i="27"/>
  <c r="E51" i="27" s="1"/>
  <c r="D42" i="27"/>
  <c r="E42" i="27" s="1"/>
  <c r="H71" i="27"/>
  <c r="D43" i="27"/>
  <c r="E43" i="27" s="1"/>
  <c r="D45" i="27"/>
  <c r="E45" i="27" s="1"/>
  <c r="D10" i="27"/>
  <c r="D44" i="27"/>
  <c r="E44" i="27" s="1"/>
  <c r="H70" i="27"/>
  <c r="D47" i="27"/>
  <c r="E47" i="27" s="1"/>
  <c r="K9" i="27"/>
  <c r="D49" i="27"/>
  <c r="E49" i="27" s="1"/>
  <c r="B73" i="27"/>
  <c r="H67" i="27"/>
  <c r="D48" i="27"/>
  <c r="E48" i="27" s="1"/>
  <c r="D50" i="27"/>
  <c r="E50" i="27" s="1"/>
  <c r="C140" i="27"/>
  <c r="C142" i="27"/>
  <c r="C144" i="27"/>
  <c r="C146" i="27"/>
  <c r="C148" i="27"/>
  <c r="C139" i="27"/>
  <c r="C141" i="27"/>
  <c r="C143" i="27"/>
  <c r="C145" i="27"/>
  <c r="C147" i="27"/>
  <c r="C149" i="27"/>
  <c r="V60" i="29" l="1"/>
  <c r="V73" i="29"/>
  <c r="V74" i="29"/>
  <c r="V72" i="29"/>
  <c r="V71" i="29"/>
  <c r="V70" i="29"/>
  <c r="V68" i="29"/>
  <c r="V69" i="29"/>
  <c r="V67" i="29"/>
  <c r="V66" i="29"/>
  <c r="V65" i="29"/>
  <c r="V64" i="29"/>
  <c r="Q27" i="29"/>
  <c r="X27" i="29"/>
  <c r="U27" i="29"/>
  <c r="T27" i="29"/>
  <c r="S27" i="29"/>
  <c r="R27" i="29"/>
  <c r="X26" i="29"/>
  <c r="U26" i="29"/>
  <c r="T26" i="29"/>
  <c r="S26" i="29"/>
  <c r="Q26" i="29"/>
  <c r="R26" i="29"/>
  <c r="R28" i="29"/>
  <c r="Q28" i="29"/>
  <c r="U28" i="29"/>
  <c r="X28" i="29"/>
  <c r="T28" i="29"/>
  <c r="S28" i="29"/>
  <c r="V61" i="29"/>
  <c r="V49" i="29"/>
  <c r="V58" i="29"/>
  <c r="V63" i="29"/>
  <c r="V62" i="29"/>
  <c r="V55" i="29"/>
  <c r="V53" i="29"/>
  <c r="V57" i="29"/>
  <c r="V51" i="29"/>
  <c r="V52" i="29"/>
  <c r="V59" i="29"/>
  <c r="V56" i="29"/>
  <c r="V54" i="29"/>
  <c r="V50" i="29"/>
  <c r="V43" i="29"/>
  <c r="V30" i="29"/>
  <c r="V47" i="29"/>
  <c r="V31" i="29"/>
  <c r="V40" i="29"/>
  <c r="V44" i="29"/>
  <c r="V39" i="29"/>
  <c r="V34" i="29"/>
  <c r="V45" i="29"/>
  <c r="V32" i="29"/>
  <c r="V25" i="29"/>
  <c r="V48" i="29"/>
  <c r="V33" i="29"/>
  <c r="V38" i="29"/>
  <c r="V46" i="29"/>
  <c r="V42" i="29"/>
  <c r="V35" i="29"/>
  <c r="V41" i="29"/>
  <c r="V36" i="29"/>
  <c r="V37" i="29"/>
  <c r="C159" i="27"/>
  <c r="D151" i="27"/>
  <c r="E151" i="27" s="1"/>
  <c r="F151" i="27" s="1"/>
  <c r="V28" i="29" l="1"/>
  <c r="V27" i="29"/>
  <c r="V26" i="29"/>
  <c r="D155" i="27"/>
  <c r="E155" i="27" s="1"/>
  <c r="F155" i="27" s="1"/>
  <c r="D153" i="27"/>
  <c r="E153" i="27" s="1"/>
  <c r="F153" i="27" s="1"/>
  <c r="D156" i="27"/>
  <c r="E156" i="27" s="1"/>
  <c r="F156" i="27" s="1"/>
  <c r="D154" i="27"/>
  <c r="E154" i="27" s="1"/>
  <c r="F154" i="27" s="1"/>
  <c r="D152" i="27"/>
  <c r="E152" i="27" s="1"/>
  <c r="F152" i="27" s="1"/>
  <c r="D141" i="27"/>
  <c r="E141" i="27" s="1"/>
  <c r="F141" i="27" s="1"/>
  <c r="D150" i="27"/>
  <c r="D144" i="27"/>
  <c r="E144" i="27" s="1"/>
  <c r="F144" i="27" s="1"/>
  <c r="D149" i="27"/>
  <c r="E149" i="27" s="1"/>
  <c r="F149" i="27" s="1"/>
  <c r="D148" i="27"/>
  <c r="E148" i="27" s="1"/>
  <c r="F148" i="27" s="1"/>
  <c r="D146" i="27"/>
  <c r="E146" i="27" s="1"/>
  <c r="F146" i="27" s="1"/>
  <c r="D139" i="27"/>
  <c r="E139" i="27" s="1"/>
  <c r="F139" i="27" s="1"/>
  <c r="D140" i="27"/>
  <c r="E140" i="27" s="1"/>
  <c r="F140" i="27" s="1"/>
  <c r="D145" i="27"/>
  <c r="E145" i="27" s="1"/>
  <c r="F145" i="27" s="1"/>
  <c r="D143" i="27"/>
  <c r="E143" i="27" s="1"/>
  <c r="F143" i="27" s="1"/>
  <c r="D142" i="27"/>
  <c r="D147" i="27"/>
  <c r="E147" i="27" s="1"/>
  <c r="F147" i="27" s="1"/>
  <c r="D159" i="27" l="1"/>
  <c r="E150" i="27"/>
  <c r="F150" i="27" s="1"/>
  <c r="E142" i="27"/>
  <c r="F142" i="27" s="1"/>
  <c r="P24" i="29"/>
  <c r="X24" i="29" l="1"/>
  <c r="R24" i="29"/>
  <c r="Q24" i="29"/>
  <c r="U24" i="29"/>
  <c r="T24" i="29"/>
  <c r="S24" i="29"/>
  <c r="V24" i="29" l="1"/>
  <c r="N29" i="29"/>
  <c r="P29" i="29" s="1"/>
  <c r="R29" i="29" l="1"/>
  <c r="Q29" i="29"/>
  <c r="X29" i="29"/>
  <c r="U29" i="29"/>
  <c r="T29" i="29"/>
  <c r="S29" i="29"/>
  <c r="V29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A38D-9B81-4F7C-BFBB-F17247410E78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<sst xmlns="http://schemas.openxmlformats.org/spreadsheetml/2006/main" count="546" uniqueCount="315">
  <si>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</si>
  <si>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</si>
  <si>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</si>
  <si>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</si>
  <si>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</si>
  <si>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</si>
  <si>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</si>
  <si>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</si>
  <si>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</si>
  <si>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</si>
  <si>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</si>
  <si>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</si>
  <si>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</si>
  <si>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</si>
  <si>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</si>
  <si>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</si>
  <si>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</si>
  <si>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</si>
  <si>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</si>
  <si>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</si>
  <si>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</si>
  <si>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</si>
  <si>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</si>
  <si>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</si>
  <si>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</si>
  <si>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</si>
  <si>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</si>
  <si>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</si>
  <si>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</si>
  <si>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</si>
  <si>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</si>
  <si>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</si>
  <si>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</si>
  <si>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</si>
  <si>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</si>
  <si>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CITY 01 PARANHOS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</si>
  <si>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</si>
  <si>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</si>
  <si>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</si>
  <si>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</si>
  <si>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</si>
  <si>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</si>
  <si>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</si>
  <si>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</si>
  <si>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</si>
  <si>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</si>
  <si>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</si>
  <si>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</si>
  <si>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</si>
  <si>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</si>
  <si>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</si>
  <si>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</si>
  <si>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</si>
  <si>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</si>
  <si>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</si>
  <si>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</si>
  <si>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</si>
  <si>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</si>
  <si>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</si>
  <si>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</si>
  <si>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</si>
  <si>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</si>
  <si>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</si>
  <si>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Preço Base 19</t>
  </si>
  <si>
    <t>Preço Base 20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</si>
  <si>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</si>
  <si>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</si>
  <si>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</si>
  <si>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</si>
  <si>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</si>
  <si>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</si>
  <si>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</si>
  <si>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</si>
  <si>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</si>
  <si>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</si>
  <si>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</si>
  <si>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</si>
  <si>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</si>
  <si>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</si>
  <si>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</si>
  <si>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ANUAIS</t>
  </si>
  <si>
    <t>Pós Entrega</t>
  </si>
  <si>
    <t>FINANC. BANCÁRIO</t>
  </si>
  <si>
    <t>Acompanhamento Contratos</t>
  </si>
  <si>
    <t>UNIDADE</t>
  </si>
  <si>
    <t>Peso %</t>
  </si>
  <si>
    <t>Preço base (Não alterar)</t>
  </si>
  <si>
    <t>Status</t>
  </si>
  <si>
    <t>VGV Tabela</t>
  </si>
  <si>
    <t>Area Privativa</t>
  </si>
  <si>
    <t>Preço/m2 Tabela</t>
  </si>
  <si>
    <t>coeficiente</t>
  </si>
  <si>
    <t>Final</t>
  </si>
  <si>
    <t xml:space="preserve">DISPONIVEL </t>
  </si>
  <si>
    <t>CONTRATO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</si>
  <si>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</si>
  <si>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</si>
  <si>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</si>
  <si>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</si>
  <si>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</si>
  <si>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</si>
  <si>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</si>
  <si>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</si>
  <si>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</si>
  <si>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</si>
  <si>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</si>
  <si>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</si>
  <si>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</si>
  <si>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</si>
  <si>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Inserir</t>
  </si>
  <si>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</si>
  <si>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</si>
  <si>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</si>
  <si>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</si>
  <si>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</si>
  <si>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</si>
  <si>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</si>
  <si>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</si>
  <si>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</si>
  <si>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</si>
  <si>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</si>
  <si>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</si>
  <si>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</si>
  <si>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</si>
  <si>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</si>
  <si>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</si>
  <si>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</si>
  <si>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</si>
  <si>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</si>
  <si>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</si>
  <si>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</si>
  <si>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</si>
  <si>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</si>
  <si>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</si>
  <si>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</si>
  <si>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</si>
  <si>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</si>
  <si>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</si>
  <si>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</si>
  <si>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</si>
  <si>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</si>
  <si>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</si>
  <si>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</si>
  <si>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</si>
  <si>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</si>
  <si>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</si>
  <si>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</si>
  <si>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</si>
  <si>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 xml:space="preserve"> </t>
  </si>
  <si>
    <t>TABELA LANÇAMENTO RICARDO PARANHOS -  JULHO 2023 - ENTREGA: OUTUBRO 2026</t>
  </si>
  <si>
    <t>As parcelas serão corrigidas pelo INCC até o habite-se, após o habite-se será IGPM + 1%</t>
  </si>
  <si>
    <t>ENTREGA</t>
  </si>
  <si>
    <t>MÊS DA TABELA</t>
  </si>
  <si>
    <t>LCTO</t>
  </si>
  <si>
    <t>ATÉ A ENTREGA DAS CHAVES</t>
  </si>
  <si>
    <t>APÓS CHAVES</t>
  </si>
  <si>
    <t>Unidade</t>
  </si>
  <si>
    <t>Área Privativa Total (m²)</t>
  </si>
  <si>
    <t>Área Apart. Coberta (m²)</t>
  </si>
  <si>
    <t>Área Apart. (m²)</t>
  </si>
  <si>
    <t>Área Varanda Coberta (m²)</t>
  </si>
  <si>
    <t>Área Varanda Descoberta (m²)</t>
  </si>
  <si>
    <t>Vagas de Garagem</t>
  </si>
  <si>
    <t>Áreas das Vagas de Garagem</t>
  </si>
  <si>
    <t>PVTO VAGAS</t>
  </si>
  <si>
    <t>ESC. GAR.</t>
  </si>
  <si>
    <t>PAV ESC</t>
  </si>
  <si>
    <t>Àrea ESC. (m2)</t>
  </si>
  <si>
    <t>PREÇO BASE</t>
  </si>
  <si>
    <t>Preço M² FINAL</t>
  </si>
  <si>
    <t>Valor Total</t>
  </si>
  <si>
    <t>Sinal</t>
  </si>
  <si>
    <t>Sinal 3 parcelas</t>
  </si>
  <si>
    <t>Mensais</t>
  </si>
  <si>
    <t>Semestrais</t>
  </si>
  <si>
    <t xml:space="preserve">Anuais </t>
  </si>
  <si>
    <t>SUBTOTAL</t>
  </si>
  <si>
    <t>FINANCIAMENTO BANCÁRIO</t>
  </si>
  <si>
    <t>Contrato</t>
  </si>
  <si>
    <t>30 /60 /90 dias</t>
  </si>
  <si>
    <t>52/53/53A</t>
  </si>
  <si>
    <t>P</t>
  </si>
  <si>
    <t>SS1/SS1/SS1</t>
  </si>
  <si>
    <t>E14</t>
  </si>
  <si>
    <t>SS1</t>
  </si>
  <si>
    <t>54/62/62A/115</t>
  </si>
  <si>
    <t>M</t>
  </si>
  <si>
    <t>SS1/SS1/SS1/PG2</t>
  </si>
  <si>
    <t>E15</t>
  </si>
  <si>
    <t>18/19/19A</t>
  </si>
  <si>
    <t>SS2/SS2/SS2</t>
  </si>
  <si>
    <t>E02</t>
  </si>
  <si>
    <t>SS2</t>
  </si>
  <si>
    <t>118/118A/119/120</t>
  </si>
  <si>
    <t>P GARDEN</t>
  </si>
  <si>
    <t>PG2/PG2/PG2/PG2</t>
  </si>
  <si>
    <t>E48</t>
  </si>
  <si>
    <t>PG2</t>
  </si>
  <si>
    <t>1/01A/16</t>
  </si>
  <si>
    <t>E01</t>
  </si>
  <si>
    <t>26/26A/27/27A</t>
  </si>
  <si>
    <t>SS2/SS2/SS2/SS2</t>
  </si>
  <si>
    <t>E23</t>
  </si>
  <si>
    <t>4/04A/13</t>
  </si>
  <si>
    <t>E12</t>
  </si>
  <si>
    <t>32/32A/33/116</t>
  </si>
  <si>
    <t>G</t>
  </si>
  <si>
    <t>SS2/SS2/SS2/PG2</t>
  </si>
  <si>
    <t>E45</t>
  </si>
  <si>
    <t>2/02A/50</t>
  </si>
  <si>
    <t>SS2/SS2/SS1</t>
  </si>
  <si>
    <t>E09</t>
  </si>
  <si>
    <t>20/28/28A/127</t>
  </si>
  <si>
    <t>E03</t>
  </si>
  <si>
    <t>8/08A/12</t>
  </si>
  <si>
    <t>E13</t>
  </si>
  <si>
    <t>31/31A/113/122</t>
  </si>
  <si>
    <t>SS2/SS2/PG2/PG2</t>
  </si>
  <si>
    <t>E40</t>
  </si>
  <si>
    <t>PG1</t>
  </si>
  <si>
    <t>3/03A/17</t>
  </si>
  <si>
    <t>E10</t>
  </si>
  <si>
    <t>23/63/63A/130</t>
  </si>
  <si>
    <t>SS2/SS1/SS1/PG2</t>
  </si>
  <si>
    <t>E46</t>
  </si>
  <si>
    <t>10/10A/11</t>
  </si>
  <si>
    <t>E08</t>
  </si>
  <si>
    <t>25/66/66A/83</t>
  </si>
  <si>
    <t>SS2/SS1/SS1/PG1</t>
  </si>
  <si>
    <t>E04</t>
  </si>
  <si>
    <t>5/05A/51</t>
  </si>
  <si>
    <t>E11</t>
  </si>
  <si>
    <t>29/29A/30/30A</t>
  </si>
  <si>
    <t>E22</t>
  </si>
  <si>
    <t>42/42A/107</t>
  </si>
  <si>
    <t>SS1/SS1/PG2</t>
  </si>
  <si>
    <t>E43</t>
  </si>
  <si>
    <t>15/15A/21/114</t>
  </si>
  <si>
    <t>E06</t>
  </si>
  <si>
    <t>9/09A/104</t>
  </si>
  <si>
    <t>SS2/SS2/PG2</t>
  </si>
  <si>
    <t>E41</t>
  </si>
  <si>
    <t>24/65/65A/80</t>
  </si>
  <si>
    <t>E30</t>
  </si>
  <si>
    <t>40/40A/108</t>
  </si>
  <si>
    <t>E44</t>
  </si>
  <si>
    <t>22/100/100A/129</t>
  </si>
  <si>
    <t>SS2/PG2/PG2/PG2</t>
  </si>
  <si>
    <t>E05</t>
  </si>
  <si>
    <t>57/99/99A</t>
  </si>
  <si>
    <t>SS1/PG2/PG2</t>
  </si>
  <si>
    <t>E18</t>
  </si>
  <si>
    <t>96/96A/121/123</t>
  </si>
  <si>
    <t>E50</t>
  </si>
  <si>
    <t>39/39A/109</t>
  </si>
  <si>
    <t>E20</t>
  </si>
  <si>
    <t>14/14A/58/112</t>
  </si>
  <si>
    <t>SS2/SS2/SS1/PG2</t>
  </si>
  <si>
    <t>E07</t>
  </si>
  <si>
    <t>7/07A/101</t>
  </si>
  <si>
    <t>E27</t>
  </si>
  <si>
    <t>TER</t>
  </si>
  <si>
    <t>60/60A/61/61A</t>
  </si>
  <si>
    <t>SS1/SS1/SS1/SS1</t>
  </si>
  <si>
    <t>E16</t>
  </si>
  <si>
    <t>6/06A/106</t>
  </si>
  <si>
    <t>E28</t>
  </si>
  <si>
    <t>46/46A/55/56</t>
  </si>
  <si>
    <t>E17</t>
  </si>
  <si>
    <t>43/43A/103</t>
  </si>
  <si>
    <t>E21</t>
  </si>
  <si>
    <t>82/97/97A</t>
  </si>
  <si>
    <t>PG1/PG2/PG2</t>
  </si>
  <si>
    <t>E37</t>
  </si>
  <si>
    <t>44/45/45A</t>
  </si>
  <si>
    <t>E19</t>
  </si>
  <si>
    <t>117/117A/126/128</t>
  </si>
  <si>
    <t>E51</t>
  </si>
  <si>
    <t>38/38A/105</t>
  </si>
  <si>
    <t>E25</t>
  </si>
  <si>
    <t>98/98A/110/111</t>
  </si>
  <si>
    <t>E47</t>
  </si>
  <si>
    <t>41/41A/102</t>
  </si>
  <si>
    <t>E26</t>
  </si>
  <si>
    <t>64/64A/124/125</t>
  </si>
  <si>
    <t>SS1/SS1/PG2/PG2</t>
  </si>
  <si>
    <t>E49</t>
  </si>
  <si>
    <t>68/87/87A/88/88A</t>
  </si>
  <si>
    <t>TER/PG1/PG1/PG1/PG1</t>
  </si>
  <si>
    <t>E24</t>
  </si>
  <si>
    <t>36/37/37A/47</t>
  </si>
  <si>
    <t>E38</t>
  </si>
  <si>
    <t>90/90A/93/94</t>
  </si>
  <si>
    <t>PG1/PG1/PG1/PG1</t>
  </si>
  <si>
    <t>E34</t>
  </si>
  <si>
    <t>48/49/77/77A</t>
  </si>
  <si>
    <t>SS1/SS1/PG1/PG1</t>
  </si>
  <si>
    <t>E42</t>
  </si>
  <si>
    <t>59/67/91/91A</t>
  </si>
  <si>
    <t>E36</t>
  </si>
  <si>
    <t>84/86/89/89A</t>
  </si>
  <si>
    <t>E32</t>
  </si>
  <si>
    <t>34/35/76/76A</t>
  </si>
  <si>
    <t>SS1/SS1/TER/TER</t>
  </si>
  <si>
    <t>E29</t>
  </si>
  <si>
    <t>69/75/75A/78</t>
  </si>
  <si>
    <t>TER/TER/TER/PG1</t>
  </si>
  <si>
    <t>E35</t>
  </si>
  <si>
    <t>72/72A/85/95</t>
  </si>
  <si>
    <t>TER/TER/PG1/PG1</t>
  </si>
  <si>
    <t>E39</t>
  </si>
  <si>
    <t>74/74A/81/92</t>
  </si>
  <si>
    <t>E33</t>
  </si>
  <si>
    <t>70/71/71A/79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</si>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</sst>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dd/mm/yy;@"/>
    <numFmt numFmtId="167" formatCode="[$-416]mmm\-yy;@"/>
    <numFmt numFmtId="168" formatCode="d/m/yy;@"/>
    <numFmt numFmtId="169" formatCode="_(* #,##0_);_(* \(#,##0\);_(* &quot;-&quot;??_);_(@_)"/>
    <numFmt numFmtId="170" formatCode="_(&quot;R$ &quot;* #,##0.00_);_(&quot;R$ &quot;* \(#,##0.00\);_(&quot;R$ &quot;* &quot;-&quot;??_);_(@_)"/>
    <numFmt numFmtId="171" formatCode="_(&quot;R$ &quot;* #,##0_);_(&quot;R$ &quot;* \(#,##0\);_(&quot;R$ &quot;* &quot;-&quot;??_);_(@_)"/>
    <numFmt numFmtId="172" formatCode="0.0%"/>
    <numFmt numFmtId="173" formatCode="0.000"/>
    <numFmt numFmtId="174" formatCode="_(&quot;R$ &quot;* #,##0.00000_);_(&quot;R$ &quot;* \(#,##0.00000\);_(&quot;R$ &quot;* &quot;-&quot;??_);_(@_)"/>
    <numFmt numFmtId="175" formatCode="0.000%"/>
    <numFmt numFmtId="176" formatCode="0.0000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7"/>
      <color indexed="8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9" fontId="11" fillId="0" borderId="0" applyFill="0" applyBorder="0" applyAlignment="0" applyProtection="0"/>
    <xf numFmtId="165" fontId="11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0" fillId="0" borderId="10" xfId="0" applyBorder="1"/>
    <xf numFmtId="164" fontId="17" fillId="0" borderId="16" xfId="2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22" fillId="8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0" fillId="8" borderId="0" xfId="0" applyFill="1"/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17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/>
    <xf numFmtId="0" fontId="15" fillId="4" borderId="2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vertical="center"/>
    </xf>
    <xf numFmtId="167" fontId="14" fillId="5" borderId="22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/>
    </xf>
    <xf numFmtId="1" fontId="23" fillId="5" borderId="0" xfId="0" applyNumberFormat="1" applyFont="1" applyFill="1" applyAlignment="1">
      <alignment vertical="center"/>
    </xf>
    <xf numFmtId="167" fontId="14" fillId="7" borderId="10" xfId="0" applyNumberFormat="1" applyFont="1" applyFill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69" fontId="16" fillId="5" borderId="10" xfId="2" applyNumberFormat="1" applyFont="1" applyFill="1" applyBorder="1" applyAlignment="1" applyProtection="1">
      <alignment horizontal="center"/>
    </xf>
    <xf numFmtId="1" fontId="23" fillId="2" borderId="0" xfId="0" applyNumberFormat="1" applyFont="1" applyFill="1" applyAlignment="1">
      <alignment vertical="center"/>
    </xf>
    <xf numFmtId="1" fontId="24" fillId="2" borderId="0" xfId="0" applyNumberFormat="1" applyFont="1" applyFill="1" applyAlignment="1">
      <alignment vertical="center"/>
    </xf>
    <xf numFmtId="0" fontId="14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/>
    </xf>
    <xf numFmtId="0" fontId="0" fillId="2" borderId="0" xfId="0" applyFill="1"/>
    <xf numFmtId="0" fontId="23" fillId="7" borderId="10" xfId="0" applyFont="1" applyFill="1" applyBorder="1" applyAlignment="1">
      <alignment vertical="center"/>
    </xf>
    <xf numFmtId="171" fontId="23" fillId="7" borderId="10" xfId="16" applyNumberFormat="1" applyFont="1" applyFill="1" applyBorder="1" applyAlignment="1" applyProtection="1">
      <alignment vertical="center"/>
    </xf>
    <xf numFmtId="171" fontId="23" fillId="5" borderId="10" xfId="16" applyNumberFormat="1" applyFont="1" applyFill="1" applyBorder="1" applyAlignment="1" applyProtection="1">
      <alignment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1" fillId="4" borderId="10" xfId="0" applyFont="1" applyFill="1" applyBorder="1"/>
    <xf numFmtId="0" fontId="0" fillId="5" borderId="22" xfId="0" applyFill="1" applyBorder="1" applyAlignment="1">
      <alignment horizontal="center"/>
    </xf>
    <xf numFmtId="1" fontId="0" fillId="5" borderId="0" xfId="0" applyNumberFormat="1" applyFill="1"/>
    <xf numFmtId="167" fontId="11" fillId="5" borderId="0" xfId="0" applyNumberFormat="1" applyFont="1" applyFill="1"/>
    <xf numFmtId="17" fontId="0" fillId="2" borderId="0" xfId="0" applyNumberFormat="1" applyFill="1"/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 wrapText="1"/>
    </xf>
    <xf numFmtId="172" fontId="0" fillId="7" borderId="22" xfId="1" applyNumberFormat="1" applyFont="1" applyFill="1" applyBorder="1" applyAlignment="1" applyProtection="1">
      <alignment horizontal="center"/>
    </xf>
    <xf numFmtId="172" fontId="0" fillId="7" borderId="10" xfId="1" applyNumberFormat="1" applyFont="1" applyFill="1" applyBorder="1" applyAlignment="1" applyProtection="1">
      <alignment horizontal="center"/>
    </xf>
    <xf numFmtId="172" fontId="0" fillId="9" borderId="25" xfId="1" applyNumberFormat="1" applyFont="1" applyFill="1" applyBorder="1" applyAlignment="1" applyProtection="1">
      <alignment horizontal="center"/>
    </xf>
    <xf numFmtId="10" fontId="0" fillId="5" borderId="10" xfId="1" applyNumberFormat="1" applyFont="1" applyFill="1" applyBorder="1" applyAlignment="1" applyProtection="1">
      <alignment horizontal="center"/>
    </xf>
    <xf numFmtId="0" fontId="11" fillId="4" borderId="10" xfId="0" applyFont="1" applyFill="1" applyBorder="1" applyAlignment="1">
      <alignment wrapText="1"/>
    </xf>
    <xf numFmtId="10" fontId="11" fillId="5" borderId="10" xfId="1" applyNumberFormat="1" applyFill="1" applyBorder="1" applyAlignment="1">
      <alignment horizontal="center" wrapText="1"/>
    </xf>
    <xf numFmtId="10" fontId="0" fillId="5" borderId="10" xfId="1" applyNumberFormat="1" applyFont="1" applyFill="1" applyBorder="1" applyAlignment="1">
      <alignment horizontal="center"/>
    </xf>
    <xf numFmtId="1" fontId="11" fillId="5" borderId="0" xfId="0" applyNumberFormat="1" applyFont="1" applyFill="1"/>
    <xf numFmtId="166" fontId="0" fillId="5" borderId="10" xfId="0" applyNumberFormat="1" applyFill="1" applyBorder="1" applyAlignment="1">
      <alignment horizontal="center" wrapText="1"/>
    </xf>
    <xf numFmtId="0" fontId="11" fillId="5" borderId="10" xfId="0" applyFont="1" applyFill="1" applyBorder="1" applyAlignment="1">
      <alignment horizontal="left" wrapText="1"/>
    </xf>
    <xf numFmtId="0" fontId="11" fillId="4" borderId="10" xfId="0" applyFont="1" applyFill="1" applyBorder="1" applyAlignment="1">
      <alignment vertical="center" wrapText="1"/>
    </xf>
    <xf numFmtId="164" fontId="11" fillId="5" borderId="10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44" fontId="0" fillId="2" borderId="0" xfId="16" applyFont="1" applyFill="1" applyBorder="1" applyProtection="1"/>
    <xf numFmtId="0" fontId="0" fillId="4" borderId="10" xfId="0" applyFill="1" applyBorder="1" applyAlignment="1">
      <alignment wrapText="1"/>
    </xf>
    <xf numFmtId="0" fontId="11" fillId="2" borderId="0" xfId="0" applyFont="1" applyFill="1"/>
    <xf numFmtId="9" fontId="11" fillId="2" borderId="0" xfId="1" applyFill="1" applyBorder="1" applyAlignment="1" applyProtection="1"/>
    <xf numFmtId="9" fontId="25" fillId="2" borderId="0" xfId="1" quotePrefix="1" applyFont="1" applyFill="1" applyBorder="1" applyAlignment="1" applyProtection="1">
      <alignment wrapText="1"/>
      <protection hidden="1"/>
    </xf>
    <xf numFmtId="172" fontId="0" fillId="5" borderId="10" xfId="1" applyNumberFormat="1" applyFont="1" applyFill="1" applyBorder="1" applyAlignment="1" applyProtection="1">
      <alignment horizontal="center"/>
    </xf>
    <xf numFmtId="0" fontId="11" fillId="5" borderId="0" xfId="0" applyFont="1" applyFill="1" applyAlignment="1">
      <alignment horizontal="center" wrapText="1"/>
    </xf>
    <xf numFmtId="10" fontId="11" fillId="5" borderId="0" xfId="1" applyNumberFormat="1" applyFill="1" applyBorder="1" applyAlignment="1" applyProtection="1">
      <alignment horizontal="center"/>
    </xf>
    <xf numFmtId="171" fontId="11" fillId="5" borderId="0" xfId="16" applyNumberFormat="1" applyFont="1" applyFill="1" applyBorder="1" applyAlignment="1" applyProtection="1">
      <alignment horizontal="center"/>
    </xf>
    <xf numFmtId="172" fontId="10" fillId="5" borderId="0" xfId="1" applyNumberFormat="1" applyFont="1" applyFill="1" applyBorder="1" applyAlignment="1" applyProtection="1">
      <alignment horizontal="center"/>
    </xf>
    <xf numFmtId="17" fontId="11" fillId="5" borderId="0" xfId="0" applyNumberFormat="1" applyFont="1" applyFill="1" applyAlignment="1">
      <alignment horizontal="center"/>
    </xf>
    <xf numFmtId="173" fontId="0" fillId="5" borderId="0" xfId="0" applyNumberFormat="1" applyFill="1" applyAlignment="1">
      <alignment horizontal="center"/>
    </xf>
    <xf numFmtId="44" fontId="11" fillId="5" borderId="0" xfId="16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>
      <alignment horizontal="center"/>
    </xf>
    <xf numFmtId="165" fontId="11" fillId="2" borderId="0" xfId="2" applyFill="1" applyBorder="1" applyAlignment="1" applyProtection="1">
      <alignment horizontal="center"/>
    </xf>
    <xf numFmtId="171" fontId="0" fillId="2" borderId="0" xfId="0" applyNumberFormat="1" applyFill="1"/>
    <xf numFmtId="0" fontId="0" fillId="4" borderId="10" xfId="0" applyFill="1" applyBorder="1" applyAlignment="1">
      <alignment horizontal="center"/>
    </xf>
    <xf numFmtId="10" fontId="11" fillId="4" borderId="10" xfId="1" applyNumberFormat="1" applyFill="1" applyBorder="1" applyAlignment="1" applyProtection="1">
      <alignment horizontal="center"/>
    </xf>
    <xf numFmtId="10" fontId="0" fillId="2" borderId="0" xfId="1" applyNumberFormat="1" applyFont="1" applyFill="1" applyProtection="1"/>
    <xf numFmtId="169" fontId="11" fillId="5" borderId="0" xfId="2" applyNumberFormat="1" applyFill="1" applyBorder="1" applyAlignment="1" applyProtection="1">
      <alignment horizontal="right"/>
    </xf>
    <xf numFmtId="171" fontId="0" fillId="0" borderId="22" xfId="0" applyNumberFormat="1" applyBorder="1"/>
    <xf numFmtId="171" fontId="11" fillId="5" borderId="10" xfId="16" applyNumberFormat="1" applyFont="1" applyFill="1" applyBorder="1" applyAlignment="1" applyProtection="1">
      <alignment horizontal="center"/>
    </xf>
    <xf numFmtId="171" fontId="11" fillId="2" borderId="0" xfId="16" applyNumberFormat="1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/>
    <xf numFmtId="10" fontId="11" fillId="5" borderId="0" xfId="1" applyNumberFormat="1" applyFill="1" applyBorder="1" applyAlignment="1" applyProtection="1"/>
    <xf numFmtId="9" fontId="11" fillId="5" borderId="0" xfId="1" applyFill="1" applyProtection="1"/>
    <xf numFmtId="39" fontId="14" fillId="0" borderId="0" xfId="0" applyNumberFormat="1" applyFont="1" applyAlignment="1">
      <alignment horizontal="center" vertical="center"/>
    </xf>
    <xf numFmtId="0" fontId="26" fillId="8" borderId="0" xfId="0" applyFont="1" applyFill="1"/>
    <xf numFmtId="0" fontId="26" fillId="8" borderId="0" xfId="0" applyFont="1" applyFill="1" applyAlignment="1">
      <alignment horizontal="center"/>
    </xf>
    <xf numFmtId="0" fontId="10" fillId="5" borderId="0" xfId="0" applyFont="1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171" fontId="0" fillId="0" borderId="0" xfId="0" applyNumberFormat="1"/>
    <xf numFmtId="0" fontId="0" fillId="4" borderId="22" xfId="0" applyFill="1" applyBorder="1" applyAlignment="1">
      <alignment horizontal="center"/>
    </xf>
    <xf numFmtId="10" fontId="11" fillId="0" borderId="10" xfId="1" applyNumberFormat="1" applyBorder="1" applyAlignment="1" applyProtection="1">
      <alignment horizontal="center"/>
    </xf>
    <xf numFmtId="10" fontId="0" fillId="9" borderId="10" xfId="1" applyNumberFormat="1" applyFont="1" applyFill="1" applyBorder="1" applyAlignment="1" applyProtection="1">
      <alignment horizontal="center"/>
    </xf>
    <xf numFmtId="165" fontId="0" fillId="0" borderId="22" xfId="2" applyFont="1" applyBorder="1" applyAlignment="1" applyProtection="1">
      <alignment horizontal="center"/>
    </xf>
    <xf numFmtId="17" fontId="0" fillId="9" borderId="10" xfId="0" applyNumberFormat="1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10" fontId="0" fillId="5" borderId="0" xfId="1" applyNumberFormat="1" applyFont="1" applyFill="1" applyProtection="1"/>
    <xf numFmtId="165" fontId="0" fillId="0" borderId="10" xfId="2" applyFont="1" applyBorder="1" applyAlignment="1" applyProtection="1">
      <alignment horizontal="center"/>
    </xf>
    <xf numFmtId="2" fontId="0" fillId="5" borderId="0" xfId="1" applyNumberFormat="1" applyFont="1" applyFill="1" applyProtection="1"/>
    <xf numFmtId="0" fontId="0" fillId="10" borderId="10" xfId="0" applyFill="1" applyBorder="1" applyAlignment="1">
      <alignment horizontal="center"/>
    </xf>
    <xf numFmtId="10" fontId="10" fillId="10" borderId="10" xfId="1" applyNumberFormat="1" applyFont="1" applyFill="1" applyBorder="1" applyAlignment="1" applyProtection="1">
      <alignment horizontal="center"/>
    </xf>
    <xf numFmtId="10" fontId="0" fillId="10" borderId="20" xfId="1" applyNumberFormat="1" applyFont="1" applyFill="1" applyBorder="1" applyAlignment="1" applyProtection="1"/>
    <xf numFmtId="10" fontId="0" fillId="10" borderId="9" xfId="1" applyNumberFormat="1" applyFont="1" applyFill="1" applyBorder="1" applyAlignment="1" applyProtection="1"/>
    <xf numFmtId="10" fontId="0" fillId="10" borderId="25" xfId="1" applyNumberFormat="1" applyFont="1" applyFill="1" applyBorder="1" applyAlignment="1" applyProtection="1"/>
    <xf numFmtId="10" fontId="0" fillId="5" borderId="0" xfId="1" applyNumberFormat="1" applyFont="1" applyFill="1" applyBorder="1" applyAlignment="1" applyProtection="1"/>
    <xf numFmtId="170" fontId="10" fillId="5" borderId="0" xfId="0" applyNumberFormat="1" applyFont="1" applyFill="1" applyAlignment="1">
      <alignment horizontal="center"/>
    </xf>
    <xf numFmtId="10" fontId="10" fillId="5" borderId="0" xfId="1" applyNumberFormat="1" applyFont="1" applyFill="1" applyBorder="1" applyAlignment="1" applyProtection="1">
      <alignment horizontal="center"/>
    </xf>
    <xf numFmtId="10" fontId="0" fillId="5" borderId="0" xfId="1" applyNumberFormat="1" applyFont="1" applyFill="1" applyBorder="1" applyAlignment="1" applyProtection="1">
      <alignment horizontal="center"/>
    </xf>
    <xf numFmtId="0" fontId="10" fillId="5" borderId="0" xfId="0" applyFont="1" applyFill="1" applyAlignment="1">
      <alignment horizont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172" fontId="0" fillId="5" borderId="0" xfId="1" applyNumberFormat="1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 wrapText="1"/>
    </xf>
    <xf numFmtId="0" fontId="11" fillId="5" borderId="0" xfId="0" applyFont="1" applyFill="1"/>
    <xf numFmtId="10" fontId="10" fillId="5" borderId="0" xfId="1" applyNumberFormat="1" applyFont="1" applyFill="1" applyBorder="1" applyAlignment="1" applyProtection="1">
      <alignment horizontal="center" wrapText="1"/>
    </xf>
    <xf numFmtId="10" fontId="0" fillId="9" borderId="22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37" fontId="0" fillId="9" borderId="10" xfId="0" applyNumberFormat="1" applyFill="1" applyBorder="1" applyAlignment="1">
      <alignment horizontal="center"/>
    </xf>
    <xf numFmtId="2" fontId="0" fillId="11" borderId="22" xfId="0" applyNumberFormat="1" applyFill="1" applyBorder="1" applyAlignment="1">
      <alignment horizontal="center"/>
    </xf>
    <xf numFmtId="10" fontId="0" fillId="0" borderId="0" xfId="1" applyNumberFormat="1" applyFont="1" applyProtection="1"/>
    <xf numFmtId="10" fontId="0" fillId="0" borderId="0" xfId="2" applyNumberFormat="1" applyFont="1" applyBorder="1" applyProtection="1">
      <protection hidden="1"/>
    </xf>
    <xf numFmtId="172" fontId="0" fillId="0" borderId="0" xfId="1" applyNumberFormat="1" applyFont="1" applyAlignment="1" applyProtection="1">
      <alignment horizontal="center"/>
    </xf>
    <xf numFmtId="165" fontId="0" fillId="0" borderId="0" xfId="2" applyFont="1" applyProtection="1"/>
    <xf numFmtId="165" fontId="11" fillId="0" borderId="0" xfId="2" applyProtection="1"/>
    <xf numFmtId="43" fontId="0" fillId="0" borderId="0" xfId="0" applyNumberFormat="1"/>
    <xf numFmtId="164" fontId="0" fillId="0" borderId="0" xfId="0" applyNumberFormat="1"/>
    <xf numFmtId="171" fontId="0" fillId="5" borderId="0" xfId="16" applyNumberFormat="1" applyFont="1" applyFill="1" applyBorder="1" applyAlignment="1" applyProtection="1">
      <alignment horizontal="center"/>
    </xf>
    <xf numFmtId="0" fontId="27" fillId="5" borderId="0" xfId="0" applyFont="1" applyFill="1" applyAlignment="1">
      <alignment horizontal="center" vertical="top"/>
    </xf>
    <xf numFmtId="0" fontId="0" fillId="10" borderId="29" xfId="0" applyFill="1" applyBorder="1" applyAlignment="1">
      <alignment horizontal="center"/>
    </xf>
    <xf numFmtId="0" fontId="0" fillId="10" borderId="10" xfId="0" applyFill="1" applyBorder="1" applyAlignment="1">
      <alignment horizontal="center" wrapText="1"/>
    </xf>
    <xf numFmtId="0" fontId="0" fillId="10" borderId="29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2" fontId="0" fillId="0" borderId="10" xfId="0" applyNumberFormat="1" applyBorder="1" applyAlignment="1">
      <alignment horizontal="center"/>
    </xf>
    <xf numFmtId="171" fontId="0" fillId="0" borderId="10" xfId="16" applyNumberFormat="1" applyFont="1" applyBorder="1" applyAlignment="1" applyProtection="1">
      <alignment horizontal="center"/>
    </xf>
    <xf numFmtId="171" fontId="0" fillId="0" borderId="20" xfId="16" applyNumberFormat="1" applyFont="1" applyBorder="1" applyProtection="1"/>
    <xf numFmtId="171" fontId="0" fillId="0" borderId="10" xfId="16" applyNumberFormat="1" applyFont="1" applyBorder="1" applyProtection="1"/>
    <xf numFmtId="171" fontId="0" fillId="2" borderId="0" xfId="16" applyNumberFormat="1" applyFont="1" applyFill="1" applyBorder="1" applyProtection="1"/>
    <xf numFmtId="2" fontId="10" fillId="0" borderId="10" xfId="0" applyNumberFormat="1" applyFont="1" applyBorder="1" applyAlignment="1">
      <alignment horizontal="center"/>
    </xf>
    <xf numFmtId="171" fontId="10" fillId="0" borderId="10" xfId="0" applyNumberFormat="1" applyFont="1" applyBorder="1" applyAlignment="1">
      <alignment horizontal="center"/>
    </xf>
    <xf numFmtId="171" fontId="10" fillId="0" borderId="20" xfId="16" applyNumberFormat="1" applyFont="1" applyBorder="1" applyAlignment="1" applyProtection="1">
      <alignment horizontal="center"/>
    </xf>
    <xf numFmtId="171" fontId="10" fillId="2" borderId="0" xfId="16" applyNumberFormat="1" applyFont="1" applyFill="1" applyBorder="1" applyAlignment="1" applyProtection="1">
      <alignment horizontal="center"/>
    </xf>
    <xf numFmtId="174" fontId="0" fillId="2" borderId="0" xfId="0" applyNumberFormat="1" applyFill="1"/>
    <xf numFmtId="175" fontId="0" fillId="5" borderId="0" xfId="1" applyNumberFormat="1" applyFont="1" applyFill="1" applyProtection="1"/>
    <xf numFmtId="9" fontId="0" fillId="5" borderId="0" xfId="1" applyFont="1" applyFill="1" applyProtection="1"/>
    <xf numFmtId="0" fontId="11" fillId="8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4" borderId="10" xfId="0" applyFont="1" applyFill="1" applyBorder="1" applyAlignment="1">
      <alignment horizontal="center" wrapText="1"/>
    </xf>
    <xf numFmtId="17" fontId="11" fillId="0" borderId="10" xfId="0" applyNumberFormat="1" applyFont="1" applyBorder="1" applyAlignment="1">
      <alignment horizontal="center"/>
    </xf>
    <xf numFmtId="10" fontId="0" fillId="0" borderId="22" xfId="1" applyNumberFormat="1" applyFont="1" applyBorder="1" applyAlignment="1" applyProtection="1">
      <alignment horizontal="center"/>
    </xf>
    <xf numFmtId="171" fontId="11" fillId="9" borderId="10" xfId="16" applyNumberFormat="1" applyFont="1" applyFill="1" applyBorder="1" applyAlignment="1" applyProtection="1">
      <alignment horizontal="center"/>
    </xf>
    <xf numFmtId="171" fontId="11" fillId="0" borderId="10" xfId="16" applyNumberFormat="1" applyFont="1" applyFill="1" applyBorder="1" applyAlignment="1" applyProtection="1">
      <alignment horizontal="center"/>
    </xf>
    <xf numFmtId="176" fontId="0" fillId="9" borderId="22" xfId="0" applyNumberFormat="1" applyFill="1" applyBorder="1" applyAlignment="1">
      <alignment horizontal="center"/>
    </xf>
    <xf numFmtId="17" fontId="28" fillId="0" borderId="10" xfId="0" applyNumberFormat="1" applyFont="1" applyBorder="1" applyAlignment="1">
      <alignment horizontal="center"/>
    </xf>
    <xf numFmtId="10" fontId="0" fillId="0" borderId="10" xfId="1" applyNumberFormat="1" applyFont="1" applyBorder="1" applyAlignment="1" applyProtection="1">
      <alignment horizontal="center"/>
    </xf>
    <xf numFmtId="17" fontId="10" fillId="4" borderId="20" xfId="0" applyNumberFormat="1" applyFont="1" applyFill="1" applyBorder="1" applyAlignment="1">
      <alignment horizontal="center"/>
    </xf>
    <xf numFmtId="10" fontId="10" fillId="4" borderId="10" xfId="1" applyNumberFormat="1" applyFont="1" applyFill="1" applyBorder="1" applyAlignment="1" applyProtection="1">
      <alignment horizontal="center"/>
    </xf>
    <xf numFmtId="172" fontId="10" fillId="4" borderId="10" xfId="1" applyNumberFormat="1" applyFont="1" applyFill="1" applyBorder="1" applyAlignment="1" applyProtection="1">
      <alignment horizontal="center"/>
    </xf>
    <xf numFmtId="0" fontId="29" fillId="0" borderId="0" xfId="0" applyFont="1" applyAlignment="1">
      <alignment horizontal="center"/>
    </xf>
    <xf numFmtId="22" fontId="0" fillId="0" borderId="0" xfId="0" applyNumberForma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/>
    <xf numFmtId="0" fontId="19" fillId="0" borderId="10" xfId="0" applyFont="1" applyBorder="1" applyAlignment="1">
      <alignment horizontal="center" vertical="center"/>
    </xf>
    <xf numFmtId="17" fontId="20" fillId="0" borderId="0" xfId="0" applyNumberFormat="1" applyFont="1"/>
    <xf numFmtId="0" fontId="18" fillId="0" borderId="0" xfId="0" applyFont="1" applyAlignment="1">
      <alignment horizontal="center" vertical="center" wrapText="1"/>
    </xf>
    <xf numFmtId="10" fontId="20" fillId="0" borderId="0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168" fontId="20" fillId="0" borderId="10" xfId="0" applyNumberFormat="1" applyFont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/>
    </xf>
    <xf numFmtId="0" fontId="30" fillId="0" borderId="9" xfId="0" applyFont="1" applyBorder="1" applyAlignment="1">
      <alignment horizontal="center"/>
    </xf>
    <xf numFmtId="167" fontId="31" fillId="0" borderId="9" xfId="0" applyNumberFormat="1" applyFont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0" fontId="30" fillId="0" borderId="10" xfId="0" applyFont="1" applyBorder="1" applyAlignment="1">
      <alignment horizontal="center"/>
    </xf>
    <xf numFmtId="167" fontId="31" fillId="0" borderId="10" xfId="0" applyNumberFormat="1" applyFont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164" fontId="20" fillId="0" borderId="22" xfId="2" applyNumberFormat="1" applyFont="1" applyBorder="1" applyAlignment="1" applyProtection="1">
      <alignment horizontal="center"/>
    </xf>
    <xf numFmtId="0" fontId="30" fillId="5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33" fillId="4" borderId="22" xfId="0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9" fontId="16" fillId="5" borderId="10" xfId="0" applyNumberFormat="1" applyFont="1" applyFill="1" applyBorder="1" applyAlignment="1">
      <alignment horizontal="center"/>
    </xf>
    <xf numFmtId="0" fontId="30" fillId="0" borderId="22" xfId="0" applyFont="1" applyBorder="1" applyAlignment="1">
      <alignment horizontal="center"/>
    </xf>
    <xf numFmtId="6" fontId="0" fillId="9" borderId="22" xfId="0" applyNumberFormat="1" applyFill="1" applyBorder="1" applyAlignment="1">
      <alignment horizontal="center"/>
    </xf>
    <xf numFmtId="0" fontId="31" fillId="4" borderId="10" xfId="0" applyFont="1" applyFill="1" applyBorder="1" applyAlignment="1">
      <alignment horizontal="center" vertical="center"/>
    </xf>
    <xf numFmtId="2" fontId="36" fillId="0" borderId="12" xfId="0" applyNumberFormat="1" applyFont="1" applyBorder="1" applyAlignment="1" applyProtection="1">
      <alignment horizontal="center" vertical="center"/>
      <protection hidden="1"/>
    </xf>
    <xf numFmtId="0" fontId="37" fillId="0" borderId="12" xfId="0" applyFont="1" applyBorder="1" applyAlignment="1">
      <alignment horizontal="center" vertical="center"/>
    </xf>
    <xf numFmtId="2" fontId="37" fillId="0" borderId="12" xfId="0" applyNumberFormat="1" applyFont="1" applyBorder="1" applyAlignment="1" applyProtection="1">
      <alignment horizontal="center" vertical="center"/>
      <protection hidden="1"/>
    </xf>
    <xf numFmtId="1" fontId="37" fillId="0" borderId="12" xfId="0" applyNumberFormat="1" applyFont="1" applyBorder="1" applyAlignment="1" applyProtection="1">
      <alignment horizontal="center" vertical="center"/>
      <protection hidden="1"/>
    </xf>
    <xf numFmtId="2" fontId="36" fillId="0" borderId="13" xfId="0" applyNumberFormat="1" applyFont="1" applyBorder="1" applyAlignment="1" applyProtection="1">
      <alignment horizontal="center" vertical="center"/>
      <protection hidden="1"/>
    </xf>
    <xf numFmtId="0" fontId="37" fillId="0" borderId="13" xfId="0" applyFont="1" applyBorder="1" applyAlignment="1">
      <alignment horizontal="center" vertical="center"/>
    </xf>
    <xf numFmtId="2" fontId="37" fillId="0" borderId="13" xfId="0" applyNumberFormat="1" applyFont="1" applyBorder="1" applyAlignment="1" applyProtection="1">
      <alignment horizontal="center" vertical="center"/>
      <protection hidden="1"/>
    </xf>
    <xf numFmtId="1" fontId="37" fillId="0" borderId="13" xfId="0" applyNumberFormat="1" applyFont="1" applyBorder="1" applyAlignment="1" applyProtection="1">
      <alignment horizontal="center" vertical="center"/>
      <protection hidden="1"/>
    </xf>
    <xf numFmtId="2" fontId="36" fillId="0" borderId="23" xfId="0" applyNumberFormat="1" applyFont="1" applyBorder="1" applyAlignment="1" applyProtection="1">
      <alignment horizontal="center" vertical="center"/>
      <protection hidden="1"/>
    </xf>
    <xf numFmtId="0" fontId="37" fillId="0" borderId="23" xfId="0" applyFont="1" applyBorder="1" applyAlignment="1">
      <alignment horizontal="center" vertical="center"/>
    </xf>
    <xf numFmtId="2" fontId="37" fillId="0" borderId="23" xfId="0" applyNumberFormat="1" applyFont="1" applyBorder="1" applyAlignment="1" applyProtection="1">
      <alignment horizontal="center" vertical="center"/>
      <protection hidden="1"/>
    </xf>
    <xf numFmtId="1" fontId="37" fillId="0" borderId="23" xfId="0" applyNumberFormat="1" applyFont="1" applyBorder="1" applyAlignment="1" applyProtection="1">
      <alignment horizontal="center" vertical="center"/>
      <protection hidden="1"/>
    </xf>
    <xf numFmtId="3" fontId="36" fillId="0" borderId="22" xfId="0" applyNumberFormat="1" applyFont="1" applyBorder="1" applyAlignment="1" applyProtection="1">
      <alignment horizontal="center" vertical="center"/>
      <protection hidden="1"/>
    </xf>
    <xf numFmtId="0" fontId="36" fillId="0" borderId="22" xfId="17" applyNumberFormat="1" applyFont="1" applyFill="1" applyBorder="1" applyAlignment="1" applyProtection="1">
      <alignment horizontal="center" vertical="center"/>
      <protection hidden="1"/>
    </xf>
    <xf numFmtId="2" fontId="36" fillId="0" borderId="22" xfId="0" applyNumberFormat="1" applyFont="1" applyBorder="1" applyAlignment="1" applyProtection="1">
      <alignment horizontal="center" vertical="center"/>
      <protection hidden="1"/>
    </xf>
    <xf numFmtId="2" fontId="36" fillId="0" borderId="10" xfId="0" applyNumberFormat="1" applyFont="1" applyBorder="1" applyAlignment="1" applyProtection="1">
      <alignment horizontal="center" vertical="center"/>
      <protection hidden="1"/>
    </xf>
    <xf numFmtId="2" fontId="37" fillId="0" borderId="22" xfId="0" applyNumberFormat="1" applyFont="1" applyBorder="1" applyAlignment="1" applyProtection="1">
      <alignment horizontal="center" vertical="center"/>
      <protection hidden="1"/>
    </xf>
    <xf numFmtId="3" fontId="37" fillId="0" borderId="22" xfId="0" applyNumberFormat="1" applyFont="1" applyBorder="1" applyAlignment="1" applyProtection="1">
      <alignment horizontal="center" vertical="center"/>
      <protection hidden="1"/>
    </xf>
    <xf numFmtId="3" fontId="36" fillId="0" borderId="4" xfId="0" applyNumberFormat="1" applyFont="1" applyBorder="1" applyAlignment="1" applyProtection="1">
      <alignment horizontal="center" vertical="center"/>
      <protection hidden="1"/>
    </xf>
    <xf numFmtId="3" fontId="36" fillId="0" borderId="12" xfId="0" applyNumberFormat="1" applyFont="1" applyBorder="1" applyAlignment="1" applyProtection="1">
      <alignment horizontal="center" vertical="center"/>
      <protection hidden="1"/>
    </xf>
    <xf numFmtId="0" fontId="36" fillId="0" borderId="10" xfId="17" applyNumberFormat="1" applyFont="1" applyFill="1" applyBorder="1" applyAlignment="1" applyProtection="1">
      <alignment horizontal="center" vertical="center"/>
      <protection hidden="1"/>
    </xf>
    <xf numFmtId="3" fontId="37" fillId="0" borderId="10" xfId="0" applyNumberFormat="1" applyFont="1" applyBorder="1" applyAlignment="1" applyProtection="1">
      <alignment horizontal="center" vertical="center"/>
      <protection hidden="1"/>
    </xf>
    <xf numFmtId="3" fontId="36" fillId="0" borderId="10" xfId="0" applyNumberFormat="1" applyFont="1" applyBorder="1" applyAlignment="1" applyProtection="1">
      <alignment horizontal="center" vertical="center"/>
      <protection hidden="1"/>
    </xf>
    <xf numFmtId="3" fontId="36" fillId="0" borderId="0" xfId="0" applyNumberFormat="1" applyFont="1" applyAlignment="1" applyProtection="1">
      <alignment horizontal="center" vertical="center"/>
      <protection hidden="1"/>
    </xf>
    <xf numFmtId="3" fontId="36" fillId="0" borderId="13" xfId="0" applyNumberFormat="1" applyFont="1" applyBorder="1" applyAlignment="1" applyProtection="1">
      <alignment horizontal="center" vertical="center"/>
      <protection hidden="1"/>
    </xf>
    <xf numFmtId="0" fontId="36" fillId="0" borderId="10" xfId="0" applyFont="1" applyBorder="1" applyAlignment="1">
      <alignment horizontal="center" vertical="center"/>
    </xf>
    <xf numFmtId="0" fontId="37" fillId="0" borderId="0" xfId="0" applyFont="1"/>
    <xf numFmtId="0" fontId="11" fillId="5" borderId="22" xfId="0" applyFont="1" applyFill="1" applyBorder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10" fontId="37" fillId="0" borderId="0" xfId="1" applyNumberFormat="1" applyFont="1" applyBorder="1" applyAlignment="1">
      <alignment horizontal="center" vertical="center"/>
    </xf>
    <xf numFmtId="10" fontId="39" fillId="3" borderId="16" xfId="1" applyNumberFormat="1" applyFont="1" applyFill="1" applyBorder="1" applyAlignment="1">
      <alignment horizontal="center" vertical="center"/>
    </xf>
    <xf numFmtId="0" fontId="40" fillId="0" borderId="14" xfId="0" applyFont="1" applyBorder="1" applyAlignment="1">
      <alignment horizontal="center" vertical="center" wrapText="1"/>
    </xf>
    <xf numFmtId="164" fontId="40" fillId="0" borderId="14" xfId="2" applyNumberFormat="1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10" fillId="10" borderId="1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173" fontId="0" fillId="4" borderId="10" xfId="0" applyNumberForma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3" fontId="36" fillId="0" borderId="14" xfId="0" applyNumberFormat="1" applyFont="1" applyBorder="1" applyAlignment="1">
      <alignment horizontal="center" vertical="center" wrapText="1"/>
    </xf>
    <xf numFmtId="3" fontId="19" fillId="0" borderId="15" xfId="0" applyNumberFormat="1" applyFont="1" applyBorder="1" applyAlignment="1">
      <alignment horizontal="center" vertical="center" wrapText="1"/>
    </xf>
    <xf numFmtId="3" fontId="19" fillId="0" borderId="16" xfId="0" applyNumberFormat="1" applyFont="1" applyBorder="1" applyAlignment="1">
      <alignment horizontal="center" vertical="center" wrapText="1"/>
    </xf>
    <xf numFmtId="3" fontId="36" fillId="0" borderId="3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3" fontId="19" fillId="0" borderId="6" xfId="0" applyNumberFormat="1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10" fontId="39" fillId="3" borderId="18" xfId="1" applyNumberFormat="1" applyFont="1" applyFill="1" applyBorder="1" applyAlignment="1">
      <alignment horizontal="center" vertical="center"/>
    </xf>
    <xf numFmtId="10" fontId="39" fillId="3" borderId="19" xfId="1" applyNumberFormat="1" applyFont="1" applyFill="1" applyBorder="1" applyAlignment="1">
      <alignment horizontal="center" vertical="center"/>
    </xf>
    <xf numFmtId="10" fontId="39" fillId="3" borderId="8" xfId="1" applyNumberFormat="1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/>
    </xf>
    <xf numFmtId="171" fontId="0" fillId="11" borderId="29" xfId="16" applyNumberFormat="1" applyFont="1" applyFill="1" applyBorder="1" applyAlignment="1" applyProtection="1">
      <alignment horizontal="center"/>
    </xf>
    <xf numFmtId="0" fontId="10" fillId="4" borderId="31" xfId="0" applyFont="1" applyFill="1" applyBorder="1" applyAlignment="1">
      <alignment horizontal="center" wrapText="1"/>
    </xf>
    <xf numFmtId="0" fontId="10" fillId="4" borderId="32" xfId="0" applyFont="1" applyFill="1" applyBorder="1" applyAlignment="1">
      <alignment horizontal="center" wrapText="1"/>
    </xf>
    <xf numFmtId="0" fontId="35" fillId="4" borderId="32" xfId="0" applyFont="1" applyFill="1" applyBorder="1" applyAlignment="1">
      <alignment horizontal="center" wrapText="1"/>
    </xf>
    <xf numFmtId="10" fontId="10" fillId="4" borderId="32" xfId="1" applyNumberFormat="1" applyFont="1" applyFill="1" applyBorder="1" applyAlignment="1" applyProtection="1">
      <alignment horizontal="center" wrapText="1"/>
    </xf>
    <xf numFmtId="0" fontId="10" fillId="4" borderId="33" xfId="0" applyFont="1" applyFill="1" applyBorder="1" applyAlignment="1">
      <alignment horizontal="center" wrapText="1"/>
    </xf>
    <xf numFmtId="0" fontId="11" fillId="9" borderId="34" xfId="0" applyFont="1" applyFill="1" applyBorder="1" applyAlignment="1">
      <alignment horizontal="center"/>
    </xf>
    <xf numFmtId="10" fontId="0" fillId="9" borderId="28" xfId="0" applyNumberFormat="1" applyFill="1" applyBorder="1" applyAlignment="1">
      <alignment horizontal="center"/>
    </xf>
    <xf numFmtId="6" fontId="0" fillId="9" borderId="28" xfId="0" applyNumberForma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37" fontId="0" fillId="9" borderId="11" xfId="0" applyNumberFormat="1" applyFill="1" applyBorder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171" fontId="0" fillId="11" borderId="35" xfId="16" applyNumberFormat="1" applyFont="1" applyFill="1" applyBorder="1" applyAlignment="1" applyProtection="1">
      <alignment horizontal="center"/>
    </xf>
  </cellXfs>
  <cellStyles count="18">
    <cellStyle name="Hiperlink" xfId="3" builtinId="8" hidden="1"/>
    <cellStyle name="Hiperlink Visitado" xfId="4" builtinId="9" hidden="1"/>
    <cellStyle name="Moeda" xfId="16" builtinId="4"/>
    <cellStyle name="Normal" xfId="0" builtinId="0"/>
    <cellStyle name="Normal 2" xfId="5" xr:uid="{00000000-0005-0000-0000-000003000000}"/>
    <cellStyle name="Normal 3" xfId="6" xr:uid="{00000000-0005-0000-0000-000004000000}"/>
    <cellStyle name="Normal 3 2" xfId="7" xr:uid="{00000000-0005-0000-0000-000005000000}"/>
    <cellStyle name="Normal 3 3" xfId="8" xr:uid="{00000000-0005-0000-0000-000006000000}"/>
    <cellStyle name="Normal 3 4" xfId="9" xr:uid="{00000000-0005-0000-0000-000007000000}"/>
    <cellStyle name="Normal 3 4 2" xfId="10" xr:uid="{00000000-0005-0000-0000-000008000000}"/>
    <cellStyle name="Normal 3 4 3" xfId="12" xr:uid="{00000000-0005-0000-0000-000009000000}"/>
    <cellStyle name="Normal 3 4 4" xfId="14" xr:uid="{00000000-0005-0000-0000-00000A000000}"/>
    <cellStyle name="Porcentagem" xfId="1" builtinId="5"/>
    <cellStyle name="Vírgula" xfId="2" builtinId="3"/>
    <cellStyle name="Vírgula 2" xfId="11" xr:uid="{00000000-0005-0000-0000-00000D000000}"/>
    <cellStyle name="Vírgula 2 2" xfId="17" xr:uid="{B22AFD65-2E6D-4370-BF5C-84FE89682E72}"/>
    <cellStyle name="Vírgula 3" xfId="13" xr:uid="{00000000-0005-0000-0000-00000E000000}"/>
    <cellStyle name="Vírgula 4" xfId="15" xr:uid="{00000000-0005-0000-0000-00000F000000}"/>
  </cellStyles>
  <dxfs count="32"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0" formatCode="&quot;R$&quot;\ #,##0;[Red]\-&quot;R$&quot;\ 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E9D3BD"/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E2E3585-523B-4715-A677-DFD8803D24C5}"/>
            </a:ext>
          </a:extLst>
        </xdr:cNvPr>
        <xdr:cNvSpPr>
          <a:spLocks noChangeAspect="1" noChangeArrowheads="1"/>
        </xdr:cNvSpPr>
      </xdr:nvSpPr>
      <xdr:spPr bwMode="auto">
        <a:xfrm>
          <a:off x="639127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18407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BE4E9D7-A9E6-4D6D-A337-286098034704}"/>
            </a:ext>
          </a:extLst>
        </xdr:cNvPr>
        <xdr:cNvSpPr>
          <a:spLocks noChangeAspect="1" noChangeArrowheads="1"/>
        </xdr:cNvSpPr>
      </xdr:nvSpPr>
      <xdr:spPr bwMode="auto">
        <a:xfrm>
          <a:off x="8715375" y="97155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ECD8A517-804A-497F-90E7-1A4754109A3B}"/>
            </a:ext>
          </a:extLst>
        </xdr:cNvPr>
        <xdr:cNvSpPr>
          <a:spLocks noChangeAspect="1" noChangeArrowheads="1"/>
        </xdr:cNvSpPr>
      </xdr:nvSpPr>
      <xdr:spPr bwMode="auto">
        <a:xfrm>
          <a:off x="581025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322718D5-30D7-4ED3-9896-BF37F0C390B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358752</xdr:colOff>
      <xdr:row>2</xdr:row>
      <xdr:rowOff>54504</xdr:rowOff>
    </xdr:from>
    <xdr:to>
      <xdr:col>9</xdr:col>
      <xdr:colOff>688795</xdr:colOff>
      <xdr:row>7</xdr:row>
      <xdr:rowOff>285749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6868536-0F62-397D-B165-FE3C4FB23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752" y="435504"/>
          <a:ext cx="5267168" cy="1469495"/>
        </a:xfrm>
        <a:prstGeom prst="rect">
          <a:avLst/>
        </a:prstGeom>
      </xdr:spPr>
    </xdr:pic>
    <xdr:clientData/>
  </xdr:twoCellAnchor>
  <xdr:oneCellAnchor>
    <xdr:from>
      <xdr:col>17</xdr:col>
      <xdr:colOff>261937</xdr:colOff>
      <xdr:row>3</xdr:row>
      <xdr:rowOff>71437</xdr:rowOff>
    </xdr:from>
    <xdr:ext cx="2403004" cy="1077721"/>
    <xdr:pic>
      <xdr:nvPicPr>
        <xdr:cNvPr id="14" name="Imagem 13">
          <a:extLst>
            <a:ext uri="{FF2B5EF4-FFF2-40B4-BE49-F238E27FC236}">
              <a16:creationId xmlns:a16="http://schemas.microsoft.com/office/drawing/2014/main" id="{D10E7757-1D3F-410A-94A1-4953A187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01375" y="619125"/>
          <a:ext cx="2403004" cy="1077721"/>
        </a:xfrm>
        <a:prstGeom prst="rect">
          <a:avLst/>
        </a:prstGeom>
      </xdr:spPr>
    </xdr:pic>
    <xdr:clientData/>
  </xdr:oneCellAnchor>
  <xdr:twoCellAnchor editAs="oneCell">
    <xdr:from>
      <xdr:col>19</xdr:col>
      <xdr:colOff>857251</xdr:colOff>
      <xdr:row>2</xdr:row>
      <xdr:rowOff>23813</xdr:rowOff>
    </xdr:from>
    <xdr:to>
      <xdr:col>23</xdr:col>
      <xdr:colOff>639986</xdr:colOff>
      <xdr:row>7</xdr:row>
      <xdr:rowOff>300037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0D31B51-87E2-4A58-8E8B-488E97BC5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3626" y="404813"/>
          <a:ext cx="2616423" cy="151447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A73BE2F-AC51-4C7B-A54E-1929E5011D75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3A940-26A8-4561-870F-50FB2B79E8E3}" name="TV_RP" displayName="TV_RP" ref="B79:H131" totalsRowShown="0" headerRowDxfId="30" headerRowBorderDxfId="28" tableBorderDxfId="29">
  <autoFilter ref="B79:H131" xr:uid="{8943A940-26A8-4561-870F-50FB2B79E8E3}">
    <filterColumn colId="3">
      <filters>
        <filter val="DISPONIVEL"/>
      </filters>
    </filterColumn>
  </autoFilter>
  <tableColumns count="7">
    <tableColumn id="1" xr3:uid="{2A5E1545-2CD9-4EB7-9F26-4BC552AFF79F}" name="UNIDADE" dataDxfId="27">
      <calculatedColumnFormula>Tabelas!B23</calculatedColumnFormula>
    </tableColumn>
    <tableColumn id="2" xr3:uid="{EB8C902A-F5B7-4220-A7CF-9A8D1DA5B800}" name="Peso %" dataDxfId="26">
      <calculatedColumnFormula>L80</calculatedColumnFormula>
    </tableColumn>
    <tableColumn id="3" xr3:uid="{68DFA772-1FD6-4BED-A3BC-F7721BF927D5}" name="Preço base (Não alterar)" dataDxfId="25"/>
    <tableColumn id="4" xr3:uid="{91C35D1D-032C-4DAE-A749-63EC5C97066B}" name="Status" dataDxfId="24"/>
    <tableColumn id="5" xr3:uid="{E025A712-31DF-4306-81BB-4B1DDF1AC77F}" name="VGV Tabela" dataDxfId="23">
      <calculatedColumnFormula>G80*D80*C80</calculatedColumnFormula>
    </tableColumn>
    <tableColumn id="6" xr3:uid="{4349A682-EDCA-42DA-B7EB-794991D3D0A2}" name="Area Privativa" dataDxfId="22">
      <calculatedColumnFormula>VLOOKUP($B80,Tabelas!$B$21:$C$74,2,0)</calculatedColumnFormula>
    </tableColumn>
    <tableColumn id="7" xr3:uid="{3D520864-DEFF-4C43-807F-B39F1886A880}" name="Preço/m2 Tabela" dataDxfId="21" dataCellStyle="Moeda">
      <calculatedColumnFormula>F80/G80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67D01-9414-4EE6-9962-60D692F2C3C4}" name="Consulta1" displayName="Consulta1" ref="A1:AL2" tableType="queryTable" insertRow="1" totalsRowShown="0">
  <autoFilter ref="A1:AL2" xr:uid="{A9A67D01-9414-4EE6-9962-60D692F2C3C4}"/>
  <tableColumns count="38">
    <tableColumn id="1" xr3:uid="{D1F9B4A4-3C0E-48D2-96CC-FE0DA6E04D78}" uniqueName="1" name="anexos_unid" queryTableFieldId="1"/>
    <tableColumn id="2" xr3:uid="{D24C2D66-120E-4DE0-8B10-980EBA34CB28}" uniqueName="2" name="Prod_unid" queryTableFieldId="2"/>
    <tableColumn id="3" xr3:uid="{1BE2ABB4-60CD-456A-AB62-AE8BA4120EF4}" uniqueName="3" name="Empresa_unid" queryTableFieldId="3"/>
    <tableColumn id="4" xr3:uid="{6E74E7D4-C54F-4F69-879E-22FEE52D02E9}" uniqueName="4" name="NumPer_unid" queryTableFieldId="4"/>
    <tableColumn id="5" xr3:uid="{6D44C5DF-E10F-497E-8564-65335BBCDEBB}" uniqueName="5" name="Obra_unid" queryTableFieldId="5" dataDxfId="20"/>
    <tableColumn id="6" xr3:uid="{080EB34F-26A1-4CF5-BA97-C823D4AA648B}" uniqueName="6" name="NumObe_unid" queryTableFieldId="6"/>
    <tableColumn id="7" xr3:uid="{5D0EB524-AEB8-4AF0-838B-B1CC3E57EBE5}" uniqueName="7" name="Cod_obe" queryTableFieldId="7" dataDxfId="19"/>
    <tableColumn id="8" xr3:uid="{480928BB-543D-44C9-91FB-1D76A605DA5E}" uniqueName="8" name="FracaoIdeal_unid" queryTableFieldId="8"/>
    <tableColumn id="9" xr3:uid="{3474DB76-03D5-4A64-B0B4-4EA7597EBA66}" uniqueName="9" name="FracaoIdealDecimal_unid" queryTableFieldId="9"/>
    <tableColumn id="10" xr3:uid="{645E6B09-73E4-402C-9694-957ECAFF8FED}" uniqueName="10" name="Identificador_unid" queryTableFieldId="10"/>
    <tableColumn id="11" xr3:uid="{78B7D052-5FCA-41BB-B90C-123C4C39D269}" uniqueName="11" name="Qtde_unid" queryTableFieldId="11"/>
    <tableColumn id="12" xr3:uid="{72EA3CCD-C7DA-492F-B8FF-91A9E3D13583}" uniqueName="12" name="Codigo_Unid" queryTableFieldId="12" dataDxfId="18"/>
    <tableColumn id="13" xr3:uid="{DEBE0821-74E0-4664-A731-48078873DE16}" uniqueName="13" name="PorcentPr_Unid" queryTableFieldId="13"/>
    <tableColumn id="14" xr3:uid="{79E4103A-32D2-444E-A026-7926BF92C50D}" uniqueName="14" name="Vendido_unid" queryTableFieldId="14"/>
    <tableColumn id="15" xr3:uid="{B336A114-6D04-44A1-B5A1-CB288970DDA3}" uniqueName="15" name="TipoContrato_udt" queryTableFieldId="15"/>
    <tableColumn id="16" xr3:uid="{1673C413-72DD-4397-89D5-88C6BF205CF9}" uniqueName="16" name="NumCategStatus_unid" queryTableFieldId="16"/>
    <tableColumn id="17" xr3:uid="{0F62414B-6C35-4EDB-A6F9-164731A943BB}" uniqueName="17" name="Desc_csup" queryTableFieldId="17" dataDxfId="17"/>
    <tableColumn id="18" xr3:uid="{C8452BD4-C3AB-4568-8801-147F787CED4E}" uniqueName="18" name="CodTipProd_unid" queryTableFieldId="18" dataDxfId="16"/>
    <tableColumn id="19" xr3:uid="{AB73E473-D16E-4F0B-95E5-278B37ACFC3D}" uniqueName="19" name="Descricao_tipprod" queryTableFieldId="19" dataDxfId="15"/>
    <tableColumn id="20" xr3:uid="{4B894EC5-98D4-4562-A7E3-87ED143C817C}" uniqueName="20" name="ReterPrimAluguel_udt" queryTableFieldId="20"/>
    <tableColumn id="21" xr3:uid="{DC44FDA8-8357-4D94-A225-FA9469E8DABB}" uniqueName="21" name="PorcentComissao_unid" queryTableFieldId="21"/>
    <tableColumn id="22" xr3:uid="{5387BEB5-8D66-49DF-9DF8-4CC831CD469A}" uniqueName="22" name="DataReconhecimentoReceitaMapa_unid" queryTableFieldId="22" dataDxfId="14"/>
    <tableColumn id="23" xr3:uid="{B0028D85-0304-4501-AE4A-EB72FF983017}" uniqueName="23" name="DataEntregaChaves_unid" queryTableFieldId="23" dataDxfId="13"/>
    <tableColumn id="24" xr3:uid="{9F20CF6F-CFAF-436F-99C0-1E6E45778EC1}" uniqueName="24" name="DataCad_unid" queryTableFieldId="24" dataDxfId="12"/>
    <tableColumn id="25" xr3:uid="{D6418BBB-5FDE-407E-9DC6-B94611579B81}" uniqueName="25" name="UsrCad_unid" queryTableFieldId="25" dataDxfId="11"/>
    <tableColumn id="26" xr3:uid="{FA98AE05-D6F4-4962-9E7A-50CA05956CAA}" uniqueName="26" name="C1_unid" queryTableFieldId="26" dataDxfId="10"/>
    <tableColumn id="27" xr3:uid="{ED88FB61-FCE4-4797-A70D-7178D2E2C050}" uniqueName="27" name="C2_unid" queryTableFieldId="27" dataDxfId="9"/>
    <tableColumn id="28" xr3:uid="{610964BB-C338-40A2-A024-404D57FADF1D}" uniqueName="28" name="C3_unid" queryTableFieldId="28" dataDxfId="8"/>
    <tableColumn id="29" xr3:uid="{1586EE1D-98AF-43DE-93A4-3F03DAEB2D79}" uniqueName="29" name="C4_unid" queryTableFieldId="29" dataDxfId="7"/>
    <tableColumn id="30" xr3:uid="{B5F8624B-0F3D-4845-9993-6B3F357C2536}" uniqueName="30" name="C5_unid" queryTableFieldId="30" dataDxfId="6"/>
    <tableColumn id="31" xr3:uid="{5D496CE4-2347-4C80-AC9C-FACEAB69BC1F}" uniqueName="31" name="C6_unid" queryTableFieldId="31" dataDxfId="5"/>
    <tableColumn id="32" xr3:uid="{0A1CEC02-EEC6-4B09-B0B5-541C58DA0383}" uniqueName="32" name="C7_unid" queryTableFieldId="32" dataDxfId="4"/>
    <tableColumn id="33" xr3:uid="{E37EA7B1-0F2C-412E-981D-00DFF61BA4CC}" uniqueName="33" name="C8_unid" queryTableFieldId="33" dataDxfId="3"/>
    <tableColumn id="34" xr3:uid="{C04AE663-E9B9-4341-B898-5AC7ACA364A5}" uniqueName="34" name="C9_unid" queryTableFieldId="34" dataDxfId="2"/>
    <tableColumn id="35" xr3:uid="{13E2C78F-69B5-457D-B7C0-BC8DC12124A1}" uniqueName="35" name="PrecoMin" queryTableFieldId="35"/>
    <tableColumn id="36" xr3:uid="{BEE026CE-D842-4CBF-B961-F93A79F47961}" uniqueName="36" name="Descr_status" queryTableFieldId="36" dataDxfId="1"/>
    <tableColumn id="37" xr3:uid="{B25EFA01-8664-41D3-9FC8-9870ECD77E32}" uniqueName="37" name="ObjEspelhoTop_unid" queryTableFieldId="37"/>
    <tableColumn id="38" xr3:uid="{423334AA-671B-419E-B7BA-53D482DDAC17}" uniqueName="38" name="ObjEspelhoLeft_unid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2897-6B59-4DE2-9591-36B6714E5147}">
  <dimension ref="A1:AQ634"/>
  <sheetViews>
    <sheetView tabSelected="1" topLeftCell="A66" zoomScale="177" zoomScaleNormal="120" workbookViewId="0">
      <selection activeCell="F93" sqref="F93"/>
    </sheetView>
  </sheetViews>
  <sheetFormatPr defaultColWidth="9.140625" defaultRowHeight="12.95"/>
  <cols>
    <col min="1" max="1" width="14.140625" customWidth="1"/>
    <col min="2" max="2" width="16" customWidth="1"/>
    <col min="3" max="3" width="18.7109375" customWidth="1"/>
    <col min="4" max="4" width="21.710937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7109375" customWidth="1"/>
    <col min="33" max="33" width="11.7109375" customWidth="1"/>
    <col min="35" max="35" width="11.7109375" customWidth="1"/>
    <col min="37" max="37" width="11.7109375" customWidth="1"/>
    <col min="39" max="39" width="11.7109375" customWidth="1"/>
    <col min="41" max="41" width="11.7109375" customWidth="1"/>
    <col min="43" max="43" width="11.7109375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M1" s="20"/>
      <c r="N1" s="20"/>
      <c r="O1" s="20"/>
      <c r="P1" s="20"/>
      <c r="Q1" s="20"/>
    </row>
    <row r="2" spans="1:18" s="25" customFormat="1">
      <c r="A2" s="21"/>
      <c r="B2" s="22"/>
      <c r="C2" s="22"/>
      <c r="D2" s="23"/>
      <c r="E2" s="23"/>
      <c r="F2" s="22"/>
      <c r="G2" s="22"/>
      <c r="H2" s="22"/>
      <c r="I2" s="22"/>
      <c r="J2" s="22"/>
      <c r="K2" s="22"/>
      <c r="L2" s="24"/>
    </row>
    <row r="3" spans="1:18" ht="12.75" customHeight="1">
      <c r="A3" s="22"/>
      <c r="B3" s="264" t="s">
        <v>1</v>
      </c>
      <c r="C3" s="264"/>
      <c r="D3" s="26" t="s">
        <v>2</v>
      </c>
      <c r="E3" s="26" t="s">
        <v>3</v>
      </c>
      <c r="F3" s="265" t="s">
        <v>4</v>
      </c>
      <c r="G3" s="265" t="s">
        <v>5</v>
      </c>
      <c r="H3" s="22"/>
      <c r="I3" s="22"/>
      <c r="J3" s="22"/>
      <c r="K3" s="22"/>
      <c r="L3" s="24"/>
      <c r="M3" s="25"/>
      <c r="N3" s="25"/>
      <c r="O3" s="25"/>
      <c r="P3" s="25"/>
      <c r="Q3" s="25"/>
    </row>
    <row r="4" spans="1:18" ht="12.75" customHeight="1">
      <c r="A4" s="22"/>
      <c r="B4" s="27" t="s">
        <v>6</v>
      </c>
      <c r="C4" s="28"/>
      <c r="D4" s="29">
        <v>2022</v>
      </c>
      <c r="E4" s="29">
        <v>11</v>
      </c>
      <c r="F4" s="266"/>
      <c r="G4" s="266"/>
      <c r="H4" s="30"/>
      <c r="I4" s="30"/>
      <c r="J4" s="30"/>
      <c r="K4" s="30"/>
      <c r="L4" s="24"/>
      <c r="M4" s="25"/>
      <c r="N4" s="25"/>
      <c r="O4" s="25"/>
      <c r="P4" s="25"/>
      <c r="Q4" s="25"/>
    </row>
    <row r="5" spans="1:18" ht="12.75" customHeight="1">
      <c r="A5" s="22"/>
      <c r="B5" s="27" t="s">
        <v>7</v>
      </c>
      <c r="C5" s="31">
        <f ca="1">TODAY()</f>
        <v>45121</v>
      </c>
      <c r="D5" s="29">
        <f ca="1">YEAR(C5)</f>
        <v>2023</v>
      </c>
      <c r="E5" s="29">
        <v>7</v>
      </c>
      <c r="F5" s="267"/>
      <c r="G5" s="267"/>
      <c r="H5" s="22"/>
      <c r="I5" s="22"/>
      <c r="J5" s="22"/>
      <c r="K5" s="22"/>
      <c r="L5" s="24"/>
      <c r="M5" s="25"/>
      <c r="N5" s="25"/>
      <c r="O5" s="25"/>
      <c r="P5" s="25"/>
      <c r="Q5" s="25"/>
    </row>
    <row r="6" spans="1:18" ht="12.75" customHeight="1">
      <c r="A6" s="22"/>
      <c r="B6" s="27" t="s">
        <v>8</v>
      </c>
      <c r="C6" s="32">
        <v>46296</v>
      </c>
      <c r="D6" s="29">
        <f>YEAR(C6)</f>
        <v>2026</v>
      </c>
      <c r="E6" s="29">
        <v>10</v>
      </c>
      <c r="F6" s="33">
        <f ca="1">IF(DAYS360(DATE(D5,E5,1),C6)/30&lt;0,0,DAYS360(DATE(D5,E5,1),C6)/30)</f>
        <v>39</v>
      </c>
      <c r="G6" s="209">
        <f ca="1">F6-1</f>
        <v>38</v>
      </c>
      <c r="H6" s="34"/>
      <c r="I6" s="35"/>
      <c r="J6" s="30"/>
      <c r="K6" s="30"/>
      <c r="L6" s="24"/>
      <c r="M6" s="25"/>
      <c r="N6" s="25"/>
      <c r="O6" s="25"/>
      <c r="P6" s="25"/>
      <c r="Q6" s="25"/>
    </row>
    <row r="7" spans="1:18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4"/>
      <c r="M7" s="25"/>
      <c r="N7" s="25"/>
      <c r="O7" s="25"/>
      <c r="P7" s="25"/>
      <c r="Q7" s="25"/>
    </row>
    <row r="8" spans="1:18" ht="14.1">
      <c r="A8" s="22"/>
      <c r="B8" s="36" t="s">
        <v>9</v>
      </c>
      <c r="C8" s="36" t="s">
        <v>10</v>
      </c>
      <c r="D8" s="36" t="s">
        <v>11</v>
      </c>
      <c r="E8" s="37" t="s">
        <v>12</v>
      </c>
      <c r="F8" s="22"/>
      <c r="G8" s="25"/>
      <c r="H8" s="38" t="s">
        <v>13</v>
      </c>
      <c r="I8" s="38" t="s">
        <v>14</v>
      </c>
      <c r="J8" s="38" t="s">
        <v>15</v>
      </c>
      <c r="K8" s="38" t="s">
        <v>16</v>
      </c>
      <c r="L8" s="22"/>
      <c r="M8" s="24"/>
      <c r="N8" s="25"/>
      <c r="O8" s="39"/>
      <c r="P8" s="39"/>
      <c r="Q8" s="25"/>
      <c r="R8" s="25"/>
    </row>
    <row r="9" spans="1:18">
      <c r="A9" s="22"/>
      <c r="B9" s="40" t="s">
        <v>17</v>
      </c>
      <c r="C9" s="41"/>
      <c r="D9" s="42">
        <f>C9*$C$176</f>
        <v>0</v>
      </c>
      <c r="E9" s="43" t="s">
        <v>18</v>
      </c>
      <c r="F9" s="44"/>
      <c r="G9" s="45" t="s">
        <v>19</v>
      </c>
      <c r="H9" s="7">
        <f>COUNTA(B81:B131)</f>
        <v>51</v>
      </c>
      <c r="I9" s="46"/>
      <c r="J9" s="46">
        <f>COUNTIF(E81:E131,"&lt;&gt;Disponível")</f>
        <v>51</v>
      </c>
      <c r="K9" s="43">
        <f>H9-I9-J9</f>
        <v>0</v>
      </c>
      <c r="L9" s="30"/>
      <c r="M9" s="24"/>
      <c r="N9" s="47"/>
      <c r="O9" s="39"/>
      <c r="P9" s="39"/>
      <c r="Q9" s="25"/>
      <c r="R9" s="25"/>
    </row>
    <row r="10" spans="1:18">
      <c r="A10" s="22"/>
      <c r="B10" s="27" t="s">
        <v>20</v>
      </c>
      <c r="C10" s="42"/>
      <c r="D10" s="42">
        <f ca="1">C10*(1+0.9489%)^(ROUND((DATE(D5,E5,1)-DATE(D4,E4,1))/30,0))</f>
        <v>0</v>
      </c>
      <c r="E10" s="44"/>
      <c r="F10" s="44"/>
      <c r="G10" s="44"/>
      <c r="H10" s="22"/>
      <c r="I10" s="48"/>
      <c r="J10" s="48"/>
      <c r="K10" s="48"/>
      <c r="L10" s="48"/>
      <c r="M10" s="48"/>
      <c r="N10" s="49"/>
      <c r="O10" s="39"/>
      <c r="P10" s="25"/>
      <c r="Q10" s="25"/>
    </row>
    <row r="11" spans="1:18">
      <c r="A11" s="22"/>
      <c r="B11" s="22"/>
      <c r="D11" s="22"/>
      <c r="E11" s="22"/>
      <c r="F11" s="22"/>
      <c r="G11" s="22"/>
      <c r="H11" s="22"/>
      <c r="I11" s="30"/>
      <c r="J11" s="30"/>
      <c r="K11" s="30"/>
      <c r="L11" s="24"/>
      <c r="M11" s="25"/>
      <c r="N11" s="39"/>
      <c r="O11" s="39"/>
      <c r="P11" s="25"/>
      <c r="Q11" s="25"/>
    </row>
    <row r="12" spans="1:18" ht="6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8" ht="27" customHeight="1">
      <c r="A13" s="25"/>
      <c r="B13" s="25"/>
      <c r="C13" s="38" t="s">
        <v>21</v>
      </c>
      <c r="D13" s="38" t="s">
        <v>22</v>
      </c>
      <c r="E13" s="38" t="s">
        <v>23</v>
      </c>
      <c r="F13" s="50" t="s">
        <v>13</v>
      </c>
      <c r="G13" s="51" t="s">
        <v>24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8">
      <c r="A14" s="25"/>
      <c r="B14" s="45" t="s">
        <v>25</v>
      </c>
      <c r="C14" s="52">
        <v>0.04</v>
      </c>
      <c r="D14" s="52">
        <v>0</v>
      </c>
      <c r="E14" s="53">
        <v>0.01</v>
      </c>
      <c r="F14" s="54">
        <f>SUM(C14:D14)+(E14)</f>
        <v>0.05</v>
      </c>
      <c r="G14" s="55"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8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8" ht="14.1">
      <c r="A16" s="25"/>
      <c r="B16" s="268" t="s">
        <v>26</v>
      </c>
      <c r="C16" s="268"/>
      <c r="D16" s="268"/>
      <c r="E16" s="268"/>
      <c r="F16" s="268"/>
      <c r="G16" s="39"/>
      <c r="H16" s="56" t="s">
        <v>27</v>
      </c>
      <c r="I16" s="57"/>
      <c r="J16" s="30"/>
      <c r="K16" s="24"/>
      <c r="L16" s="30"/>
      <c r="M16" s="25"/>
      <c r="N16" s="25"/>
      <c r="O16" s="25"/>
      <c r="P16" s="25"/>
      <c r="Q16" s="25"/>
    </row>
    <row r="17" spans="1:21" ht="14.1">
      <c r="A17" s="25"/>
      <c r="B17" s="9" t="s">
        <v>28</v>
      </c>
      <c r="C17" s="9" t="s">
        <v>29</v>
      </c>
      <c r="D17" s="10" t="s">
        <v>30</v>
      </c>
      <c r="E17" s="9" t="s">
        <v>31</v>
      </c>
      <c r="F17" s="9" t="s">
        <v>32</v>
      </c>
      <c r="G17" s="39"/>
      <c r="H17" s="56" t="s">
        <v>33</v>
      </c>
      <c r="I17" s="58"/>
      <c r="J17" s="59"/>
      <c r="K17" s="48"/>
      <c r="L17" s="48"/>
      <c r="M17" s="25"/>
      <c r="N17" s="25"/>
      <c r="O17" s="25"/>
      <c r="P17" s="25"/>
      <c r="Q17" s="25"/>
    </row>
    <row r="18" spans="1:21" ht="50.25" customHeight="1">
      <c r="A18" s="25"/>
      <c r="B18" s="60"/>
      <c r="C18" s="60"/>
      <c r="D18" s="61"/>
      <c r="E18" s="61"/>
      <c r="F18" s="61"/>
      <c r="G18" s="39"/>
      <c r="H18" s="62" t="s">
        <v>34</v>
      </c>
      <c r="I18" s="63" t="s">
        <v>35</v>
      </c>
      <c r="J18" s="30"/>
      <c r="K18" s="24"/>
      <c r="L18" s="30"/>
      <c r="M18" s="25"/>
      <c r="N18" s="25"/>
      <c r="O18" s="25"/>
      <c r="P18" s="25"/>
      <c r="Q18" s="25"/>
    </row>
    <row r="19" spans="1:21" ht="25.5" customHeight="1">
      <c r="A19" s="25"/>
      <c r="B19" s="64"/>
      <c r="C19" s="64"/>
      <c r="D19" s="64"/>
      <c r="E19" s="64"/>
      <c r="F19" s="64"/>
      <c r="H19" s="65"/>
      <c r="I19" s="30"/>
      <c r="J19" s="30"/>
      <c r="K19" s="24"/>
      <c r="L19" s="30"/>
      <c r="M19" s="25"/>
      <c r="N19" s="25"/>
      <c r="O19" s="25"/>
      <c r="P19" s="25"/>
      <c r="Q19" s="25"/>
    </row>
    <row r="20" spans="1:21" ht="25.5" customHeight="1">
      <c r="A20" s="25"/>
      <c r="B20" s="66" t="s">
        <v>36</v>
      </c>
      <c r="C20" s="55" t="s">
        <v>37</v>
      </c>
      <c r="D20" s="25"/>
      <c r="E20" s="25"/>
      <c r="F20" s="39"/>
      <c r="G20" s="67"/>
      <c r="H20" s="39"/>
      <c r="I20" s="68"/>
      <c r="J20" s="68"/>
      <c r="K20" s="68"/>
      <c r="L20" s="69"/>
      <c r="M20" s="39"/>
      <c r="N20" s="39"/>
      <c r="O20" s="25"/>
      <c r="P20" s="25"/>
      <c r="Q20" s="25"/>
    </row>
    <row r="21" spans="1:21" ht="25.5" customHeight="1">
      <c r="A21" s="25"/>
      <c r="B21" s="66" t="s">
        <v>38</v>
      </c>
      <c r="C21" s="70">
        <v>0.03</v>
      </c>
      <c r="D21" s="25"/>
      <c r="E21" s="25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5"/>
      <c r="Q21" s="25"/>
    </row>
    <row r="22" spans="1:21" ht="22.5" customHeight="1">
      <c r="A22" s="25"/>
      <c r="B22" s="66" t="s">
        <v>39</v>
      </c>
      <c r="C22" s="70">
        <v>0</v>
      </c>
      <c r="D22" s="25"/>
      <c r="E22" s="25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5"/>
      <c r="Q22" s="25"/>
    </row>
    <row r="23" spans="1:21" ht="12.75" customHeight="1"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21" ht="12.75" hidden="1" customHeight="1"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21" ht="12.75" hidden="1" customHeight="1">
      <c r="F25" s="39"/>
      <c r="G25" s="39"/>
      <c r="H25" s="39"/>
      <c r="I25" s="39"/>
      <c r="J25" s="39"/>
      <c r="K25" s="39"/>
      <c r="L25" s="39"/>
      <c r="M25" s="39"/>
      <c r="N25" s="39"/>
      <c r="O25" s="39"/>
      <c r="R25" s="270"/>
      <c r="S25" s="270"/>
      <c r="T25" s="270"/>
      <c r="U25" s="270"/>
    </row>
    <row r="26" spans="1:21" ht="25.5" hidden="1" customHeight="1">
      <c r="F26" s="39"/>
      <c r="G26" s="39"/>
      <c r="H26" s="39"/>
      <c r="I26" s="39"/>
      <c r="J26" s="39"/>
      <c r="K26" s="39"/>
      <c r="L26" s="39"/>
      <c r="M26" s="39"/>
      <c r="N26" s="39"/>
      <c r="O26" s="39"/>
      <c r="R26" s="71"/>
      <c r="S26" s="71"/>
      <c r="T26" s="71"/>
      <c r="U26" s="71"/>
    </row>
    <row r="27" spans="1:21" ht="12.75" hidden="1" customHeight="1">
      <c r="F27" s="39"/>
      <c r="G27" s="39"/>
      <c r="H27" s="39"/>
      <c r="I27" s="39"/>
      <c r="J27" s="39"/>
      <c r="K27" s="39"/>
      <c r="L27" s="39"/>
      <c r="M27" s="39"/>
      <c r="N27" s="39"/>
      <c r="O27" s="39"/>
      <c r="R27" s="72"/>
      <c r="S27" s="73"/>
      <c r="T27" s="72"/>
      <c r="U27" s="73"/>
    </row>
    <row r="28" spans="1:21" ht="12.75" hidden="1" customHeight="1">
      <c r="F28" s="39"/>
      <c r="G28" s="39"/>
      <c r="H28" s="39"/>
      <c r="I28" s="39"/>
      <c r="J28" s="39"/>
      <c r="K28" s="39"/>
      <c r="L28" s="39"/>
      <c r="M28" s="39"/>
      <c r="N28" s="39"/>
      <c r="O28" s="39"/>
      <c r="R28" s="72"/>
      <c r="S28" s="73"/>
      <c r="T28" s="72"/>
      <c r="U28" s="73"/>
    </row>
    <row r="29" spans="1:21" ht="12.75" hidden="1" customHeight="1">
      <c r="F29" s="39"/>
      <c r="G29" s="39"/>
      <c r="H29" s="39"/>
      <c r="I29" s="39"/>
      <c r="J29" s="39"/>
      <c r="K29" s="39"/>
      <c r="L29" s="39"/>
      <c r="M29" s="39"/>
      <c r="N29" s="39"/>
      <c r="O29" s="39"/>
      <c r="R29" s="72"/>
      <c r="S29" s="73"/>
      <c r="T29" s="72"/>
      <c r="U29" s="73"/>
    </row>
    <row r="30" spans="1:21" ht="12.75" hidden="1" customHeight="1">
      <c r="F30" s="39"/>
      <c r="G30" s="39"/>
      <c r="H30" s="39"/>
      <c r="I30" s="39"/>
      <c r="J30" s="39"/>
      <c r="K30" s="39"/>
      <c r="L30" s="39"/>
      <c r="M30" s="39"/>
      <c r="N30" s="39"/>
      <c r="O30" s="39"/>
      <c r="R30" s="72"/>
      <c r="S30" s="73"/>
      <c r="T30" s="72"/>
      <c r="U30" s="73"/>
    </row>
    <row r="31" spans="1:21" ht="12.75" hidden="1" customHeight="1">
      <c r="F31" s="39"/>
      <c r="G31" s="39"/>
      <c r="H31" s="39"/>
      <c r="I31" s="39"/>
      <c r="J31" s="39"/>
      <c r="K31" s="39"/>
      <c r="L31" s="39"/>
      <c r="M31" s="39"/>
      <c r="N31" s="39"/>
      <c r="O31" s="39"/>
      <c r="R31" s="72"/>
      <c r="S31" s="73"/>
      <c r="T31" s="72"/>
      <c r="U31" s="73"/>
    </row>
    <row r="32" spans="1:21" ht="12.75" hidden="1" customHeight="1">
      <c r="F32" s="39"/>
      <c r="G32" s="39"/>
      <c r="H32" s="39"/>
      <c r="I32" s="39"/>
      <c r="J32" s="39"/>
      <c r="K32" s="39"/>
      <c r="L32" s="39"/>
      <c r="M32" s="39"/>
      <c r="N32" s="39"/>
      <c r="O32" s="39"/>
      <c r="R32" s="72"/>
      <c r="S32" s="73"/>
      <c r="T32" s="72"/>
      <c r="U32" s="73"/>
    </row>
    <row r="33" spans="1:21" ht="12.75" hidden="1" customHeight="1">
      <c r="F33" s="39"/>
      <c r="G33" s="39"/>
      <c r="H33" s="39"/>
      <c r="I33" s="39"/>
      <c r="J33" s="39"/>
      <c r="K33" s="39"/>
      <c r="L33" s="39"/>
      <c r="M33" s="39"/>
      <c r="N33" s="39"/>
      <c r="O33" s="39"/>
      <c r="R33" s="72"/>
      <c r="S33" s="73"/>
      <c r="T33" s="72"/>
      <c r="U33" s="73"/>
    </row>
    <row r="34" spans="1:21" ht="12.75" hidden="1" customHeight="1">
      <c r="F34" s="39"/>
      <c r="G34" s="39"/>
      <c r="H34" s="39"/>
      <c r="I34" s="39"/>
      <c r="J34" s="39"/>
      <c r="K34" s="39"/>
      <c r="L34" s="39"/>
      <c r="M34" s="39"/>
      <c r="N34" s="39"/>
      <c r="O34" s="39"/>
      <c r="R34" s="72"/>
      <c r="S34" s="73"/>
      <c r="T34" s="72"/>
      <c r="U34" s="73"/>
    </row>
    <row r="35" spans="1:21" ht="12.75" hidden="1" customHeight="1">
      <c r="F35" s="39"/>
      <c r="G35" s="39"/>
      <c r="H35" s="39"/>
      <c r="I35" s="39"/>
      <c r="J35" s="39"/>
      <c r="K35" s="39"/>
      <c r="L35" s="39"/>
      <c r="M35" s="39"/>
      <c r="N35" s="39"/>
      <c r="O35" s="39"/>
      <c r="R35" s="72"/>
      <c r="S35" s="73"/>
      <c r="T35" s="72"/>
      <c r="U35" s="73"/>
    </row>
    <row r="36" spans="1:21" ht="12.75" hidden="1" customHeight="1">
      <c r="F36" s="39"/>
      <c r="G36" s="39"/>
      <c r="H36" s="39"/>
      <c r="I36" s="39"/>
      <c r="J36" s="39"/>
      <c r="K36" s="39"/>
      <c r="L36" s="39"/>
      <c r="M36" s="39"/>
      <c r="N36" s="39"/>
      <c r="O36" s="39"/>
      <c r="R36" s="72"/>
      <c r="S36" s="73"/>
      <c r="T36" s="72"/>
      <c r="U36" s="73"/>
    </row>
    <row r="37" spans="1:21" ht="12.75" hidden="1" customHeight="1">
      <c r="F37" s="39"/>
      <c r="G37" s="39"/>
      <c r="H37" s="39"/>
      <c r="I37" s="39"/>
      <c r="J37" s="39"/>
      <c r="K37" s="39"/>
      <c r="L37" s="39"/>
      <c r="M37" s="39"/>
      <c r="N37" s="39"/>
      <c r="O37" s="39"/>
      <c r="R37" s="74"/>
      <c r="S37" s="74"/>
      <c r="T37" s="74"/>
      <c r="U37" s="74"/>
    </row>
    <row r="38" spans="1:21" ht="12.75" customHeight="1">
      <c r="A38" s="75"/>
      <c r="B38" s="76"/>
      <c r="C38" s="72"/>
      <c r="D38" s="77"/>
      <c r="E38" s="72"/>
      <c r="F38" s="78"/>
      <c r="G38" s="79"/>
      <c r="H38" s="67"/>
      <c r="I38" s="80"/>
      <c r="J38" s="80"/>
      <c r="K38" s="80"/>
      <c r="L38" s="39"/>
      <c r="M38" s="39"/>
      <c r="N38" s="39"/>
      <c r="O38" s="39"/>
      <c r="P38" s="25"/>
      <c r="Q38" s="25"/>
    </row>
    <row r="39" spans="1:21" ht="12.75" hidden="1" customHeight="1">
      <c r="A39" s="75"/>
      <c r="B39" s="269" t="s">
        <v>40</v>
      </c>
      <c r="C39" s="269"/>
      <c r="D39" s="269"/>
      <c r="E39" s="269"/>
      <c r="F39" s="67"/>
      <c r="G39" s="39"/>
      <c r="H39" s="67"/>
      <c r="I39" s="39"/>
      <c r="J39" s="39"/>
      <c r="K39" s="39"/>
      <c r="L39" s="39"/>
      <c r="M39" s="39"/>
      <c r="N39" s="39"/>
      <c r="O39" s="39"/>
      <c r="P39" s="25"/>
      <c r="Q39" s="25"/>
    </row>
    <row r="40" spans="1:21" ht="12.75" hidden="1" customHeight="1">
      <c r="A40" s="75"/>
      <c r="B40" s="81" t="s">
        <v>41</v>
      </c>
      <c r="C40" s="81" t="s">
        <v>42</v>
      </c>
      <c r="D40" s="81" t="s">
        <v>43</v>
      </c>
      <c r="E40" s="82" t="s">
        <v>44</v>
      </c>
      <c r="F40" s="67"/>
      <c r="G40" s="39"/>
      <c r="H40" s="67"/>
      <c r="I40" s="39"/>
      <c r="J40" s="39"/>
      <c r="K40" s="39"/>
      <c r="L40" s="80"/>
      <c r="M40" s="39"/>
      <c r="N40" s="83"/>
      <c r="O40" s="39"/>
      <c r="P40" s="25"/>
      <c r="Q40" s="25"/>
    </row>
    <row r="41" spans="1:21" ht="12.75" hidden="1" customHeight="1">
      <c r="A41" s="84">
        <v>1</v>
      </c>
      <c r="B41" s="6" t="s">
        <v>45</v>
      </c>
      <c r="C41" s="8" t="e">
        <f t="shared" ref="C41:C60" si="0">SUMIF($D$81:$D$131,B41,$G$81:$G$131)/COUNTIF($D$81:$D$131,B41)</f>
        <v>#DIV/0!</v>
      </c>
      <c r="D41" s="85" t="e">
        <f>E175*C41</f>
        <v>#DIV/0!</v>
      </c>
      <c r="E41" s="86" t="e">
        <f>D41/C41</f>
        <v>#DIV/0!</v>
      </c>
      <c r="F41" s="87"/>
      <c r="G41" s="87"/>
      <c r="H41" s="88"/>
      <c r="I41" s="39"/>
      <c r="J41" s="39"/>
      <c r="K41" s="39"/>
      <c r="L41" s="39"/>
      <c r="M41" s="39"/>
      <c r="N41" s="39"/>
      <c r="O41" s="39"/>
      <c r="P41" s="25"/>
      <c r="Q41" s="25"/>
    </row>
    <row r="42" spans="1:21" ht="12.75" hidden="1" customHeight="1">
      <c r="A42" s="84">
        <v>2</v>
      </c>
      <c r="B42" s="6" t="s">
        <v>46</v>
      </c>
      <c r="C42" s="8" t="e">
        <f t="shared" si="0"/>
        <v>#DIV/0!</v>
      </c>
      <c r="D42" s="85" t="e">
        <f>G175*C42</f>
        <v>#DIV/0!</v>
      </c>
      <c r="E42" s="86" t="e">
        <f t="shared" ref="E42:E51" si="1">D42/C42</f>
        <v>#DIV/0!</v>
      </c>
      <c r="F42" s="87"/>
      <c r="G42" s="87"/>
      <c r="H42" s="88"/>
      <c r="I42" s="39"/>
      <c r="J42" s="39"/>
      <c r="K42" s="39"/>
      <c r="L42" s="39"/>
      <c r="M42" s="39"/>
      <c r="N42" s="39"/>
      <c r="O42" s="39"/>
      <c r="P42" s="25"/>
      <c r="Q42" s="25"/>
    </row>
    <row r="43" spans="1:21" ht="12.75" hidden="1" customHeight="1">
      <c r="A43" s="84">
        <v>3</v>
      </c>
      <c r="B43" s="6" t="s">
        <v>47</v>
      </c>
      <c r="C43" s="8" t="e">
        <f t="shared" si="0"/>
        <v>#DIV/0!</v>
      </c>
      <c r="D43" s="85" t="e">
        <f>I175*C43</f>
        <v>#DIV/0!</v>
      </c>
      <c r="E43" s="86" t="e">
        <f t="shared" si="1"/>
        <v>#DIV/0!</v>
      </c>
      <c r="F43" s="87"/>
      <c r="G43" s="87"/>
      <c r="H43" s="88"/>
      <c r="I43" s="39"/>
      <c r="J43" s="39"/>
      <c r="K43" s="39"/>
      <c r="L43" s="39"/>
      <c r="M43" s="39"/>
      <c r="N43" s="39"/>
      <c r="O43" s="39"/>
      <c r="P43" s="25"/>
      <c r="Q43" s="25"/>
    </row>
    <row r="44" spans="1:21" ht="12.75" hidden="1" customHeight="1">
      <c r="A44" s="84">
        <v>4</v>
      </c>
      <c r="B44" s="6" t="s">
        <v>48</v>
      </c>
      <c r="C44" s="8" t="e">
        <f t="shared" si="0"/>
        <v>#DIV/0!</v>
      </c>
      <c r="D44" s="85" t="e">
        <f>K175*C44</f>
        <v>#DIV/0!</v>
      </c>
      <c r="E44" s="86" t="e">
        <f t="shared" si="1"/>
        <v>#DIV/0!</v>
      </c>
      <c r="F44" s="73"/>
      <c r="G44" s="73"/>
      <c r="H44" s="89"/>
      <c r="I44" s="25"/>
      <c r="J44" s="90"/>
      <c r="K44" s="25"/>
      <c r="L44" s="25"/>
      <c r="M44" s="25"/>
      <c r="N44" s="25"/>
      <c r="O44" s="25"/>
      <c r="P44" s="25"/>
      <c r="Q44" s="25"/>
    </row>
    <row r="45" spans="1:21" ht="12.75" hidden="1" customHeight="1">
      <c r="A45" s="84">
        <v>5</v>
      </c>
      <c r="B45" s="6" t="s">
        <v>49</v>
      </c>
      <c r="C45" s="8" t="e">
        <f t="shared" si="0"/>
        <v>#DIV/0!</v>
      </c>
      <c r="D45" s="85" t="e">
        <f>M175*C45</f>
        <v>#DIV/0!</v>
      </c>
      <c r="E45" s="86" t="e">
        <f t="shared" si="1"/>
        <v>#DIV/0!</v>
      </c>
      <c r="F45" s="73"/>
      <c r="G45" s="73"/>
      <c r="H45" s="89"/>
      <c r="I45" s="25"/>
      <c r="J45" s="25"/>
      <c r="K45" s="25"/>
      <c r="L45" s="25"/>
      <c r="M45" s="25"/>
      <c r="N45" s="25"/>
      <c r="O45" s="25"/>
      <c r="P45" s="25"/>
      <c r="Q45" s="25"/>
    </row>
    <row r="46" spans="1:21" ht="12.75" hidden="1" customHeight="1">
      <c r="A46" s="84">
        <v>6</v>
      </c>
      <c r="B46" s="6" t="s">
        <v>50</v>
      </c>
      <c r="C46" s="8" t="e">
        <f t="shared" si="0"/>
        <v>#DIV/0!</v>
      </c>
      <c r="D46" s="85" t="e">
        <f>O175*C46</f>
        <v>#DIV/0!</v>
      </c>
      <c r="E46" s="86" t="e">
        <f t="shared" si="1"/>
        <v>#DIV/0!</v>
      </c>
      <c r="F46" s="73"/>
      <c r="G46" s="73"/>
      <c r="H46" s="89"/>
      <c r="I46" s="25"/>
      <c r="J46" s="25"/>
      <c r="K46" s="25"/>
      <c r="L46" s="25"/>
      <c r="M46" s="25"/>
      <c r="N46" s="25"/>
      <c r="O46" s="25"/>
      <c r="P46" s="25"/>
      <c r="Q46" s="25"/>
    </row>
    <row r="47" spans="1:21" ht="12.75" hidden="1" customHeight="1">
      <c r="A47" s="84">
        <v>7</v>
      </c>
      <c r="B47" s="6" t="s">
        <v>51</v>
      </c>
      <c r="C47" s="8" t="e">
        <f t="shared" si="0"/>
        <v>#DIV/0!</v>
      </c>
      <c r="D47" s="85" t="e">
        <f>Q175*C47</f>
        <v>#DIV/0!</v>
      </c>
      <c r="E47" s="86" t="e">
        <f t="shared" si="1"/>
        <v>#DIV/0!</v>
      </c>
      <c r="F47" s="73"/>
      <c r="G47" s="73"/>
      <c r="H47" s="89"/>
      <c r="I47" s="25"/>
      <c r="J47" s="25"/>
      <c r="K47" s="25"/>
      <c r="L47" s="25"/>
      <c r="M47" s="25"/>
      <c r="N47" s="25"/>
      <c r="O47" s="25"/>
      <c r="P47" s="25"/>
      <c r="Q47" s="25"/>
    </row>
    <row r="48" spans="1:21" ht="12.75" hidden="1" customHeight="1">
      <c r="A48" s="84">
        <v>8</v>
      </c>
      <c r="B48" s="6" t="s">
        <v>52</v>
      </c>
      <c r="C48" s="8" t="e">
        <f t="shared" si="0"/>
        <v>#DIV/0!</v>
      </c>
      <c r="D48" s="85" t="e">
        <f>S175*C48</f>
        <v>#DIV/0!</v>
      </c>
      <c r="E48" s="86" t="e">
        <f t="shared" si="1"/>
        <v>#DIV/0!</v>
      </c>
      <c r="F48" s="73"/>
      <c r="G48" s="73"/>
      <c r="H48" s="89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12.75" hidden="1" customHeight="1">
      <c r="A49" s="84">
        <v>9</v>
      </c>
      <c r="B49" s="6" t="s">
        <v>53</v>
      </c>
      <c r="C49" s="8" t="e">
        <f t="shared" si="0"/>
        <v>#DIV/0!</v>
      </c>
      <c r="D49" s="85" t="e">
        <f>U175*C49</f>
        <v>#DIV/0!</v>
      </c>
      <c r="E49" s="86" t="e">
        <f t="shared" si="1"/>
        <v>#DIV/0!</v>
      </c>
      <c r="F49" s="73"/>
      <c r="G49" s="73"/>
      <c r="H49" s="89"/>
      <c r="I49" s="25"/>
      <c r="J49" s="25"/>
      <c r="K49" s="25"/>
      <c r="L49" s="25"/>
      <c r="M49" s="25"/>
      <c r="N49" s="25"/>
      <c r="O49" s="25"/>
      <c r="P49" s="25"/>
      <c r="Q49" s="25"/>
    </row>
    <row r="50" spans="1:17" ht="12.75" hidden="1" customHeight="1">
      <c r="A50" s="84">
        <v>10</v>
      </c>
      <c r="B50" s="6" t="s">
        <v>54</v>
      </c>
      <c r="C50" s="8" t="e">
        <f t="shared" si="0"/>
        <v>#DIV/0!</v>
      </c>
      <c r="D50" s="85" t="e">
        <f>W175*C50</f>
        <v>#DIV/0!</v>
      </c>
      <c r="E50" s="86" t="e">
        <f t="shared" si="1"/>
        <v>#DIV/0!</v>
      </c>
      <c r="F50" s="73"/>
      <c r="G50" s="73"/>
      <c r="H50" s="89"/>
      <c r="I50" s="25"/>
      <c r="J50" s="25"/>
      <c r="K50" s="25"/>
      <c r="L50" s="25"/>
      <c r="M50" s="25"/>
      <c r="N50" s="25"/>
      <c r="O50" s="25"/>
      <c r="P50" s="25"/>
      <c r="Q50" s="25"/>
    </row>
    <row r="51" spans="1:17" ht="12.75" hidden="1" customHeight="1">
      <c r="A51" s="84">
        <v>11</v>
      </c>
      <c r="B51" s="6" t="s">
        <v>55</v>
      </c>
      <c r="C51" s="8" t="e">
        <f t="shared" si="0"/>
        <v>#DIV/0!</v>
      </c>
      <c r="D51" s="85" t="e">
        <f>Y175*C51</f>
        <v>#DIV/0!</v>
      </c>
      <c r="E51" s="86" t="e">
        <f t="shared" si="1"/>
        <v>#DIV/0!</v>
      </c>
      <c r="F51" s="73"/>
      <c r="G51" s="73"/>
      <c r="H51" s="89"/>
      <c r="I51" s="25"/>
      <c r="J51" s="25"/>
      <c r="K51" s="25"/>
      <c r="L51" s="25"/>
      <c r="M51" s="25"/>
      <c r="N51" s="25"/>
      <c r="O51" s="25"/>
      <c r="P51" s="25"/>
      <c r="Q51" s="25"/>
    </row>
    <row r="52" spans="1:17" ht="12.75" hidden="1" customHeight="1">
      <c r="A52" s="84">
        <v>12</v>
      </c>
      <c r="B52" s="6" t="s">
        <v>56</v>
      </c>
      <c r="C52" s="8" t="e">
        <f t="shared" si="0"/>
        <v>#DIV/0!</v>
      </c>
      <c r="D52" s="85" t="e">
        <f>AA175*C52</f>
        <v>#DIV/0!</v>
      </c>
      <c r="E52" s="86" t="e">
        <f>D52/C52</f>
        <v>#DIV/0!</v>
      </c>
      <c r="F52" s="73"/>
      <c r="G52" s="73"/>
      <c r="H52" s="89"/>
      <c r="I52" s="25"/>
      <c r="J52" s="25"/>
      <c r="K52" s="25"/>
      <c r="L52" s="25"/>
      <c r="M52" s="25"/>
      <c r="N52" s="25"/>
      <c r="O52" s="25"/>
      <c r="P52" s="25"/>
      <c r="Q52" s="25"/>
    </row>
    <row r="53" spans="1:17" ht="12.75" hidden="1" customHeight="1">
      <c r="A53" s="84">
        <v>13</v>
      </c>
      <c r="B53" s="6" t="s">
        <v>57</v>
      </c>
      <c r="C53" s="8" t="e">
        <f t="shared" si="0"/>
        <v>#DIV/0!</v>
      </c>
      <c r="D53" s="85" t="e">
        <f>AC175*C53</f>
        <v>#DIV/0!</v>
      </c>
      <c r="E53" s="86" t="e">
        <f t="shared" ref="E53:E58" si="2">D53/C53</f>
        <v>#DIV/0!</v>
      </c>
      <c r="F53" s="73"/>
      <c r="G53" s="73"/>
      <c r="H53" s="89"/>
      <c r="I53" s="25"/>
      <c r="J53" s="25"/>
      <c r="K53" s="25"/>
      <c r="L53" s="25"/>
      <c r="M53" s="25"/>
      <c r="N53" s="25"/>
      <c r="O53" s="25"/>
      <c r="P53" s="25"/>
      <c r="Q53" s="25"/>
    </row>
    <row r="54" spans="1:17" ht="12.75" hidden="1" customHeight="1">
      <c r="A54" s="84">
        <v>14</v>
      </c>
      <c r="B54" s="6" t="s">
        <v>58</v>
      </c>
      <c r="C54" s="8" t="e">
        <f t="shared" si="0"/>
        <v>#DIV/0!</v>
      </c>
      <c r="D54" s="85" t="e">
        <f>AE175*C54</f>
        <v>#DIV/0!</v>
      </c>
      <c r="E54" s="86" t="e">
        <f t="shared" si="2"/>
        <v>#DIV/0!</v>
      </c>
      <c r="F54" s="73"/>
      <c r="G54" s="73"/>
      <c r="H54" s="89"/>
      <c r="I54" s="25"/>
      <c r="J54" s="25"/>
      <c r="K54" s="25"/>
      <c r="L54" s="25"/>
      <c r="M54" s="25"/>
      <c r="N54" s="25"/>
      <c r="O54" s="25"/>
      <c r="P54" s="25"/>
      <c r="Q54" s="25"/>
    </row>
    <row r="55" spans="1:17" ht="12.75" hidden="1" customHeight="1">
      <c r="A55" s="84">
        <v>15</v>
      </c>
      <c r="B55" s="6" t="s">
        <v>59</v>
      </c>
      <c r="C55" s="8" t="e">
        <f t="shared" si="0"/>
        <v>#DIV/0!</v>
      </c>
      <c r="D55" s="85" t="e">
        <f>AG175*C55</f>
        <v>#DIV/0!</v>
      </c>
      <c r="E55" s="86" t="e">
        <f t="shared" si="2"/>
        <v>#DIV/0!</v>
      </c>
      <c r="F55" s="73"/>
      <c r="G55" s="73"/>
      <c r="H55" s="89"/>
      <c r="I55" s="25"/>
      <c r="J55" s="25"/>
      <c r="K55" s="25"/>
      <c r="L55" s="25"/>
      <c r="M55" s="25"/>
      <c r="N55" s="25"/>
      <c r="O55" s="25"/>
      <c r="P55" s="25"/>
      <c r="Q55" s="25"/>
    </row>
    <row r="56" spans="1:17" ht="12.75" hidden="1" customHeight="1">
      <c r="A56" s="84">
        <v>16</v>
      </c>
      <c r="B56" s="6" t="s">
        <v>60</v>
      </c>
      <c r="C56" s="8" t="e">
        <f t="shared" si="0"/>
        <v>#DIV/0!</v>
      </c>
      <c r="D56" s="85" t="e">
        <f>AI175*C56</f>
        <v>#DIV/0!</v>
      </c>
      <c r="E56" s="86" t="e">
        <f t="shared" si="2"/>
        <v>#DIV/0!</v>
      </c>
      <c r="F56" s="73"/>
      <c r="G56" s="73"/>
      <c r="H56" s="89"/>
      <c r="I56" s="25"/>
      <c r="J56" s="25"/>
      <c r="K56" s="25"/>
      <c r="L56" s="25"/>
      <c r="M56" s="25"/>
      <c r="N56" s="25"/>
      <c r="O56" s="25"/>
      <c r="P56" s="25"/>
      <c r="Q56" s="25"/>
    </row>
    <row r="57" spans="1:17" ht="12.75" hidden="1" customHeight="1">
      <c r="A57" s="84">
        <v>17</v>
      </c>
      <c r="B57" s="6" t="s">
        <v>61</v>
      </c>
      <c r="C57" s="8" t="e">
        <f t="shared" si="0"/>
        <v>#DIV/0!</v>
      </c>
      <c r="D57" s="85" t="e">
        <f>AK175*C57</f>
        <v>#DIV/0!</v>
      </c>
      <c r="E57" s="86" t="e">
        <f t="shared" si="2"/>
        <v>#DIV/0!</v>
      </c>
      <c r="F57" s="73"/>
      <c r="G57" s="73"/>
      <c r="H57" s="89"/>
      <c r="I57" s="25"/>
      <c r="J57" s="25"/>
      <c r="K57" s="25"/>
      <c r="L57" s="25"/>
      <c r="M57" s="25"/>
      <c r="N57" s="25"/>
      <c r="O57" s="25"/>
      <c r="P57" s="25"/>
      <c r="Q57" s="25"/>
    </row>
    <row r="58" spans="1:17" ht="12.75" hidden="1" customHeight="1">
      <c r="A58" s="84">
        <v>18</v>
      </c>
      <c r="B58" s="6" t="s">
        <v>62</v>
      </c>
      <c r="C58" s="8" t="e">
        <f t="shared" si="0"/>
        <v>#DIV/0!</v>
      </c>
      <c r="D58" s="85" t="e">
        <f>AM175*C58</f>
        <v>#DIV/0!</v>
      </c>
      <c r="E58" s="86" t="e">
        <f t="shared" si="2"/>
        <v>#DIV/0!</v>
      </c>
      <c r="F58" s="73"/>
      <c r="G58" s="73"/>
      <c r="H58" s="89"/>
      <c r="I58" s="25"/>
      <c r="J58" s="25"/>
      <c r="K58" s="25"/>
      <c r="L58" s="25"/>
      <c r="M58" s="25"/>
      <c r="N58" s="25"/>
      <c r="O58" s="25"/>
      <c r="P58" s="25"/>
      <c r="Q58" s="25"/>
    </row>
    <row r="59" spans="1:17" ht="12.75" hidden="1" customHeight="1">
      <c r="A59" s="84">
        <v>19</v>
      </c>
      <c r="B59" s="6" t="s">
        <v>63</v>
      </c>
      <c r="C59" s="8" t="e">
        <f t="shared" si="0"/>
        <v>#DIV/0!</v>
      </c>
      <c r="D59" s="85" t="e">
        <f>AO175*C59</f>
        <v>#DIV/0!</v>
      </c>
      <c r="E59" s="86" t="e">
        <f t="shared" ref="E59:E60" si="3">D59/C59</f>
        <v>#DIV/0!</v>
      </c>
      <c r="F59" s="73"/>
      <c r="G59" s="73"/>
      <c r="H59" s="89"/>
      <c r="I59" s="25"/>
      <c r="J59" s="25"/>
      <c r="K59" s="25"/>
      <c r="L59" s="25"/>
      <c r="M59" s="25"/>
      <c r="N59" s="25"/>
      <c r="O59" s="25"/>
      <c r="P59" s="25"/>
      <c r="Q59" s="25"/>
    </row>
    <row r="60" spans="1:17" ht="12.75" hidden="1" customHeight="1">
      <c r="A60" s="84">
        <v>20</v>
      </c>
      <c r="B60" s="6" t="s">
        <v>64</v>
      </c>
      <c r="C60" s="8" t="e">
        <f t="shared" si="0"/>
        <v>#DIV/0!</v>
      </c>
      <c r="D60" s="85" t="e">
        <f>AQ175*C60</f>
        <v>#DIV/0!</v>
      </c>
      <c r="E60" s="86" t="e">
        <f t="shared" si="3"/>
        <v>#DIV/0!</v>
      </c>
      <c r="F60" s="73"/>
      <c r="G60" s="73"/>
      <c r="H60" s="89"/>
      <c r="I60" s="25"/>
      <c r="J60" s="25"/>
      <c r="K60" s="25"/>
      <c r="L60" s="25"/>
      <c r="M60" s="25"/>
      <c r="N60" s="25"/>
      <c r="O60" s="25"/>
      <c r="P60" s="25"/>
      <c r="Q60" s="25"/>
    </row>
    <row r="61" spans="1:17" hidden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91"/>
      <c r="O61" s="25"/>
      <c r="P61" s="25"/>
      <c r="Q61" s="25"/>
    </row>
    <row r="62" spans="1:17">
      <c r="A62" s="92" t="s">
        <v>65</v>
      </c>
      <c r="B62" s="9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20"/>
      <c r="P62" s="20"/>
      <c r="Q62" s="20"/>
    </row>
    <row r="63" spans="1:17">
      <c r="A63" s="25"/>
      <c r="B63" s="4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>
      <c r="A64" s="94" t="s">
        <v>66</v>
      </c>
      <c r="B64" s="4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4.1">
      <c r="A65" s="95" t="s">
        <v>67</v>
      </c>
      <c r="B65" s="272" t="s">
        <v>68</v>
      </c>
      <c r="C65" s="273"/>
      <c r="D65" s="95" t="s">
        <v>69</v>
      </c>
      <c r="E65" s="274" t="s">
        <v>70</v>
      </c>
      <c r="F65" s="274"/>
      <c r="G65" s="96" t="s">
        <v>71</v>
      </c>
      <c r="H65" s="81" t="s">
        <v>72</v>
      </c>
      <c r="I65" s="25"/>
      <c r="J65" s="97"/>
      <c r="K65" s="25"/>
      <c r="L65" s="97"/>
      <c r="M65" s="44"/>
      <c r="N65" s="44"/>
      <c r="O65" s="25"/>
      <c r="P65" s="25"/>
      <c r="Q65" s="25"/>
    </row>
    <row r="66" spans="1:17">
      <c r="A66" s="98"/>
      <c r="B66" s="81" t="s">
        <v>73</v>
      </c>
      <c r="C66" s="81" t="s">
        <v>74</v>
      </c>
      <c r="D66" s="98"/>
      <c r="E66" s="274"/>
      <c r="F66" s="274"/>
      <c r="G66" s="96"/>
      <c r="H66" s="81"/>
      <c r="I66" s="25"/>
      <c r="J66" s="25"/>
      <c r="K66" s="25"/>
      <c r="L66" s="25"/>
      <c r="M66" s="275"/>
      <c r="N66" s="275"/>
      <c r="O66" s="25"/>
      <c r="P66" s="25"/>
      <c r="Q66" s="25"/>
    </row>
    <row r="67" spans="1:17">
      <c r="A67" s="4">
        <v>1</v>
      </c>
      <c r="B67" s="99">
        <f>C67*A67</f>
        <v>0.03</v>
      </c>
      <c r="C67" s="100">
        <v>0.03</v>
      </c>
      <c r="D67" s="4">
        <v>1</v>
      </c>
      <c r="E67" s="101" t="s">
        <v>75</v>
      </c>
      <c r="F67" s="4">
        <v>0</v>
      </c>
      <c r="G67" s="5" t="s">
        <v>76</v>
      </c>
      <c r="H67" s="102">
        <f t="shared" ref="H67:H72" ca="1" si="4">IF(E67="Pós Venda",DATE($D$5,$E$5+F67,1),DATE($D$6,$E$6+F67,1))</f>
        <v>45108</v>
      </c>
      <c r="I67" s="103"/>
      <c r="J67" s="104"/>
    </row>
    <row r="68" spans="1:17">
      <c r="A68" s="4">
        <v>3</v>
      </c>
      <c r="B68" s="99">
        <f t="shared" ref="B68:B72" si="5">C68*A68</f>
        <v>0.06</v>
      </c>
      <c r="C68" s="100">
        <v>0.02</v>
      </c>
      <c r="D68" s="4">
        <v>1</v>
      </c>
      <c r="E68" s="105" t="s">
        <v>75</v>
      </c>
      <c r="F68" s="4">
        <v>1</v>
      </c>
      <c r="G68" s="5" t="s">
        <v>77</v>
      </c>
      <c r="H68" s="102">
        <f t="shared" ca="1" si="4"/>
        <v>45139</v>
      </c>
      <c r="I68" s="103"/>
      <c r="J68" s="104"/>
    </row>
    <row r="69" spans="1:17">
      <c r="A69" s="4">
        <v>36</v>
      </c>
      <c r="B69" s="99">
        <f t="shared" si="5"/>
        <v>0.146484</v>
      </c>
      <c r="C69" s="100">
        <v>4.0689999999999997E-3</v>
      </c>
      <c r="D69" s="4">
        <v>1</v>
      </c>
      <c r="E69" s="105" t="s">
        <v>75</v>
      </c>
      <c r="F69" s="4">
        <v>4</v>
      </c>
      <c r="G69" s="5" t="s">
        <v>78</v>
      </c>
      <c r="H69" s="102">
        <f t="shared" ca="1" si="4"/>
        <v>45231</v>
      </c>
      <c r="I69" s="103"/>
      <c r="J69" s="97"/>
    </row>
    <row r="70" spans="1:17">
      <c r="A70" s="4">
        <v>6</v>
      </c>
      <c r="B70" s="99">
        <f t="shared" si="5"/>
        <v>0.12</v>
      </c>
      <c r="C70" s="100">
        <v>0.02</v>
      </c>
      <c r="D70" s="4">
        <v>6</v>
      </c>
      <c r="E70" s="105" t="s">
        <v>75</v>
      </c>
      <c r="F70" s="4">
        <v>6</v>
      </c>
      <c r="G70" s="5" t="s">
        <v>79</v>
      </c>
      <c r="H70" s="102">
        <f t="shared" ca="1" si="4"/>
        <v>45292</v>
      </c>
      <c r="I70" s="103"/>
      <c r="J70" s="25"/>
    </row>
    <row r="71" spans="1:17">
      <c r="A71" s="4">
        <v>2</v>
      </c>
      <c r="B71" s="99">
        <f t="shared" si="5"/>
        <v>0.05</v>
      </c>
      <c r="C71" s="100">
        <v>2.5000000000000001E-2</v>
      </c>
      <c r="D71" s="4">
        <v>12</v>
      </c>
      <c r="E71" s="105" t="s">
        <v>75</v>
      </c>
      <c r="F71" s="4">
        <v>23</v>
      </c>
      <c r="G71" s="5" t="s">
        <v>80</v>
      </c>
      <c r="H71" s="102">
        <f t="shared" ca="1" si="4"/>
        <v>45809</v>
      </c>
      <c r="I71" s="103"/>
      <c r="J71" s="106"/>
    </row>
    <row r="72" spans="1:17">
      <c r="A72" s="4">
        <v>1</v>
      </c>
      <c r="B72" s="99">
        <f t="shared" si="5"/>
        <v>0.59351599999999993</v>
      </c>
      <c r="C72" s="100">
        <f>1-SUM(B67:B71)</f>
        <v>0.59351599999999993</v>
      </c>
      <c r="D72" s="4">
        <v>1</v>
      </c>
      <c r="E72" s="105" t="s">
        <v>81</v>
      </c>
      <c r="F72" s="4">
        <v>2</v>
      </c>
      <c r="G72" s="5" t="s">
        <v>82</v>
      </c>
      <c r="H72" s="102">
        <f t="shared" si="4"/>
        <v>46357</v>
      </c>
      <c r="I72" s="103"/>
      <c r="J72" s="104"/>
    </row>
    <row r="73" spans="1:17">
      <c r="A73" s="107" t="s">
        <v>13</v>
      </c>
      <c r="B73" s="108">
        <f>SUM(B67:B72)</f>
        <v>1</v>
      </c>
      <c r="C73" s="109"/>
      <c r="D73" s="110"/>
      <c r="E73" s="110"/>
      <c r="F73" s="110"/>
      <c r="G73" s="110"/>
      <c r="H73" s="111"/>
      <c r="I73" s="25"/>
      <c r="J73" s="97"/>
      <c r="K73" s="25"/>
      <c r="L73" s="97"/>
      <c r="M73" s="112"/>
      <c r="N73" s="113"/>
      <c r="O73" s="25"/>
      <c r="P73" s="25"/>
      <c r="Q73" s="25"/>
    </row>
    <row r="74" spans="1:17" s="25" customFormat="1" ht="15.75" customHeight="1">
      <c r="A74" s="44"/>
      <c r="B74" s="114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3"/>
    </row>
    <row r="75" spans="1:17" s="25" customFormat="1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1:17">
      <c r="A76" s="92" t="s">
        <v>83</v>
      </c>
      <c r="B76" s="93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20"/>
      <c r="P76" s="20"/>
      <c r="Q76" s="20"/>
    </row>
    <row r="77" spans="1:17" s="25" customFormat="1">
      <c r="A77" s="117"/>
      <c r="B77" s="118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</row>
    <row r="78" spans="1:17" s="25" customFormat="1" ht="15.75" customHeight="1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N78" s="276"/>
      <c r="O78" s="276"/>
      <c r="P78" s="276"/>
      <c r="Q78" s="276"/>
    </row>
    <row r="79" spans="1:17" ht="30" customHeight="1">
      <c r="A79" s="25"/>
      <c r="B79" s="323" t="s">
        <v>84</v>
      </c>
      <c r="C79" s="324" t="s">
        <v>85</v>
      </c>
      <c r="D79" s="325" t="s">
        <v>86</v>
      </c>
      <c r="E79" s="324" t="s">
        <v>87</v>
      </c>
      <c r="F79" s="326" t="s">
        <v>88</v>
      </c>
      <c r="G79" s="324" t="s">
        <v>89</v>
      </c>
      <c r="H79" s="327" t="s">
        <v>90</v>
      </c>
      <c r="M79" s="119"/>
      <c r="N79" s="120"/>
      <c r="O79" s="121"/>
      <c r="P79" s="114"/>
    </row>
    <row r="80" spans="1:17" ht="12.75" hidden="1" customHeight="1">
      <c r="A80" s="122"/>
      <c r="B80" s="260"/>
      <c r="C80" s="260"/>
      <c r="D80" s="260"/>
      <c r="E80" s="260"/>
      <c r="F80" s="260"/>
      <c r="G80" s="260"/>
      <c r="H80" s="260"/>
      <c r="I80" s="74"/>
      <c r="J80" s="114"/>
      <c r="K80" s="123">
        <v>1</v>
      </c>
      <c r="L80" s="2" t="s">
        <v>13</v>
      </c>
      <c r="M80" s="114" t="s">
        <v>91</v>
      </c>
      <c r="N80" t="s">
        <v>92</v>
      </c>
    </row>
    <row r="81" spans="1:21" ht="12.75">
      <c r="A81" s="79"/>
      <c r="B81" s="321">
        <f>Tabelas!B24</f>
        <v>401</v>
      </c>
      <c r="C81" s="124">
        <f t="shared" ref="C81:C131" si="6">L81</f>
        <v>1.0909</v>
      </c>
      <c r="D81" s="211">
        <v>10000</v>
      </c>
      <c r="E81" s="240" t="s">
        <v>93</v>
      </c>
      <c r="F81" s="126">
        <f>G81*D81*C81</f>
        <v>3443534.9400000004</v>
      </c>
      <c r="G81" s="127">
        <f>VLOOKUP($B81,Tabelas!$B$21:$C$74,2,0)</f>
        <v>315.66000000000003</v>
      </c>
      <c r="H81" s="322">
        <f>F81/G81</f>
        <v>10909</v>
      </c>
      <c r="I81" s="128">
        <f>6%+1%+1%+0.59%+0.5%</f>
        <v>9.0899999999999995E-2</v>
      </c>
      <c r="J81" s="129"/>
      <c r="K81" s="130">
        <v>1</v>
      </c>
      <c r="L81" s="119">
        <f>SUM(I81:K81)</f>
        <v>1.0909</v>
      </c>
      <c r="M81" s="130"/>
      <c r="N81">
        <f>RIGHT(B81,2)*1</f>
        <v>1</v>
      </c>
      <c r="O81" s="131"/>
      <c r="P81" s="132"/>
      <c r="Q81" s="133"/>
      <c r="R81" s="134"/>
      <c r="T81" s="134"/>
      <c r="U81" s="128"/>
    </row>
    <row r="82" spans="1:21" ht="12.75">
      <c r="A82" s="79"/>
      <c r="B82" s="321">
        <f>Tabelas!B25</f>
        <v>402</v>
      </c>
      <c r="C82" s="124">
        <f t="shared" si="6"/>
        <v>1.0809</v>
      </c>
      <c r="D82" s="211">
        <v>11000</v>
      </c>
      <c r="E82" s="240" t="s">
        <v>93</v>
      </c>
      <c r="F82" s="126">
        <f t="shared" ref="F82:F110" si="7">G82*D82*C82</f>
        <v>4230307.5209999997</v>
      </c>
      <c r="G82" s="127">
        <f>VLOOKUP($B82,Tabelas!$B$21:$C$74,2,0)</f>
        <v>355.78999999999996</v>
      </c>
      <c r="H82" s="322">
        <f t="shared" ref="H82:H131" si="8">F82/G82</f>
        <v>11889.9</v>
      </c>
      <c r="I82" s="128">
        <f>5%+1%+1%+0.59%+0.5%</f>
        <v>8.0900000000000014E-2</v>
      </c>
      <c r="J82" s="129"/>
      <c r="K82" s="130">
        <v>1</v>
      </c>
      <c r="L82" s="119">
        <f t="shared" ref="L82:L95" si="9">SUM(I82:K82)</f>
        <v>1.0809</v>
      </c>
      <c r="M82" s="130"/>
      <c r="N82">
        <f t="shared" ref="N82:N131" si="10">RIGHT(B82,2)*1</f>
        <v>2</v>
      </c>
      <c r="O82" s="131"/>
      <c r="P82" s="132"/>
      <c r="Q82" s="133"/>
      <c r="R82" s="134"/>
      <c r="T82" s="134"/>
      <c r="U82" s="128"/>
    </row>
    <row r="83" spans="1:21" ht="12.75">
      <c r="A83" s="79"/>
      <c r="B83" s="321">
        <f>Tabelas!B26</f>
        <v>501</v>
      </c>
      <c r="C83" s="124">
        <f t="shared" si="6"/>
        <v>1.0809</v>
      </c>
      <c r="D83" s="211">
        <v>11000</v>
      </c>
      <c r="E83" s="240" t="s">
        <v>93</v>
      </c>
      <c r="F83" s="126">
        <f t="shared" si="7"/>
        <v>3012187.2659999998</v>
      </c>
      <c r="G83" s="127">
        <f>VLOOKUP($B83,Tabelas!$B$21:$C$74,2,0)</f>
        <v>253.34</v>
      </c>
      <c r="H83" s="322">
        <f t="shared" si="8"/>
        <v>11889.9</v>
      </c>
      <c r="I83" s="128">
        <f t="shared" ref="I83:I90" si="11">5%+1%+1%+0.59%+0.5%</f>
        <v>8.0900000000000014E-2</v>
      </c>
      <c r="J83" s="129"/>
      <c r="K83" s="130">
        <v>1</v>
      </c>
      <c r="L83" s="119">
        <f t="shared" si="9"/>
        <v>1.0809</v>
      </c>
      <c r="M83" s="130"/>
      <c r="N83">
        <f t="shared" si="10"/>
        <v>1</v>
      </c>
      <c r="O83" s="131"/>
      <c r="P83" s="132"/>
      <c r="Q83" s="133"/>
      <c r="R83" s="134"/>
      <c r="T83" s="134"/>
      <c r="U83" s="128"/>
    </row>
    <row r="84" spans="1:21" ht="12.75">
      <c r="A84" s="79"/>
      <c r="B84" s="321">
        <f>Tabelas!B27</f>
        <v>502</v>
      </c>
      <c r="C84" s="124">
        <f t="shared" si="6"/>
        <v>1.0809</v>
      </c>
      <c r="D84" s="211">
        <v>11000</v>
      </c>
      <c r="E84" s="240" t="s">
        <v>93</v>
      </c>
      <c r="F84" s="126">
        <f t="shared" si="7"/>
        <v>3647821.32</v>
      </c>
      <c r="G84" s="127">
        <f>VLOOKUP($B84,Tabelas!$B$21:$C$74,2,0)</f>
        <v>306.8</v>
      </c>
      <c r="H84" s="322">
        <f t="shared" si="8"/>
        <v>11889.9</v>
      </c>
      <c r="I84" s="128">
        <f t="shared" si="11"/>
        <v>8.0900000000000014E-2</v>
      </c>
      <c r="J84" s="129"/>
      <c r="K84" s="130">
        <v>1</v>
      </c>
      <c r="L84" s="119">
        <f t="shared" si="9"/>
        <v>1.0809</v>
      </c>
      <c r="M84" s="130"/>
      <c r="N84">
        <f t="shared" si="10"/>
        <v>2</v>
      </c>
      <c r="O84" s="131"/>
      <c r="P84" s="132"/>
      <c r="Q84" s="133"/>
      <c r="R84" s="134"/>
      <c r="T84" s="134"/>
      <c r="U84" s="128"/>
    </row>
    <row r="85" spans="1:21" ht="12.75">
      <c r="A85" s="79"/>
      <c r="B85" s="321">
        <f>Tabelas!B28</f>
        <v>601</v>
      </c>
      <c r="C85" s="124">
        <f t="shared" si="6"/>
        <v>1.0809</v>
      </c>
      <c r="D85" s="211">
        <v>10500</v>
      </c>
      <c r="E85" s="240" t="s">
        <v>93</v>
      </c>
      <c r="F85" s="126">
        <f t="shared" si="7"/>
        <v>2864260.6965000001</v>
      </c>
      <c r="G85" s="127">
        <f>VLOOKUP($B85,Tabelas!$B$21:$C$74,2,0)</f>
        <v>252.37</v>
      </c>
      <c r="H85" s="322">
        <f t="shared" si="8"/>
        <v>11349.45</v>
      </c>
      <c r="I85" s="128">
        <f t="shared" si="11"/>
        <v>8.0900000000000014E-2</v>
      </c>
      <c r="J85" s="129"/>
      <c r="K85" s="130">
        <v>1</v>
      </c>
      <c r="L85" s="119">
        <f t="shared" si="9"/>
        <v>1.0809</v>
      </c>
      <c r="M85" s="130"/>
      <c r="N85">
        <f t="shared" si="10"/>
        <v>1</v>
      </c>
      <c r="O85" s="131"/>
      <c r="P85" s="132"/>
      <c r="Q85" s="133"/>
      <c r="R85" s="134"/>
      <c r="T85" s="134"/>
      <c r="U85" s="128"/>
    </row>
    <row r="86" spans="1:21" ht="12.75">
      <c r="A86" s="79"/>
      <c r="B86" s="321">
        <f>Tabelas!B29</f>
        <v>602</v>
      </c>
      <c r="C86" s="124">
        <f t="shared" si="6"/>
        <v>1.0809</v>
      </c>
      <c r="D86" s="211">
        <v>11500</v>
      </c>
      <c r="E86" s="240" t="s">
        <v>93</v>
      </c>
      <c r="F86" s="126">
        <f t="shared" si="7"/>
        <v>3791753.9639999992</v>
      </c>
      <c r="G86" s="127">
        <f>VLOOKUP($B86,Tabelas!$B$21:$C$74,2,0)</f>
        <v>305.03999999999996</v>
      </c>
      <c r="H86" s="322">
        <f t="shared" si="8"/>
        <v>12430.349999999999</v>
      </c>
      <c r="I86" s="128">
        <f t="shared" si="11"/>
        <v>8.0900000000000014E-2</v>
      </c>
      <c r="J86" s="129"/>
      <c r="K86" s="130">
        <v>1</v>
      </c>
      <c r="L86" s="119">
        <f t="shared" si="9"/>
        <v>1.0809</v>
      </c>
      <c r="M86" s="130"/>
      <c r="N86">
        <f t="shared" si="10"/>
        <v>2</v>
      </c>
      <c r="O86" s="131"/>
      <c r="P86" s="132"/>
      <c r="Q86" s="133"/>
      <c r="R86" s="134"/>
      <c r="T86" s="134"/>
      <c r="U86" s="128"/>
    </row>
    <row r="87" spans="1:21" ht="12.75">
      <c r="A87" s="79"/>
      <c r="B87" s="321">
        <f>Tabelas!B30</f>
        <v>701</v>
      </c>
      <c r="C87" s="124">
        <f t="shared" si="6"/>
        <v>1.0809</v>
      </c>
      <c r="D87" s="211">
        <v>11000</v>
      </c>
      <c r="E87" s="240" t="s">
        <v>93</v>
      </c>
      <c r="F87" s="126">
        <f t="shared" si="7"/>
        <v>3002199.75</v>
      </c>
      <c r="G87" s="127">
        <f>VLOOKUP($B87,Tabelas!$B$21:$C$74,2,0)</f>
        <v>252.5</v>
      </c>
      <c r="H87" s="322">
        <f t="shared" si="8"/>
        <v>11889.9</v>
      </c>
      <c r="I87" s="128">
        <f t="shared" si="11"/>
        <v>8.0900000000000014E-2</v>
      </c>
      <c r="J87" s="129"/>
      <c r="K87" s="130">
        <v>1</v>
      </c>
      <c r="L87" s="119">
        <f t="shared" si="9"/>
        <v>1.0809</v>
      </c>
      <c r="M87" s="130"/>
      <c r="N87">
        <f t="shared" si="10"/>
        <v>1</v>
      </c>
      <c r="O87" s="131"/>
      <c r="P87" s="132"/>
      <c r="Q87" s="133"/>
      <c r="R87" s="134"/>
      <c r="T87" s="134"/>
      <c r="U87" s="128"/>
    </row>
    <row r="88" spans="1:21" ht="12.75">
      <c r="A88" s="79"/>
      <c r="B88" s="321">
        <f>Tabelas!B31</f>
        <v>702</v>
      </c>
      <c r="C88" s="124">
        <f t="shared" si="6"/>
        <v>1.0809</v>
      </c>
      <c r="D88" s="211">
        <v>11000</v>
      </c>
      <c r="E88" s="240" t="s">
        <v>93</v>
      </c>
      <c r="F88" s="126">
        <f t="shared" si="7"/>
        <v>3647821.32</v>
      </c>
      <c r="G88" s="127">
        <f>VLOOKUP($B88,Tabelas!$B$21:$C$74,2,0)</f>
        <v>306.8</v>
      </c>
      <c r="H88" s="322">
        <f t="shared" si="8"/>
        <v>11889.9</v>
      </c>
      <c r="I88" s="128">
        <f t="shared" si="11"/>
        <v>8.0900000000000014E-2</v>
      </c>
      <c r="J88" s="129"/>
      <c r="K88" s="130">
        <v>1</v>
      </c>
      <c r="L88" s="119">
        <f t="shared" si="9"/>
        <v>1.0809</v>
      </c>
      <c r="M88" s="130"/>
      <c r="N88">
        <f t="shared" si="10"/>
        <v>2</v>
      </c>
      <c r="O88" s="131"/>
      <c r="P88" s="132"/>
      <c r="Q88" s="133"/>
      <c r="R88" s="134"/>
      <c r="T88" s="134"/>
      <c r="U88" s="128"/>
    </row>
    <row r="89" spans="1:21" ht="12.75">
      <c r="A89" s="79"/>
      <c r="B89" s="321">
        <f>Tabelas!B32</f>
        <v>801</v>
      </c>
      <c r="C89" s="124">
        <f t="shared" si="6"/>
        <v>1.0809</v>
      </c>
      <c r="D89" s="211">
        <v>10500</v>
      </c>
      <c r="E89" s="240" t="s">
        <v>93</v>
      </c>
      <c r="F89" s="126">
        <f t="shared" si="7"/>
        <v>2850527.8619999997</v>
      </c>
      <c r="G89" s="127">
        <f>VLOOKUP($B89,Tabelas!$B$21:$C$74,2,0)</f>
        <v>251.16</v>
      </c>
      <c r="H89" s="322">
        <f t="shared" si="8"/>
        <v>11349.449999999999</v>
      </c>
      <c r="I89" s="128">
        <f t="shared" si="11"/>
        <v>8.0900000000000014E-2</v>
      </c>
      <c r="J89" s="129"/>
      <c r="K89" s="130">
        <v>1</v>
      </c>
      <c r="L89" s="119">
        <f t="shared" si="9"/>
        <v>1.0809</v>
      </c>
      <c r="M89" s="130"/>
      <c r="N89">
        <f t="shared" si="10"/>
        <v>1</v>
      </c>
      <c r="O89" s="131"/>
      <c r="P89" s="132"/>
      <c r="Q89" s="133"/>
      <c r="R89" s="134"/>
      <c r="T89" s="134"/>
      <c r="U89" s="128"/>
    </row>
    <row r="90" spans="1:21" ht="12.75">
      <c r="A90" s="79"/>
      <c r="B90" s="321">
        <f>Tabelas!B33</f>
        <v>802</v>
      </c>
      <c r="C90" s="124">
        <f t="shared" si="6"/>
        <v>1.0809</v>
      </c>
      <c r="D90" s="211">
        <v>11500</v>
      </c>
      <c r="E90" s="240" t="s">
        <v>93</v>
      </c>
      <c r="F90" s="126">
        <f t="shared" si="7"/>
        <v>3720030.8445000001</v>
      </c>
      <c r="G90" s="127">
        <f>VLOOKUP($B90,Tabelas!$B$21:$C$74,2,0)</f>
        <v>299.27</v>
      </c>
      <c r="H90" s="322">
        <f t="shared" si="8"/>
        <v>12430.35</v>
      </c>
      <c r="I90" s="128">
        <f t="shared" si="11"/>
        <v>8.0900000000000014E-2</v>
      </c>
      <c r="J90" s="129"/>
      <c r="K90" s="130">
        <v>1</v>
      </c>
      <c r="L90" s="119">
        <f t="shared" si="9"/>
        <v>1.0809</v>
      </c>
      <c r="M90" s="130"/>
      <c r="N90">
        <f t="shared" si="10"/>
        <v>2</v>
      </c>
      <c r="O90" s="131"/>
      <c r="P90" s="132"/>
      <c r="Q90" s="133"/>
      <c r="R90" s="134"/>
      <c r="T90" s="134"/>
      <c r="U90" s="128"/>
    </row>
    <row r="91" spans="1:21" ht="12.75" hidden="1">
      <c r="A91" s="79"/>
      <c r="B91" s="321">
        <f>Tabelas!B34</f>
        <v>901</v>
      </c>
      <c r="C91" s="124">
        <f t="shared" si="6"/>
        <v>1.0604549999999999</v>
      </c>
      <c r="D91" s="211">
        <v>11000</v>
      </c>
      <c r="E91" s="240" t="s">
        <v>94</v>
      </c>
      <c r="F91" s="126">
        <f t="shared" si="7"/>
        <v>2945413.7624999997</v>
      </c>
      <c r="G91" s="127">
        <f>VLOOKUP($B91,Tabelas!$B$21:$C$74,2,0)</f>
        <v>252.5</v>
      </c>
      <c r="H91" s="322">
        <f t="shared" si="8"/>
        <v>11665.004999999999</v>
      </c>
      <c r="I91" s="128">
        <f>4.5455%+0.5%+1%</f>
        <v>6.0454999999999995E-2</v>
      </c>
      <c r="J91" s="129"/>
      <c r="K91" s="130">
        <v>1</v>
      </c>
      <c r="L91" s="119">
        <f t="shared" si="9"/>
        <v>1.0604549999999999</v>
      </c>
      <c r="M91" s="130"/>
      <c r="N91">
        <f t="shared" si="10"/>
        <v>1</v>
      </c>
      <c r="O91" s="131"/>
      <c r="P91" s="132"/>
      <c r="Q91" s="133"/>
      <c r="R91" s="134"/>
      <c r="T91" s="134"/>
      <c r="U91" s="128"/>
    </row>
    <row r="92" spans="1:21" ht="12.75">
      <c r="A92" s="79"/>
      <c r="B92" s="321">
        <f>Tabelas!B35</f>
        <v>902</v>
      </c>
      <c r="C92" s="124">
        <f t="shared" si="6"/>
        <v>1.0809</v>
      </c>
      <c r="D92" s="211">
        <v>11000</v>
      </c>
      <c r="E92" s="240" t="s">
        <v>93</v>
      </c>
      <c r="F92" s="126">
        <f t="shared" si="7"/>
        <v>3605731.074</v>
      </c>
      <c r="G92" s="127">
        <f>VLOOKUP($B92,Tabelas!$B$21:$C$74,2,0)</f>
        <v>303.26</v>
      </c>
      <c r="H92" s="322">
        <f t="shared" si="8"/>
        <v>11889.9</v>
      </c>
      <c r="I92" s="128">
        <f t="shared" ref="I92:I94" si="12">5%+1%+1%+0.59%+0.5%</f>
        <v>8.0900000000000014E-2</v>
      </c>
      <c r="J92" s="129"/>
      <c r="K92" s="130">
        <v>1</v>
      </c>
      <c r="L92" s="119">
        <f t="shared" si="9"/>
        <v>1.0809</v>
      </c>
      <c r="M92" s="130"/>
      <c r="N92">
        <f t="shared" si="10"/>
        <v>2</v>
      </c>
      <c r="O92" s="131"/>
      <c r="P92" s="132"/>
      <c r="Q92" s="133"/>
      <c r="R92" s="134"/>
      <c r="T92" s="134"/>
      <c r="U92" s="128"/>
    </row>
    <row r="93" spans="1:21" ht="12.75">
      <c r="A93" s="79"/>
      <c r="B93" s="321">
        <f>Tabelas!B36</f>
        <v>1001</v>
      </c>
      <c r="C93" s="124">
        <f t="shared" si="6"/>
        <v>1.0809</v>
      </c>
      <c r="D93" s="211">
        <v>10500</v>
      </c>
      <c r="E93" s="240" t="s">
        <v>93</v>
      </c>
      <c r="F93" s="126">
        <f t="shared" si="7"/>
        <v>2850073.8840000001</v>
      </c>
      <c r="G93" s="127">
        <f>VLOOKUP($B93,Tabelas!$B$21:$C$74,2,0)</f>
        <v>251.12</v>
      </c>
      <c r="H93" s="322">
        <f t="shared" si="8"/>
        <v>11349.45</v>
      </c>
      <c r="I93" s="128">
        <f t="shared" si="12"/>
        <v>8.0900000000000014E-2</v>
      </c>
      <c r="J93" s="129"/>
      <c r="K93" s="130">
        <v>1</v>
      </c>
      <c r="L93" s="119">
        <f t="shared" si="9"/>
        <v>1.0809</v>
      </c>
      <c r="M93" s="130"/>
      <c r="N93">
        <f t="shared" si="10"/>
        <v>1</v>
      </c>
      <c r="O93" s="131"/>
      <c r="P93" s="132"/>
      <c r="Q93" s="133"/>
      <c r="R93" s="134"/>
      <c r="T93" s="134"/>
      <c r="U93" s="128"/>
    </row>
    <row r="94" spans="1:21" ht="12.75">
      <c r="A94" s="79"/>
      <c r="B94" s="321">
        <f>Tabelas!B37</f>
        <v>1002</v>
      </c>
      <c r="C94" s="124">
        <f t="shared" si="6"/>
        <v>1.0809</v>
      </c>
      <c r="D94" s="211">
        <v>11500</v>
      </c>
      <c r="E94" s="240" t="s">
        <v>93</v>
      </c>
      <c r="F94" s="126">
        <f t="shared" si="7"/>
        <v>3852414.0719999992</v>
      </c>
      <c r="G94" s="127">
        <f>VLOOKUP($B94,Tabelas!$B$21:$C$74,2,0)</f>
        <v>309.91999999999996</v>
      </c>
      <c r="H94" s="322">
        <f t="shared" si="8"/>
        <v>12430.349999999999</v>
      </c>
      <c r="I94" s="128">
        <f t="shared" si="12"/>
        <v>8.0900000000000014E-2</v>
      </c>
      <c r="J94" s="129"/>
      <c r="K94" s="130">
        <v>1</v>
      </c>
      <c r="L94" s="119">
        <f t="shared" si="9"/>
        <v>1.0809</v>
      </c>
      <c r="M94" s="130"/>
      <c r="N94">
        <f t="shared" si="10"/>
        <v>2</v>
      </c>
      <c r="O94" s="131"/>
      <c r="P94" s="132"/>
      <c r="Q94" s="133"/>
      <c r="R94" s="134"/>
      <c r="T94" s="134"/>
      <c r="U94" s="128"/>
    </row>
    <row r="95" spans="1:21" ht="12.75" hidden="1">
      <c r="A95" s="79"/>
      <c r="B95" s="321">
        <f>Tabelas!B38</f>
        <v>1101</v>
      </c>
      <c r="C95" s="124">
        <f t="shared" si="6"/>
        <v>1.055455</v>
      </c>
      <c r="D95" s="211">
        <v>11000</v>
      </c>
      <c r="E95" s="240" t="s">
        <v>94</v>
      </c>
      <c r="F95" s="126">
        <f t="shared" si="7"/>
        <v>2940349.8662999999</v>
      </c>
      <c r="G95" s="127">
        <f>VLOOKUP($B95,Tabelas!$B$21:$C$74,2,0)</f>
        <v>253.26000000000002</v>
      </c>
      <c r="H95" s="322">
        <f t="shared" si="8"/>
        <v>11610.004999999999</v>
      </c>
      <c r="I95" s="128">
        <f>4.5455%+1%</f>
        <v>5.5454999999999997E-2</v>
      </c>
      <c r="J95" s="129"/>
      <c r="K95" s="130">
        <v>1</v>
      </c>
      <c r="L95" s="119">
        <f t="shared" si="9"/>
        <v>1.055455</v>
      </c>
      <c r="M95" s="130"/>
      <c r="N95">
        <f t="shared" si="10"/>
        <v>1</v>
      </c>
      <c r="O95" s="131"/>
      <c r="P95" s="132"/>
      <c r="Q95" s="133"/>
      <c r="R95" s="134"/>
      <c r="T95" s="134"/>
      <c r="U95" s="128"/>
    </row>
    <row r="96" spans="1:21" ht="12.75">
      <c r="A96" s="79"/>
      <c r="B96" s="321">
        <f>Tabelas!B39</f>
        <v>1102</v>
      </c>
      <c r="C96" s="124">
        <f t="shared" si="6"/>
        <v>1.0809</v>
      </c>
      <c r="D96" s="211">
        <v>11000</v>
      </c>
      <c r="E96" s="240" t="s">
        <v>93</v>
      </c>
      <c r="F96" s="126">
        <f t="shared" si="7"/>
        <v>3648178.017</v>
      </c>
      <c r="G96" s="127">
        <f>VLOOKUP($B96,Tabelas!$B$21:$C$74,2,0)</f>
        <v>306.83</v>
      </c>
      <c r="H96" s="322">
        <f t="shared" si="8"/>
        <v>11889.900000000001</v>
      </c>
      <c r="I96" s="128">
        <f t="shared" ref="I96:I97" si="13">5%+1%+1%+0.59%+0.5%</f>
        <v>8.0900000000000014E-2</v>
      </c>
      <c r="J96" s="129"/>
      <c r="K96" s="130">
        <v>1</v>
      </c>
      <c r="L96" s="119">
        <f t="shared" ref="L96:L105" si="14">SUM(I96:K96)</f>
        <v>1.0809</v>
      </c>
      <c r="M96" s="130"/>
      <c r="N96">
        <f t="shared" si="10"/>
        <v>2</v>
      </c>
      <c r="O96" s="131"/>
      <c r="P96" s="132"/>
      <c r="Q96" s="133"/>
      <c r="R96" s="134"/>
      <c r="T96" s="134"/>
      <c r="U96" s="128"/>
    </row>
    <row r="97" spans="1:21" ht="12.75">
      <c r="A97" s="79"/>
      <c r="B97" s="321">
        <f>Tabelas!B40</f>
        <v>1201</v>
      </c>
      <c r="C97" s="124">
        <f t="shared" si="6"/>
        <v>1.0809</v>
      </c>
      <c r="D97" s="211">
        <v>10500</v>
      </c>
      <c r="E97" s="240" t="s">
        <v>93</v>
      </c>
      <c r="F97" s="126">
        <f t="shared" si="7"/>
        <v>2849619.906</v>
      </c>
      <c r="G97" s="127">
        <f>VLOOKUP($B97,Tabelas!$B$21:$C$74,2,0)</f>
        <v>251.08</v>
      </c>
      <c r="H97" s="322">
        <f t="shared" si="8"/>
        <v>11349.449999999999</v>
      </c>
      <c r="I97" s="128">
        <f t="shared" si="13"/>
        <v>8.0900000000000014E-2</v>
      </c>
      <c r="J97" s="129"/>
      <c r="K97" s="130">
        <v>1</v>
      </c>
      <c r="L97" s="119">
        <f t="shared" si="14"/>
        <v>1.0809</v>
      </c>
      <c r="M97" s="130"/>
      <c r="N97">
        <f t="shared" si="10"/>
        <v>1</v>
      </c>
      <c r="O97" s="131"/>
      <c r="P97" s="132"/>
      <c r="Q97" s="133"/>
      <c r="R97" s="134"/>
      <c r="T97" s="134"/>
      <c r="U97" s="128"/>
    </row>
    <row r="98" spans="1:21" ht="12.75" hidden="1">
      <c r="A98" s="79"/>
      <c r="B98" s="321">
        <f>Tabelas!B41</f>
        <v>1202</v>
      </c>
      <c r="C98" s="124">
        <f t="shared" si="6"/>
        <v>1.0534779999999999</v>
      </c>
      <c r="D98" s="211">
        <v>11500</v>
      </c>
      <c r="E98" s="240" t="s">
        <v>94</v>
      </c>
      <c r="F98" s="126">
        <f t="shared" si="7"/>
        <v>3696043.2847599997</v>
      </c>
      <c r="G98" s="127">
        <f>VLOOKUP($B98,Tabelas!$B$21:$C$74,2,0)</f>
        <v>305.08</v>
      </c>
      <c r="H98" s="322">
        <f t="shared" si="8"/>
        <v>12114.996999999999</v>
      </c>
      <c r="I98" s="128">
        <f>4.3478%+1%</f>
        <v>5.3478000000000005E-2</v>
      </c>
      <c r="J98" s="129"/>
      <c r="K98" s="130">
        <v>1</v>
      </c>
      <c r="L98" s="119">
        <f t="shared" si="14"/>
        <v>1.0534779999999999</v>
      </c>
      <c r="M98" s="130"/>
      <c r="N98">
        <f t="shared" si="10"/>
        <v>2</v>
      </c>
      <c r="O98" s="131"/>
      <c r="P98" s="132"/>
      <c r="Q98" s="133"/>
      <c r="R98" s="134"/>
      <c r="T98" s="134"/>
      <c r="U98" s="128"/>
    </row>
    <row r="99" spans="1:21" ht="12.75" hidden="1">
      <c r="A99" s="79"/>
      <c r="B99" s="321">
        <f>Tabelas!B42</f>
        <v>1301</v>
      </c>
      <c r="C99" s="124">
        <f t="shared" si="6"/>
        <v>1.055455</v>
      </c>
      <c r="D99" s="211">
        <v>11000</v>
      </c>
      <c r="E99" s="240" t="s">
        <v>94</v>
      </c>
      <c r="F99" s="126">
        <f t="shared" si="7"/>
        <v>2956719.9733500001</v>
      </c>
      <c r="G99" s="127">
        <f>VLOOKUP($B99,Tabelas!$B$21:$C$74,2,0)</f>
        <v>254.67000000000002</v>
      </c>
      <c r="H99" s="322">
        <f t="shared" si="8"/>
        <v>11610.004999999999</v>
      </c>
      <c r="I99" s="128">
        <f>4.5455%+1%</f>
        <v>5.5454999999999997E-2</v>
      </c>
      <c r="J99" s="129"/>
      <c r="K99" s="130">
        <v>1</v>
      </c>
      <c r="L99" s="119">
        <f t="shared" si="14"/>
        <v>1.055455</v>
      </c>
      <c r="M99" s="130"/>
      <c r="N99">
        <f t="shared" si="10"/>
        <v>1</v>
      </c>
      <c r="O99" s="131"/>
      <c r="P99" s="132"/>
      <c r="Q99" s="133"/>
      <c r="R99" s="134"/>
      <c r="T99" s="134"/>
      <c r="U99" s="128"/>
    </row>
    <row r="100" spans="1:21" ht="12.75" hidden="1">
      <c r="A100" s="79"/>
      <c r="B100" s="321">
        <f>Tabelas!B43</f>
        <v>1302</v>
      </c>
      <c r="C100" s="124">
        <f t="shared" si="6"/>
        <v>1.075</v>
      </c>
      <c r="D100" s="211">
        <v>11000</v>
      </c>
      <c r="E100" s="240" t="s">
        <v>94</v>
      </c>
      <c r="F100" s="126">
        <f t="shared" si="7"/>
        <v>3611828</v>
      </c>
      <c r="G100" s="127">
        <f>VLOOKUP($B100,Tabelas!$B$21:$C$74,2,0)</f>
        <v>305.44</v>
      </c>
      <c r="H100" s="322">
        <f t="shared" si="8"/>
        <v>11825</v>
      </c>
      <c r="I100" s="128">
        <f>5.5%+1%+1%</f>
        <v>7.4999999999999997E-2</v>
      </c>
      <c r="J100" s="129"/>
      <c r="K100" s="130">
        <v>1</v>
      </c>
      <c r="L100" s="119">
        <f t="shared" si="14"/>
        <v>1.075</v>
      </c>
      <c r="M100" s="130"/>
      <c r="N100">
        <f t="shared" si="10"/>
        <v>2</v>
      </c>
      <c r="O100" s="131"/>
      <c r="P100" s="132"/>
      <c r="Q100" s="133"/>
      <c r="R100" s="134"/>
      <c r="T100" s="134"/>
      <c r="U100" s="128"/>
    </row>
    <row r="101" spans="1:21" ht="12.75" hidden="1">
      <c r="A101" s="79"/>
      <c r="B101" s="321">
        <f>Tabelas!B44</f>
        <v>1401</v>
      </c>
      <c r="C101" s="124">
        <f t="shared" si="6"/>
        <v>1.0649999999999999</v>
      </c>
      <c r="D101" s="211">
        <v>10500</v>
      </c>
      <c r="E101" s="240" t="s">
        <v>94</v>
      </c>
      <c r="F101" s="126">
        <f t="shared" si="7"/>
        <v>2816759.9249999998</v>
      </c>
      <c r="G101" s="127">
        <f>VLOOKUP($B101,Tabelas!$B$21:$C$74,2,0)</f>
        <v>251.89000000000001</v>
      </c>
      <c r="H101" s="322">
        <f t="shared" si="8"/>
        <v>11182.499999999998</v>
      </c>
      <c r="I101" s="128">
        <f>5.5%+1%</f>
        <v>6.5000000000000002E-2</v>
      </c>
      <c r="J101" s="129"/>
      <c r="K101" s="130">
        <v>1</v>
      </c>
      <c r="L101" s="119">
        <f t="shared" si="14"/>
        <v>1.0649999999999999</v>
      </c>
      <c r="M101" s="130"/>
      <c r="N101">
        <f t="shared" si="10"/>
        <v>1</v>
      </c>
      <c r="O101" s="131"/>
      <c r="P101" s="132"/>
      <c r="Q101" s="133"/>
      <c r="R101" s="134"/>
      <c r="T101" s="134"/>
      <c r="U101" s="128"/>
    </row>
    <row r="102" spans="1:21" ht="12.75" hidden="1">
      <c r="A102" s="79"/>
      <c r="B102" s="321">
        <f>Tabelas!B45</f>
        <v>1402</v>
      </c>
      <c r="C102" s="124">
        <f t="shared" si="6"/>
        <v>1.055455</v>
      </c>
      <c r="D102" s="211">
        <v>11500</v>
      </c>
      <c r="E102" s="240" t="s">
        <v>94</v>
      </c>
      <c r="F102" s="126">
        <f t="shared" si="7"/>
        <v>3643868.6738250004</v>
      </c>
      <c r="G102" s="127">
        <f>VLOOKUP($B102,Tabelas!$B$21:$C$74,2,0)</f>
        <v>300.21000000000004</v>
      </c>
      <c r="H102" s="322">
        <f t="shared" si="8"/>
        <v>12137.7325</v>
      </c>
      <c r="I102" s="128">
        <f>4.5455%+1%</f>
        <v>5.5454999999999997E-2</v>
      </c>
      <c r="J102" s="129"/>
      <c r="K102" s="130">
        <v>1</v>
      </c>
      <c r="L102" s="119">
        <f t="shared" si="14"/>
        <v>1.055455</v>
      </c>
      <c r="M102" s="130"/>
      <c r="N102">
        <f t="shared" si="10"/>
        <v>2</v>
      </c>
      <c r="O102" s="131"/>
      <c r="P102" s="132"/>
      <c r="Q102" s="133"/>
      <c r="R102" s="134"/>
      <c r="T102" s="134"/>
      <c r="U102" s="128"/>
    </row>
    <row r="103" spans="1:21" ht="12.75" hidden="1">
      <c r="A103" s="79"/>
      <c r="B103" s="321">
        <f>Tabelas!B46</f>
        <v>1501</v>
      </c>
      <c r="C103" s="124">
        <f t="shared" si="6"/>
        <v>1.055455</v>
      </c>
      <c r="D103" s="211">
        <v>11000</v>
      </c>
      <c r="E103" s="240" t="s">
        <v>94</v>
      </c>
      <c r="F103" s="126">
        <f t="shared" si="7"/>
        <v>2943368.4676000001</v>
      </c>
      <c r="G103" s="127">
        <f>VLOOKUP($B103,Tabelas!$B$21:$C$74,2,0)</f>
        <v>253.52</v>
      </c>
      <c r="H103" s="322">
        <f t="shared" si="8"/>
        <v>11610.004999999999</v>
      </c>
      <c r="I103" s="128">
        <f>4.5455%+1%</f>
        <v>5.5454999999999997E-2</v>
      </c>
      <c r="J103" s="129"/>
      <c r="K103" s="130">
        <v>1</v>
      </c>
      <c r="L103" s="119">
        <f t="shared" si="14"/>
        <v>1.055455</v>
      </c>
      <c r="M103" s="130"/>
      <c r="N103">
        <f t="shared" si="10"/>
        <v>1</v>
      </c>
      <c r="O103" s="131"/>
      <c r="P103" s="132"/>
      <c r="Q103" s="133"/>
      <c r="R103" s="134"/>
      <c r="T103" s="134"/>
      <c r="U103" s="128"/>
    </row>
    <row r="104" spans="1:21" ht="12.75" hidden="1">
      <c r="A104" s="79"/>
      <c r="B104" s="321">
        <f>Tabelas!B47</f>
        <v>1502</v>
      </c>
      <c r="C104" s="124">
        <f t="shared" si="6"/>
        <v>1.0759000000000001</v>
      </c>
      <c r="D104" s="211">
        <v>11000</v>
      </c>
      <c r="E104" s="240" t="s">
        <v>94</v>
      </c>
      <c r="F104" s="126">
        <f t="shared" si="7"/>
        <v>3606094.0300000007</v>
      </c>
      <c r="G104" s="127">
        <f>VLOOKUP($B104,Tabelas!$B$21:$C$74,2,0)</f>
        <v>304.70000000000005</v>
      </c>
      <c r="H104" s="322">
        <f t="shared" si="8"/>
        <v>11834.900000000001</v>
      </c>
      <c r="I104" s="128">
        <f t="shared" ref="I104" si="15">5%+1%+1%+0.59%</f>
        <v>7.5900000000000009E-2</v>
      </c>
      <c r="J104" s="129"/>
      <c r="K104" s="130">
        <v>1</v>
      </c>
      <c r="L104" s="119">
        <f t="shared" si="14"/>
        <v>1.0759000000000001</v>
      </c>
      <c r="M104" s="130"/>
      <c r="N104">
        <f t="shared" si="10"/>
        <v>2</v>
      </c>
      <c r="O104" s="131"/>
      <c r="P104" s="132"/>
      <c r="Q104" s="133"/>
      <c r="R104" s="134"/>
      <c r="T104" s="134"/>
      <c r="U104" s="128"/>
    </row>
    <row r="105" spans="1:21" ht="12.75">
      <c r="A105" s="79"/>
      <c r="B105" s="321">
        <f>Tabelas!B48</f>
        <v>1601</v>
      </c>
      <c r="C105" s="124">
        <f t="shared" si="6"/>
        <v>1.0809</v>
      </c>
      <c r="D105" s="211">
        <v>10500</v>
      </c>
      <c r="E105" s="240" t="s">
        <v>93</v>
      </c>
      <c r="F105" s="126">
        <f t="shared" si="7"/>
        <v>2893201.7939999998</v>
      </c>
      <c r="G105" s="127">
        <f>VLOOKUP($B105,Tabelas!$B$21:$C$74,2,0)</f>
        <v>254.92000000000002</v>
      </c>
      <c r="H105" s="322">
        <f t="shared" si="8"/>
        <v>11349.449999999999</v>
      </c>
      <c r="I105" s="128">
        <f>5%+1%+1%+0.59%+0.5%</f>
        <v>8.0900000000000014E-2</v>
      </c>
      <c r="J105" s="129"/>
      <c r="K105" s="130">
        <v>1</v>
      </c>
      <c r="L105" s="119">
        <f t="shared" si="14"/>
        <v>1.0809</v>
      </c>
      <c r="M105" s="130"/>
      <c r="N105">
        <f t="shared" si="10"/>
        <v>1</v>
      </c>
      <c r="O105" s="131"/>
      <c r="P105" s="132"/>
      <c r="Q105" s="133"/>
      <c r="R105" s="134"/>
      <c r="T105" s="134"/>
      <c r="U105" s="128"/>
    </row>
    <row r="106" spans="1:21" ht="12.75" hidden="1">
      <c r="A106" s="79"/>
      <c r="B106" s="321">
        <f>Tabelas!B49</f>
        <v>1602</v>
      </c>
      <c r="C106" s="124">
        <f t="shared" si="6"/>
        <v>1.055455</v>
      </c>
      <c r="D106" s="211">
        <v>11500</v>
      </c>
      <c r="E106" s="240" t="s">
        <v>94</v>
      </c>
      <c r="F106" s="126">
        <f t="shared" si="7"/>
        <v>3739756.7605749997</v>
      </c>
      <c r="G106" s="127">
        <f>VLOOKUP($B106,Tabelas!$B$21:$C$74,2,0)</f>
        <v>308.10999999999996</v>
      </c>
      <c r="H106" s="322">
        <f t="shared" si="8"/>
        <v>12137.7325</v>
      </c>
      <c r="I106" s="128">
        <f>4.5455%+1%</f>
        <v>5.5454999999999997E-2</v>
      </c>
      <c r="J106" s="129"/>
      <c r="K106" s="130">
        <v>1</v>
      </c>
      <c r="L106" s="119">
        <f t="shared" ref="L106:L131" si="16">SUM(I106:K106)</f>
        <v>1.055455</v>
      </c>
      <c r="M106" s="130"/>
      <c r="N106">
        <f t="shared" si="10"/>
        <v>2</v>
      </c>
      <c r="O106" s="131"/>
      <c r="P106" s="132"/>
      <c r="Q106" s="133"/>
      <c r="R106" s="134"/>
      <c r="T106" s="134"/>
      <c r="U106" s="128"/>
    </row>
    <row r="107" spans="1:21" ht="12.75" hidden="1">
      <c r="A107" s="79"/>
      <c r="B107" s="321">
        <f>Tabelas!B50</f>
        <v>1701</v>
      </c>
      <c r="C107" s="124">
        <f t="shared" si="6"/>
        <v>1.055455</v>
      </c>
      <c r="D107" s="211">
        <v>11000</v>
      </c>
      <c r="E107" s="240" t="s">
        <v>94</v>
      </c>
      <c r="F107" s="126">
        <f t="shared" si="7"/>
        <v>2938840.5656500007</v>
      </c>
      <c r="G107" s="127">
        <f>VLOOKUP($B107,Tabelas!$B$21:$C$74,2,0)</f>
        <v>253.13000000000002</v>
      </c>
      <c r="H107" s="322">
        <f t="shared" si="8"/>
        <v>11610.005000000001</v>
      </c>
      <c r="I107" s="128">
        <f>4.5455%+1%</f>
        <v>5.5454999999999997E-2</v>
      </c>
      <c r="J107" s="129"/>
      <c r="K107" s="130">
        <v>1</v>
      </c>
      <c r="L107" s="119">
        <f t="shared" si="16"/>
        <v>1.055455</v>
      </c>
      <c r="M107" s="130"/>
      <c r="N107">
        <f t="shared" si="10"/>
        <v>1</v>
      </c>
      <c r="O107" s="131"/>
      <c r="P107" s="132"/>
      <c r="Q107" s="133"/>
      <c r="R107" s="134"/>
      <c r="T107" s="134"/>
      <c r="U107" s="128"/>
    </row>
    <row r="108" spans="1:21" ht="12.75" hidden="1">
      <c r="A108" s="79"/>
      <c r="B108" s="321">
        <f>Tabelas!B51</f>
        <v>1702</v>
      </c>
      <c r="C108" s="124">
        <f t="shared" si="6"/>
        <v>1.055455</v>
      </c>
      <c r="D108" s="211">
        <v>11000</v>
      </c>
      <c r="E108" s="240" t="s">
        <v>94</v>
      </c>
      <c r="F108" s="126">
        <f t="shared" si="7"/>
        <v>3568683.3369</v>
      </c>
      <c r="G108" s="127">
        <f>VLOOKUP($B108,Tabelas!$B$21:$C$74,2,0)</f>
        <v>307.38</v>
      </c>
      <c r="H108" s="322">
        <f t="shared" si="8"/>
        <v>11610.005000000001</v>
      </c>
      <c r="I108" s="128">
        <f>4.5455%+1%</f>
        <v>5.5454999999999997E-2</v>
      </c>
      <c r="J108" s="129"/>
      <c r="K108" s="130">
        <v>1</v>
      </c>
      <c r="L108" s="119">
        <f t="shared" si="16"/>
        <v>1.055455</v>
      </c>
      <c r="M108" s="130"/>
      <c r="N108">
        <f t="shared" si="10"/>
        <v>2</v>
      </c>
      <c r="O108" s="131"/>
      <c r="P108" s="132"/>
      <c r="Q108" s="133"/>
      <c r="R108" s="134"/>
      <c r="T108" s="134"/>
      <c r="U108" s="128"/>
    </row>
    <row r="109" spans="1:21" ht="12.75" hidden="1">
      <c r="A109" s="79"/>
      <c r="B109" s="321">
        <f>Tabelas!B52</f>
        <v>1801</v>
      </c>
      <c r="C109" s="124">
        <f t="shared" si="6"/>
        <v>1.075</v>
      </c>
      <c r="D109" s="211">
        <v>10500</v>
      </c>
      <c r="E109" s="240" t="s">
        <v>94</v>
      </c>
      <c r="F109" s="126">
        <f t="shared" si="7"/>
        <v>2845804.5</v>
      </c>
      <c r="G109" s="127">
        <f>VLOOKUP($B109,Tabelas!$B$21:$C$74,2,0)</f>
        <v>252.12</v>
      </c>
      <c r="H109" s="322">
        <f t="shared" si="8"/>
        <v>11287.5</v>
      </c>
      <c r="I109" s="128">
        <f>5.5%+1%+1%</f>
        <v>7.4999999999999997E-2</v>
      </c>
      <c r="J109" s="129"/>
      <c r="K109" s="130">
        <v>1</v>
      </c>
      <c r="L109" s="119">
        <f t="shared" si="16"/>
        <v>1.075</v>
      </c>
      <c r="M109" s="130"/>
      <c r="N109">
        <f t="shared" si="10"/>
        <v>1</v>
      </c>
      <c r="O109" s="131"/>
      <c r="P109" s="132"/>
      <c r="Q109" s="133"/>
      <c r="R109" s="134"/>
      <c r="T109" s="134"/>
      <c r="U109" s="128"/>
    </row>
    <row r="110" spans="1:21" ht="12.75" hidden="1">
      <c r="A110" s="79"/>
      <c r="B110" s="321">
        <f>Tabelas!B53</f>
        <v>1802</v>
      </c>
      <c r="C110" s="124">
        <f t="shared" si="6"/>
        <v>1.055455</v>
      </c>
      <c r="D110" s="211">
        <v>11500</v>
      </c>
      <c r="E110" s="240" t="s">
        <v>94</v>
      </c>
      <c r="F110" s="126">
        <f t="shared" si="7"/>
        <v>3728954.1786499997</v>
      </c>
      <c r="G110" s="127">
        <f>VLOOKUP($B110,Tabelas!$B$21:$C$74,2,0)</f>
        <v>307.21999999999997</v>
      </c>
      <c r="H110" s="322">
        <f t="shared" si="8"/>
        <v>12137.7325</v>
      </c>
      <c r="I110" s="128">
        <f>4.5455%+1%</f>
        <v>5.5454999999999997E-2</v>
      </c>
      <c r="J110" s="129"/>
      <c r="K110" s="130">
        <v>1</v>
      </c>
      <c r="L110" s="119">
        <f t="shared" si="16"/>
        <v>1.055455</v>
      </c>
      <c r="M110" s="130"/>
      <c r="N110">
        <f t="shared" si="10"/>
        <v>2</v>
      </c>
      <c r="O110" s="131"/>
      <c r="P110" s="132"/>
      <c r="Q110" s="133"/>
      <c r="R110" s="134"/>
      <c r="T110" s="134"/>
      <c r="U110" s="128"/>
    </row>
    <row r="111" spans="1:21" ht="12.75" hidden="1">
      <c r="A111" s="79"/>
      <c r="B111" s="321">
        <f>Tabelas!B54</f>
        <v>1901</v>
      </c>
      <c r="C111" s="124">
        <f t="shared" si="6"/>
        <v>1.055455</v>
      </c>
      <c r="D111" s="211">
        <v>11000</v>
      </c>
      <c r="E111" s="240" t="s">
        <v>94</v>
      </c>
      <c r="F111" s="126">
        <f t="shared" ref="F111:F131" si="17">G111*D111*C111</f>
        <v>2933964.3635499999</v>
      </c>
      <c r="G111" s="127">
        <f>VLOOKUP($B111,Tabelas!$B$21:$C$74,2,0)</f>
        <v>252.71</v>
      </c>
      <c r="H111" s="322">
        <f t="shared" si="8"/>
        <v>11610.004999999999</v>
      </c>
      <c r="I111" s="128">
        <f>4.5455%+1%</f>
        <v>5.5454999999999997E-2</v>
      </c>
      <c r="J111" s="129"/>
      <c r="K111" s="130">
        <v>1</v>
      </c>
      <c r="L111" s="119">
        <f t="shared" si="16"/>
        <v>1.055455</v>
      </c>
      <c r="M111" s="130"/>
      <c r="N111">
        <f t="shared" si="10"/>
        <v>1</v>
      </c>
      <c r="O111" s="131"/>
      <c r="P111" s="132"/>
      <c r="Q111" s="133"/>
      <c r="R111" s="134"/>
      <c r="T111" s="134"/>
      <c r="U111" s="128"/>
    </row>
    <row r="112" spans="1:21" ht="12.75" hidden="1">
      <c r="A112" s="79"/>
      <c r="B112" s="321">
        <f>Tabelas!B55</f>
        <v>1902</v>
      </c>
      <c r="C112" s="124">
        <f t="shared" si="6"/>
        <v>1.055455</v>
      </c>
      <c r="D112" s="211">
        <v>11000</v>
      </c>
      <c r="E112" s="240" t="s">
        <v>94</v>
      </c>
      <c r="F112" s="126">
        <f t="shared" si="17"/>
        <v>3532227.9212000002</v>
      </c>
      <c r="G112" s="127">
        <f>VLOOKUP($B112,Tabelas!$B$21:$C$74,2,0)</f>
        <v>304.24</v>
      </c>
      <c r="H112" s="322">
        <f t="shared" si="8"/>
        <v>11610.005000000001</v>
      </c>
      <c r="I112" s="128">
        <f>4.5455%+1%</f>
        <v>5.5454999999999997E-2</v>
      </c>
      <c r="J112" s="129"/>
      <c r="K112" s="130">
        <v>1</v>
      </c>
      <c r="L112" s="119">
        <f t="shared" si="16"/>
        <v>1.055455</v>
      </c>
      <c r="M112" s="130"/>
      <c r="N112">
        <f t="shared" si="10"/>
        <v>2</v>
      </c>
      <c r="O112" s="131"/>
      <c r="P112" s="132"/>
      <c r="Q112" s="133"/>
      <c r="R112" s="134"/>
      <c r="T112" s="134"/>
      <c r="U112" s="128"/>
    </row>
    <row r="113" spans="1:21" ht="12.75">
      <c r="A113" s="79"/>
      <c r="B113" s="321">
        <f>Tabelas!B56</f>
        <v>2001</v>
      </c>
      <c r="C113" s="124">
        <f t="shared" si="6"/>
        <v>1.0809</v>
      </c>
      <c r="D113" s="211">
        <v>10500</v>
      </c>
      <c r="E113" s="240" t="s">
        <v>93</v>
      </c>
      <c r="F113" s="126">
        <f t="shared" si="17"/>
        <v>2850527.8619999997</v>
      </c>
      <c r="G113" s="127">
        <f>VLOOKUP($B113,Tabelas!$B$21:$C$74,2,0)</f>
        <v>251.16</v>
      </c>
      <c r="H113" s="322">
        <f t="shared" si="8"/>
        <v>11349.449999999999</v>
      </c>
      <c r="I113" s="128">
        <f>5%+1%+1%+0.59%+0.5%</f>
        <v>8.0900000000000014E-2</v>
      </c>
      <c r="J113" s="129"/>
      <c r="K113" s="130">
        <v>1</v>
      </c>
      <c r="L113" s="119">
        <f t="shared" si="16"/>
        <v>1.0809</v>
      </c>
      <c r="M113" s="130"/>
      <c r="N113">
        <f t="shared" si="10"/>
        <v>1</v>
      </c>
      <c r="O113" s="131"/>
      <c r="P113" s="132"/>
      <c r="Q113" s="133"/>
      <c r="R113" s="134"/>
      <c r="T113" s="134"/>
      <c r="U113" s="128"/>
    </row>
    <row r="114" spans="1:21" ht="12.75" hidden="1">
      <c r="A114" s="79"/>
      <c r="B114" s="321">
        <f>Tabelas!B57</f>
        <v>2002</v>
      </c>
      <c r="C114" s="124">
        <f t="shared" si="6"/>
        <v>1.1009089999999999</v>
      </c>
      <c r="D114" s="211">
        <v>11000</v>
      </c>
      <c r="E114" s="240" t="s">
        <v>94</v>
      </c>
      <c r="F114" s="126">
        <f t="shared" si="17"/>
        <v>3632515.3000400001</v>
      </c>
      <c r="G114" s="127">
        <f>VLOOKUP($B114,Tabelas!$B$21:$C$74,2,0)</f>
        <v>299.96000000000004</v>
      </c>
      <c r="H114" s="322">
        <f t="shared" si="8"/>
        <v>12109.999</v>
      </c>
      <c r="I114" s="128">
        <f>9.0909%+1%</f>
        <v>0.10090899999999998</v>
      </c>
      <c r="J114" s="129"/>
      <c r="K114" s="130">
        <v>1</v>
      </c>
      <c r="L114" s="119">
        <f t="shared" si="16"/>
        <v>1.1009089999999999</v>
      </c>
      <c r="M114" s="130"/>
      <c r="N114">
        <f t="shared" si="10"/>
        <v>2</v>
      </c>
      <c r="O114" s="131"/>
      <c r="P114" s="132"/>
      <c r="Q114" s="133"/>
      <c r="R114" s="134"/>
      <c r="T114" s="134"/>
      <c r="U114" s="128"/>
    </row>
    <row r="115" spans="1:21" ht="12.75" hidden="1">
      <c r="A115" s="79"/>
      <c r="B115" s="321">
        <f>Tabelas!B58</f>
        <v>2101</v>
      </c>
      <c r="C115" s="124">
        <f t="shared" si="6"/>
        <v>1.055455</v>
      </c>
      <c r="D115" s="211">
        <v>11000</v>
      </c>
      <c r="E115" s="240" t="s">
        <v>94</v>
      </c>
      <c r="F115" s="126">
        <f t="shared" si="17"/>
        <v>2940117.6661999999</v>
      </c>
      <c r="G115" s="127">
        <f>VLOOKUP($B115,Tabelas!$B$21:$C$74,2,0)</f>
        <v>253.24</v>
      </c>
      <c r="H115" s="322">
        <f t="shared" si="8"/>
        <v>11610.004999999999</v>
      </c>
      <c r="I115" s="128">
        <f>4.5455%+1%</f>
        <v>5.5454999999999997E-2</v>
      </c>
      <c r="J115" s="129"/>
      <c r="K115" s="130">
        <v>1</v>
      </c>
      <c r="L115" s="119">
        <f t="shared" si="16"/>
        <v>1.055455</v>
      </c>
      <c r="M115" s="130"/>
      <c r="N115">
        <f t="shared" si="10"/>
        <v>1</v>
      </c>
      <c r="O115" s="131"/>
      <c r="P115" s="132"/>
      <c r="Q115" s="133"/>
      <c r="R115" s="134"/>
      <c r="T115" s="134"/>
      <c r="U115" s="128"/>
    </row>
    <row r="116" spans="1:21" ht="12.75" hidden="1">
      <c r="A116" s="79"/>
      <c r="B116" s="321">
        <f>Tabelas!B59</f>
        <v>2102</v>
      </c>
      <c r="C116" s="124">
        <f t="shared" si="6"/>
        <v>1.055455</v>
      </c>
      <c r="D116" s="211">
        <v>11000</v>
      </c>
      <c r="E116" s="240" t="s">
        <v>94</v>
      </c>
      <c r="F116" s="126">
        <f t="shared" si="17"/>
        <v>3554054.7305999999</v>
      </c>
      <c r="G116" s="127">
        <f>VLOOKUP($B116,Tabelas!$B$21:$C$74,2,0)</f>
        <v>306.12</v>
      </c>
      <c r="H116" s="322">
        <f t="shared" si="8"/>
        <v>11610.004999999999</v>
      </c>
      <c r="I116" s="128">
        <f>4.5455%+1%</f>
        <v>5.5454999999999997E-2</v>
      </c>
      <c r="J116" s="129"/>
      <c r="K116" s="130">
        <v>1</v>
      </c>
      <c r="L116" s="119">
        <f t="shared" si="16"/>
        <v>1.055455</v>
      </c>
      <c r="M116" s="130"/>
      <c r="N116">
        <f t="shared" si="10"/>
        <v>2</v>
      </c>
      <c r="O116" s="131"/>
      <c r="P116" s="132"/>
      <c r="Q116" s="133"/>
      <c r="R116" s="134"/>
      <c r="T116" s="134"/>
      <c r="U116" s="128"/>
    </row>
    <row r="117" spans="1:21" ht="12.75" hidden="1">
      <c r="A117" s="79"/>
      <c r="B117" s="321">
        <f>Tabelas!B60</f>
        <v>2201</v>
      </c>
      <c r="C117" s="124">
        <f t="shared" si="6"/>
        <v>1.0759000000000001</v>
      </c>
      <c r="D117" s="211">
        <v>10500</v>
      </c>
      <c r="E117" s="240" t="s">
        <v>94</v>
      </c>
      <c r="F117" s="126">
        <f t="shared" si="17"/>
        <v>2862760.0995</v>
      </c>
      <c r="G117" s="127">
        <f>VLOOKUP($B117,Tabelas!$B$21:$C$74,2,0)</f>
        <v>253.41</v>
      </c>
      <c r="H117" s="322">
        <f t="shared" si="8"/>
        <v>11296.95</v>
      </c>
      <c r="I117" s="128">
        <f t="shared" ref="I117" si="18">5%+1%+1%+0.59%</f>
        <v>7.5900000000000009E-2</v>
      </c>
      <c r="J117" s="129"/>
      <c r="K117" s="130">
        <v>1</v>
      </c>
      <c r="L117" s="119">
        <f t="shared" si="16"/>
        <v>1.0759000000000001</v>
      </c>
      <c r="M117" s="130"/>
      <c r="N117">
        <f t="shared" si="10"/>
        <v>1</v>
      </c>
      <c r="O117" s="131"/>
      <c r="P117" s="132"/>
      <c r="Q117" s="133"/>
      <c r="R117" s="134"/>
      <c r="T117" s="134"/>
      <c r="U117" s="128"/>
    </row>
    <row r="118" spans="1:21" ht="12.75">
      <c r="A118" s="79"/>
      <c r="B118" s="321">
        <f>Tabelas!B61</f>
        <v>2202</v>
      </c>
      <c r="C118" s="124">
        <f t="shared" si="6"/>
        <v>1.0809</v>
      </c>
      <c r="D118" s="211">
        <v>11500</v>
      </c>
      <c r="E118" s="240" t="s">
        <v>93</v>
      </c>
      <c r="F118" s="126">
        <f t="shared" si="17"/>
        <v>3840978.15</v>
      </c>
      <c r="G118" s="127">
        <f>VLOOKUP($B118,Tabelas!$B$21:$C$74,2,0)</f>
        <v>309</v>
      </c>
      <c r="H118" s="322">
        <f t="shared" si="8"/>
        <v>12430.35</v>
      </c>
      <c r="I118" s="128">
        <f>5%+1%+1%+0.59%+0.5%</f>
        <v>8.0900000000000014E-2</v>
      </c>
      <c r="J118" s="129"/>
      <c r="K118" s="130">
        <v>1</v>
      </c>
      <c r="L118" s="119">
        <f t="shared" si="16"/>
        <v>1.0809</v>
      </c>
      <c r="M118" s="130"/>
      <c r="N118">
        <f t="shared" si="10"/>
        <v>2</v>
      </c>
      <c r="O118" s="131"/>
      <c r="P118" s="132"/>
      <c r="Q118" s="133"/>
      <c r="R118" s="134"/>
      <c r="T118" s="134"/>
      <c r="U118" s="128"/>
    </row>
    <row r="119" spans="1:21" ht="12.75" hidden="1">
      <c r="A119" s="79"/>
      <c r="B119" s="321">
        <f>Tabelas!B62</f>
        <v>2301</v>
      </c>
      <c r="C119" s="124">
        <f t="shared" si="6"/>
        <v>1.055455</v>
      </c>
      <c r="D119" s="211">
        <v>11000</v>
      </c>
      <c r="E119" s="240" t="s">
        <v>94</v>
      </c>
      <c r="F119" s="126">
        <f t="shared" si="17"/>
        <v>2923167.0589000001</v>
      </c>
      <c r="G119" s="127">
        <f>VLOOKUP($B119,Tabelas!$B$21:$C$74,2,0)</f>
        <v>251.78</v>
      </c>
      <c r="H119" s="322">
        <f t="shared" si="8"/>
        <v>11610.005000000001</v>
      </c>
      <c r="I119" s="128">
        <f>4.5455%+1%</f>
        <v>5.5454999999999997E-2</v>
      </c>
      <c r="J119" s="129"/>
      <c r="K119" s="130">
        <v>1</v>
      </c>
      <c r="L119" s="119">
        <f t="shared" si="16"/>
        <v>1.055455</v>
      </c>
      <c r="M119" s="130"/>
      <c r="N119">
        <f t="shared" si="10"/>
        <v>1</v>
      </c>
      <c r="O119" s="131"/>
      <c r="P119" s="132"/>
      <c r="Q119" s="133"/>
      <c r="R119" s="134"/>
      <c r="T119" s="134"/>
      <c r="U119" s="128"/>
    </row>
    <row r="120" spans="1:21" ht="12.75" hidden="1">
      <c r="A120" s="79"/>
      <c r="B120" s="321">
        <f>Tabelas!B63</f>
        <v>2302</v>
      </c>
      <c r="C120" s="124">
        <f t="shared" si="6"/>
        <v>1.075</v>
      </c>
      <c r="D120" s="211">
        <v>11000</v>
      </c>
      <c r="E120" s="240" t="s">
        <v>94</v>
      </c>
      <c r="F120" s="126">
        <f t="shared" si="17"/>
        <v>3672253.75</v>
      </c>
      <c r="G120" s="127">
        <f>VLOOKUP($B120,Tabelas!$B$21:$C$74,2,0)</f>
        <v>310.55</v>
      </c>
      <c r="H120" s="322">
        <f t="shared" si="8"/>
        <v>11825</v>
      </c>
      <c r="I120" s="128">
        <f>5.5%+1%+1%</f>
        <v>7.4999999999999997E-2</v>
      </c>
      <c r="J120" s="129"/>
      <c r="K120" s="130">
        <v>1</v>
      </c>
      <c r="L120" s="119">
        <f t="shared" si="16"/>
        <v>1.075</v>
      </c>
      <c r="M120" s="130"/>
      <c r="N120">
        <f t="shared" si="10"/>
        <v>2</v>
      </c>
      <c r="O120" s="131"/>
      <c r="P120" s="132"/>
      <c r="Q120" s="133"/>
      <c r="R120" s="134"/>
      <c r="T120" s="134"/>
      <c r="U120" s="128"/>
    </row>
    <row r="121" spans="1:21" ht="12.75">
      <c r="A121" s="79"/>
      <c r="B121" s="321">
        <f>Tabelas!B64</f>
        <v>2400</v>
      </c>
      <c r="C121" s="124">
        <f t="shared" si="6"/>
        <v>1.175</v>
      </c>
      <c r="D121" s="211">
        <v>11000</v>
      </c>
      <c r="E121" s="240" t="s">
        <v>93</v>
      </c>
      <c r="F121" s="126">
        <f t="shared" si="17"/>
        <v>6391800.25</v>
      </c>
      <c r="G121" s="127">
        <f>VLOOKUP($B121,Tabelas!$B$21:$C$74,2,0)</f>
        <v>494.53</v>
      </c>
      <c r="H121" s="322">
        <f t="shared" si="8"/>
        <v>12925</v>
      </c>
      <c r="I121" s="128">
        <f>15%+1%+1%+0.5%</f>
        <v>0.17500000000000002</v>
      </c>
      <c r="J121" s="129"/>
      <c r="K121" s="130">
        <v>1</v>
      </c>
      <c r="L121" s="119">
        <f t="shared" si="16"/>
        <v>1.175</v>
      </c>
      <c r="M121" s="130"/>
      <c r="N121">
        <f t="shared" si="10"/>
        <v>0</v>
      </c>
      <c r="O121" s="131"/>
      <c r="P121" s="132"/>
      <c r="Q121" s="133"/>
      <c r="R121" s="134"/>
      <c r="T121" s="134"/>
      <c r="U121" s="128"/>
    </row>
    <row r="122" spans="1:21" ht="12.75" hidden="1">
      <c r="A122" s="79"/>
      <c r="B122" s="321">
        <f>Tabelas!B65</f>
        <v>2500</v>
      </c>
      <c r="C122" s="124">
        <f t="shared" si="6"/>
        <v>1.1020000000000001</v>
      </c>
      <c r="D122" s="211">
        <v>12000</v>
      </c>
      <c r="E122" s="240" t="s">
        <v>94</v>
      </c>
      <c r="F122" s="126">
        <f t="shared" si="17"/>
        <v>5482273.6800000006</v>
      </c>
      <c r="G122" s="127">
        <f>VLOOKUP($B122,Tabelas!$B$21:$C$74,2,0)</f>
        <v>414.57</v>
      </c>
      <c r="H122" s="322">
        <f t="shared" si="8"/>
        <v>13224.000000000002</v>
      </c>
      <c r="I122" s="128">
        <f>9.2%+1%</f>
        <v>0.10199999999999999</v>
      </c>
      <c r="J122" s="129"/>
      <c r="K122" s="130">
        <v>1</v>
      </c>
      <c r="L122" s="119">
        <f t="shared" si="16"/>
        <v>1.1020000000000001</v>
      </c>
      <c r="M122" s="130"/>
      <c r="N122">
        <f t="shared" si="10"/>
        <v>0</v>
      </c>
      <c r="O122" s="131"/>
      <c r="P122" s="132"/>
      <c r="Q122" s="133"/>
      <c r="R122" s="134"/>
      <c r="T122" s="134"/>
      <c r="U122" s="128"/>
    </row>
    <row r="123" spans="1:21" ht="12.75" hidden="1">
      <c r="A123" s="79"/>
      <c r="B123" s="321">
        <f>Tabelas!B66</f>
        <v>2600</v>
      </c>
      <c r="C123" s="124">
        <f t="shared" si="6"/>
        <v>1.0933329999999999</v>
      </c>
      <c r="D123" s="211">
        <v>12000</v>
      </c>
      <c r="E123" s="240" t="s">
        <v>94</v>
      </c>
      <c r="F123" s="126">
        <f t="shared" si="17"/>
        <v>5419083.1478399998</v>
      </c>
      <c r="G123" s="127">
        <f>VLOOKUP($B123,Tabelas!$B$21:$C$74,2,0)</f>
        <v>413.04</v>
      </c>
      <c r="H123" s="322">
        <f t="shared" si="8"/>
        <v>13119.995999999999</v>
      </c>
      <c r="I123" s="128">
        <f>8.3333%+1%</f>
        <v>9.3332999999999985E-2</v>
      </c>
      <c r="J123" s="129"/>
      <c r="K123" s="130">
        <v>1</v>
      </c>
      <c r="L123" s="119">
        <f t="shared" si="16"/>
        <v>1.0933329999999999</v>
      </c>
      <c r="M123" s="130"/>
      <c r="N123">
        <f t="shared" si="10"/>
        <v>0</v>
      </c>
      <c r="O123" s="131"/>
      <c r="P123" s="132"/>
      <c r="Q123" s="133"/>
      <c r="R123" s="134"/>
      <c r="T123" s="134"/>
      <c r="U123" s="128"/>
    </row>
    <row r="124" spans="1:21" ht="12.75" hidden="1">
      <c r="A124" s="79"/>
      <c r="B124" s="321">
        <f>Tabelas!B67</f>
        <v>2700</v>
      </c>
      <c r="C124" s="124">
        <f t="shared" si="6"/>
        <v>1.1033329999999999</v>
      </c>
      <c r="D124" s="211">
        <v>12000</v>
      </c>
      <c r="E124" s="240" t="s">
        <v>94</v>
      </c>
      <c r="F124" s="126">
        <f t="shared" si="17"/>
        <v>5537231.1271199994</v>
      </c>
      <c r="G124" s="127">
        <f>VLOOKUP($B124,Tabelas!$B$21:$C$74,2,0)</f>
        <v>418.22</v>
      </c>
      <c r="H124" s="322">
        <f t="shared" si="8"/>
        <v>13239.995999999997</v>
      </c>
      <c r="I124" s="128">
        <f>8.3333%+1%+1%</f>
        <v>0.10333299999999998</v>
      </c>
      <c r="J124" s="129"/>
      <c r="K124" s="130">
        <v>1</v>
      </c>
      <c r="L124" s="119">
        <f t="shared" si="16"/>
        <v>1.1033329999999999</v>
      </c>
      <c r="M124" s="130"/>
      <c r="N124">
        <f t="shared" si="10"/>
        <v>0</v>
      </c>
      <c r="O124" s="131"/>
      <c r="P124" s="132"/>
      <c r="Q124" s="133"/>
      <c r="R124" s="134"/>
      <c r="T124" s="134"/>
      <c r="U124" s="128"/>
    </row>
    <row r="125" spans="1:21" ht="12.75">
      <c r="A125" s="79"/>
      <c r="B125" s="321">
        <f>Tabelas!B68</f>
        <v>2800</v>
      </c>
      <c r="C125" s="124">
        <f t="shared" si="6"/>
        <v>1.117</v>
      </c>
      <c r="D125" s="211">
        <v>12000</v>
      </c>
      <c r="E125" s="240" t="s">
        <v>93</v>
      </c>
      <c r="F125" s="126">
        <f t="shared" si="17"/>
        <v>5549658.1200000001</v>
      </c>
      <c r="G125" s="127">
        <f>VLOOKUP($B125,Tabelas!$B$21:$C$74,2,0)</f>
        <v>414.03000000000003</v>
      </c>
      <c r="H125" s="322">
        <f t="shared" si="8"/>
        <v>13404</v>
      </c>
      <c r="I125" s="128">
        <f>9.2%+1%+1%+0.5%</f>
        <v>0.11699999999999999</v>
      </c>
      <c r="J125" s="129"/>
      <c r="K125" s="130">
        <v>1</v>
      </c>
      <c r="L125" s="119">
        <f t="shared" si="16"/>
        <v>1.117</v>
      </c>
      <c r="M125" s="130"/>
      <c r="N125">
        <f t="shared" si="10"/>
        <v>0</v>
      </c>
      <c r="O125" s="131"/>
      <c r="P125" s="132"/>
      <c r="Q125" s="133"/>
      <c r="R125" s="134"/>
      <c r="T125" s="134"/>
      <c r="U125" s="128"/>
    </row>
    <row r="126" spans="1:21" ht="12.75">
      <c r="A126" s="79"/>
      <c r="B126" s="321">
        <f>Tabelas!B69</f>
        <v>2900</v>
      </c>
      <c r="C126" s="124">
        <f t="shared" si="6"/>
        <v>1.108333</v>
      </c>
      <c r="D126" s="211">
        <v>12000</v>
      </c>
      <c r="E126" s="240" t="s">
        <v>93</v>
      </c>
      <c r="F126" s="126">
        <f t="shared" si="17"/>
        <v>5496755.3468399998</v>
      </c>
      <c r="G126" s="127">
        <f>VLOOKUP($B126,Tabelas!$B$21:$C$74,2,0)</f>
        <v>413.29</v>
      </c>
      <c r="H126" s="322">
        <f t="shared" si="8"/>
        <v>13299.995999999999</v>
      </c>
      <c r="I126" s="128">
        <f>8.3333%+1%+1%+0.5%</f>
        <v>0.10833299999999998</v>
      </c>
      <c r="J126" s="129"/>
      <c r="K126" s="130">
        <v>1</v>
      </c>
      <c r="L126" s="119">
        <f t="shared" si="16"/>
        <v>1.108333</v>
      </c>
      <c r="M126" s="130"/>
      <c r="N126">
        <f t="shared" si="10"/>
        <v>0</v>
      </c>
      <c r="O126" s="131"/>
      <c r="P126" s="132"/>
      <c r="Q126" s="133"/>
      <c r="R126" s="134"/>
      <c r="T126" s="134"/>
      <c r="U126" s="128"/>
    </row>
    <row r="127" spans="1:21" ht="12.75">
      <c r="A127" s="79"/>
      <c r="B127" s="321">
        <f>Tabelas!B70</f>
        <v>3000</v>
      </c>
      <c r="C127" s="124">
        <f t="shared" si="6"/>
        <v>1.117</v>
      </c>
      <c r="D127" s="211">
        <v>12000</v>
      </c>
      <c r="E127" s="240" t="s">
        <v>93</v>
      </c>
      <c r="F127" s="126">
        <f t="shared" si="17"/>
        <v>5579280.96</v>
      </c>
      <c r="G127" s="127">
        <f>VLOOKUP($B127,Tabelas!$B$21:$C$74,2,0)</f>
        <v>416.24</v>
      </c>
      <c r="H127" s="322">
        <f t="shared" si="8"/>
        <v>13404</v>
      </c>
      <c r="I127" s="128">
        <f>9.2%+1%+1%+0.5%</f>
        <v>0.11699999999999999</v>
      </c>
      <c r="J127" s="129"/>
      <c r="K127" s="130">
        <v>1</v>
      </c>
      <c r="L127" s="119">
        <f t="shared" si="16"/>
        <v>1.117</v>
      </c>
      <c r="M127" s="130"/>
      <c r="N127">
        <f t="shared" si="10"/>
        <v>0</v>
      </c>
      <c r="O127" s="131"/>
      <c r="P127" s="132"/>
      <c r="Q127" s="133"/>
      <c r="R127" s="134"/>
      <c r="T127" s="134"/>
      <c r="U127" s="128"/>
    </row>
    <row r="128" spans="1:21" ht="12.75" hidden="1">
      <c r="A128" s="79"/>
      <c r="B128" s="321">
        <f>Tabelas!B71</f>
        <v>3100</v>
      </c>
      <c r="C128" s="124">
        <f t="shared" si="6"/>
        <v>1.0933329999999999</v>
      </c>
      <c r="D128" s="211">
        <v>12000</v>
      </c>
      <c r="E128" s="240" t="s">
        <v>94</v>
      </c>
      <c r="F128" s="126">
        <f t="shared" si="17"/>
        <v>5430366.3443999998</v>
      </c>
      <c r="G128" s="127">
        <f>VLOOKUP($B128,Tabelas!$B$21:$C$74,2,0)</f>
        <v>413.90000000000003</v>
      </c>
      <c r="H128" s="322">
        <f t="shared" si="8"/>
        <v>13119.995999999999</v>
      </c>
      <c r="I128" s="128">
        <f>8.3333%+1%</f>
        <v>9.3332999999999985E-2</v>
      </c>
      <c r="J128" s="129"/>
      <c r="K128" s="130">
        <v>1</v>
      </c>
      <c r="L128" s="119">
        <f t="shared" si="16"/>
        <v>1.0933329999999999</v>
      </c>
      <c r="M128" s="130"/>
      <c r="N128">
        <f t="shared" si="10"/>
        <v>0</v>
      </c>
      <c r="O128" s="131"/>
      <c r="P128" s="132"/>
      <c r="Q128" s="133"/>
      <c r="R128" s="134"/>
      <c r="T128" s="134"/>
      <c r="U128" s="128"/>
    </row>
    <row r="129" spans="1:27" ht="12.75">
      <c r="A129" s="79"/>
      <c r="B129" s="321">
        <f>Tabelas!B72</f>
        <v>3200</v>
      </c>
      <c r="C129" s="124">
        <f t="shared" si="6"/>
        <v>1.117</v>
      </c>
      <c r="D129" s="211">
        <v>12000</v>
      </c>
      <c r="E129" s="240" t="s">
        <v>93</v>
      </c>
      <c r="F129" s="126">
        <f t="shared" si="17"/>
        <v>5562794.04</v>
      </c>
      <c r="G129" s="127">
        <f>VLOOKUP($B129,Tabelas!$B$21:$C$74,2,0)</f>
        <v>415.01</v>
      </c>
      <c r="H129" s="322">
        <f t="shared" si="8"/>
        <v>13404</v>
      </c>
      <c r="I129" s="128">
        <f>9.2%+1%+1%+0.5%</f>
        <v>0.11699999999999999</v>
      </c>
      <c r="J129" s="129"/>
      <c r="K129" s="130">
        <v>1</v>
      </c>
      <c r="L129" s="119">
        <f t="shared" si="16"/>
        <v>1.117</v>
      </c>
      <c r="M129" s="130"/>
      <c r="N129">
        <f t="shared" si="10"/>
        <v>0</v>
      </c>
      <c r="O129" s="131"/>
      <c r="P129" s="132"/>
      <c r="Q129" s="133"/>
      <c r="R129" s="134"/>
      <c r="T129" s="134"/>
      <c r="U129" s="128"/>
    </row>
    <row r="130" spans="1:27" ht="12.75">
      <c r="A130" s="79"/>
      <c r="B130" s="321">
        <f>Tabelas!B73</f>
        <v>3300</v>
      </c>
      <c r="C130" s="124">
        <f t="shared" si="6"/>
        <v>1.075</v>
      </c>
      <c r="D130" s="211">
        <v>14000</v>
      </c>
      <c r="E130" s="240" t="s">
        <v>93</v>
      </c>
      <c r="F130" s="126">
        <f t="shared" si="17"/>
        <v>6216252</v>
      </c>
      <c r="G130" s="127">
        <f>VLOOKUP($B130,Tabelas!$B$21:$C$74,2,0)</f>
        <v>413.04</v>
      </c>
      <c r="H130" s="322">
        <f t="shared" si="8"/>
        <v>15050</v>
      </c>
      <c r="I130" s="128">
        <f>5%+1%+1%+0.5%</f>
        <v>7.5000000000000011E-2</v>
      </c>
      <c r="J130" s="129"/>
      <c r="K130" s="130">
        <v>1</v>
      </c>
      <c r="L130" s="119">
        <f t="shared" si="16"/>
        <v>1.075</v>
      </c>
      <c r="M130" s="130"/>
      <c r="N130">
        <f t="shared" si="10"/>
        <v>0</v>
      </c>
      <c r="O130" s="131"/>
      <c r="P130" s="132"/>
      <c r="Q130" s="133"/>
      <c r="R130" s="134"/>
      <c r="T130" s="134"/>
      <c r="U130" s="128"/>
    </row>
    <row r="131" spans="1:27" ht="12.75" hidden="1">
      <c r="A131" s="79"/>
      <c r="B131" s="328">
        <f>Tabelas!B74</f>
        <v>3400</v>
      </c>
      <c r="C131" s="329">
        <f t="shared" si="6"/>
        <v>1.0457141999999999</v>
      </c>
      <c r="D131" s="330">
        <v>14000</v>
      </c>
      <c r="E131" s="331" t="s">
        <v>94</v>
      </c>
      <c r="F131" s="332">
        <f t="shared" si="17"/>
        <v>6082626.7014239999</v>
      </c>
      <c r="G131" s="333">
        <f>VLOOKUP($B131,Tabelas!$B$21:$C$74,2,0)</f>
        <v>415.48</v>
      </c>
      <c r="H131" s="334">
        <f t="shared" si="8"/>
        <v>14639.998799999999</v>
      </c>
      <c r="I131" s="128">
        <f>3.57142%+1%</f>
        <v>4.5714200000000003E-2</v>
      </c>
      <c r="J131" s="129"/>
      <c r="K131" s="130">
        <v>1</v>
      </c>
      <c r="L131" s="119">
        <f t="shared" si="16"/>
        <v>1.0457141999999999</v>
      </c>
      <c r="M131" s="130"/>
      <c r="N131">
        <f t="shared" si="10"/>
        <v>0</v>
      </c>
      <c r="O131" s="131"/>
      <c r="P131" s="132"/>
      <c r="Q131" s="133"/>
      <c r="R131" s="134"/>
      <c r="T131" s="134"/>
      <c r="U131" s="128"/>
    </row>
    <row r="132" spans="1:27" ht="12.75">
      <c r="A132" s="78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19"/>
      <c r="O132" s="119"/>
      <c r="P132" s="119"/>
      <c r="Q132" s="119"/>
      <c r="R132" s="131"/>
      <c r="S132" s="134"/>
      <c r="U132" s="134"/>
      <c r="V132" s="128"/>
    </row>
    <row r="133" spans="1:27">
      <c r="A133" s="78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19"/>
      <c r="O133" s="119"/>
      <c r="P133" s="119"/>
      <c r="Q133" s="119"/>
      <c r="R133" s="131"/>
      <c r="S133" s="134"/>
      <c r="U133" s="134"/>
      <c r="V133" s="128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27">
      <c r="A135" s="92" t="s">
        <v>95</v>
      </c>
      <c r="B135" s="93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20"/>
      <c r="P135" s="20"/>
      <c r="Q135" s="20"/>
      <c r="R135" s="134"/>
      <c r="Z135" s="136"/>
      <c r="AA135" s="1"/>
    </row>
    <row r="136" spans="1:27">
      <c r="A136" s="25"/>
      <c r="B136" s="25"/>
      <c r="C136" s="25"/>
      <c r="D136" s="44"/>
      <c r="E136" s="44"/>
      <c r="F136" s="44"/>
      <c r="G136" s="44"/>
      <c r="H136" s="44"/>
      <c r="I136" s="25"/>
      <c r="J136" s="25"/>
      <c r="K136" s="25"/>
      <c r="L136" s="25"/>
      <c r="M136" s="25"/>
      <c r="N136" s="25"/>
      <c r="O136" s="25"/>
      <c r="P136" s="25"/>
      <c r="Q136" s="25"/>
      <c r="Z136" s="136"/>
      <c r="AA136" s="1"/>
    </row>
    <row r="137" spans="1:27">
      <c r="A137" s="277" t="s">
        <v>96</v>
      </c>
      <c r="B137" s="278"/>
      <c r="C137" s="278"/>
      <c r="D137" s="278"/>
      <c r="E137" s="278"/>
      <c r="F137" s="279"/>
      <c r="G137" s="39"/>
      <c r="H137" s="39"/>
      <c r="I137" s="25"/>
      <c r="J137" s="25"/>
      <c r="K137" s="25"/>
      <c r="L137" s="25"/>
      <c r="M137" s="25"/>
      <c r="N137" s="25"/>
      <c r="O137" s="25"/>
      <c r="P137" s="25"/>
      <c r="Q137" s="25"/>
      <c r="R137" s="128"/>
      <c r="Z137" s="136"/>
      <c r="AA137" s="1"/>
    </row>
    <row r="138" spans="1:27" ht="27.95">
      <c r="A138" s="107" t="s">
        <v>41</v>
      </c>
      <c r="B138" s="137" t="s">
        <v>42</v>
      </c>
      <c r="C138" s="138" t="s">
        <v>97</v>
      </c>
      <c r="D138" s="107" t="s">
        <v>98</v>
      </c>
      <c r="E138" s="139" t="s">
        <v>99</v>
      </c>
      <c r="F138" s="107" t="s">
        <v>100</v>
      </c>
      <c r="G138" s="140"/>
      <c r="H138" s="39"/>
      <c r="I138" s="25"/>
      <c r="J138" s="25"/>
      <c r="K138" s="25"/>
      <c r="L138" s="25"/>
      <c r="M138" s="25"/>
      <c r="N138" s="25"/>
      <c r="O138" s="25"/>
      <c r="P138" s="25"/>
      <c r="Q138" s="25"/>
      <c r="Z138" s="136"/>
      <c r="AA138" s="1"/>
    </row>
    <row r="139" spans="1:27">
      <c r="A139" s="11" t="str">
        <f t="shared" ref="A139:B158" si="19">B41</f>
        <v>Preço Base 1</v>
      </c>
      <c r="B139" s="141" t="e">
        <f t="shared" si="19"/>
        <v>#DIV/0!</v>
      </c>
      <c r="C139" s="4">
        <f t="shared" ref="C139:C158" si="20">COUNTIFS($D$81:$D$131,A139,$E$81:$E$131,"Disponível")</f>
        <v>0</v>
      </c>
      <c r="D139" s="142">
        <f t="shared" ref="D139:D158" si="21">SUMIFS($F$81:$F$131,$D$81:$D$131,A139,$E$81:$E$131,"Disponível")</f>
        <v>0</v>
      </c>
      <c r="E139" s="143">
        <f>IF(C139=0,0,D139/C139)</f>
        <v>0</v>
      </c>
      <c r="F139" s="144" t="e">
        <f>E139/B139</f>
        <v>#DIV/0!</v>
      </c>
      <c r="G139" s="145"/>
      <c r="H139" s="39"/>
      <c r="I139" s="25"/>
      <c r="J139" s="25"/>
      <c r="K139" s="25"/>
      <c r="L139" s="25"/>
      <c r="M139" s="25"/>
      <c r="N139" s="25"/>
      <c r="O139" s="25"/>
      <c r="P139" s="25"/>
      <c r="Q139" s="25"/>
      <c r="Z139" s="136"/>
      <c r="AA139" s="1"/>
    </row>
    <row r="140" spans="1:27">
      <c r="A140" s="11" t="str">
        <f t="shared" si="19"/>
        <v>Preço Base 2</v>
      </c>
      <c r="B140" s="141" t="e">
        <f t="shared" si="19"/>
        <v>#DIV/0!</v>
      </c>
      <c r="C140" s="4">
        <f t="shared" si="20"/>
        <v>0</v>
      </c>
      <c r="D140" s="142">
        <f t="shared" si="21"/>
        <v>0</v>
      </c>
      <c r="E140" s="143">
        <f t="shared" ref="E140:E156" si="22">IF(C140=0,0,D140/C140)</f>
        <v>0</v>
      </c>
      <c r="F140" s="144" t="e">
        <f t="shared" ref="F140:F156" si="23">E140/B140</f>
        <v>#DIV/0!</v>
      </c>
      <c r="G140" s="145"/>
      <c r="H140" s="39"/>
      <c r="I140" s="25"/>
      <c r="J140" s="25"/>
      <c r="K140" s="25"/>
      <c r="L140" s="25"/>
      <c r="M140" s="25"/>
      <c r="N140" s="25"/>
      <c r="O140" s="25"/>
      <c r="P140" s="25"/>
      <c r="Q140" s="25"/>
      <c r="Z140" s="136"/>
      <c r="AA140" s="1"/>
    </row>
    <row r="141" spans="1:27">
      <c r="A141" s="11" t="str">
        <f t="shared" si="19"/>
        <v>Preço Base 3</v>
      </c>
      <c r="B141" s="141" t="e">
        <f t="shared" si="19"/>
        <v>#DIV/0!</v>
      </c>
      <c r="C141" s="4">
        <f t="shared" si="20"/>
        <v>0</v>
      </c>
      <c r="D141" s="142">
        <f t="shared" si="21"/>
        <v>0</v>
      </c>
      <c r="E141" s="143">
        <f t="shared" si="22"/>
        <v>0</v>
      </c>
      <c r="F141" s="144" t="e">
        <f t="shared" si="23"/>
        <v>#DIV/0!</v>
      </c>
      <c r="G141" s="145"/>
      <c r="H141" s="39"/>
      <c r="I141" s="25"/>
      <c r="J141" s="25"/>
      <c r="K141" s="25"/>
      <c r="L141" s="25"/>
      <c r="M141" s="25"/>
      <c r="N141" s="25"/>
      <c r="O141" s="25"/>
      <c r="P141" s="25"/>
      <c r="Q141" s="25"/>
      <c r="Z141" s="136"/>
      <c r="AA141" s="1"/>
    </row>
    <row r="142" spans="1:27">
      <c r="A142" s="11" t="str">
        <f t="shared" si="19"/>
        <v>Preço Base 4</v>
      </c>
      <c r="B142" s="141" t="e">
        <f t="shared" si="19"/>
        <v>#DIV/0!</v>
      </c>
      <c r="C142" s="4">
        <f t="shared" si="20"/>
        <v>0</v>
      </c>
      <c r="D142" s="142">
        <f t="shared" si="21"/>
        <v>0</v>
      </c>
      <c r="E142" s="143">
        <f t="shared" si="22"/>
        <v>0</v>
      </c>
      <c r="F142" s="144" t="e">
        <f t="shared" si="23"/>
        <v>#DIV/0!</v>
      </c>
      <c r="G142" s="145"/>
      <c r="H142" s="39"/>
      <c r="I142" s="25"/>
      <c r="J142" s="25"/>
      <c r="K142" s="25"/>
      <c r="L142" s="25"/>
      <c r="M142" s="25"/>
      <c r="N142" s="25"/>
      <c r="O142" s="25"/>
      <c r="P142" s="25"/>
      <c r="Q142" s="25"/>
      <c r="Z142" s="136"/>
      <c r="AA142" s="1"/>
    </row>
    <row r="143" spans="1:27">
      <c r="A143" s="11" t="str">
        <f t="shared" si="19"/>
        <v>Preço Base 5</v>
      </c>
      <c r="B143" s="141" t="e">
        <f t="shared" si="19"/>
        <v>#DIV/0!</v>
      </c>
      <c r="C143" s="4">
        <f t="shared" si="20"/>
        <v>0</v>
      </c>
      <c r="D143" s="142">
        <f t="shared" si="21"/>
        <v>0</v>
      </c>
      <c r="E143" s="143">
        <f t="shared" si="22"/>
        <v>0</v>
      </c>
      <c r="F143" s="144" t="e">
        <f t="shared" si="23"/>
        <v>#DIV/0!</v>
      </c>
      <c r="G143" s="145"/>
      <c r="H143" s="39"/>
      <c r="I143" s="25"/>
      <c r="J143" s="25"/>
      <c r="K143" s="25"/>
      <c r="L143" s="25"/>
      <c r="M143" s="25"/>
      <c r="N143" s="25"/>
      <c r="O143" s="25"/>
      <c r="P143" s="25"/>
      <c r="Q143" s="25"/>
      <c r="Z143" s="136"/>
      <c r="AA143" s="1"/>
    </row>
    <row r="144" spans="1:27">
      <c r="A144" s="11" t="str">
        <f t="shared" si="19"/>
        <v>Preço Base 6</v>
      </c>
      <c r="B144" s="141" t="e">
        <f t="shared" si="19"/>
        <v>#DIV/0!</v>
      </c>
      <c r="C144" s="4">
        <f t="shared" si="20"/>
        <v>0</v>
      </c>
      <c r="D144" s="142">
        <f t="shared" si="21"/>
        <v>0</v>
      </c>
      <c r="E144" s="143">
        <f t="shared" si="22"/>
        <v>0</v>
      </c>
      <c r="F144" s="144" t="e">
        <f t="shared" si="23"/>
        <v>#DIV/0!</v>
      </c>
      <c r="G144" s="145"/>
      <c r="H144" s="39"/>
      <c r="I144" s="25"/>
      <c r="J144" s="25"/>
      <c r="K144" s="25"/>
      <c r="L144" s="25"/>
      <c r="M144" s="25"/>
      <c r="N144" s="25"/>
      <c r="O144" s="25"/>
      <c r="P144" s="25"/>
      <c r="Q144" s="25"/>
      <c r="Z144" s="136"/>
      <c r="AA144" s="1"/>
    </row>
    <row r="145" spans="1:27">
      <c r="A145" s="11" t="str">
        <f t="shared" si="19"/>
        <v>Preço Base 7</v>
      </c>
      <c r="B145" s="141" t="e">
        <f t="shared" si="19"/>
        <v>#DIV/0!</v>
      </c>
      <c r="C145" s="4">
        <f t="shared" si="20"/>
        <v>0</v>
      </c>
      <c r="D145" s="142">
        <f t="shared" si="21"/>
        <v>0</v>
      </c>
      <c r="E145" s="143">
        <f t="shared" si="22"/>
        <v>0</v>
      </c>
      <c r="F145" s="144" t="e">
        <f t="shared" si="23"/>
        <v>#DIV/0!</v>
      </c>
      <c r="G145" s="145"/>
      <c r="H145" s="39"/>
      <c r="I145" s="25"/>
      <c r="J145" s="25"/>
      <c r="K145" s="25"/>
      <c r="L145" s="25"/>
      <c r="M145" s="25"/>
      <c r="N145" s="25"/>
      <c r="O145" s="25"/>
      <c r="P145" s="25"/>
      <c r="Q145" s="25"/>
      <c r="Z145" s="136"/>
      <c r="AA145" s="1"/>
    </row>
    <row r="146" spans="1:27">
      <c r="A146" s="11" t="str">
        <f t="shared" si="19"/>
        <v>Preço Base 8</v>
      </c>
      <c r="B146" s="141" t="e">
        <f t="shared" si="19"/>
        <v>#DIV/0!</v>
      </c>
      <c r="C146" s="4">
        <f t="shared" si="20"/>
        <v>0</v>
      </c>
      <c r="D146" s="142">
        <f t="shared" si="21"/>
        <v>0</v>
      </c>
      <c r="E146" s="143">
        <f t="shared" si="22"/>
        <v>0</v>
      </c>
      <c r="F146" s="144" t="e">
        <f t="shared" si="23"/>
        <v>#DIV/0!</v>
      </c>
      <c r="G146" s="145"/>
      <c r="H146" s="39"/>
      <c r="I146" s="25"/>
      <c r="J146" s="25"/>
      <c r="K146" s="25"/>
      <c r="L146" s="25"/>
      <c r="M146" s="25"/>
      <c r="N146" s="25"/>
      <c r="O146" s="25"/>
      <c r="P146" s="25"/>
      <c r="Q146" s="25"/>
      <c r="Z146" s="136"/>
      <c r="AA146" s="1"/>
    </row>
    <row r="147" spans="1:27">
      <c r="A147" s="11" t="str">
        <f t="shared" si="19"/>
        <v>Preço Base 9</v>
      </c>
      <c r="B147" s="141" t="e">
        <f t="shared" si="19"/>
        <v>#DIV/0!</v>
      </c>
      <c r="C147" s="4">
        <f t="shared" si="20"/>
        <v>0</v>
      </c>
      <c r="D147" s="142">
        <f t="shared" si="21"/>
        <v>0</v>
      </c>
      <c r="E147" s="143">
        <f t="shared" si="22"/>
        <v>0</v>
      </c>
      <c r="F147" s="144" t="e">
        <f t="shared" si="23"/>
        <v>#DIV/0!</v>
      </c>
      <c r="G147" s="145"/>
      <c r="H147" s="39"/>
      <c r="I147" s="25"/>
      <c r="J147" s="25"/>
      <c r="K147" s="25"/>
      <c r="L147" s="25"/>
      <c r="M147" s="25"/>
      <c r="N147" s="25"/>
      <c r="O147" s="25"/>
      <c r="P147" s="25"/>
      <c r="Q147" s="25"/>
      <c r="Z147" s="136"/>
      <c r="AA147" s="1"/>
    </row>
    <row r="148" spans="1:27">
      <c r="A148" s="11" t="str">
        <f t="shared" si="19"/>
        <v>Preço Base 10</v>
      </c>
      <c r="B148" s="141" t="e">
        <f t="shared" si="19"/>
        <v>#DIV/0!</v>
      </c>
      <c r="C148" s="4">
        <f t="shared" si="20"/>
        <v>0</v>
      </c>
      <c r="D148" s="142">
        <f t="shared" si="21"/>
        <v>0</v>
      </c>
      <c r="E148" s="143">
        <f t="shared" si="22"/>
        <v>0</v>
      </c>
      <c r="F148" s="144" t="e">
        <f t="shared" si="23"/>
        <v>#DIV/0!</v>
      </c>
      <c r="G148" s="145"/>
      <c r="H148" s="39"/>
      <c r="I148" s="25"/>
      <c r="J148" s="25"/>
      <c r="K148" s="25"/>
      <c r="L148" s="25"/>
      <c r="M148" s="25"/>
      <c r="N148" s="25"/>
      <c r="O148" s="25"/>
      <c r="P148" s="25"/>
      <c r="Q148" s="25"/>
      <c r="Z148" s="136"/>
      <c r="AA148" s="1"/>
    </row>
    <row r="149" spans="1:27">
      <c r="A149" s="11" t="str">
        <f t="shared" si="19"/>
        <v>Preço Base 11</v>
      </c>
      <c r="B149" s="141" t="e">
        <f t="shared" si="19"/>
        <v>#DIV/0!</v>
      </c>
      <c r="C149" s="4">
        <f t="shared" si="20"/>
        <v>0</v>
      </c>
      <c r="D149" s="142">
        <f t="shared" si="21"/>
        <v>0</v>
      </c>
      <c r="E149" s="143">
        <f t="shared" si="22"/>
        <v>0</v>
      </c>
      <c r="F149" s="144" t="e">
        <f t="shared" si="23"/>
        <v>#DIV/0!</v>
      </c>
      <c r="G149" s="145"/>
      <c r="H149" s="39"/>
      <c r="I149" s="25"/>
      <c r="J149" s="25"/>
      <c r="K149" s="25"/>
      <c r="L149" s="25"/>
      <c r="M149" s="25"/>
      <c r="N149" s="25"/>
      <c r="O149" s="25"/>
      <c r="P149" s="25"/>
      <c r="Q149" s="25"/>
      <c r="Z149" s="136"/>
      <c r="AA149" s="1"/>
    </row>
    <row r="150" spans="1:27">
      <c r="A150" s="11" t="str">
        <f t="shared" si="19"/>
        <v>Preço Base 12</v>
      </c>
      <c r="B150" s="141" t="e">
        <f t="shared" si="19"/>
        <v>#DIV/0!</v>
      </c>
      <c r="C150" s="4">
        <f t="shared" si="20"/>
        <v>0</v>
      </c>
      <c r="D150" s="142">
        <f t="shared" si="21"/>
        <v>0</v>
      </c>
      <c r="E150" s="143">
        <f t="shared" si="22"/>
        <v>0</v>
      </c>
      <c r="F150" s="144" t="e">
        <f t="shared" si="23"/>
        <v>#DIV/0!</v>
      </c>
      <c r="G150" s="145"/>
      <c r="H150" s="39"/>
      <c r="I150" s="25"/>
      <c r="J150" s="25"/>
      <c r="K150" s="25"/>
      <c r="L150" s="25"/>
      <c r="M150" s="25"/>
      <c r="N150" s="25"/>
      <c r="O150" s="25"/>
      <c r="P150" s="25"/>
      <c r="Q150" s="25"/>
      <c r="Z150" s="136"/>
      <c r="AA150" s="1"/>
    </row>
    <row r="151" spans="1:27">
      <c r="A151" s="11" t="str">
        <f t="shared" si="19"/>
        <v>Preço Base 13</v>
      </c>
      <c r="B151" s="141" t="e">
        <f t="shared" si="19"/>
        <v>#DIV/0!</v>
      </c>
      <c r="C151" s="4">
        <f t="shared" si="20"/>
        <v>0</v>
      </c>
      <c r="D151" s="142">
        <f t="shared" si="21"/>
        <v>0</v>
      </c>
      <c r="E151" s="143">
        <f t="shared" si="22"/>
        <v>0</v>
      </c>
      <c r="F151" s="144" t="e">
        <f t="shared" si="23"/>
        <v>#DIV/0!</v>
      </c>
      <c r="G151" s="145"/>
      <c r="H151" s="39"/>
      <c r="I151" s="25"/>
      <c r="J151" s="25"/>
      <c r="K151" s="25"/>
      <c r="L151" s="25"/>
      <c r="M151" s="25"/>
      <c r="N151" s="25"/>
      <c r="O151" s="25"/>
      <c r="P151" s="25"/>
      <c r="Q151" s="25"/>
      <c r="Z151" s="136"/>
      <c r="AA151" s="1"/>
    </row>
    <row r="152" spans="1:27">
      <c r="A152" s="11" t="str">
        <f t="shared" si="19"/>
        <v>Preço Base 14</v>
      </c>
      <c r="B152" s="141" t="e">
        <f t="shared" si="19"/>
        <v>#DIV/0!</v>
      </c>
      <c r="C152" s="4">
        <f t="shared" si="20"/>
        <v>0</v>
      </c>
      <c r="D152" s="142">
        <f t="shared" si="21"/>
        <v>0</v>
      </c>
      <c r="E152" s="143">
        <f t="shared" si="22"/>
        <v>0</v>
      </c>
      <c r="F152" s="144" t="e">
        <f t="shared" si="23"/>
        <v>#DIV/0!</v>
      </c>
      <c r="G152" s="145"/>
      <c r="H152" s="39"/>
      <c r="I152" s="25"/>
      <c r="J152" s="25"/>
      <c r="K152" s="25"/>
      <c r="L152" s="25"/>
      <c r="M152" s="25"/>
      <c r="N152" s="25"/>
      <c r="O152" s="25"/>
      <c r="P152" s="25"/>
      <c r="Q152" s="25"/>
      <c r="Z152" s="136"/>
      <c r="AA152" s="1"/>
    </row>
    <row r="153" spans="1:27">
      <c r="A153" s="11" t="str">
        <f t="shared" si="19"/>
        <v>Preço Base 15</v>
      </c>
      <c r="B153" s="141" t="e">
        <f t="shared" si="19"/>
        <v>#DIV/0!</v>
      </c>
      <c r="C153" s="4">
        <f t="shared" si="20"/>
        <v>0</v>
      </c>
      <c r="D153" s="142">
        <f t="shared" si="21"/>
        <v>0</v>
      </c>
      <c r="E153" s="143">
        <f t="shared" si="22"/>
        <v>0</v>
      </c>
      <c r="F153" s="144" t="e">
        <f t="shared" si="23"/>
        <v>#DIV/0!</v>
      </c>
      <c r="G153" s="145"/>
      <c r="H153" s="39"/>
      <c r="I153" s="25"/>
      <c r="J153" s="25"/>
      <c r="K153" s="25"/>
      <c r="L153" s="25"/>
      <c r="M153" s="25"/>
      <c r="N153" s="25"/>
      <c r="O153" s="25"/>
      <c r="P153" s="25"/>
      <c r="Q153" s="25"/>
      <c r="Z153" s="136"/>
      <c r="AA153" s="1"/>
    </row>
    <row r="154" spans="1:27">
      <c r="A154" s="11" t="str">
        <f t="shared" si="19"/>
        <v>Preço Base 16</v>
      </c>
      <c r="B154" s="141" t="e">
        <f t="shared" si="19"/>
        <v>#DIV/0!</v>
      </c>
      <c r="C154" s="4">
        <f t="shared" si="20"/>
        <v>0</v>
      </c>
      <c r="D154" s="142">
        <f t="shared" si="21"/>
        <v>0</v>
      </c>
      <c r="E154" s="143">
        <f t="shared" si="22"/>
        <v>0</v>
      </c>
      <c r="F154" s="144" t="e">
        <f t="shared" si="23"/>
        <v>#DIV/0!</v>
      </c>
      <c r="G154" s="145"/>
      <c r="H154" s="39"/>
      <c r="I154" s="25"/>
      <c r="J154" s="25"/>
      <c r="K154" s="25"/>
      <c r="L154" s="25"/>
      <c r="M154" s="25"/>
      <c r="N154" s="25"/>
      <c r="O154" s="25"/>
      <c r="P154" s="25"/>
      <c r="Q154" s="25"/>
      <c r="Z154" s="136"/>
      <c r="AA154" s="1"/>
    </row>
    <row r="155" spans="1:27">
      <c r="A155" s="11" t="str">
        <f t="shared" si="19"/>
        <v>Preço Base 17</v>
      </c>
      <c r="B155" s="141" t="e">
        <f t="shared" si="19"/>
        <v>#DIV/0!</v>
      </c>
      <c r="C155" s="4">
        <f t="shared" si="20"/>
        <v>0</v>
      </c>
      <c r="D155" s="142">
        <f t="shared" si="21"/>
        <v>0</v>
      </c>
      <c r="E155" s="143">
        <f t="shared" si="22"/>
        <v>0</v>
      </c>
      <c r="F155" s="144" t="e">
        <f t="shared" si="23"/>
        <v>#DIV/0!</v>
      </c>
      <c r="G155" s="145"/>
      <c r="H155" s="39"/>
      <c r="I155" s="25"/>
      <c r="J155" s="25"/>
      <c r="K155" s="25"/>
      <c r="L155" s="25"/>
      <c r="M155" s="25"/>
      <c r="N155" s="25"/>
      <c r="O155" s="25"/>
      <c r="P155" s="25"/>
      <c r="Q155" s="25"/>
      <c r="Z155" s="136"/>
      <c r="AA155" s="1"/>
    </row>
    <row r="156" spans="1:27">
      <c r="A156" s="11" t="str">
        <f t="shared" si="19"/>
        <v>Preço Base 18</v>
      </c>
      <c r="B156" s="141" t="e">
        <f t="shared" si="19"/>
        <v>#DIV/0!</v>
      </c>
      <c r="C156" s="4">
        <f t="shared" si="20"/>
        <v>0</v>
      </c>
      <c r="D156" s="142">
        <f t="shared" si="21"/>
        <v>0</v>
      </c>
      <c r="E156" s="143">
        <f t="shared" si="22"/>
        <v>0</v>
      </c>
      <c r="F156" s="144" t="e">
        <f t="shared" si="23"/>
        <v>#DIV/0!</v>
      </c>
      <c r="G156" s="145"/>
      <c r="H156" s="39"/>
      <c r="I156" s="25"/>
      <c r="J156" s="25"/>
      <c r="K156" s="25"/>
      <c r="L156" s="25"/>
      <c r="M156" s="25"/>
      <c r="N156" s="25"/>
      <c r="O156" s="25"/>
      <c r="P156" s="25"/>
      <c r="Q156" s="25"/>
      <c r="Z156" s="136"/>
      <c r="AA156" s="1"/>
    </row>
    <row r="157" spans="1:27">
      <c r="A157" s="11" t="str">
        <f t="shared" si="19"/>
        <v>Preço Base 19</v>
      </c>
      <c r="B157" s="141" t="e">
        <f t="shared" si="19"/>
        <v>#DIV/0!</v>
      </c>
      <c r="C157" s="4">
        <f t="shared" si="20"/>
        <v>0</v>
      </c>
      <c r="D157" s="142">
        <f t="shared" si="21"/>
        <v>0</v>
      </c>
      <c r="E157" s="143">
        <f t="shared" ref="E157:E158" si="24">IF(C157=0,0,D157/C157)</f>
        <v>0</v>
      </c>
      <c r="F157" s="144" t="e">
        <f t="shared" ref="F157:F158" si="25">E157/B157</f>
        <v>#DIV/0!</v>
      </c>
      <c r="G157" s="145"/>
      <c r="H157" s="39"/>
      <c r="I157" s="25"/>
      <c r="J157" s="25"/>
      <c r="K157" s="25"/>
      <c r="L157" s="25"/>
      <c r="M157" s="25"/>
      <c r="N157" s="25"/>
      <c r="O157" s="25"/>
      <c r="P157" s="25"/>
      <c r="Q157" s="25"/>
      <c r="Z157" s="136"/>
      <c r="AA157" s="1"/>
    </row>
    <row r="158" spans="1:27">
      <c r="A158" s="11" t="str">
        <f t="shared" si="19"/>
        <v>Preço Base 20</v>
      </c>
      <c r="B158" s="141" t="e">
        <f t="shared" si="19"/>
        <v>#DIV/0!</v>
      </c>
      <c r="C158" s="4">
        <f t="shared" si="20"/>
        <v>0</v>
      </c>
      <c r="D158" s="142">
        <f t="shared" si="21"/>
        <v>0</v>
      </c>
      <c r="E158" s="143">
        <f t="shared" si="24"/>
        <v>0</v>
      </c>
      <c r="F158" s="144" t="e">
        <f t="shared" si="25"/>
        <v>#DIV/0!</v>
      </c>
      <c r="G158" s="145"/>
      <c r="H158" s="39"/>
      <c r="I158" s="25"/>
      <c r="J158" s="25"/>
      <c r="K158" s="25"/>
      <c r="L158" s="25"/>
      <c r="M158" s="25"/>
      <c r="N158" s="25"/>
      <c r="O158" s="25"/>
      <c r="P158" s="25"/>
      <c r="Q158" s="25"/>
      <c r="Z158" s="136"/>
      <c r="AA158" s="1"/>
    </row>
    <row r="159" spans="1:27">
      <c r="A159" s="3" t="s">
        <v>13</v>
      </c>
      <c r="B159" s="146"/>
      <c r="C159" s="3">
        <f>SUM(C139:C156)</f>
        <v>0</v>
      </c>
      <c r="D159" s="147">
        <f>SUM(D139:D156)</f>
        <v>0</v>
      </c>
      <c r="E159" s="148"/>
      <c r="F159" s="144"/>
      <c r="G159" s="149"/>
      <c r="H159" s="150"/>
      <c r="I159" s="80"/>
      <c r="J159" s="80"/>
      <c r="K159" s="80"/>
      <c r="L159" s="151"/>
      <c r="M159" s="25"/>
      <c r="N159" s="104"/>
      <c r="O159" s="25"/>
      <c r="P159" s="25"/>
      <c r="Q159" s="25"/>
      <c r="Z159" s="136"/>
      <c r="AA159" s="1"/>
    </row>
    <row r="160" spans="1:27">
      <c r="A160" s="25"/>
      <c r="B160" s="25"/>
      <c r="C160" s="25"/>
      <c r="D160" s="25"/>
      <c r="E160" s="25"/>
      <c r="F160" s="25"/>
      <c r="G160" s="25"/>
      <c r="H160" s="152"/>
      <c r="I160" s="39"/>
      <c r="J160" s="39"/>
      <c r="K160" s="39"/>
      <c r="L160" s="25"/>
      <c r="M160" s="25"/>
      <c r="N160" s="104"/>
      <c r="O160" s="25"/>
      <c r="P160" s="25"/>
      <c r="Q160" s="25"/>
      <c r="Z160" s="136"/>
      <c r="AA160" s="1"/>
    </row>
    <row r="161" spans="1:4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Z161" s="136"/>
      <c r="AA161" s="136"/>
      <c r="AB161" s="1"/>
      <c r="AD161" s="1"/>
      <c r="AF161" s="1"/>
      <c r="AH161" s="1"/>
      <c r="AJ161" s="1"/>
      <c r="AL161" s="1"/>
      <c r="AN161" s="1"/>
      <c r="AP161" s="1"/>
    </row>
    <row r="162" spans="1:4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Z162" s="136"/>
      <c r="AA162" s="136"/>
      <c r="AB162" s="1"/>
      <c r="AD162" s="1"/>
      <c r="AF162" s="1"/>
      <c r="AH162" s="1"/>
      <c r="AJ162" s="1"/>
      <c r="AL162" s="1"/>
      <c r="AN162" s="1"/>
      <c r="AP162" s="1"/>
    </row>
    <row r="163" spans="1:4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Z163" s="136"/>
      <c r="AA163" s="136"/>
      <c r="AB163" s="1"/>
      <c r="AD163" s="1"/>
      <c r="AF163" s="1"/>
      <c r="AH163" s="1"/>
      <c r="AJ163" s="1"/>
      <c r="AL163" s="1"/>
      <c r="AN163" s="1"/>
      <c r="AP163" s="1"/>
    </row>
    <row r="164" spans="1:43">
      <c r="A164" s="92" t="s">
        <v>101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153"/>
      <c r="M164" s="153"/>
      <c r="N164" s="20"/>
      <c r="O164" s="20"/>
      <c r="P164" s="20"/>
      <c r="Q164" s="20"/>
      <c r="Z164" s="136"/>
      <c r="AA164" s="136"/>
      <c r="AB164" s="1"/>
      <c r="AD164" s="1"/>
      <c r="AF164" s="1"/>
      <c r="AH164" s="1"/>
      <c r="AJ164" s="1"/>
      <c r="AL164" s="1"/>
      <c r="AN164" s="1"/>
      <c r="AP164" s="1"/>
    </row>
    <row r="165" spans="1:43">
      <c r="A165" s="154" t="s">
        <v>102</v>
      </c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25"/>
      <c r="P165" s="25"/>
      <c r="Q165" s="25"/>
      <c r="Z165" s="136"/>
      <c r="AA165" s="136"/>
      <c r="AB165" s="1"/>
      <c r="AD165" s="1"/>
      <c r="AF165" s="1"/>
      <c r="AH165" s="1"/>
      <c r="AJ165" s="1"/>
      <c r="AL165" s="1"/>
      <c r="AN165" s="1"/>
      <c r="AP165" s="1"/>
    </row>
    <row r="166" spans="1:43">
      <c r="A166" s="261" t="s">
        <v>103</v>
      </c>
      <c r="B166" s="274" t="s">
        <v>104</v>
      </c>
      <c r="C166" s="274"/>
      <c r="D166" s="262" t="str">
        <f>B41</f>
        <v>Preço Base 1</v>
      </c>
      <c r="E166" s="263"/>
      <c r="F166" s="262" t="str">
        <f>B42</f>
        <v>Preço Base 2</v>
      </c>
      <c r="G166" s="263"/>
      <c r="H166" s="261" t="str">
        <f>B43</f>
        <v>Preço Base 3</v>
      </c>
      <c r="I166" s="261"/>
      <c r="J166" s="262" t="str">
        <f>B44</f>
        <v>Preço Base 4</v>
      </c>
      <c r="K166" s="263"/>
      <c r="L166" s="261" t="str">
        <f>B45</f>
        <v>Preço Base 5</v>
      </c>
      <c r="M166" s="261"/>
      <c r="N166" s="261" t="str">
        <f>B46</f>
        <v>Preço Base 6</v>
      </c>
      <c r="O166" s="261"/>
      <c r="P166" s="261" t="str">
        <f>B47</f>
        <v>Preço Base 7</v>
      </c>
      <c r="Q166" s="261"/>
      <c r="R166" s="261" t="str">
        <f>B48</f>
        <v>Preço Base 8</v>
      </c>
      <c r="S166" s="261"/>
      <c r="T166" s="261" t="str">
        <f>B49</f>
        <v>Preço Base 9</v>
      </c>
      <c r="U166" s="261"/>
      <c r="V166" s="261" t="str">
        <f>B50</f>
        <v>Preço Base 10</v>
      </c>
      <c r="W166" s="261"/>
      <c r="X166" s="261" t="str">
        <f>B51</f>
        <v>Preço Base 11</v>
      </c>
      <c r="Y166" s="261"/>
      <c r="Z166" s="261" t="str">
        <f>B52</f>
        <v>Preço Base 12</v>
      </c>
      <c r="AA166" s="261"/>
      <c r="AB166" s="261" t="str">
        <f>B53</f>
        <v>Preço Base 13</v>
      </c>
      <c r="AC166" s="261"/>
      <c r="AD166" s="261" t="str">
        <f>B54</f>
        <v>Preço Base 14</v>
      </c>
      <c r="AE166" s="261"/>
      <c r="AF166" s="261" t="str">
        <f>B55</f>
        <v>Preço Base 15</v>
      </c>
      <c r="AG166" s="261"/>
      <c r="AH166" s="261" t="str">
        <f>B56</f>
        <v>Preço Base 16</v>
      </c>
      <c r="AI166" s="261"/>
      <c r="AJ166" s="261" t="str">
        <f>B57</f>
        <v>Preço Base 17</v>
      </c>
      <c r="AK166" s="261"/>
      <c r="AL166" s="261" t="str">
        <f>B58</f>
        <v>Preço Base 18</v>
      </c>
      <c r="AM166" s="261"/>
      <c r="AN166" s="271" t="str">
        <f>B59</f>
        <v>Preço Base 19</v>
      </c>
      <c r="AO166" s="261"/>
      <c r="AP166" s="271" t="str">
        <f>B60</f>
        <v>Preço Base 20</v>
      </c>
      <c r="AQ166" s="261"/>
    </row>
    <row r="167" spans="1:43" ht="36" customHeight="1">
      <c r="A167" s="261"/>
      <c r="B167" s="81" t="s">
        <v>105</v>
      </c>
      <c r="C167" s="81" t="s">
        <v>106</v>
      </c>
      <c r="D167" s="155" t="s">
        <v>107</v>
      </c>
      <c r="E167" s="155" t="s">
        <v>108</v>
      </c>
      <c r="F167" s="155" t="s">
        <v>107</v>
      </c>
      <c r="G167" s="155" t="s">
        <v>108</v>
      </c>
      <c r="H167" s="155" t="s">
        <v>107</v>
      </c>
      <c r="I167" s="155" t="s">
        <v>108</v>
      </c>
      <c r="J167" s="155" t="s">
        <v>107</v>
      </c>
      <c r="K167" s="155" t="s">
        <v>108</v>
      </c>
      <c r="L167" s="155" t="s">
        <v>107</v>
      </c>
      <c r="M167" s="155" t="s">
        <v>108</v>
      </c>
      <c r="N167" s="155" t="s">
        <v>107</v>
      </c>
      <c r="O167" s="155" t="s">
        <v>108</v>
      </c>
      <c r="P167" s="155" t="s">
        <v>107</v>
      </c>
      <c r="Q167" s="155" t="s">
        <v>108</v>
      </c>
      <c r="R167" s="155" t="s">
        <v>107</v>
      </c>
      <c r="S167" s="155" t="s">
        <v>108</v>
      </c>
      <c r="T167" s="155" t="s">
        <v>107</v>
      </c>
      <c r="U167" s="155" t="s">
        <v>108</v>
      </c>
      <c r="V167" s="155" t="s">
        <v>107</v>
      </c>
      <c r="W167" s="155" t="s">
        <v>108</v>
      </c>
      <c r="X167" s="155" t="s">
        <v>107</v>
      </c>
      <c r="Y167" s="155" t="s">
        <v>108</v>
      </c>
      <c r="Z167" s="155" t="s">
        <v>107</v>
      </c>
      <c r="AA167" s="155" t="s">
        <v>108</v>
      </c>
      <c r="AB167" s="155" t="s">
        <v>107</v>
      </c>
      <c r="AC167" s="155" t="s">
        <v>108</v>
      </c>
      <c r="AD167" s="155" t="s">
        <v>107</v>
      </c>
      <c r="AE167" s="155" t="s">
        <v>108</v>
      </c>
      <c r="AF167" s="155" t="s">
        <v>107</v>
      </c>
      <c r="AG167" s="155" t="s">
        <v>108</v>
      </c>
      <c r="AH167" s="155" t="s">
        <v>107</v>
      </c>
      <c r="AI167" s="155" t="s">
        <v>108</v>
      </c>
      <c r="AJ167" s="155" t="s">
        <v>107</v>
      </c>
      <c r="AK167" s="155" t="s">
        <v>108</v>
      </c>
      <c r="AL167" s="155" t="s">
        <v>107</v>
      </c>
      <c r="AM167" s="155" t="s">
        <v>108</v>
      </c>
      <c r="AN167" s="155" t="s">
        <v>107</v>
      </c>
      <c r="AO167" s="155" t="s">
        <v>108</v>
      </c>
      <c r="AP167" s="155" t="s">
        <v>107</v>
      </c>
      <c r="AQ167" s="155" t="s">
        <v>108</v>
      </c>
    </row>
    <row r="168" spans="1:43">
      <c r="A168" s="156">
        <v>44682</v>
      </c>
      <c r="B168" s="157"/>
      <c r="C168" s="125">
        <v>1</v>
      </c>
      <c r="D168" s="99"/>
      <c r="E168" s="158">
        <v>8200</v>
      </c>
      <c r="F168" s="159"/>
      <c r="G168" s="158">
        <v>8250</v>
      </c>
      <c r="H168" s="99"/>
      <c r="I168" s="158">
        <v>8300</v>
      </c>
      <c r="J168" s="159"/>
      <c r="K168" s="158">
        <v>8350</v>
      </c>
      <c r="L168" s="99"/>
      <c r="M168" s="158">
        <v>8400</v>
      </c>
      <c r="N168" s="99"/>
      <c r="O168" s="158">
        <v>8450</v>
      </c>
      <c r="P168" s="99"/>
      <c r="Q168" s="158">
        <v>8499</v>
      </c>
      <c r="R168" s="99"/>
      <c r="S168" s="158">
        <v>8500</v>
      </c>
      <c r="T168" s="99"/>
      <c r="U168" s="158">
        <v>8550</v>
      </c>
      <c r="V168" s="99"/>
      <c r="W168" s="158">
        <v>8600</v>
      </c>
      <c r="X168" s="99"/>
      <c r="Y168" s="158">
        <v>8650</v>
      </c>
      <c r="Z168" s="99"/>
      <c r="AA168" s="158">
        <v>8700</v>
      </c>
      <c r="AB168" s="99"/>
      <c r="AC168" s="158">
        <v>8750</v>
      </c>
      <c r="AD168" s="99"/>
      <c r="AE168" s="158">
        <v>8761</v>
      </c>
      <c r="AF168" s="99"/>
      <c r="AG168" s="158">
        <v>9008</v>
      </c>
      <c r="AH168" s="99"/>
      <c r="AI168" s="158">
        <v>9014</v>
      </c>
      <c r="AJ168" s="99"/>
      <c r="AK168" s="158">
        <v>9018</v>
      </c>
      <c r="AL168" s="99"/>
      <c r="AM168" s="158">
        <v>9060</v>
      </c>
      <c r="AN168" s="99"/>
      <c r="AO168" s="158">
        <v>9062</v>
      </c>
      <c r="AP168" s="99"/>
      <c r="AQ168" s="158">
        <v>9999</v>
      </c>
    </row>
    <row r="169" spans="1:43">
      <c r="A169" s="156">
        <f t="shared" ref="A169:A174" si="26">EDATE(A168,1)</f>
        <v>44713</v>
      </c>
      <c r="B169" s="157"/>
      <c r="C169" s="125">
        <f t="shared" ref="C169:C176" si="27">C168+(B169*C168)</f>
        <v>1</v>
      </c>
      <c r="D169" s="99"/>
      <c r="E169" s="158">
        <f>E168*(1+D169)</f>
        <v>8200</v>
      </c>
      <c r="F169" s="159"/>
      <c r="G169" s="158">
        <f>G168*(1+F169)</f>
        <v>8250</v>
      </c>
      <c r="H169" s="99"/>
      <c r="I169" s="158">
        <f>I168*(1+H169)</f>
        <v>8300</v>
      </c>
      <c r="J169" s="159"/>
      <c r="K169" s="158">
        <f>K168*(1+J169)</f>
        <v>8350</v>
      </c>
      <c r="L169" s="99"/>
      <c r="M169" s="158">
        <f>M168*(1+L169)</f>
        <v>8400</v>
      </c>
      <c r="N169" s="99"/>
      <c r="O169" s="158">
        <f t="shared" ref="O169:O174" si="28">O168*(1+N169)</f>
        <v>8450</v>
      </c>
      <c r="P169" s="99"/>
      <c r="Q169" s="158">
        <f t="shared" ref="Q169:Q174" si="29">Q168*(1+P169)</f>
        <v>8499</v>
      </c>
      <c r="R169" s="99"/>
      <c r="S169" s="158">
        <f t="shared" ref="S169:S174" si="30">S168*(1+R169)</f>
        <v>8500</v>
      </c>
      <c r="T169" s="99"/>
      <c r="U169" s="158">
        <f t="shared" ref="U169:U174" si="31">U168*(1+T169)</f>
        <v>8550</v>
      </c>
      <c r="V169" s="99"/>
      <c r="W169" s="158">
        <f t="shared" ref="W169:W174" si="32">W168*(1+V169)</f>
        <v>8600</v>
      </c>
      <c r="X169" s="99"/>
      <c r="Y169" s="158">
        <f t="shared" ref="Y169:Y174" si="33">Y168*(1+X169)</f>
        <v>8650</v>
      </c>
      <c r="Z169" s="99"/>
      <c r="AA169" s="158">
        <f>AA168*(1+Z169)</f>
        <v>8700</v>
      </c>
      <c r="AB169" s="99"/>
      <c r="AC169" s="158">
        <f>AC168*(1+AB169)</f>
        <v>8750</v>
      </c>
      <c r="AD169" s="99"/>
      <c r="AE169" s="158">
        <f>AE168*(1+AD169)</f>
        <v>8761</v>
      </c>
      <c r="AF169" s="99"/>
      <c r="AG169" s="158">
        <f>AG168*(1+AF169)</f>
        <v>9008</v>
      </c>
      <c r="AH169" s="99"/>
      <c r="AI169" s="158">
        <f>AI168*(1+AH169)</f>
        <v>9014</v>
      </c>
      <c r="AJ169" s="99"/>
      <c r="AK169" s="158">
        <f>AK168*(1+AJ169)</f>
        <v>9018</v>
      </c>
      <c r="AL169" s="99"/>
      <c r="AM169" s="158">
        <f>AM168*(1+AL169)</f>
        <v>9060</v>
      </c>
      <c r="AN169" s="99"/>
      <c r="AO169" s="158">
        <f>AO168*(1+AN169)</f>
        <v>9062</v>
      </c>
      <c r="AP169" s="99"/>
      <c r="AQ169" s="158">
        <f>AQ168*(1+AP169)</f>
        <v>9999</v>
      </c>
    </row>
    <row r="170" spans="1:43">
      <c r="A170" s="156">
        <f t="shared" si="26"/>
        <v>44743</v>
      </c>
      <c r="B170" s="157"/>
      <c r="C170" s="125">
        <f t="shared" si="27"/>
        <v>1</v>
      </c>
      <c r="D170" s="157"/>
      <c r="E170" s="158">
        <f>E169*(1+D170)</f>
        <v>8200</v>
      </c>
      <c r="F170" s="157"/>
      <c r="G170" s="158">
        <f>G169*(1+F170)</f>
        <v>8250</v>
      </c>
      <c r="H170" s="157"/>
      <c r="I170" s="158">
        <f>I169*(1+H170)</f>
        <v>8300</v>
      </c>
      <c r="J170" s="157"/>
      <c r="K170" s="158">
        <f>K169*(1+J170)</f>
        <v>8350</v>
      </c>
      <c r="L170" s="157"/>
      <c r="M170" s="158">
        <f>M169*(1+L170)</f>
        <v>8400</v>
      </c>
      <c r="N170" s="99"/>
      <c r="O170" s="158">
        <f t="shared" si="28"/>
        <v>8450</v>
      </c>
      <c r="P170" s="99"/>
      <c r="Q170" s="158">
        <f t="shared" si="29"/>
        <v>8499</v>
      </c>
      <c r="R170" s="99"/>
      <c r="S170" s="158">
        <f t="shared" si="30"/>
        <v>8500</v>
      </c>
      <c r="T170" s="99"/>
      <c r="U170" s="158">
        <f t="shared" si="31"/>
        <v>8550</v>
      </c>
      <c r="V170" s="99"/>
      <c r="W170" s="158">
        <f t="shared" si="32"/>
        <v>8600</v>
      </c>
      <c r="X170" s="99"/>
      <c r="Y170" s="158">
        <f t="shared" si="33"/>
        <v>8650</v>
      </c>
      <c r="Z170" s="157"/>
      <c r="AA170" s="158">
        <f>AA169*(1+Z170)</f>
        <v>8700</v>
      </c>
      <c r="AB170" s="157"/>
      <c r="AC170" s="158">
        <f>AC169*(1+AB170)</f>
        <v>8750</v>
      </c>
      <c r="AD170" s="157"/>
      <c r="AE170" s="158">
        <f>AE169*(1+AD170)</f>
        <v>8761</v>
      </c>
      <c r="AF170" s="157"/>
      <c r="AG170" s="158">
        <f>AG169*(1+AF170)</f>
        <v>9008</v>
      </c>
      <c r="AH170" s="157"/>
      <c r="AI170" s="158">
        <f>AI169*(1+AH170)</f>
        <v>9014</v>
      </c>
      <c r="AJ170" s="157"/>
      <c r="AK170" s="158">
        <f>AK169*(1+AJ170)</f>
        <v>9018</v>
      </c>
      <c r="AL170" s="157"/>
      <c r="AM170" s="158">
        <f>AM169*(1+AL170)</f>
        <v>9060</v>
      </c>
      <c r="AN170" s="157"/>
      <c r="AO170" s="158">
        <f>AO169*(1+AN170)</f>
        <v>9062</v>
      </c>
      <c r="AP170" s="157"/>
      <c r="AQ170" s="158">
        <f>AQ169*(1+AP170)</f>
        <v>9999</v>
      </c>
    </row>
    <row r="171" spans="1:43">
      <c r="A171" s="156">
        <f t="shared" si="26"/>
        <v>44774</v>
      </c>
      <c r="B171" s="157"/>
      <c r="C171" s="160">
        <f t="shared" si="27"/>
        <v>1</v>
      </c>
      <c r="D171" s="157"/>
      <c r="E171" s="158">
        <f>E170*(1+D171)</f>
        <v>8200</v>
      </c>
      <c r="F171" s="157"/>
      <c r="G171" s="158">
        <f>G170*(1+F171)</f>
        <v>8250</v>
      </c>
      <c r="H171" s="157"/>
      <c r="I171" s="158">
        <f>I170*(1+H171)</f>
        <v>8300</v>
      </c>
      <c r="J171" s="157"/>
      <c r="K171" s="158">
        <f>K170*(1+J171)</f>
        <v>8350</v>
      </c>
      <c r="L171" s="157"/>
      <c r="M171" s="158">
        <f>M170*(1+L171)</f>
        <v>8400</v>
      </c>
      <c r="N171" s="99"/>
      <c r="O171" s="158">
        <f t="shared" si="28"/>
        <v>8450</v>
      </c>
      <c r="P171" s="99"/>
      <c r="Q171" s="158">
        <f t="shared" si="29"/>
        <v>8499</v>
      </c>
      <c r="R171" s="99"/>
      <c r="S171" s="158">
        <f t="shared" si="30"/>
        <v>8500</v>
      </c>
      <c r="T171" s="99"/>
      <c r="U171" s="158">
        <f t="shared" si="31"/>
        <v>8550</v>
      </c>
      <c r="V171" s="99"/>
      <c r="W171" s="158">
        <f t="shared" si="32"/>
        <v>8600</v>
      </c>
      <c r="X171" s="99"/>
      <c r="Y171" s="158">
        <f t="shared" si="33"/>
        <v>8650</v>
      </c>
      <c r="Z171" s="157"/>
      <c r="AA171" s="158">
        <f>AA170*(1+Z171)</f>
        <v>8700</v>
      </c>
      <c r="AB171" s="157"/>
      <c r="AC171" s="158">
        <f>AC170*(1+AB171)</f>
        <v>8750</v>
      </c>
      <c r="AD171" s="157"/>
      <c r="AE171" s="158">
        <f>AE170*(1+AD171)</f>
        <v>8761</v>
      </c>
      <c r="AF171" s="157"/>
      <c r="AG171" s="158">
        <f>AG170*(1+AF171)</f>
        <v>9008</v>
      </c>
      <c r="AH171" s="157"/>
      <c r="AI171" s="158">
        <f>AI170*(1+AH171)</f>
        <v>9014</v>
      </c>
      <c r="AJ171" s="157"/>
      <c r="AK171" s="158">
        <f>AK170*(1+AJ171)</f>
        <v>9018</v>
      </c>
      <c r="AL171" s="157"/>
      <c r="AM171" s="158">
        <f>AM170*(1+AL171)</f>
        <v>9060</v>
      </c>
      <c r="AN171" s="157"/>
      <c r="AO171" s="158">
        <f>AO170*(1+AN171)</f>
        <v>9062</v>
      </c>
      <c r="AP171" s="157"/>
      <c r="AQ171" s="158">
        <f>AQ170*(1+AP171)</f>
        <v>9999</v>
      </c>
    </row>
    <row r="172" spans="1:43">
      <c r="A172" s="156">
        <f t="shared" si="26"/>
        <v>44805</v>
      </c>
      <c r="B172" s="157"/>
      <c r="C172" s="160">
        <f t="shared" si="27"/>
        <v>1</v>
      </c>
      <c r="D172" s="157"/>
      <c r="E172" s="158">
        <f t="shared" ref="E172:E174" si="34">E171*(1+D172)</f>
        <v>8200</v>
      </c>
      <c r="F172" s="157"/>
      <c r="G172" s="158">
        <f t="shared" ref="G172:G174" si="35">G171*(1+F172)</f>
        <v>8250</v>
      </c>
      <c r="H172" s="157"/>
      <c r="I172" s="158">
        <f t="shared" ref="I172:I174" si="36">I171*(1+H172)</f>
        <v>8300</v>
      </c>
      <c r="J172" s="157"/>
      <c r="K172" s="158">
        <f t="shared" ref="K172:K174" si="37">K171*(1+J172)</f>
        <v>8350</v>
      </c>
      <c r="L172" s="157"/>
      <c r="M172" s="158">
        <f t="shared" ref="M172:M174" si="38">M171*(1+L172)</f>
        <v>8400</v>
      </c>
      <c r="N172" s="99"/>
      <c r="O172" s="158">
        <f t="shared" si="28"/>
        <v>8450</v>
      </c>
      <c r="P172" s="99"/>
      <c r="Q172" s="158">
        <f t="shared" si="29"/>
        <v>8499</v>
      </c>
      <c r="R172" s="99"/>
      <c r="S172" s="158">
        <f t="shared" si="30"/>
        <v>8500</v>
      </c>
      <c r="T172" s="99"/>
      <c r="U172" s="158">
        <f t="shared" si="31"/>
        <v>8550</v>
      </c>
      <c r="V172" s="99"/>
      <c r="W172" s="158">
        <f t="shared" si="32"/>
        <v>8600</v>
      </c>
      <c r="X172" s="99"/>
      <c r="Y172" s="158">
        <f t="shared" si="33"/>
        <v>8650</v>
      </c>
      <c r="Z172" s="157"/>
      <c r="AA172" s="158">
        <f t="shared" ref="AA172:AA174" si="39">AA171*(1+Z172)</f>
        <v>8700</v>
      </c>
      <c r="AB172" s="157"/>
      <c r="AC172" s="158">
        <f>AC171*(1+AB172)</f>
        <v>8750</v>
      </c>
      <c r="AD172" s="157"/>
      <c r="AE172" s="158">
        <f>AE171*(1+AD172)</f>
        <v>8761</v>
      </c>
      <c r="AF172" s="157"/>
      <c r="AG172" s="158">
        <f>AG171*(1+AF172)</f>
        <v>9008</v>
      </c>
      <c r="AH172" s="157"/>
      <c r="AI172" s="158">
        <f>AI171*(1+AH172)</f>
        <v>9014</v>
      </c>
      <c r="AJ172" s="157"/>
      <c r="AK172" s="158">
        <f>AK171*(1+AJ172)</f>
        <v>9018</v>
      </c>
      <c r="AL172" s="157"/>
      <c r="AM172" s="158">
        <f>AM171*(1+AL172)</f>
        <v>9060</v>
      </c>
      <c r="AN172" s="157"/>
      <c r="AO172" s="158">
        <f>AO171*(1+AN172)</f>
        <v>9062</v>
      </c>
      <c r="AP172" s="157"/>
      <c r="AQ172" s="158">
        <f>AQ171*(1+AP172)</f>
        <v>9999</v>
      </c>
    </row>
    <row r="173" spans="1:43">
      <c r="A173" s="156">
        <f t="shared" si="26"/>
        <v>44835</v>
      </c>
      <c r="B173" s="157"/>
      <c r="C173" s="160">
        <f t="shared" si="27"/>
        <v>1</v>
      </c>
      <c r="D173" s="157"/>
      <c r="E173" s="158">
        <f t="shared" si="34"/>
        <v>8200</v>
      </c>
      <c r="F173" s="157"/>
      <c r="G173" s="158">
        <f t="shared" si="35"/>
        <v>8250</v>
      </c>
      <c r="H173" s="157"/>
      <c r="I173" s="158">
        <f t="shared" si="36"/>
        <v>8300</v>
      </c>
      <c r="J173" s="157"/>
      <c r="K173" s="158">
        <f t="shared" si="37"/>
        <v>8350</v>
      </c>
      <c r="L173" s="157"/>
      <c r="M173" s="158">
        <f t="shared" si="38"/>
        <v>8400</v>
      </c>
      <c r="N173" s="99"/>
      <c r="O173" s="158">
        <f t="shared" si="28"/>
        <v>8450</v>
      </c>
      <c r="P173" s="99"/>
      <c r="Q173" s="158">
        <f t="shared" si="29"/>
        <v>8499</v>
      </c>
      <c r="R173" s="99"/>
      <c r="S173" s="158">
        <f t="shared" si="30"/>
        <v>8500</v>
      </c>
      <c r="T173" s="99"/>
      <c r="U173" s="158">
        <f t="shared" si="31"/>
        <v>8550</v>
      </c>
      <c r="V173" s="99"/>
      <c r="W173" s="158">
        <f t="shared" si="32"/>
        <v>8600</v>
      </c>
      <c r="X173" s="99"/>
      <c r="Y173" s="158">
        <f t="shared" si="33"/>
        <v>8650</v>
      </c>
      <c r="Z173" s="157"/>
      <c r="AA173" s="158">
        <f t="shared" si="39"/>
        <v>8700</v>
      </c>
      <c r="AB173" s="157"/>
      <c r="AC173" s="158">
        <f t="shared" ref="AC173:AC174" si="40">AC172*(1+AB173)</f>
        <v>8750</v>
      </c>
      <c r="AD173" s="157"/>
      <c r="AE173" s="158">
        <f t="shared" ref="AE173:AE174" si="41">AE172*(1+AD173)</f>
        <v>8761</v>
      </c>
      <c r="AF173" s="157"/>
      <c r="AG173" s="158">
        <f t="shared" ref="AG173:AG174" si="42">AG172*(1+AF173)</f>
        <v>9008</v>
      </c>
      <c r="AH173" s="157"/>
      <c r="AI173" s="158">
        <f t="shared" ref="AI173:AI174" si="43">AI172*(1+AH173)</f>
        <v>9014</v>
      </c>
      <c r="AJ173" s="157"/>
      <c r="AK173" s="158">
        <f t="shared" ref="AK173:AK174" si="44">AK172*(1+AJ173)</f>
        <v>9018</v>
      </c>
      <c r="AL173" s="157"/>
      <c r="AM173" s="158">
        <f t="shared" ref="AM173:AM174" si="45">AM172*(1+AL173)</f>
        <v>9060</v>
      </c>
      <c r="AN173" s="157"/>
      <c r="AO173" s="158">
        <f t="shared" ref="AO173:AO174" si="46">AO172*(1+AN173)</f>
        <v>9062</v>
      </c>
      <c r="AP173" s="157"/>
      <c r="AQ173" s="158">
        <f t="shared" ref="AQ173:AQ174" si="47">AQ172*(1+AP173)</f>
        <v>9999</v>
      </c>
    </row>
    <row r="174" spans="1:43">
      <c r="A174" s="156">
        <f t="shared" si="26"/>
        <v>44866</v>
      </c>
      <c r="B174" s="157"/>
      <c r="C174" s="160">
        <f t="shared" si="27"/>
        <v>1</v>
      </c>
      <c r="D174" s="157"/>
      <c r="E174" s="158">
        <f t="shared" si="34"/>
        <v>8200</v>
      </c>
      <c r="F174" s="157"/>
      <c r="G174" s="158">
        <f t="shared" si="35"/>
        <v>8250</v>
      </c>
      <c r="H174" s="157"/>
      <c r="I174" s="158">
        <f t="shared" si="36"/>
        <v>8300</v>
      </c>
      <c r="J174" s="157"/>
      <c r="K174" s="158">
        <f t="shared" si="37"/>
        <v>8350</v>
      </c>
      <c r="L174" s="157"/>
      <c r="M174" s="158">
        <f t="shared" si="38"/>
        <v>8400</v>
      </c>
      <c r="N174" s="99"/>
      <c r="O174" s="158">
        <f t="shared" si="28"/>
        <v>8450</v>
      </c>
      <c r="P174" s="99"/>
      <c r="Q174" s="158">
        <f t="shared" si="29"/>
        <v>8499</v>
      </c>
      <c r="R174" s="99"/>
      <c r="S174" s="158">
        <f t="shared" si="30"/>
        <v>8500</v>
      </c>
      <c r="T174" s="99"/>
      <c r="U174" s="158">
        <f t="shared" si="31"/>
        <v>8550</v>
      </c>
      <c r="V174" s="99"/>
      <c r="W174" s="158">
        <f t="shared" si="32"/>
        <v>8600</v>
      </c>
      <c r="X174" s="99"/>
      <c r="Y174" s="158">
        <f t="shared" si="33"/>
        <v>8650</v>
      </c>
      <c r="Z174" s="157"/>
      <c r="AA174" s="158">
        <f t="shared" si="39"/>
        <v>8700</v>
      </c>
      <c r="AB174" s="157"/>
      <c r="AC174" s="158">
        <f t="shared" si="40"/>
        <v>8750</v>
      </c>
      <c r="AD174" s="157"/>
      <c r="AE174" s="158">
        <f t="shared" si="41"/>
        <v>8761</v>
      </c>
      <c r="AF174" s="157"/>
      <c r="AG174" s="158">
        <f t="shared" si="42"/>
        <v>9008</v>
      </c>
      <c r="AH174" s="157"/>
      <c r="AI174" s="158">
        <f t="shared" si="43"/>
        <v>9014</v>
      </c>
      <c r="AJ174" s="157"/>
      <c r="AK174" s="158">
        <f t="shared" si="44"/>
        <v>9018</v>
      </c>
      <c r="AL174" s="157"/>
      <c r="AM174" s="158">
        <f t="shared" si="45"/>
        <v>9060</v>
      </c>
      <c r="AN174" s="157"/>
      <c r="AO174" s="158">
        <f t="shared" si="46"/>
        <v>9062</v>
      </c>
      <c r="AP174" s="157"/>
      <c r="AQ174" s="158">
        <f t="shared" si="47"/>
        <v>9999</v>
      </c>
    </row>
    <row r="175" spans="1:43">
      <c r="A175" s="161" t="s">
        <v>109</v>
      </c>
      <c r="B175" s="162"/>
      <c r="C175" s="160">
        <f>C174+(B175*C174)</f>
        <v>1</v>
      </c>
      <c r="D175" s="157"/>
      <c r="E175" s="158">
        <f>E174*(1+D175)</f>
        <v>8200</v>
      </c>
      <c r="F175" s="157"/>
      <c r="G175" s="158">
        <f>G174*(1+F175)</f>
        <v>8250</v>
      </c>
      <c r="H175" s="157"/>
      <c r="I175" s="158">
        <f>I174*(1+H175)</f>
        <v>8300</v>
      </c>
      <c r="J175" s="157"/>
      <c r="K175" s="158">
        <f>K174*(1+J175)</f>
        <v>8350</v>
      </c>
      <c r="L175" s="157"/>
      <c r="M175" s="158">
        <f>M174*(1+L175)</f>
        <v>8400</v>
      </c>
      <c r="N175" s="99"/>
      <c r="O175" s="158">
        <f>O174*(1+N175)</f>
        <v>8450</v>
      </c>
      <c r="P175" s="99"/>
      <c r="Q175" s="158">
        <f>Q174*(1+P175)</f>
        <v>8499</v>
      </c>
      <c r="R175" s="99"/>
      <c r="S175" s="158">
        <f>S174*(1+R175)</f>
        <v>8500</v>
      </c>
      <c r="T175" s="99"/>
      <c r="U175" s="158">
        <f>U174*(1+T175)</f>
        <v>8550</v>
      </c>
      <c r="V175" s="99"/>
      <c r="W175" s="158">
        <f>W174*(1+V175)</f>
        <v>8600</v>
      </c>
      <c r="X175" s="99"/>
      <c r="Y175" s="158">
        <f>Y174*(1+X175)</f>
        <v>8650</v>
      </c>
      <c r="Z175" s="157"/>
      <c r="AA175" s="158">
        <f>AA174*(1+Z175)</f>
        <v>8700</v>
      </c>
      <c r="AB175" s="157"/>
      <c r="AC175" s="158">
        <f>AC174*(1+AB175)</f>
        <v>8750</v>
      </c>
      <c r="AD175" s="157"/>
      <c r="AE175" s="158">
        <f>AE174*(1+AD175)</f>
        <v>8761</v>
      </c>
      <c r="AF175" s="157"/>
      <c r="AG175" s="158">
        <f>AG174*(1+AF175)</f>
        <v>9008</v>
      </c>
      <c r="AH175" s="157"/>
      <c r="AI175" s="158">
        <f>AI174*(1+AH175)</f>
        <v>9014</v>
      </c>
      <c r="AJ175" s="157"/>
      <c r="AK175" s="158">
        <f>AK174*(1+AJ175)</f>
        <v>9018</v>
      </c>
      <c r="AL175" s="157"/>
      <c r="AM175" s="158">
        <f>AM174*(1+AL175)</f>
        <v>9060</v>
      </c>
      <c r="AN175" s="157"/>
      <c r="AO175" s="158">
        <f>AO174*(1+AN175)</f>
        <v>9062</v>
      </c>
      <c r="AP175" s="157"/>
      <c r="AQ175" s="158">
        <f>AQ174*(1+AP175)</f>
        <v>9999</v>
      </c>
    </row>
    <row r="176" spans="1:43">
      <c r="A176" s="163" t="s">
        <v>13</v>
      </c>
      <c r="B176" s="164"/>
      <c r="C176" s="160">
        <f t="shared" si="27"/>
        <v>1</v>
      </c>
      <c r="D176" s="165">
        <f>SUM(D168:D175)</f>
        <v>0</v>
      </c>
      <c r="E176" s="165"/>
      <c r="F176" s="165">
        <f>SUM(F168:F175)</f>
        <v>0</v>
      </c>
      <c r="G176" s="165"/>
      <c r="H176" s="165">
        <f>SUM(H168:H175)</f>
        <v>0</v>
      </c>
      <c r="I176" s="165"/>
      <c r="J176" s="165">
        <f>SUM(J168:J175)</f>
        <v>0</v>
      </c>
      <c r="K176" s="165"/>
      <c r="L176" s="165">
        <f>SUM(L168:L175)</f>
        <v>0</v>
      </c>
      <c r="M176" s="165"/>
      <c r="N176" s="165">
        <f>SUM(N168:N175)</f>
        <v>0</v>
      </c>
      <c r="O176" s="165"/>
      <c r="P176" s="165">
        <f>SUM(P168:P175)</f>
        <v>0</v>
      </c>
      <c r="Q176" s="165"/>
      <c r="R176" s="165">
        <f>SUM(R168:R175)</f>
        <v>0</v>
      </c>
      <c r="S176" s="165"/>
      <c r="T176" s="165">
        <f>SUM(T168:T175)</f>
        <v>0</v>
      </c>
      <c r="U176" s="165"/>
      <c r="V176" s="165">
        <f>SUM(V168:V175)</f>
        <v>0</v>
      </c>
      <c r="W176" s="165"/>
      <c r="X176" s="165">
        <f>SUM(X168:X175)</f>
        <v>0</v>
      </c>
      <c r="Y176" s="165"/>
      <c r="Z176" s="165">
        <f>SUM(Z168:Z175)</f>
        <v>0</v>
      </c>
      <c r="AA176" s="165"/>
      <c r="AB176" s="165">
        <f>SUM(AB168:AB175)</f>
        <v>0</v>
      </c>
      <c r="AC176" s="165"/>
      <c r="AD176" s="165">
        <f>SUM(AD168:AD175)</f>
        <v>0</v>
      </c>
      <c r="AE176" s="165"/>
      <c r="AF176" s="165">
        <f>SUM(AF168:AF175)</f>
        <v>0</v>
      </c>
      <c r="AG176" s="165"/>
      <c r="AH176" s="165">
        <f>SUM(AH168:AH175)</f>
        <v>0</v>
      </c>
      <c r="AI176" s="165"/>
      <c r="AJ176" s="165">
        <f>SUM(AJ168:AJ175)</f>
        <v>0</v>
      </c>
      <c r="AK176" s="165"/>
      <c r="AL176" s="165">
        <f>SUM(AL168:AL175)</f>
        <v>0</v>
      </c>
      <c r="AM176" s="165"/>
      <c r="AN176" s="165">
        <f>SUM(AN168:AN175)</f>
        <v>0</v>
      </c>
      <c r="AO176" s="165"/>
      <c r="AP176" s="165">
        <f>SUM(AP168:AP175)</f>
        <v>0</v>
      </c>
      <c r="AQ176" s="165"/>
    </row>
    <row r="177" spans="13:42">
      <c r="Z177" s="136"/>
      <c r="AA177" s="136"/>
      <c r="AB177" s="1"/>
      <c r="AD177" s="1"/>
      <c r="AF177" s="1"/>
      <c r="AH177" s="1"/>
      <c r="AJ177" s="1"/>
      <c r="AL177" s="1"/>
      <c r="AN177" s="1"/>
      <c r="AP177" s="1"/>
    </row>
    <row r="178" spans="13:42" ht="15.95">
      <c r="M178" s="166"/>
      <c r="Z178" s="136"/>
      <c r="AA178" s="136"/>
      <c r="AB178" s="1"/>
      <c r="AD178" s="1"/>
      <c r="AF178" s="1"/>
      <c r="AH178" s="1"/>
      <c r="AJ178" s="1"/>
      <c r="AL178" s="1"/>
      <c r="AN178" s="1"/>
      <c r="AP178" s="1"/>
    </row>
    <row r="179" spans="13:42">
      <c r="M179" s="131"/>
      <c r="N179" s="131"/>
      <c r="Z179" s="136"/>
      <c r="AA179" s="136"/>
      <c r="AB179" s="1"/>
      <c r="AD179" s="1"/>
      <c r="AF179" s="1"/>
      <c r="AH179" s="1"/>
      <c r="AJ179" s="1"/>
      <c r="AL179" s="1"/>
      <c r="AN179" s="1"/>
      <c r="AP179" s="1"/>
    </row>
    <row r="180" spans="13:42">
      <c r="Z180" s="136"/>
      <c r="AA180" s="136"/>
      <c r="AB180" s="1"/>
      <c r="AD180" s="1"/>
      <c r="AF180" s="1"/>
      <c r="AH180" s="1"/>
      <c r="AJ180" s="1"/>
      <c r="AL180" s="1"/>
      <c r="AN180" s="1"/>
      <c r="AP180" s="1"/>
    </row>
    <row r="181" spans="13:42">
      <c r="N181" s="133"/>
      <c r="Z181" s="136"/>
      <c r="AA181" s="136"/>
      <c r="AB181" s="1"/>
      <c r="AD181" s="1"/>
      <c r="AF181" s="1"/>
      <c r="AH181" s="1"/>
      <c r="AJ181" s="1"/>
      <c r="AL181" s="1"/>
      <c r="AN181" s="1"/>
      <c r="AP181" s="1"/>
    </row>
    <row r="182" spans="13:42">
      <c r="Z182" s="136"/>
      <c r="AA182" s="136"/>
      <c r="AB182" s="1"/>
      <c r="AD182" s="1"/>
      <c r="AF182" s="1"/>
      <c r="AH182" s="1"/>
      <c r="AJ182" s="1"/>
      <c r="AL182" s="1"/>
      <c r="AN182" s="1"/>
      <c r="AP182" s="1"/>
    </row>
    <row r="183" spans="13:42">
      <c r="Z183" s="136"/>
      <c r="AA183" s="136"/>
      <c r="AB183" s="1"/>
      <c r="AD183" s="1"/>
      <c r="AF183" s="1"/>
      <c r="AH183" s="1"/>
      <c r="AJ183" s="1"/>
      <c r="AL183" s="1"/>
      <c r="AN183" s="1"/>
      <c r="AP183" s="1"/>
    </row>
    <row r="184" spans="13:42">
      <c r="Z184" s="136"/>
      <c r="AA184" s="136"/>
      <c r="AB184" s="1"/>
      <c r="AD184" s="1"/>
      <c r="AF184" s="1"/>
      <c r="AH184" s="1"/>
      <c r="AJ184" s="1"/>
      <c r="AL184" s="1"/>
      <c r="AN184" s="1"/>
      <c r="AP184" s="1"/>
    </row>
    <row r="185" spans="13:42">
      <c r="Z185" s="136"/>
      <c r="AA185" s="136"/>
      <c r="AB185" s="1"/>
      <c r="AD185" s="1"/>
      <c r="AF185" s="1"/>
      <c r="AH185" s="1"/>
      <c r="AJ185" s="1"/>
      <c r="AL185" s="1"/>
      <c r="AN185" s="1"/>
      <c r="AP185" s="1"/>
    </row>
    <row r="186" spans="13:42">
      <c r="Z186" s="136"/>
      <c r="AA186" s="136"/>
      <c r="AB186" s="1"/>
      <c r="AD186" s="1"/>
      <c r="AF186" s="1"/>
      <c r="AH186" s="1"/>
      <c r="AJ186" s="1"/>
      <c r="AL186" s="1"/>
      <c r="AN186" s="1"/>
      <c r="AP186" s="1"/>
    </row>
    <row r="187" spans="13:42">
      <c r="Z187" s="136"/>
      <c r="AA187" s="136"/>
      <c r="AB187" s="1"/>
      <c r="AD187" s="1"/>
      <c r="AF187" s="1"/>
      <c r="AH187" s="1"/>
      <c r="AJ187" s="1"/>
      <c r="AL187" s="1"/>
      <c r="AN187" s="1"/>
      <c r="AP187" s="1"/>
    </row>
    <row r="188" spans="13:42">
      <c r="Z188" s="136"/>
      <c r="AA188" s="136"/>
      <c r="AB188" s="1"/>
      <c r="AD188" s="1"/>
      <c r="AF188" s="1"/>
      <c r="AH188" s="1"/>
      <c r="AJ188" s="1"/>
      <c r="AL188" s="1"/>
      <c r="AN188" s="1"/>
      <c r="AP188" s="1"/>
    </row>
    <row r="189" spans="13:42">
      <c r="Z189" s="136"/>
      <c r="AA189" s="136"/>
      <c r="AB189" s="1"/>
      <c r="AD189" s="1"/>
      <c r="AF189" s="1"/>
      <c r="AH189" s="1"/>
      <c r="AJ189" s="1"/>
      <c r="AL189" s="1"/>
      <c r="AN189" s="1"/>
      <c r="AP189" s="1"/>
    </row>
    <row r="190" spans="13:42">
      <c r="Z190" s="136"/>
      <c r="AA190" s="136"/>
      <c r="AB190" s="1"/>
      <c r="AD190" s="1"/>
      <c r="AF190" s="1"/>
      <c r="AH190" s="1"/>
      <c r="AJ190" s="1"/>
      <c r="AL190" s="1"/>
      <c r="AN190" s="1"/>
      <c r="AP190" s="1"/>
    </row>
    <row r="191" spans="13:42">
      <c r="Z191" s="136"/>
      <c r="AA191" s="136"/>
      <c r="AB191" s="1"/>
      <c r="AD191" s="1"/>
      <c r="AF191" s="1"/>
      <c r="AH191" s="1"/>
      <c r="AJ191" s="1"/>
      <c r="AL191" s="1"/>
      <c r="AN191" s="1"/>
      <c r="AP191" s="1"/>
    </row>
    <row r="192" spans="13:42">
      <c r="Z192" s="136"/>
      <c r="AA192" s="136"/>
      <c r="AB192" s="1"/>
      <c r="AD192" s="1"/>
      <c r="AF192" s="1"/>
      <c r="AH192" s="1"/>
      <c r="AJ192" s="1"/>
      <c r="AL192" s="1"/>
      <c r="AN192" s="1"/>
      <c r="AP192" s="1"/>
    </row>
    <row r="193" spans="26:42">
      <c r="Z193" s="136"/>
      <c r="AA193" s="136"/>
      <c r="AB193" s="1"/>
      <c r="AD193" s="1"/>
      <c r="AF193" s="1"/>
      <c r="AH193" s="1"/>
      <c r="AJ193" s="1"/>
      <c r="AL193" s="1"/>
      <c r="AN193" s="1"/>
      <c r="AP193" s="1"/>
    </row>
    <row r="194" spans="26:42">
      <c r="Z194" s="136"/>
      <c r="AA194" s="136"/>
      <c r="AB194" s="1"/>
      <c r="AD194" s="1"/>
      <c r="AF194" s="1"/>
      <c r="AH194" s="1"/>
      <c r="AJ194" s="1"/>
      <c r="AL194" s="1"/>
      <c r="AN194" s="1"/>
      <c r="AP194" s="1"/>
    </row>
    <row r="195" spans="26:42">
      <c r="Z195" s="136"/>
      <c r="AA195" s="136"/>
      <c r="AB195" s="1"/>
      <c r="AD195" s="1"/>
      <c r="AF195" s="1"/>
      <c r="AH195" s="1"/>
      <c r="AJ195" s="1"/>
      <c r="AL195" s="1"/>
      <c r="AN195" s="1"/>
      <c r="AP195" s="1"/>
    </row>
    <row r="196" spans="26:42">
      <c r="Z196" s="136"/>
      <c r="AA196" s="136"/>
      <c r="AB196" s="1"/>
      <c r="AD196" s="1"/>
      <c r="AF196" s="1"/>
      <c r="AH196" s="1"/>
      <c r="AJ196" s="1"/>
      <c r="AL196" s="1"/>
      <c r="AN196" s="1"/>
      <c r="AP196" s="1"/>
    </row>
    <row r="197" spans="26:42">
      <c r="Z197" s="136"/>
      <c r="AA197" s="136"/>
      <c r="AB197" s="1"/>
      <c r="AD197" s="1"/>
      <c r="AF197" s="1"/>
      <c r="AH197" s="1"/>
      <c r="AJ197" s="1"/>
      <c r="AL197" s="1"/>
      <c r="AN197" s="1"/>
      <c r="AP197" s="1"/>
    </row>
    <row r="198" spans="26:42">
      <c r="Z198" s="136"/>
      <c r="AA198" s="136"/>
      <c r="AB198" s="1"/>
      <c r="AD198" s="1"/>
      <c r="AF198" s="1"/>
      <c r="AH198" s="1"/>
      <c r="AJ198" s="1"/>
      <c r="AL198" s="1"/>
      <c r="AN198" s="1"/>
      <c r="AP198" s="1"/>
    </row>
    <row r="199" spans="26:42">
      <c r="Z199" s="136"/>
      <c r="AA199" s="136"/>
      <c r="AB199" s="1"/>
      <c r="AD199" s="1"/>
      <c r="AF199" s="1"/>
      <c r="AH199" s="1"/>
      <c r="AJ199" s="1"/>
      <c r="AL199" s="1"/>
      <c r="AN199" s="1"/>
      <c r="AP199" s="1"/>
    </row>
    <row r="200" spans="26:42">
      <c r="Z200" s="136"/>
      <c r="AA200" s="136"/>
      <c r="AB200" s="1"/>
      <c r="AD200" s="1"/>
      <c r="AF200" s="1"/>
      <c r="AH200" s="1"/>
      <c r="AJ200" s="1"/>
      <c r="AL200" s="1"/>
      <c r="AN200" s="1"/>
      <c r="AP200" s="1"/>
    </row>
    <row r="201" spans="26:42">
      <c r="Z201" s="136"/>
      <c r="AA201" s="136"/>
      <c r="AB201" s="1"/>
      <c r="AD201" s="1"/>
      <c r="AF201" s="1"/>
      <c r="AH201" s="1"/>
      <c r="AJ201" s="1"/>
      <c r="AL201" s="1"/>
      <c r="AN201" s="1"/>
      <c r="AP201" s="1"/>
    </row>
    <row r="202" spans="26:42">
      <c r="Z202" s="136"/>
      <c r="AA202" s="136"/>
      <c r="AB202" s="1"/>
      <c r="AD202" s="1"/>
      <c r="AF202" s="1"/>
      <c r="AH202" s="1"/>
      <c r="AJ202" s="1"/>
      <c r="AL202" s="1"/>
      <c r="AN202" s="1"/>
      <c r="AP202" s="1"/>
    </row>
    <row r="203" spans="26:42">
      <c r="Z203" s="136"/>
      <c r="AA203" s="136"/>
      <c r="AB203" s="1"/>
      <c r="AD203" s="1"/>
      <c r="AF203" s="1"/>
      <c r="AH203" s="1"/>
      <c r="AJ203" s="1"/>
      <c r="AL203" s="1"/>
      <c r="AN203" s="1"/>
      <c r="AP203" s="1"/>
    </row>
    <row r="204" spans="26:42">
      <c r="Z204" s="136"/>
      <c r="AA204" s="136"/>
      <c r="AB204" s="1"/>
      <c r="AD204" s="1"/>
      <c r="AF204" s="1"/>
      <c r="AH204" s="1"/>
      <c r="AJ204" s="1"/>
      <c r="AL204" s="1"/>
      <c r="AN204" s="1"/>
      <c r="AP204" s="1"/>
    </row>
    <row r="205" spans="26:42">
      <c r="Z205" s="136"/>
      <c r="AA205" s="136"/>
      <c r="AB205" s="1"/>
      <c r="AD205" s="1"/>
      <c r="AF205" s="1"/>
      <c r="AH205" s="1"/>
      <c r="AJ205" s="1"/>
      <c r="AL205" s="1"/>
      <c r="AN205" s="1"/>
      <c r="AP205" s="1"/>
    </row>
    <row r="206" spans="26:42">
      <c r="Z206" s="136"/>
      <c r="AA206" s="136"/>
      <c r="AB206" s="1"/>
      <c r="AD206" s="1"/>
      <c r="AF206" s="1"/>
      <c r="AH206" s="1"/>
      <c r="AJ206" s="1"/>
      <c r="AL206" s="1"/>
      <c r="AN206" s="1"/>
      <c r="AP206" s="1"/>
    </row>
    <row r="207" spans="26:42">
      <c r="Z207" s="136"/>
      <c r="AA207" s="136"/>
      <c r="AB207" s="1"/>
      <c r="AD207" s="1"/>
      <c r="AF207" s="1"/>
      <c r="AH207" s="1"/>
      <c r="AJ207" s="1"/>
      <c r="AL207" s="1"/>
      <c r="AN207" s="1"/>
      <c r="AP207" s="1"/>
    </row>
    <row r="208" spans="26:42">
      <c r="Z208" s="136"/>
      <c r="AA208" s="136"/>
      <c r="AB208" s="1"/>
      <c r="AD208" s="1"/>
      <c r="AF208" s="1"/>
      <c r="AH208" s="1"/>
      <c r="AJ208" s="1"/>
      <c r="AL208" s="1"/>
      <c r="AN208" s="1"/>
      <c r="AP208" s="1"/>
    </row>
    <row r="209" spans="26:42">
      <c r="Z209" s="136"/>
      <c r="AA209" s="136"/>
      <c r="AB209" s="1"/>
      <c r="AD209" s="1"/>
      <c r="AF209" s="1"/>
      <c r="AH209" s="1"/>
      <c r="AJ209" s="1"/>
      <c r="AL209" s="1"/>
      <c r="AN209" s="1"/>
      <c r="AP209" s="1"/>
    </row>
    <row r="210" spans="26:42">
      <c r="Z210" s="136"/>
      <c r="AA210" s="136"/>
      <c r="AB210" s="1"/>
      <c r="AD210" s="1"/>
      <c r="AF210" s="1"/>
      <c r="AH210" s="1"/>
      <c r="AJ210" s="1"/>
      <c r="AL210" s="1"/>
      <c r="AN210" s="1"/>
      <c r="AP210" s="1"/>
    </row>
    <row r="211" spans="26:42">
      <c r="Z211" s="136"/>
      <c r="AA211" s="136"/>
      <c r="AB211" s="1"/>
      <c r="AD211" s="1"/>
      <c r="AF211" s="1"/>
      <c r="AH211" s="1"/>
      <c r="AJ211" s="1"/>
      <c r="AL211" s="1"/>
      <c r="AN211" s="1"/>
      <c r="AP211" s="1"/>
    </row>
    <row r="212" spans="26:42">
      <c r="Z212" s="136"/>
      <c r="AA212" s="136"/>
      <c r="AB212" s="1"/>
      <c r="AD212" s="1"/>
      <c r="AF212" s="1"/>
      <c r="AH212" s="1"/>
      <c r="AJ212" s="1"/>
      <c r="AL212" s="1"/>
      <c r="AN212" s="1"/>
      <c r="AP212" s="1"/>
    </row>
    <row r="213" spans="26:42">
      <c r="Z213" s="136"/>
      <c r="AA213" s="136"/>
      <c r="AB213" s="1"/>
      <c r="AD213" s="1"/>
      <c r="AF213" s="1"/>
      <c r="AH213" s="1"/>
      <c r="AJ213" s="1"/>
      <c r="AL213" s="1"/>
      <c r="AN213" s="1"/>
      <c r="AP213" s="1"/>
    </row>
    <row r="214" spans="26:42">
      <c r="Z214" s="136"/>
      <c r="AA214" s="136"/>
      <c r="AB214" s="1"/>
      <c r="AD214" s="1"/>
      <c r="AF214" s="1"/>
      <c r="AH214" s="1"/>
      <c r="AJ214" s="1"/>
      <c r="AL214" s="1"/>
      <c r="AN214" s="1"/>
      <c r="AP214" s="1"/>
    </row>
    <row r="215" spans="26:42">
      <c r="Z215" s="136"/>
      <c r="AA215" s="136"/>
      <c r="AB215" s="1"/>
      <c r="AD215" s="1"/>
      <c r="AF215" s="1"/>
      <c r="AH215" s="1"/>
      <c r="AJ215" s="1"/>
      <c r="AL215" s="1"/>
      <c r="AN215" s="1"/>
      <c r="AP215" s="1"/>
    </row>
    <row r="216" spans="26:42">
      <c r="Z216" s="136"/>
      <c r="AA216" s="136"/>
      <c r="AB216" s="1"/>
      <c r="AD216" s="1"/>
      <c r="AF216" s="1"/>
      <c r="AH216" s="1"/>
      <c r="AJ216" s="1"/>
      <c r="AL216" s="1"/>
      <c r="AN216" s="1"/>
      <c r="AP216" s="1"/>
    </row>
    <row r="217" spans="26:42">
      <c r="Z217" s="136"/>
      <c r="AA217" s="136"/>
      <c r="AB217" s="1"/>
      <c r="AD217" s="1"/>
      <c r="AF217" s="1"/>
      <c r="AH217" s="1"/>
      <c r="AJ217" s="1"/>
      <c r="AL217" s="1"/>
      <c r="AN217" s="1"/>
      <c r="AP217" s="1"/>
    </row>
    <row r="218" spans="26:42">
      <c r="Z218" s="136"/>
      <c r="AA218" s="136"/>
      <c r="AB218" s="1"/>
      <c r="AD218" s="1"/>
      <c r="AF218" s="1"/>
      <c r="AH218" s="1"/>
      <c r="AJ218" s="1"/>
      <c r="AL218" s="1"/>
      <c r="AN218" s="1"/>
      <c r="AP218" s="1"/>
    </row>
    <row r="219" spans="26:42">
      <c r="Z219" s="136"/>
      <c r="AA219" s="136"/>
      <c r="AB219" s="1"/>
      <c r="AD219" s="1"/>
      <c r="AF219" s="1"/>
      <c r="AH219" s="1"/>
      <c r="AJ219" s="1"/>
      <c r="AL219" s="1"/>
      <c r="AN219" s="1"/>
      <c r="AP219" s="1"/>
    </row>
    <row r="220" spans="26:42">
      <c r="Z220" s="136"/>
      <c r="AA220" s="136"/>
      <c r="AB220" s="1"/>
      <c r="AD220" s="1"/>
      <c r="AF220" s="1"/>
      <c r="AH220" s="1"/>
      <c r="AJ220" s="1"/>
      <c r="AL220" s="1"/>
      <c r="AN220" s="1"/>
      <c r="AP220" s="1"/>
    </row>
    <row r="221" spans="26:42">
      <c r="Z221" s="136"/>
      <c r="AA221" s="136"/>
      <c r="AB221" s="1"/>
      <c r="AD221" s="1"/>
      <c r="AF221" s="1"/>
      <c r="AH221" s="1"/>
      <c r="AJ221" s="1"/>
      <c r="AL221" s="1"/>
      <c r="AN221" s="1"/>
      <c r="AP221" s="1"/>
    </row>
    <row r="222" spans="26:42">
      <c r="Z222" s="136"/>
      <c r="AA222" s="136"/>
      <c r="AB222" s="1"/>
      <c r="AD222" s="1"/>
      <c r="AF222" s="1"/>
      <c r="AH222" s="1"/>
      <c r="AJ222" s="1"/>
      <c r="AL222" s="1"/>
      <c r="AN222" s="1"/>
      <c r="AP222" s="1"/>
    </row>
    <row r="223" spans="26:42">
      <c r="Z223" s="136"/>
      <c r="AA223" s="136"/>
      <c r="AB223" s="1"/>
      <c r="AD223" s="1"/>
      <c r="AF223" s="1"/>
      <c r="AH223" s="1"/>
      <c r="AJ223" s="1"/>
      <c r="AL223" s="1"/>
      <c r="AN223" s="1"/>
      <c r="AP223" s="1"/>
    </row>
    <row r="224" spans="26:42">
      <c r="Z224" s="136"/>
      <c r="AA224" s="136"/>
      <c r="AB224" s="1"/>
      <c r="AD224" s="1"/>
      <c r="AF224" s="1"/>
      <c r="AH224" s="1"/>
      <c r="AJ224" s="1"/>
      <c r="AL224" s="1"/>
      <c r="AN224" s="1"/>
      <c r="AP224" s="1"/>
    </row>
    <row r="225" spans="26:42">
      <c r="Z225" s="136"/>
      <c r="AA225" s="136"/>
      <c r="AB225" s="1"/>
      <c r="AD225" s="1"/>
      <c r="AF225" s="1"/>
      <c r="AH225" s="1"/>
      <c r="AJ225" s="1"/>
      <c r="AL225" s="1"/>
      <c r="AN225" s="1"/>
      <c r="AP225" s="1"/>
    </row>
    <row r="226" spans="26:42">
      <c r="Z226" s="136"/>
      <c r="AA226" s="136"/>
      <c r="AB226" s="1"/>
      <c r="AD226" s="1"/>
      <c r="AF226" s="1"/>
      <c r="AH226" s="1"/>
      <c r="AJ226" s="1"/>
      <c r="AL226" s="1"/>
      <c r="AN226" s="1"/>
      <c r="AP226" s="1"/>
    </row>
    <row r="227" spans="26:42">
      <c r="Z227" s="136"/>
      <c r="AA227" s="136"/>
      <c r="AB227" s="1"/>
      <c r="AD227" s="1"/>
      <c r="AF227" s="1"/>
      <c r="AH227" s="1"/>
      <c r="AJ227" s="1"/>
      <c r="AL227" s="1"/>
      <c r="AN227" s="1"/>
      <c r="AP227" s="1"/>
    </row>
    <row r="228" spans="26:42">
      <c r="Z228" s="136"/>
      <c r="AA228" s="136"/>
      <c r="AB228" s="1"/>
      <c r="AD228" s="1"/>
      <c r="AF228" s="1"/>
      <c r="AH228" s="1"/>
      <c r="AJ228" s="1"/>
      <c r="AL228" s="1"/>
      <c r="AN228" s="1"/>
      <c r="AP228" s="1"/>
    </row>
    <row r="229" spans="26:42">
      <c r="Z229" s="136"/>
      <c r="AA229" s="136"/>
      <c r="AB229" s="1"/>
      <c r="AD229" s="1"/>
      <c r="AF229" s="1"/>
      <c r="AH229" s="1"/>
      <c r="AJ229" s="1"/>
      <c r="AL229" s="1"/>
      <c r="AN229" s="1"/>
      <c r="AP229" s="1"/>
    </row>
    <row r="230" spans="26:42">
      <c r="Z230" s="136"/>
      <c r="AA230" s="136"/>
      <c r="AB230" s="1"/>
      <c r="AD230" s="1"/>
      <c r="AF230" s="1"/>
      <c r="AH230" s="1"/>
      <c r="AJ230" s="1"/>
      <c r="AL230" s="1"/>
      <c r="AN230" s="1"/>
      <c r="AP230" s="1"/>
    </row>
    <row r="231" spans="26:42">
      <c r="Z231" s="136"/>
      <c r="AA231" s="136"/>
      <c r="AB231" s="1"/>
      <c r="AD231" s="1"/>
      <c r="AF231" s="1"/>
      <c r="AH231" s="1"/>
      <c r="AJ231" s="1"/>
      <c r="AL231" s="1"/>
      <c r="AN231" s="1"/>
      <c r="AP231" s="1"/>
    </row>
    <row r="232" spans="26:42">
      <c r="Z232" s="136"/>
      <c r="AA232" s="136"/>
      <c r="AB232" s="1"/>
      <c r="AD232" s="1"/>
      <c r="AF232" s="1"/>
      <c r="AH232" s="1"/>
      <c r="AJ232" s="1"/>
      <c r="AL232" s="1"/>
      <c r="AN232" s="1"/>
      <c r="AP232" s="1"/>
    </row>
    <row r="233" spans="26:42">
      <c r="Z233" s="136"/>
      <c r="AA233" s="136"/>
      <c r="AB233" s="1"/>
      <c r="AD233" s="1"/>
      <c r="AF233" s="1"/>
      <c r="AH233" s="1"/>
      <c r="AJ233" s="1"/>
      <c r="AL233" s="1"/>
      <c r="AN233" s="1"/>
      <c r="AP233" s="1"/>
    </row>
    <row r="234" spans="26:42">
      <c r="Z234" s="136"/>
      <c r="AA234" s="136"/>
      <c r="AB234" s="1"/>
      <c r="AD234" s="1"/>
      <c r="AF234" s="1"/>
      <c r="AH234" s="1"/>
      <c r="AJ234" s="1"/>
      <c r="AL234" s="1"/>
      <c r="AN234" s="1"/>
      <c r="AP234" s="1"/>
    </row>
    <row r="235" spans="26:42">
      <c r="Z235" s="136"/>
      <c r="AA235" s="136"/>
      <c r="AB235" s="1"/>
      <c r="AD235" s="1"/>
      <c r="AF235" s="1"/>
      <c r="AH235" s="1"/>
      <c r="AJ235" s="1"/>
      <c r="AL235" s="1"/>
      <c r="AN235" s="1"/>
      <c r="AP235" s="1"/>
    </row>
    <row r="236" spans="26:42">
      <c r="Z236" s="136"/>
      <c r="AA236" s="136"/>
      <c r="AB236" s="1"/>
      <c r="AD236" s="1"/>
      <c r="AF236" s="1"/>
      <c r="AH236" s="1"/>
      <c r="AJ236" s="1"/>
      <c r="AL236" s="1"/>
      <c r="AN236" s="1"/>
      <c r="AP236" s="1"/>
    </row>
    <row r="237" spans="26:42">
      <c r="Z237" s="136"/>
      <c r="AA237" s="136"/>
      <c r="AB237" s="1"/>
      <c r="AD237" s="1"/>
      <c r="AF237" s="1"/>
      <c r="AH237" s="1"/>
      <c r="AJ237" s="1"/>
      <c r="AL237" s="1"/>
      <c r="AN237" s="1"/>
      <c r="AP237" s="1"/>
    </row>
    <row r="238" spans="26:42">
      <c r="Z238" s="136"/>
      <c r="AA238" s="136"/>
      <c r="AB238" s="1"/>
      <c r="AD238" s="1"/>
      <c r="AF238" s="1"/>
      <c r="AH238" s="1"/>
      <c r="AJ238" s="1"/>
      <c r="AL238" s="1"/>
      <c r="AN238" s="1"/>
      <c r="AP238" s="1"/>
    </row>
    <row r="239" spans="26:42">
      <c r="Z239" s="136"/>
      <c r="AA239" s="136"/>
      <c r="AB239" s="1"/>
      <c r="AD239" s="1"/>
      <c r="AF239" s="1"/>
      <c r="AH239" s="1"/>
      <c r="AJ239" s="1"/>
      <c r="AL239" s="1"/>
      <c r="AN239" s="1"/>
      <c r="AP239" s="1"/>
    </row>
    <row r="240" spans="26:42">
      <c r="Z240" s="136"/>
      <c r="AA240" s="136"/>
      <c r="AB240" s="1"/>
      <c r="AD240" s="1"/>
      <c r="AF240" s="1"/>
      <c r="AH240" s="1"/>
      <c r="AJ240" s="1"/>
      <c r="AL240" s="1"/>
      <c r="AN240" s="1"/>
      <c r="AP240" s="1"/>
    </row>
    <row r="241" spans="26:42">
      <c r="Z241" s="136"/>
      <c r="AA241" s="136"/>
      <c r="AB241" s="1"/>
      <c r="AD241" s="1"/>
      <c r="AF241" s="1"/>
      <c r="AH241" s="1"/>
      <c r="AJ241" s="1"/>
      <c r="AL241" s="1"/>
      <c r="AN241" s="1"/>
      <c r="AP241" s="1"/>
    </row>
    <row r="242" spans="26:42">
      <c r="Z242" s="136"/>
      <c r="AA242" s="136"/>
      <c r="AB242" s="1"/>
      <c r="AD242" s="1"/>
      <c r="AF242" s="1"/>
      <c r="AH242" s="1"/>
      <c r="AJ242" s="1"/>
      <c r="AL242" s="1"/>
      <c r="AN242" s="1"/>
      <c r="AP242" s="1"/>
    </row>
    <row r="243" spans="26:42">
      <c r="Z243" s="136"/>
      <c r="AA243" s="136"/>
      <c r="AB243" s="1"/>
      <c r="AD243" s="1"/>
      <c r="AF243" s="1"/>
      <c r="AH243" s="1"/>
      <c r="AJ243" s="1"/>
      <c r="AL243" s="1"/>
      <c r="AN243" s="1"/>
      <c r="AP243" s="1"/>
    </row>
    <row r="244" spans="26:42">
      <c r="Z244" s="136"/>
      <c r="AA244" s="136"/>
      <c r="AB244" s="1"/>
      <c r="AD244" s="1"/>
      <c r="AF244" s="1"/>
      <c r="AH244" s="1"/>
      <c r="AJ244" s="1"/>
      <c r="AL244" s="1"/>
      <c r="AN244" s="1"/>
      <c r="AP244" s="1"/>
    </row>
    <row r="245" spans="26:42">
      <c r="Z245" s="136"/>
      <c r="AA245" s="136"/>
      <c r="AB245" s="1"/>
      <c r="AD245" s="1"/>
      <c r="AF245" s="1"/>
      <c r="AH245" s="1"/>
      <c r="AJ245" s="1"/>
      <c r="AL245" s="1"/>
      <c r="AN245" s="1"/>
      <c r="AP245" s="1"/>
    </row>
    <row r="246" spans="26:42">
      <c r="Z246" s="136"/>
      <c r="AA246" s="136"/>
      <c r="AB246" s="1"/>
      <c r="AD246" s="1"/>
      <c r="AF246" s="1"/>
      <c r="AH246" s="1"/>
      <c r="AJ246" s="1"/>
      <c r="AL246" s="1"/>
      <c r="AN246" s="1"/>
      <c r="AP246" s="1"/>
    </row>
    <row r="247" spans="26:42">
      <c r="Z247" s="136"/>
      <c r="AA247" s="136"/>
      <c r="AB247" s="1"/>
      <c r="AD247" s="1"/>
      <c r="AF247" s="1"/>
      <c r="AH247" s="1"/>
      <c r="AJ247" s="1"/>
      <c r="AL247" s="1"/>
      <c r="AN247" s="1"/>
      <c r="AP247" s="1"/>
    </row>
    <row r="248" spans="26:42">
      <c r="Z248" s="136"/>
      <c r="AA248" s="136"/>
      <c r="AB248" s="1"/>
      <c r="AD248" s="1"/>
      <c r="AF248" s="1"/>
      <c r="AH248" s="1"/>
      <c r="AJ248" s="1"/>
      <c r="AL248" s="1"/>
      <c r="AN248" s="1"/>
      <c r="AP248" s="1"/>
    </row>
    <row r="249" spans="26:42">
      <c r="Z249" s="136"/>
      <c r="AA249" s="136"/>
      <c r="AB249" s="1"/>
      <c r="AD249" s="1"/>
      <c r="AF249" s="1"/>
      <c r="AH249" s="1"/>
      <c r="AJ249" s="1"/>
      <c r="AL249" s="1"/>
      <c r="AN249" s="1"/>
      <c r="AP249" s="1"/>
    </row>
    <row r="250" spans="26:42">
      <c r="Z250" s="136"/>
      <c r="AA250" s="136"/>
      <c r="AB250" s="1"/>
      <c r="AD250" s="1"/>
      <c r="AF250" s="1"/>
      <c r="AH250" s="1"/>
      <c r="AJ250" s="1"/>
      <c r="AL250" s="1"/>
      <c r="AN250" s="1"/>
      <c r="AP250" s="1"/>
    </row>
    <row r="251" spans="26:42">
      <c r="Z251" s="136"/>
      <c r="AA251" s="136"/>
      <c r="AB251" s="1"/>
      <c r="AD251" s="1"/>
      <c r="AF251" s="1"/>
      <c r="AH251" s="1"/>
      <c r="AJ251" s="1"/>
      <c r="AL251" s="1"/>
      <c r="AN251" s="1"/>
      <c r="AP251" s="1"/>
    </row>
    <row r="252" spans="26:42">
      <c r="Z252" s="136"/>
      <c r="AA252" s="136"/>
      <c r="AB252" s="1"/>
      <c r="AD252" s="1"/>
      <c r="AF252" s="1"/>
      <c r="AH252" s="1"/>
      <c r="AJ252" s="1"/>
      <c r="AL252" s="1"/>
      <c r="AN252" s="1"/>
      <c r="AP252" s="1"/>
    </row>
    <row r="253" spans="26:42">
      <c r="Z253" s="136"/>
      <c r="AA253" s="136"/>
      <c r="AB253" s="1"/>
      <c r="AD253" s="1"/>
      <c r="AF253" s="1"/>
      <c r="AH253" s="1"/>
      <c r="AJ253" s="1"/>
      <c r="AL253" s="1"/>
      <c r="AN253" s="1"/>
      <c r="AP253" s="1"/>
    </row>
    <row r="254" spans="26:42">
      <c r="Z254" s="136"/>
      <c r="AA254" s="136"/>
      <c r="AB254" s="1"/>
      <c r="AD254" s="1"/>
      <c r="AF254" s="1"/>
      <c r="AH254" s="1"/>
      <c r="AJ254" s="1"/>
      <c r="AL254" s="1"/>
      <c r="AN254" s="1"/>
      <c r="AP254" s="1"/>
    </row>
    <row r="255" spans="26:42">
      <c r="Z255" s="136"/>
      <c r="AA255" s="136"/>
      <c r="AB255" s="1"/>
      <c r="AD255" s="1"/>
      <c r="AF255" s="1"/>
      <c r="AH255" s="1"/>
      <c r="AJ255" s="1"/>
      <c r="AL255" s="1"/>
      <c r="AN255" s="1"/>
      <c r="AP255" s="1"/>
    </row>
    <row r="256" spans="26:42">
      <c r="Z256" s="136"/>
      <c r="AA256" s="136"/>
      <c r="AB256" s="1"/>
      <c r="AD256" s="1"/>
      <c r="AF256" s="1"/>
      <c r="AH256" s="1"/>
      <c r="AJ256" s="1"/>
      <c r="AL256" s="1"/>
      <c r="AN256" s="1"/>
      <c r="AP256" s="1"/>
    </row>
    <row r="257" spans="26:42">
      <c r="Z257" s="136"/>
      <c r="AA257" s="136"/>
      <c r="AB257" s="1"/>
      <c r="AD257" s="1"/>
      <c r="AF257" s="1"/>
      <c r="AH257" s="1"/>
      <c r="AJ257" s="1"/>
      <c r="AL257" s="1"/>
      <c r="AN257" s="1"/>
      <c r="AP257" s="1"/>
    </row>
    <row r="258" spans="26:42">
      <c r="Z258" s="136"/>
      <c r="AA258" s="136"/>
      <c r="AB258" s="1"/>
      <c r="AD258" s="1"/>
      <c r="AF258" s="1"/>
      <c r="AH258" s="1"/>
      <c r="AJ258" s="1"/>
      <c r="AL258" s="1"/>
      <c r="AN258" s="1"/>
      <c r="AP258" s="1"/>
    </row>
    <row r="259" spans="26:42">
      <c r="Z259" s="136"/>
      <c r="AA259" s="136"/>
      <c r="AB259" s="1"/>
      <c r="AD259" s="1"/>
      <c r="AF259" s="1"/>
      <c r="AH259" s="1"/>
      <c r="AJ259" s="1"/>
      <c r="AL259" s="1"/>
      <c r="AN259" s="1"/>
      <c r="AP259" s="1"/>
    </row>
    <row r="260" spans="26:42">
      <c r="Z260" s="136"/>
      <c r="AA260" s="136"/>
      <c r="AB260" s="1"/>
      <c r="AD260" s="1"/>
      <c r="AF260" s="1"/>
      <c r="AH260" s="1"/>
      <c r="AJ260" s="1"/>
      <c r="AL260" s="1"/>
      <c r="AN260" s="1"/>
      <c r="AP260" s="1"/>
    </row>
    <row r="261" spans="26:42">
      <c r="Z261" s="136"/>
      <c r="AA261" s="136"/>
      <c r="AB261" s="1"/>
      <c r="AD261" s="1"/>
      <c r="AF261" s="1"/>
      <c r="AH261" s="1"/>
      <c r="AJ261" s="1"/>
      <c r="AL261" s="1"/>
      <c r="AN261" s="1"/>
      <c r="AP261" s="1"/>
    </row>
    <row r="262" spans="26:42">
      <c r="Z262" s="136"/>
      <c r="AA262" s="136"/>
      <c r="AB262" s="1"/>
      <c r="AD262" s="1"/>
      <c r="AF262" s="1"/>
      <c r="AH262" s="1"/>
      <c r="AJ262" s="1"/>
      <c r="AL262" s="1"/>
      <c r="AN262" s="1"/>
      <c r="AP262" s="1"/>
    </row>
    <row r="263" spans="26:42">
      <c r="Z263" s="136"/>
      <c r="AA263" s="136"/>
      <c r="AB263" s="1"/>
      <c r="AD263" s="1"/>
      <c r="AF263" s="1"/>
      <c r="AH263" s="1"/>
      <c r="AJ263" s="1"/>
      <c r="AL263" s="1"/>
      <c r="AN263" s="1"/>
      <c r="AP263" s="1"/>
    </row>
    <row r="264" spans="26:42">
      <c r="Z264" s="136"/>
      <c r="AA264" s="136"/>
      <c r="AB264" s="1"/>
      <c r="AD264" s="1"/>
      <c r="AF264" s="1"/>
      <c r="AH264" s="1"/>
      <c r="AJ264" s="1"/>
      <c r="AL264" s="1"/>
      <c r="AN264" s="1"/>
      <c r="AP264" s="1"/>
    </row>
    <row r="265" spans="26:42">
      <c r="Z265" s="136"/>
      <c r="AA265" s="136"/>
      <c r="AB265" s="1"/>
      <c r="AD265" s="1"/>
      <c r="AF265" s="1"/>
      <c r="AH265" s="1"/>
      <c r="AJ265" s="1"/>
      <c r="AL265" s="1"/>
      <c r="AN265" s="1"/>
      <c r="AP265" s="1"/>
    </row>
    <row r="266" spans="26:42">
      <c r="Z266" s="136"/>
      <c r="AA266" s="136"/>
      <c r="AB266" s="1"/>
      <c r="AD266" s="1"/>
      <c r="AF266" s="1"/>
      <c r="AH266" s="1"/>
      <c r="AJ266" s="1"/>
      <c r="AL266" s="1"/>
      <c r="AN266" s="1"/>
      <c r="AP266" s="1"/>
    </row>
    <row r="267" spans="26:42">
      <c r="Z267" s="136"/>
      <c r="AA267" s="136"/>
      <c r="AB267" s="1"/>
      <c r="AD267" s="1"/>
      <c r="AF267" s="1"/>
      <c r="AH267" s="1"/>
      <c r="AJ267" s="1"/>
      <c r="AL267" s="1"/>
      <c r="AN267" s="1"/>
      <c r="AP267" s="1"/>
    </row>
    <row r="268" spans="26:42">
      <c r="Z268" s="136"/>
      <c r="AA268" s="136"/>
      <c r="AB268" s="1"/>
      <c r="AD268" s="1"/>
      <c r="AF268" s="1"/>
      <c r="AH268" s="1"/>
      <c r="AJ268" s="1"/>
      <c r="AL268" s="1"/>
      <c r="AN268" s="1"/>
      <c r="AP268" s="1"/>
    </row>
    <row r="269" spans="26:42">
      <c r="Z269" s="136"/>
      <c r="AA269" s="136"/>
      <c r="AB269" s="1"/>
      <c r="AD269" s="1"/>
      <c r="AF269" s="1"/>
      <c r="AH269" s="1"/>
      <c r="AJ269" s="1"/>
      <c r="AL269" s="1"/>
      <c r="AN269" s="1"/>
      <c r="AP269" s="1"/>
    </row>
    <row r="270" spans="26:42">
      <c r="Z270" s="136"/>
      <c r="AA270" s="136"/>
      <c r="AB270" s="1"/>
      <c r="AD270" s="1"/>
      <c r="AF270" s="1"/>
      <c r="AH270" s="1"/>
      <c r="AJ270" s="1"/>
      <c r="AL270" s="1"/>
      <c r="AN270" s="1"/>
      <c r="AP270" s="1"/>
    </row>
    <row r="271" spans="26:42">
      <c r="Z271" s="136"/>
      <c r="AA271" s="136"/>
      <c r="AB271" s="1"/>
      <c r="AD271" s="1"/>
      <c r="AF271" s="1"/>
      <c r="AH271" s="1"/>
      <c r="AJ271" s="1"/>
      <c r="AL271" s="1"/>
      <c r="AN271" s="1"/>
      <c r="AP271" s="1"/>
    </row>
    <row r="272" spans="26:42">
      <c r="Z272" s="136"/>
      <c r="AA272" s="136"/>
      <c r="AB272" s="1"/>
      <c r="AD272" s="1"/>
      <c r="AF272" s="1"/>
      <c r="AH272" s="1"/>
      <c r="AJ272" s="1"/>
      <c r="AL272" s="1"/>
      <c r="AN272" s="1"/>
      <c r="AP272" s="1"/>
    </row>
    <row r="273" spans="26:42">
      <c r="Z273" s="136"/>
      <c r="AA273" s="136"/>
      <c r="AB273" s="1"/>
      <c r="AD273" s="1"/>
      <c r="AF273" s="1"/>
      <c r="AH273" s="1"/>
      <c r="AJ273" s="1"/>
      <c r="AL273" s="1"/>
      <c r="AN273" s="1"/>
      <c r="AP273" s="1"/>
    </row>
    <row r="274" spans="26:42">
      <c r="Z274" s="136"/>
      <c r="AA274" s="136"/>
      <c r="AB274" s="1"/>
      <c r="AD274" s="1"/>
      <c r="AF274" s="1"/>
      <c r="AH274" s="1"/>
      <c r="AJ274" s="1"/>
      <c r="AL274" s="1"/>
      <c r="AN274" s="1"/>
      <c r="AP274" s="1"/>
    </row>
    <row r="275" spans="26:42">
      <c r="Z275" s="136"/>
      <c r="AA275" s="136"/>
      <c r="AB275" s="1"/>
      <c r="AD275" s="1"/>
      <c r="AF275" s="1"/>
      <c r="AH275" s="1"/>
      <c r="AJ275" s="1"/>
      <c r="AL275" s="1"/>
      <c r="AN275" s="1"/>
      <c r="AP275" s="1"/>
    </row>
    <row r="276" spans="26:42">
      <c r="Z276" s="136"/>
      <c r="AA276" s="136"/>
      <c r="AB276" s="1"/>
      <c r="AD276" s="1"/>
      <c r="AF276" s="1"/>
      <c r="AH276" s="1"/>
      <c r="AJ276" s="1"/>
      <c r="AL276" s="1"/>
      <c r="AN276" s="1"/>
      <c r="AP276" s="1"/>
    </row>
    <row r="277" spans="26:42">
      <c r="Z277" s="136"/>
      <c r="AA277" s="136"/>
      <c r="AB277" s="1"/>
      <c r="AD277" s="1"/>
      <c r="AF277" s="1"/>
      <c r="AH277" s="1"/>
      <c r="AJ277" s="1"/>
      <c r="AL277" s="1"/>
      <c r="AN277" s="1"/>
      <c r="AP277" s="1"/>
    </row>
    <row r="278" spans="26:42">
      <c r="Z278" s="136"/>
      <c r="AA278" s="136"/>
      <c r="AB278" s="1"/>
      <c r="AD278" s="1"/>
      <c r="AF278" s="1"/>
      <c r="AH278" s="1"/>
      <c r="AJ278" s="1"/>
      <c r="AL278" s="1"/>
      <c r="AN278" s="1"/>
      <c r="AP278" s="1"/>
    </row>
    <row r="279" spans="26:42">
      <c r="Z279" s="136"/>
      <c r="AA279" s="136"/>
      <c r="AB279" s="1"/>
      <c r="AD279" s="1"/>
      <c r="AF279" s="1"/>
      <c r="AH279" s="1"/>
      <c r="AJ279" s="1"/>
      <c r="AL279" s="1"/>
      <c r="AN279" s="1"/>
      <c r="AP279" s="1"/>
    </row>
    <row r="280" spans="26:42">
      <c r="Z280" s="136"/>
      <c r="AA280" s="136"/>
      <c r="AB280" s="1"/>
      <c r="AD280" s="1"/>
      <c r="AF280" s="1"/>
      <c r="AH280" s="1"/>
      <c r="AJ280" s="1"/>
      <c r="AL280" s="1"/>
      <c r="AN280" s="1"/>
      <c r="AP280" s="1"/>
    </row>
    <row r="281" spans="26:42">
      <c r="Z281" s="136"/>
      <c r="AA281" s="136"/>
      <c r="AB281" s="1"/>
      <c r="AD281" s="1"/>
      <c r="AF281" s="1"/>
      <c r="AH281" s="1"/>
      <c r="AJ281" s="1"/>
      <c r="AL281" s="1"/>
      <c r="AN281" s="1"/>
      <c r="AP281" s="1"/>
    </row>
    <row r="282" spans="26:42">
      <c r="Z282" s="136"/>
      <c r="AA282" s="136"/>
      <c r="AB282" s="1"/>
      <c r="AD282" s="1"/>
      <c r="AF282" s="1"/>
      <c r="AH282" s="1"/>
      <c r="AJ282" s="1"/>
      <c r="AL282" s="1"/>
      <c r="AN282" s="1"/>
      <c r="AP282" s="1"/>
    </row>
    <row r="283" spans="26:42">
      <c r="Z283" s="136"/>
      <c r="AA283" s="136"/>
      <c r="AB283" s="1"/>
      <c r="AD283" s="1"/>
      <c r="AF283" s="1"/>
      <c r="AH283" s="1"/>
      <c r="AJ283" s="1"/>
      <c r="AL283" s="1"/>
      <c r="AN283" s="1"/>
      <c r="AP283" s="1"/>
    </row>
    <row r="284" spans="26:42">
      <c r="Z284" s="136"/>
      <c r="AA284" s="136"/>
      <c r="AB284" s="1"/>
      <c r="AD284" s="1"/>
      <c r="AF284" s="1"/>
      <c r="AH284" s="1"/>
      <c r="AJ284" s="1"/>
      <c r="AL284" s="1"/>
      <c r="AN284" s="1"/>
      <c r="AP284" s="1"/>
    </row>
    <row r="285" spans="26:42">
      <c r="Z285" s="136"/>
      <c r="AA285" s="136"/>
      <c r="AB285" s="1"/>
      <c r="AD285" s="1"/>
      <c r="AF285" s="1"/>
      <c r="AH285" s="1"/>
      <c r="AJ285" s="1"/>
      <c r="AL285" s="1"/>
      <c r="AN285" s="1"/>
      <c r="AP285" s="1"/>
    </row>
    <row r="286" spans="26:42">
      <c r="Z286" s="136"/>
      <c r="AA286" s="136"/>
      <c r="AB286" s="1"/>
      <c r="AD286" s="1"/>
      <c r="AF286" s="1"/>
      <c r="AH286" s="1"/>
      <c r="AJ286" s="1"/>
      <c r="AL286" s="1"/>
      <c r="AN286" s="1"/>
      <c r="AP286" s="1"/>
    </row>
    <row r="287" spans="26:42">
      <c r="Z287" s="136"/>
      <c r="AA287" s="136"/>
      <c r="AB287" s="1"/>
      <c r="AD287" s="1"/>
      <c r="AF287" s="1"/>
      <c r="AH287" s="1"/>
      <c r="AJ287" s="1"/>
      <c r="AL287" s="1"/>
      <c r="AN287" s="1"/>
      <c r="AP287" s="1"/>
    </row>
    <row r="288" spans="26:42">
      <c r="Z288" s="136"/>
      <c r="AA288" s="136"/>
      <c r="AB288" s="1"/>
      <c r="AD288" s="1"/>
      <c r="AF288" s="1"/>
      <c r="AH288" s="1"/>
      <c r="AJ288" s="1"/>
      <c r="AL288" s="1"/>
      <c r="AN288" s="1"/>
      <c r="AP288" s="1"/>
    </row>
    <row r="289" spans="26:42">
      <c r="Z289" s="136"/>
      <c r="AA289" s="136"/>
      <c r="AB289" s="1"/>
      <c r="AD289" s="1"/>
      <c r="AF289" s="1"/>
      <c r="AH289" s="1"/>
      <c r="AJ289" s="1"/>
      <c r="AL289" s="1"/>
      <c r="AN289" s="1"/>
      <c r="AP289" s="1"/>
    </row>
    <row r="290" spans="26:42">
      <c r="Z290" s="136"/>
      <c r="AA290" s="136"/>
      <c r="AB290" s="1"/>
      <c r="AD290" s="1"/>
      <c r="AF290" s="1"/>
      <c r="AH290" s="1"/>
      <c r="AJ290" s="1"/>
      <c r="AL290" s="1"/>
      <c r="AN290" s="1"/>
      <c r="AP290" s="1"/>
    </row>
    <row r="291" spans="26:42">
      <c r="Z291" s="136"/>
      <c r="AA291" s="136"/>
      <c r="AB291" s="1"/>
      <c r="AD291" s="1"/>
      <c r="AF291" s="1"/>
      <c r="AH291" s="1"/>
      <c r="AJ291" s="1"/>
      <c r="AL291" s="1"/>
      <c r="AN291" s="1"/>
      <c r="AP291" s="1"/>
    </row>
    <row r="292" spans="26:42">
      <c r="Z292" s="136"/>
      <c r="AA292" s="136"/>
      <c r="AB292" s="1"/>
      <c r="AD292" s="1"/>
      <c r="AF292" s="1"/>
      <c r="AH292" s="1"/>
      <c r="AJ292" s="1"/>
      <c r="AL292" s="1"/>
      <c r="AN292" s="1"/>
      <c r="AP292" s="1"/>
    </row>
    <row r="293" spans="26:42">
      <c r="Z293" s="136"/>
      <c r="AA293" s="136"/>
      <c r="AB293" s="1"/>
      <c r="AD293" s="1"/>
      <c r="AF293" s="1"/>
      <c r="AH293" s="1"/>
      <c r="AJ293" s="1"/>
      <c r="AL293" s="1"/>
      <c r="AN293" s="1"/>
      <c r="AP293" s="1"/>
    </row>
    <row r="294" spans="26:42">
      <c r="Z294" s="136"/>
      <c r="AA294" s="136"/>
      <c r="AB294" s="1"/>
      <c r="AD294" s="1"/>
      <c r="AF294" s="1"/>
      <c r="AH294" s="1"/>
      <c r="AJ294" s="1"/>
      <c r="AL294" s="1"/>
      <c r="AN294" s="1"/>
      <c r="AP294" s="1"/>
    </row>
    <row r="295" spans="26:42">
      <c r="Z295" s="136"/>
      <c r="AA295" s="136"/>
      <c r="AB295" s="1"/>
      <c r="AD295" s="1"/>
      <c r="AF295" s="1"/>
      <c r="AH295" s="1"/>
      <c r="AJ295" s="1"/>
      <c r="AL295" s="1"/>
      <c r="AN295" s="1"/>
      <c r="AP295" s="1"/>
    </row>
    <row r="296" spans="26:42">
      <c r="Z296" s="136"/>
      <c r="AA296" s="136"/>
      <c r="AB296" s="1"/>
      <c r="AD296" s="1"/>
      <c r="AF296" s="1"/>
      <c r="AH296" s="1"/>
      <c r="AJ296" s="1"/>
      <c r="AL296" s="1"/>
      <c r="AN296" s="1"/>
      <c r="AP296" s="1"/>
    </row>
    <row r="297" spans="26:42">
      <c r="Z297" s="136"/>
      <c r="AA297" s="136"/>
      <c r="AB297" s="1"/>
      <c r="AD297" s="1"/>
      <c r="AF297" s="1"/>
      <c r="AH297" s="1"/>
      <c r="AJ297" s="1"/>
      <c r="AL297" s="1"/>
      <c r="AN297" s="1"/>
      <c r="AP297" s="1"/>
    </row>
    <row r="298" spans="26:42">
      <c r="Z298" s="136"/>
      <c r="AA298" s="136"/>
      <c r="AB298" s="1"/>
      <c r="AD298" s="1"/>
      <c r="AF298" s="1"/>
      <c r="AH298" s="1"/>
      <c r="AJ298" s="1"/>
      <c r="AL298" s="1"/>
      <c r="AN298" s="1"/>
      <c r="AP298" s="1"/>
    </row>
    <row r="299" spans="26:42">
      <c r="Z299" s="136"/>
      <c r="AA299" s="136"/>
      <c r="AB299" s="1"/>
      <c r="AD299" s="1"/>
      <c r="AF299" s="1"/>
      <c r="AH299" s="1"/>
      <c r="AJ299" s="1"/>
      <c r="AL299" s="1"/>
      <c r="AN299" s="1"/>
      <c r="AP299" s="1"/>
    </row>
    <row r="300" spans="26:42">
      <c r="Z300" s="136"/>
      <c r="AA300" s="136"/>
      <c r="AB300" s="1"/>
      <c r="AD300" s="1"/>
      <c r="AF300" s="1"/>
      <c r="AH300" s="1"/>
      <c r="AJ300" s="1"/>
      <c r="AL300" s="1"/>
      <c r="AN300" s="1"/>
      <c r="AP300" s="1"/>
    </row>
    <row r="301" spans="26:42">
      <c r="Z301" s="136"/>
      <c r="AA301" s="136"/>
      <c r="AB301" s="1"/>
      <c r="AD301" s="1"/>
      <c r="AF301" s="1"/>
      <c r="AH301" s="1"/>
      <c r="AJ301" s="1"/>
      <c r="AL301" s="1"/>
      <c r="AN301" s="1"/>
      <c r="AP301" s="1"/>
    </row>
    <row r="302" spans="26:42">
      <c r="Z302" s="136"/>
      <c r="AA302" s="136"/>
      <c r="AB302" s="1"/>
      <c r="AD302" s="1"/>
      <c r="AF302" s="1"/>
      <c r="AH302" s="1"/>
      <c r="AJ302" s="1"/>
      <c r="AL302" s="1"/>
      <c r="AN302" s="1"/>
      <c r="AP302" s="1"/>
    </row>
    <row r="303" spans="26:42">
      <c r="Z303" s="136"/>
      <c r="AA303" s="136"/>
      <c r="AB303" s="1"/>
      <c r="AD303" s="1"/>
      <c r="AF303" s="1"/>
      <c r="AH303" s="1"/>
      <c r="AJ303" s="1"/>
      <c r="AL303" s="1"/>
      <c r="AN303" s="1"/>
      <c r="AP303" s="1"/>
    </row>
    <row r="304" spans="26:42">
      <c r="Z304" s="136"/>
      <c r="AA304" s="136"/>
      <c r="AB304" s="1"/>
      <c r="AD304" s="1"/>
      <c r="AF304" s="1"/>
      <c r="AH304" s="1"/>
      <c r="AJ304" s="1"/>
      <c r="AL304" s="1"/>
      <c r="AN304" s="1"/>
      <c r="AP304" s="1"/>
    </row>
    <row r="305" spans="26:42">
      <c r="Z305" s="136"/>
      <c r="AA305" s="136"/>
      <c r="AB305" s="1"/>
      <c r="AD305" s="1"/>
      <c r="AF305" s="1"/>
      <c r="AH305" s="1"/>
      <c r="AJ305" s="1"/>
      <c r="AL305" s="1"/>
      <c r="AN305" s="1"/>
      <c r="AP305" s="1"/>
    </row>
    <row r="306" spans="26:42">
      <c r="Z306" s="136"/>
      <c r="AA306" s="136"/>
      <c r="AB306" s="1"/>
      <c r="AD306" s="1"/>
      <c r="AF306" s="1"/>
      <c r="AH306" s="1"/>
      <c r="AJ306" s="1"/>
      <c r="AL306" s="1"/>
      <c r="AN306" s="1"/>
      <c r="AP306" s="1"/>
    </row>
    <row r="307" spans="26:42">
      <c r="Z307" s="136"/>
      <c r="AA307" s="136"/>
      <c r="AB307" s="1"/>
      <c r="AD307" s="1"/>
      <c r="AF307" s="1"/>
      <c r="AH307" s="1"/>
      <c r="AJ307" s="1"/>
      <c r="AL307" s="1"/>
      <c r="AN307" s="1"/>
      <c r="AP307" s="1"/>
    </row>
    <row r="308" spans="26:42">
      <c r="Z308" s="136"/>
      <c r="AA308" s="136"/>
      <c r="AB308" s="1"/>
      <c r="AD308" s="1"/>
      <c r="AF308" s="1"/>
      <c r="AH308" s="1"/>
      <c r="AJ308" s="1"/>
      <c r="AL308" s="1"/>
      <c r="AN308" s="1"/>
      <c r="AP308" s="1"/>
    </row>
    <row r="309" spans="26:42">
      <c r="Z309" s="136"/>
      <c r="AA309" s="136"/>
      <c r="AB309" s="1"/>
      <c r="AD309" s="1"/>
      <c r="AF309" s="1"/>
      <c r="AH309" s="1"/>
      <c r="AJ309" s="1"/>
      <c r="AL309" s="1"/>
      <c r="AN309" s="1"/>
      <c r="AP309" s="1"/>
    </row>
    <row r="310" spans="26:42">
      <c r="Z310" s="136"/>
      <c r="AA310" s="136"/>
      <c r="AB310" s="1"/>
      <c r="AD310" s="1"/>
      <c r="AF310" s="1"/>
      <c r="AH310" s="1"/>
      <c r="AJ310" s="1"/>
      <c r="AL310" s="1"/>
      <c r="AN310" s="1"/>
      <c r="AP310" s="1"/>
    </row>
    <row r="311" spans="26:42">
      <c r="Z311" s="136"/>
      <c r="AA311" s="136"/>
      <c r="AB311" s="1"/>
      <c r="AD311" s="1"/>
      <c r="AF311" s="1"/>
      <c r="AH311" s="1"/>
      <c r="AJ311" s="1"/>
      <c r="AL311" s="1"/>
      <c r="AN311" s="1"/>
      <c r="AP311" s="1"/>
    </row>
    <row r="312" spans="26:42">
      <c r="Z312" s="136"/>
      <c r="AA312" s="136"/>
      <c r="AB312" s="1"/>
      <c r="AD312" s="1"/>
      <c r="AF312" s="1"/>
      <c r="AH312" s="1"/>
      <c r="AJ312" s="1"/>
      <c r="AL312" s="1"/>
      <c r="AN312" s="1"/>
      <c r="AP312" s="1"/>
    </row>
    <row r="313" spans="26:42">
      <c r="Z313" s="136"/>
      <c r="AA313" s="136"/>
      <c r="AB313" s="1"/>
      <c r="AD313" s="1"/>
      <c r="AF313" s="1"/>
      <c r="AH313" s="1"/>
      <c r="AJ313" s="1"/>
      <c r="AL313" s="1"/>
      <c r="AN313" s="1"/>
      <c r="AP313" s="1"/>
    </row>
    <row r="314" spans="26:42">
      <c r="Z314" s="136"/>
      <c r="AA314" s="136"/>
      <c r="AB314" s="1"/>
      <c r="AD314" s="1"/>
      <c r="AF314" s="1"/>
      <c r="AH314" s="1"/>
      <c r="AJ314" s="1"/>
      <c r="AL314" s="1"/>
      <c r="AN314" s="1"/>
      <c r="AP314" s="1"/>
    </row>
    <row r="315" spans="26:42">
      <c r="Z315" s="136"/>
      <c r="AA315" s="136"/>
      <c r="AB315" s="1"/>
      <c r="AD315" s="1"/>
      <c r="AF315" s="1"/>
      <c r="AH315" s="1"/>
      <c r="AJ315" s="1"/>
      <c r="AL315" s="1"/>
      <c r="AN315" s="1"/>
      <c r="AP315" s="1"/>
    </row>
    <row r="316" spans="26:42">
      <c r="Z316" s="136"/>
      <c r="AA316" s="136"/>
      <c r="AB316" s="1"/>
      <c r="AD316" s="1"/>
      <c r="AF316" s="1"/>
      <c r="AH316" s="1"/>
      <c r="AJ316" s="1"/>
      <c r="AL316" s="1"/>
      <c r="AN316" s="1"/>
      <c r="AP316" s="1"/>
    </row>
    <row r="317" spans="26:42">
      <c r="Z317" s="136"/>
      <c r="AA317" s="136"/>
      <c r="AB317" s="1"/>
      <c r="AD317" s="1"/>
      <c r="AF317" s="1"/>
      <c r="AH317" s="1"/>
      <c r="AJ317" s="1"/>
      <c r="AL317" s="1"/>
      <c r="AN317" s="1"/>
      <c r="AP317" s="1"/>
    </row>
    <row r="318" spans="26:42">
      <c r="Z318" s="136"/>
      <c r="AA318" s="136"/>
      <c r="AB318" s="1"/>
      <c r="AD318" s="1"/>
      <c r="AF318" s="1"/>
      <c r="AH318" s="1"/>
      <c r="AJ318" s="1"/>
      <c r="AL318" s="1"/>
      <c r="AN318" s="1"/>
      <c r="AP318" s="1"/>
    </row>
    <row r="319" spans="26:42">
      <c r="Z319" s="136"/>
      <c r="AA319" s="136"/>
      <c r="AB319" s="1"/>
      <c r="AD319" s="1"/>
      <c r="AF319" s="1"/>
      <c r="AH319" s="1"/>
      <c r="AJ319" s="1"/>
      <c r="AL319" s="1"/>
      <c r="AN319" s="1"/>
      <c r="AP319" s="1"/>
    </row>
    <row r="320" spans="26:42">
      <c r="Z320" s="136"/>
      <c r="AA320" s="136"/>
      <c r="AB320" s="1"/>
      <c r="AD320" s="1"/>
      <c r="AF320" s="1"/>
      <c r="AH320" s="1"/>
      <c r="AJ320" s="1"/>
      <c r="AL320" s="1"/>
      <c r="AN320" s="1"/>
      <c r="AP320" s="1"/>
    </row>
    <row r="321" spans="26:42">
      <c r="Z321" s="136"/>
      <c r="AA321" s="136"/>
      <c r="AB321" s="1"/>
      <c r="AD321" s="1"/>
      <c r="AF321" s="1"/>
      <c r="AH321" s="1"/>
      <c r="AJ321" s="1"/>
      <c r="AL321" s="1"/>
      <c r="AN321" s="1"/>
      <c r="AP321" s="1"/>
    </row>
    <row r="322" spans="26:42">
      <c r="Z322" s="136"/>
      <c r="AA322" s="136"/>
      <c r="AB322" s="1"/>
      <c r="AD322" s="1"/>
      <c r="AF322" s="1"/>
      <c r="AH322" s="1"/>
      <c r="AJ322" s="1"/>
      <c r="AL322" s="1"/>
      <c r="AN322" s="1"/>
      <c r="AP322" s="1"/>
    </row>
    <row r="323" spans="26:42">
      <c r="Z323" s="136"/>
      <c r="AA323" s="136"/>
      <c r="AB323" s="1"/>
      <c r="AD323" s="1"/>
      <c r="AF323" s="1"/>
      <c r="AH323" s="1"/>
      <c r="AJ323" s="1"/>
      <c r="AL323" s="1"/>
      <c r="AN323" s="1"/>
      <c r="AP323" s="1"/>
    </row>
    <row r="324" spans="26:42">
      <c r="Z324" s="136"/>
      <c r="AA324" s="136"/>
      <c r="AB324" s="1"/>
      <c r="AD324" s="1"/>
      <c r="AF324" s="1"/>
      <c r="AH324" s="1"/>
      <c r="AJ324" s="1"/>
      <c r="AL324" s="1"/>
      <c r="AN324" s="1"/>
      <c r="AP324" s="1"/>
    </row>
    <row r="325" spans="26:42">
      <c r="Z325" s="136"/>
      <c r="AA325" s="136"/>
      <c r="AB325" s="1"/>
      <c r="AD325" s="1"/>
      <c r="AF325" s="1"/>
      <c r="AH325" s="1"/>
      <c r="AJ325" s="1"/>
      <c r="AL325" s="1"/>
      <c r="AN325" s="1"/>
      <c r="AP325" s="1"/>
    </row>
    <row r="326" spans="26:42">
      <c r="Z326" s="136"/>
      <c r="AA326" s="136"/>
      <c r="AB326" s="1"/>
      <c r="AD326" s="1"/>
      <c r="AF326" s="1"/>
      <c r="AH326" s="1"/>
      <c r="AJ326" s="1"/>
      <c r="AL326" s="1"/>
      <c r="AN326" s="1"/>
      <c r="AP326" s="1"/>
    </row>
    <row r="327" spans="26:42">
      <c r="Z327" s="136"/>
      <c r="AA327" s="136"/>
      <c r="AB327" s="1"/>
      <c r="AD327" s="1"/>
      <c r="AF327" s="1"/>
      <c r="AH327" s="1"/>
      <c r="AJ327" s="1"/>
      <c r="AL327" s="1"/>
      <c r="AN327" s="1"/>
      <c r="AP327" s="1"/>
    </row>
    <row r="328" spans="26:42">
      <c r="Z328" s="136"/>
      <c r="AA328" s="136"/>
      <c r="AB328" s="1"/>
      <c r="AD328" s="1"/>
      <c r="AF328" s="1"/>
      <c r="AH328" s="1"/>
      <c r="AJ328" s="1"/>
      <c r="AL328" s="1"/>
      <c r="AN328" s="1"/>
      <c r="AP328" s="1"/>
    </row>
    <row r="329" spans="26:42">
      <c r="Z329" s="136"/>
      <c r="AA329" s="136"/>
      <c r="AB329" s="1"/>
      <c r="AD329" s="1"/>
      <c r="AF329" s="1"/>
      <c r="AH329" s="1"/>
      <c r="AJ329" s="1"/>
      <c r="AL329" s="1"/>
      <c r="AN329" s="1"/>
      <c r="AP329" s="1"/>
    </row>
    <row r="330" spans="26:42">
      <c r="Z330" s="136"/>
      <c r="AA330" s="136"/>
      <c r="AB330" s="1"/>
      <c r="AD330" s="1"/>
      <c r="AF330" s="1"/>
      <c r="AH330" s="1"/>
      <c r="AJ330" s="1"/>
      <c r="AL330" s="1"/>
      <c r="AN330" s="1"/>
      <c r="AP330" s="1"/>
    </row>
    <row r="331" spans="26:42">
      <c r="Z331" s="136"/>
      <c r="AA331" s="136"/>
      <c r="AB331" s="1"/>
      <c r="AD331" s="1"/>
      <c r="AF331" s="1"/>
      <c r="AH331" s="1"/>
      <c r="AJ331" s="1"/>
      <c r="AL331" s="1"/>
      <c r="AN331" s="1"/>
      <c r="AP331" s="1"/>
    </row>
    <row r="332" spans="26:42">
      <c r="Z332" s="136"/>
      <c r="AA332" s="136"/>
      <c r="AB332" s="1"/>
      <c r="AD332" s="1"/>
      <c r="AF332" s="1"/>
      <c r="AH332" s="1"/>
      <c r="AJ332" s="1"/>
      <c r="AL332" s="1"/>
      <c r="AN332" s="1"/>
      <c r="AP332" s="1"/>
    </row>
    <row r="333" spans="26:42">
      <c r="Z333" s="136"/>
      <c r="AA333" s="136"/>
      <c r="AB333" s="1"/>
      <c r="AD333" s="1"/>
      <c r="AF333" s="1"/>
      <c r="AH333" s="1"/>
      <c r="AJ333" s="1"/>
      <c r="AL333" s="1"/>
      <c r="AN333" s="1"/>
      <c r="AP333" s="1"/>
    </row>
    <row r="334" spans="26:42">
      <c r="Z334" s="136"/>
      <c r="AA334" s="136"/>
      <c r="AB334" s="1"/>
      <c r="AD334" s="1"/>
      <c r="AF334" s="1"/>
      <c r="AH334" s="1"/>
      <c r="AJ334" s="1"/>
      <c r="AL334" s="1"/>
      <c r="AN334" s="1"/>
      <c r="AP334" s="1"/>
    </row>
    <row r="335" spans="26:42">
      <c r="Z335" s="136"/>
      <c r="AA335" s="136"/>
      <c r="AB335" s="1"/>
      <c r="AD335" s="1"/>
      <c r="AF335" s="1"/>
      <c r="AH335" s="1"/>
      <c r="AJ335" s="1"/>
      <c r="AL335" s="1"/>
      <c r="AN335" s="1"/>
      <c r="AP335" s="1"/>
    </row>
    <row r="336" spans="26:42">
      <c r="Z336" s="136"/>
      <c r="AA336" s="136"/>
      <c r="AB336" s="1"/>
      <c r="AD336" s="1"/>
      <c r="AF336" s="1"/>
      <c r="AH336" s="1"/>
      <c r="AJ336" s="1"/>
      <c r="AL336" s="1"/>
      <c r="AN336" s="1"/>
      <c r="AP336" s="1"/>
    </row>
    <row r="337" spans="26:42">
      <c r="Z337" s="136"/>
      <c r="AA337" s="136"/>
      <c r="AB337" s="1"/>
      <c r="AD337" s="1"/>
      <c r="AF337" s="1"/>
      <c r="AH337" s="1"/>
      <c r="AJ337" s="1"/>
      <c r="AL337" s="1"/>
      <c r="AN337" s="1"/>
      <c r="AP337" s="1"/>
    </row>
    <row r="338" spans="26:42">
      <c r="Z338" s="136"/>
      <c r="AA338" s="136"/>
      <c r="AB338" s="1"/>
      <c r="AD338" s="1"/>
      <c r="AF338" s="1"/>
      <c r="AH338" s="1"/>
      <c r="AJ338" s="1"/>
      <c r="AL338" s="1"/>
      <c r="AN338" s="1"/>
      <c r="AP338" s="1"/>
    </row>
    <row r="339" spans="26:42">
      <c r="Z339" s="136"/>
      <c r="AA339" s="136"/>
      <c r="AB339" s="1"/>
      <c r="AD339" s="1"/>
      <c r="AF339" s="1"/>
      <c r="AH339" s="1"/>
      <c r="AJ339" s="1"/>
      <c r="AL339" s="1"/>
      <c r="AN339" s="1"/>
      <c r="AP339" s="1"/>
    </row>
    <row r="340" spans="26:42">
      <c r="Z340" s="136"/>
      <c r="AA340" s="136"/>
      <c r="AB340" s="1"/>
      <c r="AD340" s="1"/>
      <c r="AF340" s="1"/>
      <c r="AH340" s="1"/>
      <c r="AJ340" s="1"/>
      <c r="AL340" s="1"/>
      <c r="AN340" s="1"/>
      <c r="AP340" s="1"/>
    </row>
    <row r="341" spans="26:42">
      <c r="Z341" s="136"/>
      <c r="AA341" s="136"/>
      <c r="AB341" s="1"/>
      <c r="AD341" s="1"/>
      <c r="AF341" s="1"/>
      <c r="AH341" s="1"/>
      <c r="AJ341" s="1"/>
      <c r="AL341" s="1"/>
      <c r="AN341" s="1"/>
      <c r="AP341" s="1"/>
    </row>
    <row r="342" spans="26:42">
      <c r="Z342" s="136"/>
      <c r="AA342" s="136"/>
      <c r="AB342" s="1"/>
      <c r="AD342" s="1"/>
      <c r="AF342" s="1"/>
      <c r="AH342" s="1"/>
      <c r="AJ342" s="1"/>
      <c r="AL342" s="1"/>
      <c r="AN342" s="1"/>
      <c r="AP342" s="1"/>
    </row>
    <row r="343" spans="26:42">
      <c r="Z343" s="136"/>
      <c r="AA343" s="136"/>
      <c r="AB343" s="1"/>
      <c r="AD343" s="1"/>
      <c r="AF343" s="1"/>
      <c r="AH343" s="1"/>
      <c r="AJ343" s="1"/>
      <c r="AL343" s="1"/>
      <c r="AN343" s="1"/>
      <c r="AP343" s="1"/>
    </row>
    <row r="344" spans="26:42">
      <c r="Z344" s="136"/>
      <c r="AA344" s="136"/>
      <c r="AB344" s="1"/>
      <c r="AD344" s="1"/>
      <c r="AF344" s="1"/>
      <c r="AH344" s="1"/>
      <c r="AJ344" s="1"/>
      <c r="AL344" s="1"/>
      <c r="AN344" s="1"/>
      <c r="AP344" s="1"/>
    </row>
    <row r="345" spans="26:42">
      <c r="Z345" s="136"/>
      <c r="AA345" s="136"/>
      <c r="AB345" s="1"/>
      <c r="AD345" s="1"/>
      <c r="AF345" s="1"/>
      <c r="AH345" s="1"/>
      <c r="AJ345" s="1"/>
      <c r="AL345" s="1"/>
      <c r="AN345" s="1"/>
      <c r="AP345" s="1"/>
    </row>
    <row r="346" spans="26:42">
      <c r="Z346" s="136"/>
      <c r="AA346" s="136"/>
      <c r="AB346" s="1"/>
      <c r="AD346" s="1"/>
      <c r="AF346" s="1"/>
      <c r="AH346" s="1"/>
      <c r="AJ346" s="1"/>
      <c r="AL346" s="1"/>
      <c r="AN346" s="1"/>
      <c r="AP346" s="1"/>
    </row>
    <row r="347" spans="26:42">
      <c r="Z347" s="136"/>
      <c r="AA347" s="136"/>
      <c r="AB347" s="1"/>
      <c r="AD347" s="1"/>
      <c r="AF347" s="1"/>
      <c r="AH347" s="1"/>
      <c r="AJ347" s="1"/>
      <c r="AL347" s="1"/>
      <c r="AN347" s="1"/>
      <c r="AP347" s="1"/>
    </row>
    <row r="348" spans="26:42">
      <c r="Z348" s="136"/>
      <c r="AA348" s="136"/>
      <c r="AB348" s="1"/>
      <c r="AD348" s="1"/>
      <c r="AF348" s="1"/>
      <c r="AH348" s="1"/>
      <c r="AJ348" s="1"/>
      <c r="AL348" s="1"/>
      <c r="AN348" s="1"/>
      <c r="AP348" s="1"/>
    </row>
    <row r="349" spans="26:42">
      <c r="Z349" s="136"/>
      <c r="AA349" s="136"/>
      <c r="AB349" s="1"/>
      <c r="AD349" s="1"/>
      <c r="AF349" s="1"/>
      <c r="AH349" s="1"/>
      <c r="AJ349" s="1"/>
      <c r="AL349" s="1"/>
      <c r="AN349" s="1"/>
      <c r="AP349" s="1"/>
    </row>
    <row r="350" spans="26:42">
      <c r="Z350" s="136"/>
      <c r="AA350" s="136"/>
      <c r="AB350" s="1"/>
      <c r="AD350" s="1"/>
      <c r="AF350" s="1"/>
      <c r="AH350" s="1"/>
      <c r="AJ350" s="1"/>
      <c r="AL350" s="1"/>
      <c r="AN350" s="1"/>
      <c r="AP350" s="1"/>
    </row>
    <row r="351" spans="26:42">
      <c r="Z351" s="136"/>
      <c r="AA351" s="136"/>
      <c r="AB351" s="1"/>
      <c r="AD351" s="1"/>
      <c r="AF351" s="1"/>
      <c r="AH351" s="1"/>
      <c r="AJ351" s="1"/>
      <c r="AL351" s="1"/>
      <c r="AN351" s="1"/>
      <c r="AP351" s="1"/>
    </row>
    <row r="352" spans="26:42">
      <c r="Z352" s="136"/>
      <c r="AA352" s="136"/>
      <c r="AB352" s="1"/>
      <c r="AD352" s="1"/>
      <c r="AF352" s="1"/>
      <c r="AH352" s="1"/>
      <c r="AJ352" s="1"/>
      <c r="AL352" s="1"/>
      <c r="AN352" s="1"/>
      <c r="AP352" s="1"/>
    </row>
    <row r="353" spans="26:42">
      <c r="Z353" s="136"/>
      <c r="AA353" s="136"/>
      <c r="AB353" s="1"/>
      <c r="AD353" s="1"/>
      <c r="AF353" s="1"/>
      <c r="AH353" s="1"/>
      <c r="AJ353" s="1"/>
      <c r="AL353" s="1"/>
      <c r="AN353" s="1"/>
      <c r="AP353" s="1"/>
    </row>
    <row r="354" spans="26:42">
      <c r="Z354" s="136"/>
      <c r="AA354" s="136"/>
      <c r="AB354" s="1"/>
      <c r="AD354" s="1"/>
      <c r="AF354" s="1"/>
      <c r="AH354" s="1"/>
      <c r="AJ354" s="1"/>
      <c r="AL354" s="1"/>
      <c r="AN354" s="1"/>
      <c r="AP354" s="1"/>
    </row>
    <row r="355" spans="26:42">
      <c r="Z355" s="136"/>
      <c r="AA355" s="136"/>
      <c r="AB355" s="1"/>
      <c r="AD355" s="1"/>
      <c r="AF355" s="1"/>
      <c r="AH355" s="1"/>
      <c r="AJ355" s="1"/>
      <c r="AL355" s="1"/>
      <c r="AN355" s="1"/>
      <c r="AP355" s="1"/>
    </row>
    <row r="356" spans="26:42">
      <c r="Z356" s="136"/>
      <c r="AA356" s="136"/>
      <c r="AB356" s="1"/>
      <c r="AD356" s="1"/>
      <c r="AF356" s="1"/>
      <c r="AH356" s="1"/>
      <c r="AJ356" s="1"/>
      <c r="AL356" s="1"/>
      <c r="AN356" s="1"/>
      <c r="AP356" s="1"/>
    </row>
    <row r="357" spans="26:42">
      <c r="Z357" s="136"/>
      <c r="AA357" s="136"/>
      <c r="AB357" s="1"/>
      <c r="AD357" s="1"/>
      <c r="AF357" s="1"/>
      <c r="AH357" s="1"/>
      <c r="AJ357" s="1"/>
      <c r="AL357" s="1"/>
      <c r="AN357" s="1"/>
      <c r="AP357" s="1"/>
    </row>
    <row r="358" spans="26:42">
      <c r="Z358" s="136"/>
      <c r="AA358" s="136"/>
      <c r="AB358" s="1"/>
      <c r="AD358" s="1"/>
      <c r="AF358" s="1"/>
      <c r="AH358" s="1"/>
      <c r="AJ358" s="1"/>
      <c r="AL358" s="1"/>
      <c r="AN358" s="1"/>
      <c r="AP358" s="1"/>
    </row>
    <row r="359" spans="26:42">
      <c r="Z359" s="136"/>
      <c r="AA359" s="136"/>
      <c r="AB359" s="1"/>
      <c r="AD359" s="1"/>
      <c r="AF359" s="1"/>
      <c r="AH359" s="1"/>
      <c r="AJ359" s="1"/>
      <c r="AL359" s="1"/>
      <c r="AN359" s="1"/>
      <c r="AP359" s="1"/>
    </row>
    <row r="360" spans="26:42">
      <c r="Z360" s="136"/>
      <c r="AA360" s="136"/>
      <c r="AB360" s="1"/>
      <c r="AD360" s="1"/>
      <c r="AF360" s="1"/>
      <c r="AH360" s="1"/>
      <c r="AJ360" s="1"/>
      <c r="AL360" s="1"/>
      <c r="AN360" s="1"/>
      <c r="AP360" s="1"/>
    </row>
    <row r="361" spans="26:42">
      <c r="Z361" s="136"/>
      <c r="AA361" s="136"/>
      <c r="AB361" s="1"/>
      <c r="AD361" s="1"/>
      <c r="AF361" s="1"/>
      <c r="AH361" s="1"/>
      <c r="AJ361" s="1"/>
      <c r="AL361" s="1"/>
      <c r="AN361" s="1"/>
      <c r="AP361" s="1"/>
    </row>
    <row r="362" spans="26:42">
      <c r="Z362" s="136"/>
      <c r="AA362" s="136"/>
      <c r="AB362" s="1"/>
      <c r="AD362" s="1"/>
      <c r="AF362" s="1"/>
      <c r="AH362" s="1"/>
      <c r="AJ362" s="1"/>
      <c r="AL362" s="1"/>
      <c r="AN362" s="1"/>
      <c r="AP362" s="1"/>
    </row>
    <row r="363" spans="26:42">
      <c r="Z363" s="136"/>
      <c r="AA363" s="136"/>
      <c r="AB363" s="1"/>
      <c r="AD363" s="1"/>
      <c r="AF363" s="1"/>
      <c r="AH363" s="1"/>
      <c r="AJ363" s="1"/>
      <c r="AL363" s="1"/>
      <c r="AN363" s="1"/>
      <c r="AP363" s="1"/>
    </row>
    <row r="364" spans="26:42">
      <c r="Z364" s="136"/>
      <c r="AA364" s="136"/>
      <c r="AB364" s="1"/>
      <c r="AD364" s="1"/>
      <c r="AF364" s="1"/>
      <c r="AH364" s="1"/>
      <c r="AJ364" s="1"/>
      <c r="AL364" s="1"/>
      <c r="AN364" s="1"/>
      <c r="AP364" s="1"/>
    </row>
    <row r="365" spans="26:42">
      <c r="Z365" s="136"/>
      <c r="AA365" s="136"/>
      <c r="AB365" s="1"/>
      <c r="AD365" s="1"/>
      <c r="AF365" s="1"/>
      <c r="AH365" s="1"/>
      <c r="AJ365" s="1"/>
      <c r="AL365" s="1"/>
      <c r="AN365" s="1"/>
      <c r="AP365" s="1"/>
    </row>
    <row r="366" spans="26:42">
      <c r="Z366" s="136"/>
      <c r="AA366" s="136"/>
      <c r="AB366" s="1"/>
      <c r="AD366" s="1"/>
      <c r="AF366" s="1"/>
      <c r="AH366" s="1"/>
      <c r="AJ366" s="1"/>
      <c r="AL366" s="1"/>
      <c r="AN366" s="1"/>
      <c r="AP366" s="1"/>
    </row>
    <row r="367" spans="26:42">
      <c r="Z367" s="136"/>
      <c r="AA367" s="136"/>
      <c r="AB367" s="1"/>
      <c r="AD367" s="1"/>
      <c r="AF367" s="1"/>
      <c r="AH367" s="1"/>
      <c r="AJ367" s="1"/>
      <c r="AL367" s="1"/>
      <c r="AN367" s="1"/>
      <c r="AP367" s="1"/>
    </row>
    <row r="368" spans="26:42">
      <c r="Z368" s="136"/>
      <c r="AA368" s="136"/>
      <c r="AB368" s="1"/>
      <c r="AD368" s="1"/>
      <c r="AF368" s="1"/>
      <c r="AH368" s="1"/>
      <c r="AJ368" s="1"/>
      <c r="AL368" s="1"/>
      <c r="AN368" s="1"/>
      <c r="AP368" s="1"/>
    </row>
    <row r="369" spans="26:42">
      <c r="Z369" s="136"/>
      <c r="AA369" s="136"/>
      <c r="AB369" s="1"/>
      <c r="AD369" s="1"/>
      <c r="AF369" s="1"/>
      <c r="AH369" s="1"/>
      <c r="AJ369" s="1"/>
      <c r="AL369" s="1"/>
      <c r="AN369" s="1"/>
      <c r="AP369" s="1"/>
    </row>
    <row r="370" spans="26:42">
      <c r="Z370" s="136"/>
      <c r="AA370" s="136"/>
      <c r="AB370" s="1"/>
      <c r="AD370" s="1"/>
      <c r="AF370" s="1"/>
      <c r="AH370" s="1"/>
      <c r="AJ370" s="1"/>
      <c r="AL370" s="1"/>
      <c r="AN370" s="1"/>
      <c r="AP370" s="1"/>
    </row>
    <row r="371" spans="26:42">
      <c r="Z371" s="136"/>
      <c r="AA371" s="136"/>
      <c r="AB371" s="1"/>
      <c r="AD371" s="1"/>
      <c r="AF371" s="1"/>
      <c r="AH371" s="1"/>
      <c r="AJ371" s="1"/>
      <c r="AL371" s="1"/>
      <c r="AN371" s="1"/>
      <c r="AP371" s="1"/>
    </row>
    <row r="372" spans="26:42">
      <c r="Z372" s="136"/>
      <c r="AA372" s="136"/>
      <c r="AB372" s="1"/>
      <c r="AD372" s="1"/>
      <c r="AF372" s="1"/>
      <c r="AH372" s="1"/>
      <c r="AJ372" s="1"/>
      <c r="AL372" s="1"/>
      <c r="AN372" s="1"/>
      <c r="AP372" s="1"/>
    </row>
    <row r="373" spans="26:42">
      <c r="Z373" s="136"/>
      <c r="AA373" s="136"/>
      <c r="AB373" s="1"/>
      <c r="AD373" s="1"/>
      <c r="AF373" s="1"/>
      <c r="AH373" s="1"/>
      <c r="AJ373" s="1"/>
      <c r="AL373" s="1"/>
      <c r="AN373" s="1"/>
      <c r="AP373" s="1"/>
    </row>
    <row r="374" spans="26:42">
      <c r="Z374" s="136"/>
      <c r="AA374" s="136"/>
      <c r="AB374" s="1"/>
      <c r="AD374" s="1"/>
      <c r="AF374" s="1"/>
      <c r="AH374" s="1"/>
      <c r="AJ374" s="1"/>
      <c r="AL374" s="1"/>
      <c r="AN374" s="1"/>
      <c r="AP374" s="1"/>
    </row>
    <row r="375" spans="26:42">
      <c r="Z375" s="136"/>
      <c r="AA375" s="136"/>
      <c r="AB375" s="1"/>
      <c r="AD375" s="1"/>
      <c r="AF375" s="1"/>
      <c r="AH375" s="1"/>
      <c r="AJ375" s="1"/>
      <c r="AL375" s="1"/>
      <c r="AN375" s="1"/>
      <c r="AP375" s="1"/>
    </row>
    <row r="376" spans="26:42">
      <c r="Z376" s="136"/>
      <c r="AA376" s="136"/>
      <c r="AB376" s="1"/>
      <c r="AD376" s="1"/>
      <c r="AF376" s="1"/>
      <c r="AH376" s="1"/>
      <c r="AJ376" s="1"/>
      <c r="AL376" s="1"/>
      <c r="AN376" s="1"/>
      <c r="AP376" s="1"/>
    </row>
    <row r="377" spans="26:42">
      <c r="Z377" s="136"/>
      <c r="AA377" s="136"/>
      <c r="AB377" s="1"/>
      <c r="AD377" s="1"/>
      <c r="AF377" s="1"/>
      <c r="AH377" s="1"/>
      <c r="AJ377" s="1"/>
      <c r="AL377" s="1"/>
      <c r="AN377" s="1"/>
      <c r="AP377" s="1"/>
    </row>
    <row r="378" spans="26:42">
      <c r="Z378" s="136"/>
      <c r="AA378" s="136"/>
      <c r="AB378" s="1"/>
      <c r="AD378" s="1"/>
      <c r="AF378" s="1"/>
      <c r="AH378" s="1"/>
      <c r="AJ378" s="1"/>
      <c r="AL378" s="1"/>
      <c r="AN378" s="1"/>
      <c r="AP378" s="1"/>
    </row>
    <row r="379" spans="26:42">
      <c r="Z379" s="136"/>
      <c r="AA379" s="136"/>
      <c r="AB379" s="1"/>
      <c r="AD379" s="1"/>
      <c r="AF379" s="1"/>
      <c r="AH379" s="1"/>
      <c r="AJ379" s="1"/>
      <c r="AL379" s="1"/>
      <c r="AN379" s="1"/>
      <c r="AP379" s="1"/>
    </row>
    <row r="380" spans="26:42">
      <c r="Z380" s="136"/>
      <c r="AA380" s="136"/>
      <c r="AB380" s="1"/>
      <c r="AD380" s="1"/>
      <c r="AF380" s="1"/>
      <c r="AH380" s="1"/>
      <c r="AJ380" s="1"/>
      <c r="AL380" s="1"/>
      <c r="AN380" s="1"/>
      <c r="AP380" s="1"/>
    </row>
    <row r="381" spans="26:42">
      <c r="Z381" s="136"/>
      <c r="AA381" s="136"/>
      <c r="AB381" s="1"/>
      <c r="AD381" s="1"/>
      <c r="AF381" s="1"/>
      <c r="AH381" s="1"/>
      <c r="AJ381" s="1"/>
      <c r="AL381" s="1"/>
      <c r="AN381" s="1"/>
      <c r="AP381" s="1"/>
    </row>
    <row r="382" spans="26:42">
      <c r="Z382" s="136"/>
      <c r="AA382" s="136"/>
      <c r="AB382" s="1"/>
      <c r="AD382" s="1"/>
      <c r="AF382" s="1"/>
      <c r="AH382" s="1"/>
      <c r="AJ382" s="1"/>
      <c r="AL382" s="1"/>
      <c r="AN382" s="1"/>
      <c r="AP382" s="1"/>
    </row>
    <row r="383" spans="26:42">
      <c r="Z383" s="136"/>
      <c r="AA383" s="136"/>
      <c r="AB383" s="1"/>
      <c r="AD383" s="1"/>
      <c r="AF383" s="1"/>
      <c r="AH383" s="1"/>
      <c r="AJ383" s="1"/>
      <c r="AL383" s="1"/>
      <c r="AN383" s="1"/>
      <c r="AP383" s="1"/>
    </row>
    <row r="384" spans="26:42">
      <c r="Z384" s="136"/>
      <c r="AA384" s="136"/>
      <c r="AB384" s="1"/>
      <c r="AD384" s="1"/>
      <c r="AF384" s="1"/>
      <c r="AH384" s="1"/>
      <c r="AJ384" s="1"/>
      <c r="AL384" s="1"/>
      <c r="AN384" s="1"/>
      <c r="AP384" s="1"/>
    </row>
    <row r="385" spans="26:42">
      <c r="Z385" s="136"/>
      <c r="AA385" s="136"/>
      <c r="AB385" s="1"/>
      <c r="AD385" s="1"/>
      <c r="AF385" s="1"/>
      <c r="AH385" s="1"/>
      <c r="AJ385" s="1"/>
      <c r="AL385" s="1"/>
      <c r="AN385" s="1"/>
      <c r="AP385" s="1"/>
    </row>
    <row r="386" spans="26:42">
      <c r="Z386" s="136"/>
      <c r="AA386" s="136"/>
      <c r="AB386" s="1"/>
      <c r="AD386" s="1"/>
      <c r="AF386" s="1"/>
      <c r="AH386" s="1"/>
      <c r="AJ386" s="1"/>
      <c r="AL386" s="1"/>
      <c r="AN386" s="1"/>
      <c r="AP386" s="1"/>
    </row>
    <row r="387" spans="26:42">
      <c r="Z387" s="136"/>
      <c r="AA387" s="136"/>
      <c r="AB387" s="1"/>
      <c r="AD387" s="1"/>
      <c r="AF387" s="1"/>
      <c r="AH387" s="1"/>
      <c r="AJ387" s="1"/>
      <c r="AL387" s="1"/>
      <c r="AN387" s="1"/>
      <c r="AP387" s="1"/>
    </row>
    <row r="388" spans="26:42">
      <c r="Z388" s="136"/>
      <c r="AA388" s="136"/>
      <c r="AB388" s="1"/>
      <c r="AD388" s="1"/>
      <c r="AF388" s="1"/>
      <c r="AH388" s="1"/>
      <c r="AJ388" s="1"/>
      <c r="AL388" s="1"/>
      <c r="AN388" s="1"/>
      <c r="AP388" s="1"/>
    </row>
    <row r="389" spans="26:42">
      <c r="Z389" s="136"/>
      <c r="AA389" s="136"/>
      <c r="AB389" s="1"/>
      <c r="AD389" s="1"/>
      <c r="AF389" s="1"/>
      <c r="AH389" s="1"/>
      <c r="AJ389" s="1"/>
      <c r="AL389" s="1"/>
      <c r="AN389" s="1"/>
      <c r="AP389" s="1"/>
    </row>
    <row r="390" spans="26:42">
      <c r="Z390" s="136"/>
      <c r="AA390" s="136"/>
      <c r="AB390" s="1"/>
      <c r="AD390" s="1"/>
      <c r="AF390" s="1"/>
      <c r="AH390" s="1"/>
      <c r="AJ390" s="1"/>
      <c r="AL390" s="1"/>
      <c r="AN390" s="1"/>
      <c r="AP390" s="1"/>
    </row>
    <row r="391" spans="26:42">
      <c r="Z391" s="136"/>
      <c r="AA391" s="136"/>
      <c r="AB391" s="1"/>
      <c r="AD391" s="1"/>
      <c r="AF391" s="1"/>
      <c r="AH391" s="1"/>
      <c r="AJ391" s="1"/>
      <c r="AL391" s="1"/>
      <c r="AN391" s="1"/>
      <c r="AP391" s="1"/>
    </row>
    <row r="392" spans="26:42">
      <c r="Z392" s="136"/>
      <c r="AA392" s="136"/>
      <c r="AB392" s="1"/>
      <c r="AD392" s="1"/>
      <c r="AF392" s="1"/>
      <c r="AH392" s="1"/>
      <c r="AJ392" s="1"/>
      <c r="AL392" s="1"/>
      <c r="AN392" s="1"/>
      <c r="AP392" s="1"/>
    </row>
    <row r="393" spans="26:42">
      <c r="Z393" s="136"/>
      <c r="AA393" s="136"/>
      <c r="AB393" s="1"/>
      <c r="AD393" s="1"/>
      <c r="AF393" s="1"/>
      <c r="AH393" s="1"/>
      <c r="AJ393" s="1"/>
      <c r="AL393" s="1"/>
      <c r="AN393" s="1"/>
      <c r="AP393" s="1"/>
    </row>
    <row r="394" spans="26:42">
      <c r="Z394" s="136"/>
      <c r="AA394" s="136"/>
      <c r="AB394" s="1"/>
      <c r="AD394" s="1"/>
      <c r="AF394" s="1"/>
      <c r="AH394" s="1"/>
      <c r="AJ394" s="1"/>
      <c r="AL394" s="1"/>
      <c r="AN394" s="1"/>
      <c r="AP394" s="1"/>
    </row>
    <row r="395" spans="26:42">
      <c r="Z395" s="136"/>
      <c r="AA395" s="136"/>
      <c r="AB395" s="1"/>
      <c r="AD395" s="1"/>
      <c r="AF395" s="1"/>
      <c r="AH395" s="1"/>
      <c r="AJ395" s="1"/>
      <c r="AL395" s="1"/>
      <c r="AN395" s="1"/>
      <c r="AP395" s="1"/>
    </row>
    <row r="396" spans="26:42">
      <c r="Z396" s="136"/>
      <c r="AA396" s="136"/>
      <c r="AB396" s="1"/>
      <c r="AD396" s="1"/>
      <c r="AF396" s="1"/>
      <c r="AH396" s="1"/>
      <c r="AJ396" s="1"/>
      <c r="AL396" s="1"/>
      <c r="AN396" s="1"/>
      <c r="AP396" s="1"/>
    </row>
    <row r="397" spans="26:42">
      <c r="Z397" s="136"/>
      <c r="AA397" s="136"/>
      <c r="AB397" s="1"/>
      <c r="AD397" s="1"/>
      <c r="AF397" s="1"/>
      <c r="AH397" s="1"/>
      <c r="AJ397" s="1"/>
      <c r="AL397" s="1"/>
      <c r="AN397" s="1"/>
      <c r="AP397" s="1"/>
    </row>
    <row r="398" spans="26:42">
      <c r="Z398" s="136"/>
      <c r="AA398" s="136"/>
      <c r="AB398" s="1"/>
      <c r="AD398" s="1"/>
      <c r="AF398" s="1"/>
      <c r="AH398" s="1"/>
      <c r="AJ398" s="1"/>
      <c r="AL398" s="1"/>
      <c r="AN398" s="1"/>
      <c r="AP398" s="1"/>
    </row>
    <row r="399" spans="26:42">
      <c r="Z399" s="136"/>
      <c r="AA399" s="136"/>
      <c r="AB399" s="1"/>
      <c r="AD399" s="1"/>
      <c r="AF399" s="1"/>
      <c r="AH399" s="1"/>
      <c r="AJ399" s="1"/>
      <c r="AL399" s="1"/>
      <c r="AN399" s="1"/>
      <c r="AP399" s="1"/>
    </row>
    <row r="400" spans="26:42">
      <c r="Z400" s="136"/>
      <c r="AA400" s="136"/>
      <c r="AB400" s="1"/>
      <c r="AD400" s="1"/>
      <c r="AF400" s="1"/>
      <c r="AH400" s="1"/>
      <c r="AJ400" s="1"/>
      <c r="AL400" s="1"/>
      <c r="AN400" s="1"/>
      <c r="AP400" s="1"/>
    </row>
    <row r="401" spans="26:42">
      <c r="Z401" s="136"/>
      <c r="AA401" s="136"/>
      <c r="AB401" s="1"/>
      <c r="AD401" s="1"/>
      <c r="AF401" s="1"/>
      <c r="AH401" s="1"/>
      <c r="AJ401" s="1"/>
      <c r="AL401" s="1"/>
      <c r="AN401" s="1"/>
      <c r="AP401" s="1"/>
    </row>
    <row r="402" spans="26:42">
      <c r="Z402" s="136"/>
      <c r="AA402" s="136"/>
      <c r="AB402" s="1"/>
      <c r="AD402" s="1"/>
      <c r="AF402" s="1"/>
      <c r="AH402" s="1"/>
      <c r="AJ402" s="1"/>
      <c r="AL402" s="1"/>
      <c r="AN402" s="1"/>
      <c r="AP402" s="1"/>
    </row>
    <row r="403" spans="26:42">
      <c r="Z403" s="136"/>
      <c r="AA403" s="136"/>
      <c r="AB403" s="1"/>
      <c r="AD403" s="1"/>
      <c r="AF403" s="1"/>
      <c r="AH403" s="1"/>
      <c r="AJ403" s="1"/>
      <c r="AL403" s="1"/>
      <c r="AN403" s="1"/>
      <c r="AP403" s="1"/>
    </row>
    <row r="404" spans="26:42">
      <c r="Z404" s="136"/>
      <c r="AA404" s="136"/>
      <c r="AB404" s="1"/>
      <c r="AD404" s="1"/>
      <c r="AF404" s="1"/>
      <c r="AH404" s="1"/>
      <c r="AJ404" s="1"/>
      <c r="AL404" s="1"/>
      <c r="AN404" s="1"/>
      <c r="AP404" s="1"/>
    </row>
    <row r="405" spans="26:42">
      <c r="Z405" s="136"/>
      <c r="AA405" s="136"/>
      <c r="AB405" s="1"/>
      <c r="AD405" s="1"/>
      <c r="AF405" s="1"/>
      <c r="AH405" s="1"/>
      <c r="AJ405" s="1"/>
      <c r="AL405" s="1"/>
      <c r="AN405" s="1"/>
      <c r="AP405" s="1"/>
    </row>
    <row r="406" spans="26:42">
      <c r="Z406" s="136"/>
      <c r="AA406" s="136"/>
      <c r="AB406" s="1"/>
      <c r="AD406" s="1"/>
      <c r="AF406" s="1"/>
      <c r="AH406" s="1"/>
      <c r="AJ406" s="1"/>
      <c r="AL406" s="1"/>
      <c r="AN406" s="1"/>
      <c r="AP406" s="1"/>
    </row>
    <row r="407" spans="26:42">
      <c r="Z407" s="136"/>
      <c r="AA407" s="136"/>
      <c r="AB407" s="1"/>
      <c r="AD407" s="1"/>
      <c r="AF407" s="1"/>
      <c r="AH407" s="1"/>
      <c r="AJ407" s="1"/>
      <c r="AL407" s="1"/>
      <c r="AN407" s="1"/>
      <c r="AP407" s="1"/>
    </row>
    <row r="408" spans="26:42">
      <c r="Z408" s="136"/>
      <c r="AA408" s="136"/>
      <c r="AB408" s="1"/>
      <c r="AD408" s="1"/>
      <c r="AF408" s="1"/>
      <c r="AH408" s="1"/>
      <c r="AJ408" s="1"/>
      <c r="AL408" s="1"/>
      <c r="AN408" s="1"/>
      <c r="AP408" s="1"/>
    </row>
    <row r="409" spans="26:42">
      <c r="Z409" s="136"/>
      <c r="AA409" s="136"/>
      <c r="AB409" s="1"/>
      <c r="AD409" s="1"/>
      <c r="AF409" s="1"/>
      <c r="AH409" s="1"/>
      <c r="AJ409" s="1"/>
      <c r="AL409" s="1"/>
      <c r="AN409" s="1"/>
      <c r="AP409" s="1"/>
    </row>
    <row r="410" spans="26:42">
      <c r="Z410" s="136"/>
      <c r="AA410" s="136"/>
      <c r="AB410" s="1"/>
      <c r="AD410" s="1"/>
      <c r="AF410" s="1"/>
      <c r="AH410" s="1"/>
      <c r="AJ410" s="1"/>
      <c r="AL410" s="1"/>
      <c r="AN410" s="1"/>
      <c r="AP410" s="1"/>
    </row>
    <row r="411" spans="26:42">
      <c r="Z411" s="136"/>
      <c r="AA411" s="136"/>
      <c r="AB411" s="1"/>
      <c r="AD411" s="1"/>
      <c r="AF411" s="1"/>
      <c r="AH411" s="1"/>
      <c r="AJ411" s="1"/>
      <c r="AL411" s="1"/>
      <c r="AN411" s="1"/>
      <c r="AP411" s="1"/>
    </row>
    <row r="412" spans="26:42">
      <c r="Z412" s="136"/>
      <c r="AA412" s="136"/>
      <c r="AB412" s="1"/>
      <c r="AD412" s="1"/>
      <c r="AF412" s="1"/>
      <c r="AH412" s="1"/>
      <c r="AJ412" s="1"/>
      <c r="AL412" s="1"/>
      <c r="AN412" s="1"/>
      <c r="AP412" s="1"/>
    </row>
    <row r="413" spans="26:42">
      <c r="Z413" s="136"/>
      <c r="AA413" s="136"/>
      <c r="AB413" s="1"/>
      <c r="AD413" s="1"/>
      <c r="AF413" s="1"/>
      <c r="AH413" s="1"/>
      <c r="AJ413" s="1"/>
      <c r="AL413" s="1"/>
      <c r="AN413" s="1"/>
      <c r="AP413" s="1"/>
    </row>
    <row r="414" spans="26:42">
      <c r="Z414" s="136"/>
      <c r="AA414" s="136"/>
      <c r="AB414" s="1"/>
      <c r="AD414" s="1"/>
      <c r="AF414" s="1"/>
      <c r="AH414" s="1"/>
      <c r="AJ414" s="1"/>
      <c r="AL414" s="1"/>
      <c r="AN414" s="1"/>
      <c r="AP414" s="1"/>
    </row>
    <row r="415" spans="26:42">
      <c r="Z415" s="136"/>
      <c r="AA415" s="136"/>
      <c r="AB415" s="1"/>
      <c r="AD415" s="1"/>
      <c r="AF415" s="1"/>
      <c r="AH415" s="1"/>
      <c r="AJ415" s="1"/>
      <c r="AL415" s="1"/>
      <c r="AN415" s="1"/>
      <c r="AP415" s="1"/>
    </row>
    <row r="416" spans="26:42">
      <c r="Z416" s="136"/>
      <c r="AA416" s="136"/>
      <c r="AB416" s="1"/>
      <c r="AD416" s="1"/>
      <c r="AF416" s="1"/>
      <c r="AH416" s="1"/>
      <c r="AJ416" s="1"/>
      <c r="AL416" s="1"/>
      <c r="AN416" s="1"/>
      <c r="AP416" s="1"/>
    </row>
    <row r="417" spans="26:42">
      <c r="Z417" s="136"/>
      <c r="AA417" s="136"/>
      <c r="AB417" s="1"/>
      <c r="AD417" s="1"/>
      <c r="AF417" s="1"/>
      <c r="AH417" s="1"/>
      <c r="AJ417" s="1"/>
      <c r="AL417" s="1"/>
      <c r="AN417" s="1"/>
      <c r="AP417" s="1"/>
    </row>
    <row r="418" spans="26:42">
      <c r="Z418" s="136"/>
      <c r="AA418" s="136"/>
      <c r="AB418" s="1"/>
      <c r="AD418" s="1"/>
      <c r="AF418" s="1"/>
      <c r="AH418" s="1"/>
      <c r="AJ418" s="1"/>
      <c r="AL418" s="1"/>
      <c r="AN418" s="1"/>
      <c r="AP418" s="1"/>
    </row>
    <row r="419" spans="26:42">
      <c r="Z419" s="136"/>
      <c r="AA419" s="136"/>
      <c r="AB419" s="1"/>
      <c r="AD419" s="1"/>
      <c r="AF419" s="1"/>
      <c r="AH419" s="1"/>
      <c r="AJ419" s="1"/>
      <c r="AL419" s="1"/>
      <c r="AN419" s="1"/>
      <c r="AP419" s="1"/>
    </row>
    <row r="420" spans="26:42">
      <c r="Z420" s="136"/>
      <c r="AA420" s="136"/>
      <c r="AB420" s="1"/>
      <c r="AD420" s="1"/>
      <c r="AF420" s="1"/>
      <c r="AH420" s="1"/>
      <c r="AJ420" s="1"/>
      <c r="AL420" s="1"/>
      <c r="AN420" s="1"/>
      <c r="AP420" s="1"/>
    </row>
    <row r="421" spans="26:42">
      <c r="Z421" s="136"/>
      <c r="AA421" s="136"/>
      <c r="AB421" s="1"/>
      <c r="AD421" s="1"/>
      <c r="AF421" s="1"/>
      <c r="AH421" s="1"/>
      <c r="AJ421" s="1"/>
      <c r="AL421" s="1"/>
      <c r="AN421" s="1"/>
      <c r="AP421" s="1"/>
    </row>
    <row r="422" spans="26:42">
      <c r="Z422" s="136"/>
      <c r="AA422" s="136"/>
      <c r="AB422" s="1"/>
      <c r="AD422" s="1"/>
      <c r="AF422" s="1"/>
      <c r="AH422" s="1"/>
      <c r="AJ422" s="1"/>
      <c r="AL422" s="1"/>
      <c r="AN422" s="1"/>
      <c r="AP422" s="1"/>
    </row>
    <row r="423" spans="26:42">
      <c r="Z423" s="136"/>
      <c r="AA423" s="136"/>
      <c r="AB423" s="1"/>
      <c r="AD423" s="1"/>
      <c r="AF423" s="1"/>
      <c r="AH423" s="1"/>
      <c r="AJ423" s="1"/>
      <c r="AL423" s="1"/>
      <c r="AN423" s="1"/>
      <c r="AP423" s="1"/>
    </row>
    <row r="424" spans="26:42">
      <c r="Z424" s="136"/>
      <c r="AA424" s="136"/>
      <c r="AB424" s="1"/>
      <c r="AD424" s="1"/>
      <c r="AF424" s="1"/>
      <c r="AH424" s="1"/>
      <c r="AJ424" s="1"/>
      <c r="AL424" s="1"/>
      <c r="AN424" s="1"/>
      <c r="AP424" s="1"/>
    </row>
    <row r="425" spans="26:42">
      <c r="Z425" s="136"/>
      <c r="AA425" s="136"/>
      <c r="AB425" s="1"/>
      <c r="AD425" s="1"/>
      <c r="AF425" s="1"/>
      <c r="AH425" s="1"/>
      <c r="AJ425" s="1"/>
      <c r="AL425" s="1"/>
      <c r="AN425" s="1"/>
      <c r="AP425" s="1"/>
    </row>
    <row r="426" spans="26:42">
      <c r="Z426" s="136"/>
      <c r="AA426" s="136"/>
      <c r="AB426" s="1"/>
      <c r="AD426" s="1"/>
      <c r="AF426" s="1"/>
      <c r="AH426" s="1"/>
      <c r="AJ426" s="1"/>
      <c r="AL426" s="1"/>
      <c r="AN426" s="1"/>
      <c r="AP426" s="1"/>
    </row>
    <row r="427" spans="26:42">
      <c r="Z427" s="136"/>
      <c r="AA427" s="136"/>
      <c r="AB427" s="1"/>
      <c r="AD427" s="1"/>
      <c r="AF427" s="1"/>
      <c r="AH427" s="1"/>
      <c r="AJ427" s="1"/>
      <c r="AL427" s="1"/>
      <c r="AN427" s="1"/>
      <c r="AP427" s="1"/>
    </row>
    <row r="428" spans="26:42">
      <c r="Z428" s="136"/>
      <c r="AA428" s="136"/>
      <c r="AB428" s="1"/>
      <c r="AD428" s="1"/>
      <c r="AF428" s="1"/>
      <c r="AH428" s="1"/>
      <c r="AJ428" s="1"/>
      <c r="AL428" s="1"/>
      <c r="AN428" s="1"/>
      <c r="AP428" s="1"/>
    </row>
    <row r="429" spans="26:42">
      <c r="Z429" s="136"/>
      <c r="AA429" s="136"/>
      <c r="AB429" s="1"/>
      <c r="AD429" s="1"/>
      <c r="AF429" s="1"/>
      <c r="AH429" s="1"/>
      <c r="AJ429" s="1"/>
      <c r="AL429" s="1"/>
      <c r="AN429" s="1"/>
      <c r="AP429" s="1"/>
    </row>
    <row r="430" spans="26:42">
      <c r="Z430" s="136"/>
      <c r="AA430" s="136"/>
      <c r="AB430" s="1"/>
      <c r="AD430" s="1"/>
      <c r="AF430" s="1"/>
      <c r="AH430" s="1"/>
      <c r="AJ430" s="1"/>
      <c r="AL430" s="1"/>
      <c r="AN430" s="1"/>
      <c r="AP430" s="1"/>
    </row>
    <row r="431" spans="26:42">
      <c r="Z431" s="136"/>
      <c r="AA431" s="136"/>
      <c r="AB431" s="1"/>
      <c r="AD431" s="1"/>
      <c r="AF431" s="1"/>
      <c r="AH431" s="1"/>
      <c r="AJ431" s="1"/>
      <c r="AL431" s="1"/>
      <c r="AN431" s="1"/>
      <c r="AP431" s="1"/>
    </row>
    <row r="432" spans="26:42">
      <c r="Z432" s="136"/>
      <c r="AA432" s="136"/>
      <c r="AB432" s="1"/>
      <c r="AD432" s="1"/>
      <c r="AF432" s="1"/>
      <c r="AH432" s="1"/>
      <c r="AJ432" s="1"/>
      <c r="AL432" s="1"/>
      <c r="AN432" s="1"/>
      <c r="AP432" s="1"/>
    </row>
    <row r="433" spans="26:42">
      <c r="Z433" s="136"/>
      <c r="AA433" s="136"/>
      <c r="AB433" s="1"/>
      <c r="AD433" s="1"/>
      <c r="AF433" s="1"/>
      <c r="AH433" s="1"/>
      <c r="AJ433" s="1"/>
      <c r="AL433" s="1"/>
      <c r="AN433" s="1"/>
      <c r="AP433" s="1"/>
    </row>
    <row r="434" spans="26:42">
      <c r="Z434" s="136"/>
      <c r="AA434" s="136"/>
      <c r="AB434" s="1"/>
      <c r="AD434" s="1"/>
      <c r="AF434" s="1"/>
      <c r="AH434" s="1"/>
      <c r="AJ434" s="1"/>
      <c r="AL434" s="1"/>
      <c r="AN434" s="1"/>
      <c r="AP434" s="1"/>
    </row>
    <row r="435" spans="26:42">
      <c r="Z435" s="136"/>
      <c r="AA435" s="136"/>
      <c r="AB435" s="1"/>
      <c r="AD435" s="1"/>
      <c r="AF435" s="1"/>
      <c r="AH435" s="1"/>
      <c r="AJ435" s="1"/>
      <c r="AL435" s="1"/>
      <c r="AN435" s="1"/>
      <c r="AP435" s="1"/>
    </row>
    <row r="436" spans="26:42">
      <c r="Z436" s="136"/>
      <c r="AA436" s="136"/>
      <c r="AB436" s="1"/>
      <c r="AD436" s="1"/>
      <c r="AF436" s="1"/>
      <c r="AH436" s="1"/>
      <c r="AJ436" s="1"/>
      <c r="AL436" s="1"/>
      <c r="AN436" s="1"/>
      <c r="AP436" s="1"/>
    </row>
    <row r="437" spans="26:42">
      <c r="Z437" s="136"/>
      <c r="AA437" s="136"/>
      <c r="AB437" s="1"/>
      <c r="AD437" s="1"/>
      <c r="AF437" s="1"/>
      <c r="AH437" s="1"/>
      <c r="AJ437" s="1"/>
      <c r="AL437" s="1"/>
      <c r="AN437" s="1"/>
      <c r="AP437" s="1"/>
    </row>
    <row r="438" spans="26:42">
      <c r="Z438" s="136"/>
      <c r="AA438" s="136"/>
      <c r="AB438" s="1"/>
      <c r="AD438" s="1"/>
      <c r="AF438" s="1"/>
      <c r="AH438" s="1"/>
      <c r="AJ438" s="1"/>
      <c r="AL438" s="1"/>
      <c r="AN438" s="1"/>
      <c r="AP438" s="1"/>
    </row>
    <row r="439" spans="26:42">
      <c r="Z439" s="136"/>
      <c r="AA439" s="136"/>
      <c r="AB439" s="1"/>
      <c r="AD439" s="1"/>
      <c r="AF439" s="1"/>
      <c r="AH439" s="1"/>
      <c r="AJ439" s="1"/>
      <c r="AL439" s="1"/>
      <c r="AN439" s="1"/>
      <c r="AP439" s="1"/>
    </row>
    <row r="440" spans="26:42">
      <c r="Z440" s="136"/>
      <c r="AA440" s="136"/>
      <c r="AB440" s="1"/>
      <c r="AD440" s="1"/>
      <c r="AF440" s="1"/>
      <c r="AH440" s="1"/>
      <c r="AJ440" s="1"/>
      <c r="AL440" s="1"/>
      <c r="AN440" s="1"/>
      <c r="AP440" s="1"/>
    </row>
    <row r="441" spans="26:42">
      <c r="Z441" s="136"/>
      <c r="AA441" s="136"/>
      <c r="AB441" s="1"/>
      <c r="AD441" s="1"/>
      <c r="AF441" s="1"/>
      <c r="AH441" s="1"/>
      <c r="AJ441" s="1"/>
      <c r="AL441" s="1"/>
      <c r="AN441" s="1"/>
      <c r="AP441" s="1"/>
    </row>
    <row r="442" spans="26:42">
      <c r="Z442" s="136"/>
      <c r="AA442" s="136"/>
      <c r="AB442" s="1"/>
      <c r="AD442" s="1"/>
      <c r="AF442" s="1"/>
      <c r="AH442" s="1"/>
      <c r="AJ442" s="1"/>
      <c r="AL442" s="1"/>
      <c r="AN442" s="1"/>
      <c r="AP442" s="1"/>
    </row>
    <row r="443" spans="26:42">
      <c r="Z443" s="136"/>
      <c r="AA443" s="136"/>
      <c r="AB443" s="1"/>
      <c r="AD443" s="1"/>
      <c r="AF443" s="1"/>
      <c r="AH443" s="1"/>
      <c r="AJ443" s="1"/>
      <c r="AL443" s="1"/>
      <c r="AN443" s="1"/>
      <c r="AP443" s="1"/>
    </row>
    <row r="444" spans="26:42">
      <c r="Z444" s="136"/>
      <c r="AA444" s="136"/>
      <c r="AB444" s="1"/>
      <c r="AD444" s="1"/>
      <c r="AF444" s="1"/>
      <c r="AH444" s="1"/>
      <c r="AJ444" s="1"/>
      <c r="AL444" s="1"/>
      <c r="AN444" s="1"/>
      <c r="AP444" s="1"/>
    </row>
    <row r="445" spans="26:42">
      <c r="Z445" s="136"/>
      <c r="AA445" s="136"/>
      <c r="AB445" s="1"/>
      <c r="AD445" s="1"/>
      <c r="AF445" s="1"/>
      <c r="AH445" s="1"/>
      <c r="AJ445" s="1"/>
      <c r="AL445" s="1"/>
      <c r="AN445" s="1"/>
      <c r="AP445" s="1"/>
    </row>
    <row r="446" spans="26:42">
      <c r="Z446" s="136"/>
      <c r="AA446" s="136"/>
      <c r="AB446" s="1"/>
      <c r="AD446" s="1"/>
      <c r="AF446" s="1"/>
      <c r="AH446" s="1"/>
      <c r="AJ446" s="1"/>
      <c r="AL446" s="1"/>
      <c r="AN446" s="1"/>
      <c r="AP446" s="1"/>
    </row>
    <row r="447" spans="26:42">
      <c r="Z447" s="136"/>
      <c r="AA447" s="136"/>
      <c r="AB447" s="1"/>
      <c r="AD447" s="1"/>
      <c r="AF447" s="1"/>
      <c r="AH447" s="1"/>
      <c r="AJ447" s="1"/>
      <c r="AL447" s="1"/>
      <c r="AN447" s="1"/>
      <c r="AP447" s="1"/>
    </row>
    <row r="448" spans="26:42">
      <c r="Z448" s="136"/>
      <c r="AA448" s="136"/>
      <c r="AB448" s="1"/>
      <c r="AD448" s="1"/>
      <c r="AF448" s="1"/>
      <c r="AH448" s="1"/>
      <c r="AJ448" s="1"/>
      <c r="AL448" s="1"/>
      <c r="AN448" s="1"/>
      <c r="AP448" s="1"/>
    </row>
    <row r="449" spans="26:42">
      <c r="Z449" s="136"/>
      <c r="AA449" s="136"/>
      <c r="AB449" s="1"/>
      <c r="AD449" s="1"/>
      <c r="AF449" s="1"/>
      <c r="AH449" s="1"/>
      <c r="AJ449" s="1"/>
      <c r="AL449" s="1"/>
      <c r="AN449" s="1"/>
      <c r="AP449" s="1"/>
    </row>
    <row r="450" spans="26:42">
      <c r="Z450" s="136"/>
      <c r="AA450" s="136"/>
      <c r="AB450" s="1"/>
      <c r="AD450" s="1"/>
      <c r="AF450" s="1"/>
      <c r="AH450" s="1"/>
      <c r="AJ450" s="1"/>
      <c r="AL450" s="1"/>
      <c r="AN450" s="1"/>
      <c r="AP450" s="1"/>
    </row>
    <row r="451" spans="26:42">
      <c r="Z451" s="136"/>
      <c r="AA451" s="136"/>
      <c r="AB451" s="1"/>
      <c r="AD451" s="1"/>
      <c r="AF451" s="1"/>
      <c r="AH451" s="1"/>
      <c r="AJ451" s="1"/>
      <c r="AL451" s="1"/>
      <c r="AN451" s="1"/>
      <c r="AP451" s="1"/>
    </row>
    <row r="452" spans="26:42">
      <c r="Z452" s="136"/>
      <c r="AA452" s="136"/>
      <c r="AB452" s="1"/>
      <c r="AD452" s="1"/>
      <c r="AF452" s="1"/>
      <c r="AH452" s="1"/>
      <c r="AJ452" s="1"/>
      <c r="AL452" s="1"/>
      <c r="AN452" s="1"/>
      <c r="AP452" s="1"/>
    </row>
    <row r="453" spans="26:42">
      <c r="Z453" s="136"/>
      <c r="AA453" s="136"/>
      <c r="AB453" s="1"/>
      <c r="AD453" s="1"/>
      <c r="AF453" s="1"/>
      <c r="AH453" s="1"/>
      <c r="AJ453" s="1"/>
      <c r="AL453" s="1"/>
      <c r="AN453" s="1"/>
      <c r="AP453" s="1"/>
    </row>
    <row r="454" spans="26:42">
      <c r="Z454" s="136"/>
      <c r="AA454" s="136"/>
      <c r="AB454" s="1"/>
      <c r="AD454" s="1"/>
      <c r="AF454" s="1"/>
      <c r="AH454" s="1"/>
      <c r="AJ454" s="1"/>
      <c r="AL454" s="1"/>
      <c r="AN454" s="1"/>
      <c r="AP454" s="1"/>
    </row>
    <row r="455" spans="26:42">
      <c r="Z455" s="136"/>
      <c r="AA455" s="136"/>
      <c r="AB455" s="1"/>
      <c r="AD455" s="1"/>
      <c r="AF455" s="1"/>
      <c r="AH455" s="1"/>
      <c r="AJ455" s="1"/>
      <c r="AL455" s="1"/>
      <c r="AN455" s="1"/>
      <c r="AP455" s="1"/>
    </row>
    <row r="456" spans="26:42">
      <c r="Z456" s="136"/>
      <c r="AA456" s="136"/>
      <c r="AB456" s="1"/>
      <c r="AD456" s="1"/>
      <c r="AF456" s="1"/>
      <c r="AH456" s="1"/>
      <c r="AJ456" s="1"/>
      <c r="AL456" s="1"/>
      <c r="AN456" s="1"/>
      <c r="AP456" s="1"/>
    </row>
    <row r="457" spans="26:42">
      <c r="Z457" s="136"/>
      <c r="AA457" s="136"/>
      <c r="AB457" s="1"/>
      <c r="AD457" s="1"/>
      <c r="AF457" s="1"/>
      <c r="AH457" s="1"/>
      <c r="AJ457" s="1"/>
      <c r="AL457" s="1"/>
      <c r="AN457" s="1"/>
      <c r="AP457" s="1"/>
    </row>
    <row r="458" spans="26:42">
      <c r="Z458" s="136"/>
      <c r="AA458" s="136"/>
      <c r="AB458" s="1"/>
      <c r="AD458" s="1"/>
      <c r="AF458" s="1"/>
      <c r="AH458" s="1"/>
      <c r="AJ458" s="1"/>
      <c r="AL458" s="1"/>
      <c r="AN458" s="1"/>
      <c r="AP458" s="1"/>
    </row>
    <row r="459" spans="26:42">
      <c r="Z459" s="136"/>
      <c r="AA459" s="136"/>
      <c r="AB459" s="1"/>
      <c r="AD459" s="1"/>
      <c r="AF459" s="1"/>
      <c r="AH459" s="1"/>
      <c r="AJ459" s="1"/>
      <c r="AL459" s="1"/>
      <c r="AN459" s="1"/>
      <c r="AP459" s="1"/>
    </row>
    <row r="460" spans="26:42">
      <c r="Z460" s="136"/>
      <c r="AA460" s="136"/>
      <c r="AB460" s="1"/>
      <c r="AD460" s="1"/>
      <c r="AF460" s="1"/>
      <c r="AH460" s="1"/>
      <c r="AJ460" s="1"/>
      <c r="AL460" s="1"/>
      <c r="AN460" s="1"/>
      <c r="AP460" s="1"/>
    </row>
    <row r="461" spans="26:42">
      <c r="Z461" s="136"/>
      <c r="AA461" s="136"/>
      <c r="AB461" s="1"/>
      <c r="AD461" s="1"/>
      <c r="AF461" s="1"/>
      <c r="AH461" s="1"/>
      <c r="AJ461" s="1"/>
      <c r="AL461" s="1"/>
      <c r="AN461" s="1"/>
      <c r="AP461" s="1"/>
    </row>
    <row r="462" spans="26:42">
      <c r="Z462" s="136"/>
      <c r="AA462" s="136"/>
      <c r="AB462" s="1"/>
      <c r="AD462" s="1"/>
      <c r="AF462" s="1"/>
      <c r="AH462" s="1"/>
      <c r="AJ462" s="1"/>
      <c r="AL462" s="1"/>
      <c r="AN462" s="1"/>
      <c r="AP462" s="1"/>
    </row>
    <row r="463" spans="26:42">
      <c r="Z463" s="136"/>
      <c r="AA463" s="136"/>
      <c r="AB463" s="1"/>
      <c r="AD463" s="1"/>
      <c r="AF463" s="1"/>
      <c r="AH463" s="1"/>
      <c r="AJ463" s="1"/>
      <c r="AL463" s="1"/>
      <c r="AN463" s="1"/>
      <c r="AP463" s="1"/>
    </row>
    <row r="464" spans="26:42">
      <c r="Z464" s="136"/>
      <c r="AA464" s="136"/>
      <c r="AB464" s="1"/>
      <c r="AD464" s="1"/>
      <c r="AF464" s="1"/>
      <c r="AH464" s="1"/>
      <c r="AJ464" s="1"/>
      <c r="AL464" s="1"/>
      <c r="AN464" s="1"/>
      <c r="AP464" s="1"/>
    </row>
    <row r="465" spans="26:42">
      <c r="Z465" s="136"/>
      <c r="AA465" s="136"/>
      <c r="AB465" s="1"/>
      <c r="AD465" s="1"/>
      <c r="AF465" s="1"/>
      <c r="AH465" s="1"/>
      <c r="AJ465" s="1"/>
      <c r="AL465" s="1"/>
      <c r="AN465" s="1"/>
      <c r="AP465" s="1"/>
    </row>
    <row r="466" spans="26:42">
      <c r="Z466" s="136"/>
      <c r="AA466" s="136"/>
      <c r="AB466" s="1"/>
      <c r="AD466" s="1"/>
      <c r="AF466" s="1"/>
      <c r="AH466" s="1"/>
      <c r="AJ466" s="1"/>
      <c r="AL466" s="1"/>
      <c r="AN466" s="1"/>
      <c r="AP466" s="1"/>
    </row>
    <row r="467" spans="26:42">
      <c r="Z467" s="136"/>
      <c r="AA467" s="136"/>
      <c r="AB467" s="1"/>
      <c r="AD467" s="1"/>
      <c r="AF467" s="1"/>
      <c r="AH467" s="1"/>
      <c r="AJ467" s="1"/>
      <c r="AL467" s="1"/>
      <c r="AN467" s="1"/>
      <c r="AP467" s="1"/>
    </row>
    <row r="468" spans="26:42">
      <c r="Z468" s="136"/>
      <c r="AA468" s="136"/>
      <c r="AB468" s="1"/>
      <c r="AD468" s="1"/>
      <c r="AF468" s="1"/>
      <c r="AH468" s="1"/>
      <c r="AJ468" s="1"/>
      <c r="AL468" s="1"/>
      <c r="AN468" s="1"/>
      <c r="AP468" s="1"/>
    </row>
    <row r="469" spans="26:42">
      <c r="Z469" s="136"/>
      <c r="AA469" s="136"/>
      <c r="AB469" s="1"/>
      <c r="AD469" s="1"/>
      <c r="AF469" s="1"/>
      <c r="AH469" s="1"/>
      <c r="AJ469" s="1"/>
      <c r="AL469" s="1"/>
      <c r="AN469" s="1"/>
      <c r="AP469" s="1"/>
    </row>
    <row r="470" spans="26:42">
      <c r="Z470" s="136"/>
      <c r="AA470" s="136"/>
      <c r="AB470" s="1"/>
      <c r="AD470" s="1"/>
      <c r="AF470" s="1"/>
      <c r="AH470" s="1"/>
      <c r="AJ470" s="1"/>
      <c r="AL470" s="1"/>
      <c r="AN470" s="1"/>
      <c r="AP470" s="1"/>
    </row>
    <row r="471" spans="26:42">
      <c r="Z471" s="136"/>
      <c r="AA471" s="136"/>
      <c r="AB471" s="1"/>
      <c r="AD471" s="1"/>
      <c r="AF471" s="1"/>
      <c r="AH471" s="1"/>
      <c r="AJ471" s="1"/>
      <c r="AL471" s="1"/>
      <c r="AN471" s="1"/>
      <c r="AP471" s="1"/>
    </row>
    <row r="472" spans="26:42">
      <c r="Z472" s="136"/>
      <c r="AA472" s="136"/>
      <c r="AB472" s="1"/>
      <c r="AD472" s="1"/>
      <c r="AF472" s="1"/>
      <c r="AH472" s="1"/>
      <c r="AJ472" s="1"/>
      <c r="AL472" s="1"/>
      <c r="AN472" s="1"/>
      <c r="AP472" s="1"/>
    </row>
    <row r="473" spans="26:42">
      <c r="Z473" s="136"/>
      <c r="AA473" s="136"/>
      <c r="AB473" s="1"/>
      <c r="AD473" s="1"/>
      <c r="AF473" s="1"/>
      <c r="AH473" s="1"/>
      <c r="AJ473" s="1"/>
      <c r="AL473" s="1"/>
      <c r="AN473" s="1"/>
      <c r="AP473" s="1"/>
    </row>
    <row r="474" spans="26:42">
      <c r="Z474" s="136"/>
      <c r="AA474" s="136"/>
      <c r="AB474" s="1"/>
      <c r="AD474" s="1"/>
      <c r="AF474" s="1"/>
      <c r="AH474" s="1"/>
      <c r="AJ474" s="1"/>
      <c r="AL474" s="1"/>
      <c r="AN474" s="1"/>
      <c r="AP474" s="1"/>
    </row>
    <row r="475" spans="26:42">
      <c r="Z475" s="136"/>
      <c r="AA475" s="136"/>
      <c r="AB475" s="1"/>
      <c r="AD475" s="1"/>
      <c r="AF475" s="1"/>
      <c r="AH475" s="1"/>
      <c r="AJ475" s="1"/>
      <c r="AL475" s="1"/>
      <c r="AN475" s="1"/>
      <c r="AP475" s="1"/>
    </row>
    <row r="476" spans="26:42">
      <c r="Z476" s="136"/>
      <c r="AA476" s="136"/>
      <c r="AB476" s="1"/>
      <c r="AD476" s="1"/>
      <c r="AF476" s="1"/>
      <c r="AH476" s="1"/>
      <c r="AJ476" s="1"/>
      <c r="AL476" s="1"/>
      <c r="AN476" s="1"/>
      <c r="AP476" s="1"/>
    </row>
    <row r="477" spans="26:42">
      <c r="Z477" s="136"/>
      <c r="AA477" s="136"/>
      <c r="AB477" s="1"/>
      <c r="AD477" s="1"/>
      <c r="AF477" s="1"/>
      <c r="AH477" s="1"/>
      <c r="AJ477" s="1"/>
      <c r="AL477" s="1"/>
      <c r="AN477" s="1"/>
      <c r="AP477" s="1"/>
    </row>
    <row r="478" spans="26:42">
      <c r="Z478" s="136"/>
      <c r="AA478" s="136"/>
      <c r="AB478" s="1"/>
      <c r="AD478" s="1"/>
      <c r="AF478" s="1"/>
      <c r="AH478" s="1"/>
      <c r="AJ478" s="1"/>
      <c r="AL478" s="1"/>
      <c r="AN478" s="1"/>
      <c r="AP478" s="1"/>
    </row>
    <row r="479" spans="26:42">
      <c r="Z479" s="136"/>
      <c r="AA479" s="136"/>
      <c r="AB479" s="1"/>
      <c r="AD479" s="1"/>
      <c r="AF479" s="1"/>
      <c r="AH479" s="1"/>
      <c r="AJ479" s="1"/>
      <c r="AL479" s="1"/>
      <c r="AN479" s="1"/>
      <c r="AP479" s="1"/>
    </row>
    <row r="480" spans="26:42">
      <c r="Z480" s="136"/>
      <c r="AA480" s="136"/>
      <c r="AB480" s="1"/>
      <c r="AD480" s="1"/>
      <c r="AF480" s="1"/>
      <c r="AH480" s="1"/>
      <c r="AJ480" s="1"/>
      <c r="AL480" s="1"/>
      <c r="AN480" s="1"/>
      <c r="AP480" s="1"/>
    </row>
    <row r="481" spans="26:42">
      <c r="Z481" s="136"/>
      <c r="AA481" s="136"/>
      <c r="AB481" s="1"/>
      <c r="AD481" s="1"/>
      <c r="AF481" s="1"/>
      <c r="AH481" s="1"/>
      <c r="AJ481" s="1"/>
      <c r="AL481" s="1"/>
      <c r="AN481" s="1"/>
      <c r="AP481" s="1"/>
    </row>
    <row r="482" spans="26:42">
      <c r="Z482" s="136"/>
      <c r="AA482" s="136"/>
      <c r="AB482" s="1"/>
      <c r="AD482" s="1"/>
      <c r="AF482" s="1"/>
      <c r="AH482" s="1"/>
      <c r="AJ482" s="1"/>
      <c r="AL482" s="1"/>
      <c r="AN482" s="1"/>
      <c r="AP482" s="1"/>
    </row>
    <row r="483" spans="26:42">
      <c r="Z483" s="136"/>
      <c r="AA483" s="136"/>
      <c r="AB483" s="1"/>
      <c r="AD483" s="1"/>
      <c r="AF483" s="1"/>
      <c r="AH483" s="1"/>
      <c r="AJ483" s="1"/>
      <c r="AL483" s="1"/>
      <c r="AN483" s="1"/>
      <c r="AP483" s="1"/>
    </row>
    <row r="484" spans="26:42">
      <c r="Z484" s="136"/>
      <c r="AA484" s="136"/>
      <c r="AB484" s="1"/>
      <c r="AD484" s="1"/>
      <c r="AF484" s="1"/>
      <c r="AH484" s="1"/>
      <c r="AJ484" s="1"/>
      <c r="AL484" s="1"/>
      <c r="AN484" s="1"/>
      <c r="AP484" s="1"/>
    </row>
    <row r="485" spans="26:42">
      <c r="Z485" s="136"/>
      <c r="AA485" s="136"/>
      <c r="AB485" s="1"/>
      <c r="AD485" s="1"/>
      <c r="AF485" s="1"/>
      <c r="AH485" s="1"/>
      <c r="AJ485" s="1"/>
      <c r="AL485" s="1"/>
      <c r="AN485" s="1"/>
      <c r="AP485" s="1"/>
    </row>
    <row r="486" spans="26:42">
      <c r="Z486" s="136"/>
      <c r="AA486" s="136"/>
      <c r="AB486" s="1"/>
      <c r="AD486" s="1"/>
      <c r="AF486" s="1"/>
      <c r="AH486" s="1"/>
      <c r="AJ486" s="1"/>
      <c r="AL486" s="1"/>
      <c r="AN486" s="1"/>
      <c r="AP486" s="1"/>
    </row>
    <row r="487" spans="26:42">
      <c r="Z487" s="136"/>
      <c r="AA487" s="136"/>
      <c r="AB487" s="1"/>
      <c r="AD487" s="1"/>
      <c r="AF487" s="1"/>
      <c r="AH487" s="1"/>
      <c r="AJ487" s="1"/>
      <c r="AL487" s="1"/>
      <c r="AN487" s="1"/>
      <c r="AP487" s="1"/>
    </row>
    <row r="488" spans="26:42">
      <c r="Z488" s="136"/>
      <c r="AA488" s="136"/>
      <c r="AB488" s="1"/>
      <c r="AD488" s="1"/>
      <c r="AF488" s="1"/>
      <c r="AH488" s="1"/>
      <c r="AJ488" s="1"/>
      <c r="AL488" s="1"/>
      <c r="AN488" s="1"/>
      <c r="AP488" s="1"/>
    </row>
    <row r="489" spans="26:42">
      <c r="Z489" s="136"/>
      <c r="AA489" s="136"/>
      <c r="AB489" s="1"/>
      <c r="AD489" s="1"/>
      <c r="AF489" s="1"/>
      <c r="AH489" s="1"/>
      <c r="AJ489" s="1"/>
      <c r="AL489" s="1"/>
      <c r="AN489" s="1"/>
      <c r="AP489" s="1"/>
    </row>
    <row r="490" spans="26:42">
      <c r="Z490" s="136"/>
      <c r="AA490" s="136"/>
      <c r="AB490" s="1"/>
      <c r="AD490" s="1"/>
      <c r="AF490" s="1"/>
      <c r="AH490" s="1"/>
      <c r="AJ490" s="1"/>
      <c r="AL490" s="1"/>
      <c r="AN490" s="1"/>
      <c r="AP490" s="1"/>
    </row>
    <row r="491" spans="26:42">
      <c r="Z491" s="136"/>
      <c r="AA491" s="136"/>
      <c r="AB491" s="1"/>
      <c r="AD491" s="1"/>
      <c r="AF491" s="1"/>
      <c r="AH491" s="1"/>
      <c r="AJ491" s="1"/>
      <c r="AL491" s="1"/>
      <c r="AN491" s="1"/>
      <c r="AP491" s="1"/>
    </row>
    <row r="492" spans="26:42">
      <c r="Z492" s="136"/>
      <c r="AA492" s="136"/>
      <c r="AB492" s="1"/>
      <c r="AD492" s="1"/>
      <c r="AF492" s="1"/>
      <c r="AH492" s="1"/>
      <c r="AJ492" s="1"/>
      <c r="AL492" s="1"/>
      <c r="AN492" s="1"/>
      <c r="AP492" s="1"/>
    </row>
    <row r="493" spans="26:42">
      <c r="Z493" s="136"/>
      <c r="AA493" s="136"/>
      <c r="AB493" s="1"/>
      <c r="AD493" s="1"/>
      <c r="AF493" s="1"/>
      <c r="AH493" s="1"/>
      <c r="AJ493" s="1"/>
      <c r="AL493" s="1"/>
      <c r="AN493" s="1"/>
      <c r="AP493" s="1"/>
    </row>
    <row r="494" spans="26:42">
      <c r="Z494" s="136"/>
      <c r="AA494" s="136"/>
      <c r="AB494" s="1"/>
      <c r="AD494" s="1"/>
      <c r="AF494" s="1"/>
      <c r="AH494" s="1"/>
      <c r="AJ494" s="1"/>
      <c r="AL494" s="1"/>
      <c r="AN494" s="1"/>
      <c r="AP494" s="1"/>
    </row>
    <row r="495" spans="26:42">
      <c r="Z495" s="136"/>
      <c r="AA495" s="136"/>
      <c r="AB495" s="1"/>
      <c r="AD495" s="1"/>
      <c r="AF495" s="1"/>
      <c r="AH495" s="1"/>
      <c r="AJ495" s="1"/>
      <c r="AL495" s="1"/>
      <c r="AN495" s="1"/>
      <c r="AP495" s="1"/>
    </row>
    <row r="496" spans="26:42">
      <c r="Z496" s="136"/>
      <c r="AA496" s="136"/>
      <c r="AB496" s="1"/>
      <c r="AD496" s="1"/>
      <c r="AF496" s="1"/>
      <c r="AH496" s="1"/>
      <c r="AJ496" s="1"/>
      <c r="AL496" s="1"/>
      <c r="AN496" s="1"/>
      <c r="AP496" s="1"/>
    </row>
    <row r="497" spans="26:42">
      <c r="Z497" s="136"/>
      <c r="AA497" s="136"/>
      <c r="AB497" s="1"/>
      <c r="AD497" s="1"/>
      <c r="AF497" s="1"/>
      <c r="AH497" s="1"/>
      <c r="AJ497" s="1"/>
      <c r="AL497" s="1"/>
      <c r="AN497" s="1"/>
      <c r="AP497" s="1"/>
    </row>
    <row r="498" spans="26:42">
      <c r="Z498" s="136"/>
      <c r="AA498" s="136"/>
      <c r="AB498" s="1"/>
      <c r="AD498" s="1"/>
      <c r="AF498" s="1"/>
      <c r="AH498" s="1"/>
      <c r="AJ498" s="1"/>
      <c r="AL498" s="1"/>
      <c r="AN498" s="1"/>
      <c r="AP498" s="1"/>
    </row>
    <row r="499" spans="26:42">
      <c r="Z499" s="136"/>
      <c r="AA499" s="136"/>
      <c r="AB499" s="1"/>
      <c r="AD499" s="1"/>
      <c r="AF499" s="1"/>
      <c r="AH499" s="1"/>
      <c r="AJ499" s="1"/>
      <c r="AL499" s="1"/>
      <c r="AN499" s="1"/>
      <c r="AP499" s="1"/>
    </row>
    <row r="500" spans="26:42">
      <c r="Z500" s="136"/>
      <c r="AA500" s="136"/>
      <c r="AB500" s="1"/>
      <c r="AD500" s="1"/>
      <c r="AF500" s="1"/>
      <c r="AH500" s="1"/>
      <c r="AJ500" s="1"/>
      <c r="AL500" s="1"/>
      <c r="AN500" s="1"/>
      <c r="AP500" s="1"/>
    </row>
    <row r="501" spans="26:42">
      <c r="Z501" s="136"/>
      <c r="AA501" s="136"/>
      <c r="AB501" s="1"/>
      <c r="AD501" s="1"/>
      <c r="AF501" s="1"/>
      <c r="AH501" s="1"/>
      <c r="AJ501" s="1"/>
      <c r="AL501" s="1"/>
      <c r="AN501" s="1"/>
      <c r="AP501" s="1"/>
    </row>
    <row r="502" spans="26:42">
      <c r="Z502" s="136"/>
      <c r="AA502" s="136"/>
      <c r="AB502" s="1"/>
      <c r="AD502" s="1"/>
      <c r="AF502" s="1"/>
      <c r="AH502" s="1"/>
      <c r="AJ502" s="1"/>
      <c r="AL502" s="1"/>
      <c r="AN502" s="1"/>
      <c r="AP502" s="1"/>
    </row>
    <row r="503" spans="26:42">
      <c r="Z503" s="136"/>
      <c r="AA503" s="136"/>
      <c r="AB503" s="1"/>
      <c r="AD503" s="1"/>
      <c r="AF503" s="1"/>
      <c r="AH503" s="1"/>
      <c r="AJ503" s="1"/>
      <c r="AL503" s="1"/>
      <c r="AN503" s="1"/>
      <c r="AP503" s="1"/>
    </row>
    <row r="504" spans="26:42">
      <c r="Z504" s="136"/>
      <c r="AA504" s="136"/>
      <c r="AB504" s="1"/>
      <c r="AD504" s="1"/>
      <c r="AF504" s="1"/>
      <c r="AH504" s="1"/>
      <c r="AJ504" s="1"/>
      <c r="AL504" s="1"/>
      <c r="AN504" s="1"/>
      <c r="AP504" s="1"/>
    </row>
    <row r="505" spans="26:42">
      <c r="Z505" s="136"/>
      <c r="AA505" s="136"/>
      <c r="AB505" s="1"/>
      <c r="AD505" s="1"/>
      <c r="AF505" s="1"/>
      <c r="AH505" s="1"/>
      <c r="AJ505" s="1"/>
      <c r="AL505" s="1"/>
      <c r="AN505" s="1"/>
      <c r="AP505" s="1"/>
    </row>
    <row r="506" spans="26:42">
      <c r="Z506" s="136"/>
      <c r="AA506" s="136"/>
      <c r="AB506" s="1"/>
      <c r="AD506" s="1"/>
      <c r="AF506" s="1"/>
      <c r="AH506" s="1"/>
      <c r="AJ506" s="1"/>
      <c r="AL506" s="1"/>
      <c r="AN506" s="1"/>
      <c r="AP506" s="1"/>
    </row>
    <row r="507" spans="26:42">
      <c r="Z507" s="136"/>
      <c r="AA507" s="136"/>
      <c r="AB507" s="1"/>
      <c r="AD507" s="1"/>
      <c r="AF507" s="1"/>
      <c r="AH507" s="1"/>
      <c r="AJ507" s="1"/>
      <c r="AL507" s="1"/>
      <c r="AN507" s="1"/>
      <c r="AP507" s="1"/>
    </row>
    <row r="508" spans="26:42">
      <c r="Z508" s="136"/>
      <c r="AA508" s="136"/>
      <c r="AB508" s="1"/>
      <c r="AD508" s="1"/>
      <c r="AF508" s="1"/>
      <c r="AH508" s="1"/>
      <c r="AJ508" s="1"/>
      <c r="AL508" s="1"/>
      <c r="AN508" s="1"/>
      <c r="AP508" s="1"/>
    </row>
    <row r="509" spans="26:42">
      <c r="Z509" s="136"/>
      <c r="AA509" s="136"/>
      <c r="AB509" s="1"/>
      <c r="AD509" s="1"/>
      <c r="AF509" s="1"/>
      <c r="AH509" s="1"/>
      <c r="AJ509" s="1"/>
      <c r="AL509" s="1"/>
      <c r="AN509" s="1"/>
      <c r="AP509" s="1"/>
    </row>
    <row r="510" spans="26:42">
      <c r="Z510" s="136"/>
      <c r="AA510" s="136"/>
      <c r="AB510" s="1"/>
      <c r="AD510" s="1"/>
      <c r="AF510" s="1"/>
      <c r="AH510" s="1"/>
      <c r="AJ510" s="1"/>
      <c r="AL510" s="1"/>
      <c r="AN510" s="1"/>
      <c r="AP510" s="1"/>
    </row>
    <row r="511" spans="26:42">
      <c r="Z511" s="136"/>
      <c r="AA511" s="136"/>
      <c r="AB511" s="1"/>
      <c r="AD511" s="1"/>
      <c r="AF511" s="1"/>
      <c r="AH511" s="1"/>
      <c r="AJ511" s="1"/>
      <c r="AL511" s="1"/>
      <c r="AN511" s="1"/>
      <c r="AP511" s="1"/>
    </row>
    <row r="512" spans="26:42">
      <c r="Z512" s="136"/>
      <c r="AA512" s="136"/>
      <c r="AB512" s="1"/>
      <c r="AD512" s="1"/>
      <c r="AF512" s="1"/>
      <c r="AH512" s="1"/>
      <c r="AJ512" s="1"/>
      <c r="AL512" s="1"/>
      <c r="AN512" s="1"/>
      <c r="AP512" s="1"/>
    </row>
    <row r="513" spans="26:42">
      <c r="Z513" s="136"/>
      <c r="AA513" s="136"/>
      <c r="AB513" s="1"/>
      <c r="AD513" s="1"/>
      <c r="AF513" s="1"/>
      <c r="AH513" s="1"/>
      <c r="AJ513" s="1"/>
      <c r="AL513" s="1"/>
      <c r="AN513" s="1"/>
      <c r="AP513" s="1"/>
    </row>
    <row r="514" spans="26:42">
      <c r="Z514" s="136"/>
      <c r="AA514" s="136"/>
      <c r="AB514" s="1"/>
      <c r="AD514" s="1"/>
      <c r="AF514" s="1"/>
      <c r="AH514" s="1"/>
      <c r="AJ514" s="1"/>
      <c r="AL514" s="1"/>
      <c r="AN514" s="1"/>
      <c r="AP514" s="1"/>
    </row>
    <row r="515" spans="26:42">
      <c r="Z515" s="136"/>
      <c r="AA515" s="136"/>
      <c r="AB515" s="1"/>
      <c r="AD515" s="1"/>
      <c r="AF515" s="1"/>
      <c r="AH515" s="1"/>
      <c r="AJ515" s="1"/>
      <c r="AL515" s="1"/>
      <c r="AN515" s="1"/>
      <c r="AP515" s="1"/>
    </row>
    <row r="516" spans="26:42">
      <c r="Z516" s="136"/>
      <c r="AA516" s="136"/>
      <c r="AB516" s="1"/>
      <c r="AD516" s="1"/>
      <c r="AF516" s="1"/>
      <c r="AH516" s="1"/>
      <c r="AJ516" s="1"/>
      <c r="AL516" s="1"/>
      <c r="AN516" s="1"/>
      <c r="AP516" s="1"/>
    </row>
    <row r="517" spans="26:42">
      <c r="Z517" s="136"/>
      <c r="AA517" s="136"/>
      <c r="AB517" s="1"/>
      <c r="AD517" s="1"/>
      <c r="AF517" s="1"/>
      <c r="AH517" s="1"/>
      <c r="AJ517" s="1"/>
      <c r="AL517" s="1"/>
      <c r="AN517" s="1"/>
      <c r="AP517" s="1"/>
    </row>
    <row r="518" spans="26:42">
      <c r="Z518" s="136"/>
      <c r="AA518" s="136"/>
      <c r="AB518" s="1"/>
      <c r="AD518" s="1"/>
      <c r="AF518" s="1"/>
      <c r="AH518" s="1"/>
      <c r="AJ518" s="1"/>
      <c r="AL518" s="1"/>
      <c r="AN518" s="1"/>
      <c r="AP518" s="1"/>
    </row>
    <row r="519" spans="26:42">
      <c r="Z519" s="136"/>
      <c r="AA519" s="136"/>
      <c r="AB519" s="1"/>
      <c r="AD519" s="1"/>
      <c r="AF519" s="1"/>
      <c r="AH519" s="1"/>
      <c r="AJ519" s="1"/>
      <c r="AL519" s="1"/>
      <c r="AN519" s="1"/>
      <c r="AP519" s="1"/>
    </row>
    <row r="520" spans="26:42">
      <c r="Z520" s="136"/>
      <c r="AA520" s="136"/>
      <c r="AB520" s="1"/>
      <c r="AD520" s="1"/>
      <c r="AF520" s="1"/>
      <c r="AH520" s="1"/>
      <c r="AJ520" s="1"/>
      <c r="AL520" s="1"/>
      <c r="AN520" s="1"/>
      <c r="AP520" s="1"/>
    </row>
    <row r="521" spans="26:42">
      <c r="Z521" s="136"/>
      <c r="AA521" s="136"/>
      <c r="AB521" s="1"/>
      <c r="AD521" s="1"/>
      <c r="AF521" s="1"/>
      <c r="AH521" s="1"/>
      <c r="AJ521" s="1"/>
      <c r="AL521" s="1"/>
      <c r="AN521" s="1"/>
      <c r="AP521" s="1"/>
    </row>
    <row r="522" spans="26:42">
      <c r="Z522" s="136"/>
      <c r="AA522" s="136"/>
      <c r="AB522" s="1"/>
      <c r="AD522" s="1"/>
      <c r="AF522" s="1"/>
      <c r="AH522" s="1"/>
      <c r="AJ522" s="1"/>
      <c r="AL522" s="1"/>
      <c r="AN522" s="1"/>
      <c r="AP522" s="1"/>
    </row>
    <row r="523" spans="26:42">
      <c r="Z523" s="136"/>
      <c r="AA523" s="136"/>
      <c r="AB523" s="1"/>
      <c r="AD523" s="1"/>
      <c r="AF523" s="1"/>
      <c r="AH523" s="1"/>
      <c r="AJ523" s="1"/>
      <c r="AL523" s="1"/>
      <c r="AN523" s="1"/>
      <c r="AP523" s="1"/>
    </row>
    <row r="524" spans="26:42">
      <c r="Z524" s="136"/>
      <c r="AA524" s="136"/>
      <c r="AB524" s="1"/>
      <c r="AD524" s="1"/>
      <c r="AF524" s="1"/>
      <c r="AH524" s="1"/>
      <c r="AJ524" s="1"/>
      <c r="AL524" s="1"/>
      <c r="AN524" s="1"/>
      <c r="AP524" s="1"/>
    </row>
    <row r="525" spans="26:42">
      <c r="Z525" s="136"/>
      <c r="AA525" s="136"/>
      <c r="AB525" s="1"/>
      <c r="AD525" s="1"/>
      <c r="AF525" s="1"/>
      <c r="AH525" s="1"/>
      <c r="AJ525" s="1"/>
      <c r="AL525" s="1"/>
      <c r="AN525" s="1"/>
      <c r="AP525" s="1"/>
    </row>
    <row r="526" spans="26:42">
      <c r="Z526" s="136"/>
      <c r="AA526" s="136"/>
      <c r="AB526" s="1"/>
      <c r="AD526" s="1"/>
      <c r="AF526" s="1"/>
      <c r="AH526" s="1"/>
      <c r="AJ526" s="1"/>
      <c r="AL526" s="1"/>
      <c r="AN526" s="1"/>
      <c r="AP526" s="1"/>
    </row>
    <row r="527" spans="26:42">
      <c r="Z527" s="136"/>
      <c r="AA527" s="136"/>
      <c r="AB527" s="1"/>
      <c r="AD527" s="1"/>
      <c r="AF527" s="1"/>
      <c r="AH527" s="1"/>
      <c r="AJ527" s="1"/>
      <c r="AL527" s="1"/>
      <c r="AN527" s="1"/>
      <c r="AP527" s="1"/>
    </row>
    <row r="528" spans="26:42">
      <c r="Z528" s="136"/>
      <c r="AA528" s="136"/>
      <c r="AB528" s="1"/>
      <c r="AD528" s="1"/>
      <c r="AF528" s="1"/>
      <c r="AH528" s="1"/>
      <c r="AJ528" s="1"/>
      <c r="AL528" s="1"/>
      <c r="AN528" s="1"/>
      <c r="AP528" s="1"/>
    </row>
    <row r="529" spans="26:42">
      <c r="Z529" s="136"/>
      <c r="AA529" s="136"/>
      <c r="AB529" s="1"/>
      <c r="AD529" s="1"/>
      <c r="AF529" s="1"/>
      <c r="AH529" s="1"/>
      <c r="AJ529" s="1"/>
      <c r="AL529" s="1"/>
      <c r="AN529" s="1"/>
      <c r="AP529" s="1"/>
    </row>
    <row r="530" spans="26:42">
      <c r="Z530" s="136"/>
      <c r="AA530" s="136"/>
      <c r="AB530" s="1"/>
      <c r="AD530" s="1"/>
      <c r="AF530" s="1"/>
      <c r="AH530" s="1"/>
      <c r="AJ530" s="1"/>
      <c r="AL530" s="1"/>
      <c r="AN530" s="1"/>
      <c r="AP530" s="1"/>
    </row>
    <row r="531" spans="26:42">
      <c r="Z531" s="136"/>
      <c r="AA531" s="136"/>
      <c r="AB531" s="1"/>
      <c r="AD531" s="1"/>
      <c r="AF531" s="1"/>
      <c r="AH531" s="1"/>
      <c r="AJ531" s="1"/>
      <c r="AL531" s="1"/>
      <c r="AN531" s="1"/>
      <c r="AP531" s="1"/>
    </row>
    <row r="532" spans="26:42">
      <c r="Z532" s="136"/>
      <c r="AA532" s="136"/>
      <c r="AB532" s="1"/>
      <c r="AD532" s="1"/>
      <c r="AF532" s="1"/>
      <c r="AH532" s="1"/>
      <c r="AJ532" s="1"/>
      <c r="AL532" s="1"/>
      <c r="AN532" s="1"/>
      <c r="AP532" s="1"/>
    </row>
    <row r="533" spans="26:42">
      <c r="Z533" s="136"/>
      <c r="AA533" s="136"/>
      <c r="AB533" s="1"/>
      <c r="AD533" s="1"/>
      <c r="AF533" s="1"/>
      <c r="AH533" s="1"/>
      <c r="AJ533" s="1"/>
      <c r="AL533" s="1"/>
      <c r="AN533" s="1"/>
      <c r="AP533" s="1"/>
    </row>
    <row r="534" spans="26:42">
      <c r="Z534" s="136"/>
      <c r="AA534" s="136"/>
      <c r="AB534" s="1"/>
      <c r="AD534" s="1"/>
      <c r="AF534" s="1"/>
      <c r="AH534" s="1"/>
      <c r="AJ534" s="1"/>
      <c r="AL534" s="1"/>
      <c r="AN534" s="1"/>
      <c r="AP534" s="1"/>
    </row>
    <row r="535" spans="26:42">
      <c r="Z535" s="136"/>
      <c r="AA535" s="136"/>
      <c r="AB535" s="1"/>
      <c r="AD535" s="1"/>
      <c r="AF535" s="1"/>
      <c r="AH535" s="1"/>
      <c r="AJ535" s="1"/>
      <c r="AL535" s="1"/>
      <c r="AN535" s="1"/>
      <c r="AP535" s="1"/>
    </row>
    <row r="536" spans="26:42">
      <c r="Z536" s="136"/>
      <c r="AA536" s="136"/>
      <c r="AB536" s="1"/>
      <c r="AD536" s="1"/>
      <c r="AF536" s="1"/>
      <c r="AH536" s="1"/>
      <c r="AJ536" s="1"/>
      <c r="AL536" s="1"/>
      <c r="AN536" s="1"/>
      <c r="AP536" s="1"/>
    </row>
    <row r="537" spans="26:42">
      <c r="Z537" s="136"/>
      <c r="AA537" s="136"/>
      <c r="AB537" s="1"/>
      <c r="AD537" s="1"/>
      <c r="AF537" s="1"/>
      <c r="AH537" s="1"/>
      <c r="AJ537" s="1"/>
      <c r="AL537" s="1"/>
      <c r="AN537" s="1"/>
      <c r="AP537" s="1"/>
    </row>
    <row r="538" spans="26:42">
      <c r="Z538" s="136"/>
      <c r="AA538" s="136"/>
      <c r="AB538" s="1"/>
      <c r="AD538" s="1"/>
      <c r="AF538" s="1"/>
      <c r="AH538" s="1"/>
      <c r="AJ538" s="1"/>
      <c r="AL538" s="1"/>
      <c r="AN538" s="1"/>
      <c r="AP538" s="1"/>
    </row>
    <row r="539" spans="26:42">
      <c r="Z539" s="136"/>
      <c r="AA539" s="136"/>
      <c r="AB539" s="1"/>
      <c r="AD539" s="1"/>
      <c r="AF539" s="1"/>
      <c r="AH539" s="1"/>
      <c r="AJ539" s="1"/>
      <c r="AL539" s="1"/>
      <c r="AN539" s="1"/>
      <c r="AP539" s="1"/>
    </row>
    <row r="540" spans="26:42">
      <c r="Z540" s="136"/>
      <c r="AA540" s="136"/>
      <c r="AB540" s="1"/>
      <c r="AD540" s="1"/>
      <c r="AF540" s="1"/>
      <c r="AH540" s="1"/>
      <c r="AJ540" s="1"/>
      <c r="AL540" s="1"/>
      <c r="AN540" s="1"/>
      <c r="AP540" s="1"/>
    </row>
    <row r="541" spans="26:42">
      <c r="Z541" s="136"/>
      <c r="AA541" s="136"/>
      <c r="AB541" s="1"/>
      <c r="AD541" s="1"/>
      <c r="AF541" s="1"/>
      <c r="AH541" s="1"/>
      <c r="AJ541" s="1"/>
      <c r="AL541" s="1"/>
      <c r="AN541" s="1"/>
      <c r="AP541" s="1"/>
    </row>
    <row r="542" spans="26:42">
      <c r="Z542" s="136"/>
      <c r="AA542" s="136"/>
      <c r="AB542" s="1"/>
      <c r="AD542" s="1"/>
      <c r="AF542" s="1"/>
      <c r="AH542" s="1"/>
      <c r="AJ542" s="1"/>
      <c r="AL542" s="1"/>
      <c r="AN542" s="1"/>
      <c r="AP542" s="1"/>
    </row>
    <row r="543" spans="26:42">
      <c r="Z543" s="136"/>
      <c r="AA543" s="136"/>
      <c r="AB543" s="1"/>
      <c r="AD543" s="1"/>
      <c r="AF543" s="1"/>
      <c r="AH543" s="1"/>
      <c r="AJ543" s="1"/>
      <c r="AL543" s="1"/>
      <c r="AN543" s="1"/>
      <c r="AP543" s="1"/>
    </row>
    <row r="544" spans="26:42">
      <c r="Z544" s="136"/>
      <c r="AA544" s="136"/>
      <c r="AB544" s="1"/>
      <c r="AD544" s="1"/>
      <c r="AF544" s="1"/>
      <c r="AH544" s="1"/>
      <c r="AJ544" s="1"/>
      <c r="AL544" s="1"/>
      <c r="AN544" s="1"/>
      <c r="AP544" s="1"/>
    </row>
    <row r="545" spans="26:42">
      <c r="Z545" s="136"/>
      <c r="AA545" s="136"/>
      <c r="AB545" s="1"/>
      <c r="AD545" s="1"/>
      <c r="AF545" s="1"/>
      <c r="AH545" s="1"/>
      <c r="AJ545" s="1"/>
      <c r="AL545" s="1"/>
      <c r="AN545" s="1"/>
      <c r="AP545" s="1"/>
    </row>
    <row r="546" spans="26:42">
      <c r="Z546" s="136"/>
      <c r="AA546" s="136"/>
      <c r="AB546" s="1"/>
      <c r="AD546" s="1"/>
      <c r="AF546" s="1"/>
      <c r="AH546" s="1"/>
      <c r="AJ546" s="1"/>
      <c r="AL546" s="1"/>
      <c r="AN546" s="1"/>
      <c r="AP546" s="1"/>
    </row>
    <row r="547" spans="26:42">
      <c r="Z547" s="136"/>
      <c r="AA547" s="136"/>
      <c r="AB547" s="1"/>
      <c r="AD547" s="1"/>
      <c r="AF547" s="1"/>
      <c r="AH547" s="1"/>
      <c r="AJ547" s="1"/>
      <c r="AL547" s="1"/>
      <c r="AN547" s="1"/>
      <c r="AP547" s="1"/>
    </row>
    <row r="548" spans="26:42">
      <c r="Z548" s="136"/>
      <c r="AA548" s="136"/>
      <c r="AB548" s="1"/>
      <c r="AD548" s="1"/>
      <c r="AF548" s="1"/>
      <c r="AH548" s="1"/>
      <c r="AJ548" s="1"/>
      <c r="AL548" s="1"/>
      <c r="AN548" s="1"/>
      <c r="AP548" s="1"/>
    </row>
    <row r="549" spans="26:42">
      <c r="Z549" s="136"/>
      <c r="AA549" s="136"/>
      <c r="AB549" s="1"/>
      <c r="AD549" s="1"/>
      <c r="AF549" s="1"/>
      <c r="AH549" s="1"/>
      <c r="AJ549" s="1"/>
      <c r="AL549" s="1"/>
      <c r="AN549" s="1"/>
      <c r="AP549" s="1"/>
    </row>
    <row r="550" spans="26:42">
      <c r="Z550" s="136"/>
      <c r="AA550" s="136"/>
      <c r="AB550" s="1"/>
      <c r="AD550" s="1"/>
      <c r="AF550" s="1"/>
      <c r="AH550" s="1"/>
      <c r="AJ550" s="1"/>
      <c r="AL550" s="1"/>
      <c r="AN550" s="1"/>
      <c r="AP550" s="1"/>
    </row>
    <row r="551" spans="26:42">
      <c r="Z551" s="136"/>
      <c r="AA551" s="136"/>
      <c r="AB551" s="1"/>
      <c r="AD551" s="1"/>
      <c r="AF551" s="1"/>
      <c r="AH551" s="1"/>
      <c r="AJ551" s="1"/>
      <c r="AL551" s="1"/>
      <c r="AN551" s="1"/>
      <c r="AP551" s="1"/>
    </row>
    <row r="552" spans="26:42">
      <c r="Z552" s="136"/>
      <c r="AA552" s="136"/>
      <c r="AB552" s="1"/>
      <c r="AD552" s="1"/>
      <c r="AF552" s="1"/>
      <c r="AH552" s="1"/>
      <c r="AJ552" s="1"/>
      <c r="AL552" s="1"/>
      <c r="AN552" s="1"/>
      <c r="AP552" s="1"/>
    </row>
    <row r="553" spans="26:42">
      <c r="Z553" s="136"/>
      <c r="AA553" s="136"/>
      <c r="AB553" s="1"/>
      <c r="AD553" s="1"/>
      <c r="AF553" s="1"/>
      <c r="AH553" s="1"/>
      <c r="AJ553" s="1"/>
      <c r="AL553" s="1"/>
      <c r="AN553" s="1"/>
      <c r="AP553" s="1"/>
    </row>
    <row r="554" spans="26:42">
      <c r="Z554" s="136"/>
      <c r="AA554" s="136"/>
      <c r="AB554" s="1"/>
      <c r="AD554" s="1"/>
      <c r="AF554" s="1"/>
      <c r="AH554" s="1"/>
      <c r="AJ554" s="1"/>
      <c r="AL554" s="1"/>
      <c r="AN554" s="1"/>
      <c r="AP554" s="1"/>
    </row>
    <row r="555" spans="26:42">
      <c r="Z555" s="136"/>
      <c r="AA555" s="136"/>
      <c r="AB555" s="1"/>
      <c r="AD555" s="1"/>
      <c r="AF555" s="1"/>
      <c r="AH555" s="1"/>
      <c r="AJ555" s="1"/>
      <c r="AL555" s="1"/>
      <c r="AN555" s="1"/>
      <c r="AP555" s="1"/>
    </row>
    <row r="556" spans="26:42">
      <c r="Z556" s="136"/>
      <c r="AA556" s="136"/>
      <c r="AB556" s="1"/>
      <c r="AD556" s="1"/>
      <c r="AF556" s="1"/>
      <c r="AH556" s="1"/>
      <c r="AJ556" s="1"/>
      <c r="AL556" s="1"/>
      <c r="AN556" s="1"/>
      <c r="AP556" s="1"/>
    </row>
    <row r="557" spans="26:42">
      <c r="Z557" s="136"/>
      <c r="AA557" s="136"/>
      <c r="AB557" s="1"/>
      <c r="AD557" s="1"/>
      <c r="AF557" s="1"/>
      <c r="AH557" s="1"/>
      <c r="AJ557" s="1"/>
      <c r="AL557" s="1"/>
      <c r="AN557" s="1"/>
      <c r="AP557" s="1"/>
    </row>
    <row r="558" spans="26:42">
      <c r="Z558" s="136"/>
      <c r="AA558" s="136"/>
      <c r="AB558" s="1"/>
      <c r="AD558" s="1"/>
      <c r="AF558" s="1"/>
      <c r="AH558" s="1"/>
      <c r="AJ558" s="1"/>
      <c r="AL558" s="1"/>
      <c r="AN558" s="1"/>
      <c r="AP558" s="1"/>
    </row>
    <row r="559" spans="26:42">
      <c r="Z559" s="136"/>
      <c r="AA559" s="136"/>
      <c r="AB559" s="1"/>
      <c r="AD559" s="1"/>
      <c r="AF559" s="1"/>
      <c r="AH559" s="1"/>
      <c r="AJ559" s="1"/>
      <c r="AL559" s="1"/>
      <c r="AN559" s="1"/>
      <c r="AP559" s="1"/>
    </row>
    <row r="560" spans="26:42">
      <c r="Z560" s="136"/>
      <c r="AA560" s="136"/>
      <c r="AB560" s="1"/>
      <c r="AD560" s="1"/>
      <c r="AF560" s="1"/>
      <c r="AH560" s="1"/>
      <c r="AJ560" s="1"/>
      <c r="AL560" s="1"/>
      <c r="AN560" s="1"/>
      <c r="AP560" s="1"/>
    </row>
    <row r="561" spans="26:42">
      <c r="Z561" s="136"/>
      <c r="AA561" s="136"/>
      <c r="AB561" s="1"/>
      <c r="AD561" s="1"/>
      <c r="AF561" s="1"/>
      <c r="AH561" s="1"/>
      <c r="AJ561" s="1"/>
      <c r="AL561" s="1"/>
      <c r="AN561" s="1"/>
      <c r="AP561" s="1"/>
    </row>
    <row r="562" spans="26:42">
      <c r="Z562" s="136"/>
      <c r="AA562" s="136"/>
      <c r="AB562" s="1"/>
      <c r="AD562" s="1"/>
      <c r="AF562" s="1"/>
      <c r="AH562" s="1"/>
      <c r="AJ562" s="1"/>
      <c r="AL562" s="1"/>
      <c r="AN562" s="1"/>
      <c r="AP562" s="1"/>
    </row>
    <row r="563" spans="26:42">
      <c r="Z563" s="136"/>
      <c r="AA563" s="136"/>
      <c r="AB563" s="1"/>
      <c r="AD563" s="1"/>
      <c r="AF563" s="1"/>
      <c r="AH563" s="1"/>
      <c r="AJ563" s="1"/>
      <c r="AL563" s="1"/>
      <c r="AN563" s="1"/>
      <c r="AP563" s="1"/>
    </row>
    <row r="564" spans="26:42">
      <c r="Z564" s="136"/>
      <c r="AA564" s="136"/>
      <c r="AB564" s="1"/>
      <c r="AD564" s="1"/>
      <c r="AF564" s="1"/>
      <c r="AH564" s="1"/>
      <c r="AJ564" s="1"/>
      <c r="AL564" s="1"/>
      <c r="AN564" s="1"/>
      <c r="AP564" s="1"/>
    </row>
    <row r="565" spans="26:42">
      <c r="Z565" s="136"/>
      <c r="AA565" s="136"/>
      <c r="AB565" s="1"/>
      <c r="AD565" s="1"/>
      <c r="AF565" s="1"/>
      <c r="AH565" s="1"/>
      <c r="AJ565" s="1"/>
      <c r="AL565" s="1"/>
      <c r="AN565" s="1"/>
      <c r="AP565" s="1"/>
    </row>
    <row r="566" spans="26:42">
      <c r="Z566" s="136"/>
      <c r="AA566" s="136"/>
      <c r="AB566" s="1"/>
      <c r="AD566" s="1"/>
      <c r="AF566" s="1"/>
      <c r="AH566" s="1"/>
      <c r="AJ566" s="1"/>
      <c r="AL566" s="1"/>
      <c r="AN566" s="1"/>
      <c r="AP566" s="1"/>
    </row>
    <row r="567" spans="26:42">
      <c r="Z567" s="136"/>
      <c r="AA567" s="136"/>
      <c r="AB567" s="1"/>
      <c r="AD567" s="1"/>
      <c r="AF567" s="1"/>
      <c r="AH567" s="1"/>
      <c r="AJ567" s="1"/>
      <c r="AL567" s="1"/>
      <c r="AN567" s="1"/>
      <c r="AP567" s="1"/>
    </row>
    <row r="568" spans="26:42">
      <c r="Z568" s="136"/>
      <c r="AA568" s="136"/>
      <c r="AB568" s="1"/>
      <c r="AD568" s="1"/>
      <c r="AF568" s="1"/>
      <c r="AH568" s="1"/>
      <c r="AJ568" s="1"/>
      <c r="AL568" s="1"/>
      <c r="AN568" s="1"/>
      <c r="AP568" s="1"/>
    </row>
    <row r="569" spans="26:42">
      <c r="Z569" s="136"/>
      <c r="AA569" s="136"/>
      <c r="AB569" s="1"/>
      <c r="AD569" s="1"/>
      <c r="AF569" s="1"/>
      <c r="AH569" s="1"/>
      <c r="AJ569" s="1"/>
      <c r="AL569" s="1"/>
      <c r="AN569" s="1"/>
      <c r="AP569" s="1"/>
    </row>
    <row r="570" spans="26:42">
      <c r="Z570" s="136"/>
      <c r="AA570" s="136"/>
      <c r="AB570" s="1"/>
      <c r="AD570" s="1"/>
      <c r="AF570" s="1"/>
      <c r="AH570" s="1"/>
      <c r="AJ570" s="1"/>
      <c r="AL570" s="1"/>
      <c r="AN570" s="1"/>
      <c r="AP570" s="1"/>
    </row>
    <row r="571" spans="26:42">
      <c r="Z571" s="136"/>
      <c r="AA571" s="136"/>
      <c r="AB571" s="1"/>
      <c r="AD571" s="1"/>
      <c r="AF571" s="1"/>
      <c r="AH571" s="1"/>
      <c r="AJ571" s="1"/>
      <c r="AL571" s="1"/>
      <c r="AN571" s="1"/>
      <c r="AP571" s="1"/>
    </row>
    <row r="572" spans="26:42">
      <c r="Z572" s="136"/>
      <c r="AA572" s="136"/>
      <c r="AB572" s="1"/>
      <c r="AD572" s="1"/>
      <c r="AF572" s="1"/>
      <c r="AH572" s="1"/>
      <c r="AJ572" s="1"/>
      <c r="AL572" s="1"/>
      <c r="AN572" s="1"/>
      <c r="AP572" s="1"/>
    </row>
    <row r="573" spans="26:42">
      <c r="Z573" s="136"/>
      <c r="AA573" s="136"/>
      <c r="AB573" s="1"/>
      <c r="AD573" s="1"/>
      <c r="AF573" s="1"/>
      <c r="AH573" s="1"/>
      <c r="AJ573" s="1"/>
      <c r="AL573" s="1"/>
      <c r="AN573" s="1"/>
      <c r="AP573" s="1"/>
    </row>
    <row r="574" spans="26:42">
      <c r="Z574" s="136"/>
      <c r="AA574" s="136"/>
      <c r="AB574" s="1"/>
      <c r="AD574" s="1"/>
      <c r="AF574" s="1"/>
      <c r="AH574" s="1"/>
      <c r="AJ574" s="1"/>
      <c r="AL574" s="1"/>
      <c r="AN574" s="1"/>
      <c r="AP574" s="1"/>
    </row>
    <row r="575" spans="26:42">
      <c r="Z575" s="136"/>
      <c r="AA575" s="136"/>
      <c r="AB575" s="1"/>
      <c r="AD575" s="1"/>
      <c r="AF575" s="1"/>
      <c r="AH575" s="1"/>
      <c r="AJ575" s="1"/>
      <c r="AL575" s="1"/>
      <c r="AN575" s="1"/>
      <c r="AP575" s="1"/>
    </row>
    <row r="576" spans="26:42">
      <c r="Z576" s="136"/>
      <c r="AA576" s="136"/>
      <c r="AB576" s="1"/>
      <c r="AD576" s="1"/>
      <c r="AF576" s="1"/>
      <c r="AH576" s="1"/>
      <c r="AJ576" s="1"/>
      <c r="AL576" s="1"/>
      <c r="AN576" s="1"/>
      <c r="AP576" s="1"/>
    </row>
    <row r="577" spans="26:42">
      <c r="Z577" s="136"/>
      <c r="AA577" s="136"/>
      <c r="AB577" s="1"/>
      <c r="AD577" s="1"/>
      <c r="AF577" s="1"/>
      <c r="AH577" s="1"/>
      <c r="AJ577" s="1"/>
      <c r="AL577" s="1"/>
      <c r="AN577" s="1"/>
      <c r="AP577" s="1"/>
    </row>
    <row r="578" spans="26:42">
      <c r="Z578" s="136"/>
      <c r="AA578" s="136"/>
      <c r="AB578" s="1"/>
      <c r="AD578" s="1"/>
      <c r="AF578" s="1"/>
      <c r="AH578" s="1"/>
      <c r="AJ578" s="1"/>
      <c r="AL578" s="1"/>
      <c r="AN578" s="1"/>
      <c r="AP578" s="1"/>
    </row>
    <row r="579" spans="26:42">
      <c r="Z579" s="136"/>
      <c r="AA579" s="136"/>
      <c r="AB579" s="1"/>
      <c r="AD579" s="1"/>
      <c r="AF579" s="1"/>
      <c r="AH579" s="1"/>
      <c r="AJ579" s="1"/>
      <c r="AL579" s="1"/>
      <c r="AN579" s="1"/>
      <c r="AP579" s="1"/>
    </row>
    <row r="580" spans="26:42">
      <c r="Z580" s="136"/>
      <c r="AA580" s="136"/>
      <c r="AB580" s="1"/>
      <c r="AD580" s="1"/>
      <c r="AF580" s="1"/>
      <c r="AH580" s="1"/>
      <c r="AJ580" s="1"/>
      <c r="AL580" s="1"/>
      <c r="AN580" s="1"/>
      <c r="AP580" s="1"/>
    </row>
    <row r="581" spans="26:42">
      <c r="Z581" s="136"/>
      <c r="AA581" s="136"/>
      <c r="AB581" s="1"/>
      <c r="AD581" s="1"/>
      <c r="AF581" s="1"/>
      <c r="AH581" s="1"/>
      <c r="AJ581" s="1"/>
      <c r="AL581" s="1"/>
      <c r="AN581" s="1"/>
      <c r="AP581" s="1"/>
    </row>
    <row r="582" spans="26:42">
      <c r="Z582" s="136"/>
      <c r="AA582" s="136"/>
      <c r="AB582" s="1"/>
      <c r="AD582" s="1"/>
      <c r="AF582" s="1"/>
      <c r="AH582" s="1"/>
      <c r="AJ582" s="1"/>
      <c r="AL582" s="1"/>
      <c r="AN582" s="1"/>
      <c r="AP582" s="1"/>
    </row>
    <row r="583" spans="26:42">
      <c r="Z583" s="136"/>
      <c r="AA583" s="136"/>
      <c r="AB583" s="1"/>
      <c r="AD583" s="1"/>
      <c r="AF583" s="1"/>
      <c r="AH583" s="1"/>
      <c r="AJ583" s="1"/>
      <c r="AL583" s="1"/>
      <c r="AN583" s="1"/>
      <c r="AP583" s="1"/>
    </row>
    <row r="584" spans="26:42">
      <c r="Z584" s="136"/>
      <c r="AA584" s="136"/>
      <c r="AB584" s="1"/>
      <c r="AD584" s="1"/>
      <c r="AF584" s="1"/>
      <c r="AH584" s="1"/>
      <c r="AJ584" s="1"/>
      <c r="AL584" s="1"/>
      <c r="AN584" s="1"/>
      <c r="AP584" s="1"/>
    </row>
    <row r="585" spans="26:42">
      <c r="Z585" s="136"/>
      <c r="AA585" s="136"/>
      <c r="AB585" s="1"/>
      <c r="AD585" s="1"/>
      <c r="AF585" s="1"/>
      <c r="AH585" s="1"/>
      <c r="AJ585" s="1"/>
      <c r="AL585" s="1"/>
      <c r="AN585" s="1"/>
      <c r="AP585" s="1"/>
    </row>
    <row r="586" spans="26:42">
      <c r="Z586" s="136"/>
      <c r="AA586" s="136"/>
      <c r="AB586" s="1"/>
      <c r="AD586" s="1"/>
      <c r="AF586" s="1"/>
      <c r="AH586" s="1"/>
      <c r="AJ586" s="1"/>
      <c r="AL586" s="1"/>
      <c r="AN586" s="1"/>
      <c r="AP586" s="1"/>
    </row>
    <row r="587" spans="26:42">
      <c r="Z587" s="136"/>
      <c r="AA587" s="136"/>
      <c r="AB587" s="1"/>
      <c r="AD587" s="1"/>
      <c r="AF587" s="1"/>
      <c r="AH587" s="1"/>
      <c r="AJ587" s="1"/>
      <c r="AL587" s="1"/>
      <c r="AN587" s="1"/>
      <c r="AP587" s="1"/>
    </row>
    <row r="588" spans="26:42">
      <c r="Z588" s="136"/>
      <c r="AA588" s="136"/>
      <c r="AB588" s="1"/>
      <c r="AD588" s="1"/>
      <c r="AF588" s="1"/>
      <c r="AH588" s="1"/>
      <c r="AJ588" s="1"/>
      <c r="AL588" s="1"/>
      <c r="AN588" s="1"/>
      <c r="AP588" s="1"/>
    </row>
    <row r="589" spans="26:42">
      <c r="Z589" s="136"/>
      <c r="AA589" s="136"/>
      <c r="AB589" s="1"/>
      <c r="AD589" s="1"/>
      <c r="AF589" s="1"/>
      <c r="AH589" s="1"/>
      <c r="AJ589" s="1"/>
      <c r="AL589" s="1"/>
      <c r="AN589" s="1"/>
      <c r="AP589" s="1"/>
    </row>
    <row r="590" spans="26:42">
      <c r="Z590" s="136"/>
      <c r="AA590" s="136"/>
      <c r="AB590" s="1"/>
      <c r="AD590" s="1"/>
      <c r="AF590" s="1"/>
      <c r="AH590" s="1"/>
      <c r="AJ590" s="1"/>
      <c r="AL590" s="1"/>
      <c r="AN590" s="1"/>
      <c r="AP590" s="1"/>
    </row>
    <row r="591" spans="26:42">
      <c r="Z591" s="136"/>
      <c r="AA591" s="136"/>
      <c r="AB591" s="1"/>
      <c r="AD591" s="1"/>
      <c r="AF591" s="1"/>
      <c r="AH591" s="1"/>
      <c r="AJ591" s="1"/>
      <c r="AL591" s="1"/>
      <c r="AN591" s="1"/>
      <c r="AP591" s="1"/>
    </row>
    <row r="592" spans="26:42">
      <c r="Z592" s="136"/>
      <c r="AA592" s="136"/>
      <c r="AB592" s="1"/>
      <c r="AD592" s="1"/>
      <c r="AF592" s="1"/>
      <c r="AH592" s="1"/>
      <c r="AJ592" s="1"/>
      <c r="AL592" s="1"/>
      <c r="AN592" s="1"/>
      <c r="AP592" s="1"/>
    </row>
    <row r="593" spans="26:42">
      <c r="Z593" s="136"/>
      <c r="AA593" s="136"/>
      <c r="AB593" s="1"/>
      <c r="AD593" s="1"/>
      <c r="AF593" s="1"/>
      <c r="AH593" s="1"/>
      <c r="AJ593" s="1"/>
      <c r="AL593" s="1"/>
      <c r="AN593" s="1"/>
      <c r="AP593" s="1"/>
    </row>
    <row r="594" spans="26:42">
      <c r="Z594" s="136"/>
      <c r="AA594" s="136"/>
      <c r="AB594" s="1"/>
      <c r="AD594" s="1"/>
      <c r="AF594" s="1"/>
      <c r="AH594" s="1"/>
      <c r="AJ594" s="1"/>
      <c r="AL594" s="1"/>
      <c r="AN594" s="1"/>
      <c r="AP594" s="1"/>
    </row>
    <row r="595" spans="26:42">
      <c r="Z595" s="136"/>
      <c r="AA595" s="136"/>
      <c r="AB595" s="1"/>
      <c r="AD595" s="1"/>
      <c r="AF595" s="1"/>
      <c r="AH595" s="1"/>
      <c r="AJ595" s="1"/>
      <c r="AL595" s="1"/>
      <c r="AN595" s="1"/>
      <c r="AP595" s="1"/>
    </row>
    <row r="596" spans="26:42">
      <c r="Z596" s="136"/>
      <c r="AA596" s="136"/>
      <c r="AB596" s="1"/>
      <c r="AD596" s="1"/>
      <c r="AF596" s="1"/>
      <c r="AH596" s="1"/>
      <c r="AJ596" s="1"/>
      <c r="AL596" s="1"/>
      <c r="AN596" s="1"/>
      <c r="AP596" s="1"/>
    </row>
    <row r="597" spans="26:42">
      <c r="Z597" s="136"/>
      <c r="AA597" s="136"/>
      <c r="AB597" s="1"/>
      <c r="AD597" s="1"/>
      <c r="AF597" s="1"/>
      <c r="AH597" s="1"/>
      <c r="AJ597" s="1"/>
      <c r="AL597" s="1"/>
      <c r="AN597" s="1"/>
      <c r="AP597" s="1"/>
    </row>
    <row r="598" spans="26:42">
      <c r="Z598" s="136"/>
      <c r="AA598" s="136"/>
      <c r="AB598" s="1"/>
      <c r="AD598" s="1"/>
      <c r="AF598" s="1"/>
      <c r="AH598" s="1"/>
      <c r="AJ598" s="1"/>
      <c r="AL598" s="1"/>
      <c r="AN598" s="1"/>
      <c r="AP598" s="1"/>
    </row>
    <row r="599" spans="26:42">
      <c r="Z599" s="136"/>
      <c r="AA599" s="136"/>
      <c r="AB599" s="1"/>
      <c r="AD599" s="1"/>
      <c r="AF599" s="1"/>
      <c r="AH599" s="1"/>
      <c r="AJ599" s="1"/>
      <c r="AL599" s="1"/>
      <c r="AN599" s="1"/>
      <c r="AP599" s="1"/>
    </row>
    <row r="600" spans="26:42">
      <c r="Z600" s="136"/>
      <c r="AA600" s="136"/>
      <c r="AB600" s="1"/>
      <c r="AD600" s="1"/>
      <c r="AF600" s="1"/>
      <c r="AH600" s="1"/>
      <c r="AJ600" s="1"/>
      <c r="AL600" s="1"/>
      <c r="AN600" s="1"/>
      <c r="AP600" s="1"/>
    </row>
    <row r="601" spans="26:42">
      <c r="Z601" s="136"/>
      <c r="AA601" s="136"/>
      <c r="AB601" s="1"/>
      <c r="AD601" s="1"/>
      <c r="AF601" s="1"/>
      <c r="AH601" s="1"/>
      <c r="AJ601" s="1"/>
      <c r="AL601" s="1"/>
      <c r="AN601" s="1"/>
      <c r="AP601" s="1"/>
    </row>
    <row r="602" spans="26:42">
      <c r="Z602" s="136"/>
      <c r="AA602" s="136"/>
      <c r="AB602" s="1"/>
      <c r="AD602" s="1"/>
      <c r="AF602" s="1"/>
      <c r="AH602" s="1"/>
      <c r="AJ602" s="1"/>
      <c r="AL602" s="1"/>
      <c r="AN602" s="1"/>
      <c r="AP602" s="1"/>
    </row>
    <row r="603" spans="26:42">
      <c r="Z603" s="136"/>
      <c r="AA603" s="136"/>
      <c r="AB603" s="1"/>
      <c r="AD603" s="1"/>
      <c r="AF603" s="1"/>
      <c r="AH603" s="1"/>
      <c r="AJ603" s="1"/>
      <c r="AL603" s="1"/>
      <c r="AN603" s="1"/>
      <c r="AP603" s="1"/>
    </row>
    <row r="604" spans="26:42">
      <c r="Z604" s="136"/>
      <c r="AA604" s="136"/>
      <c r="AB604" s="1"/>
      <c r="AD604" s="1"/>
      <c r="AF604" s="1"/>
      <c r="AH604" s="1"/>
      <c r="AJ604" s="1"/>
      <c r="AL604" s="1"/>
      <c r="AN604" s="1"/>
      <c r="AP604" s="1"/>
    </row>
    <row r="605" spans="26:42">
      <c r="Z605" s="136"/>
      <c r="AA605" s="136"/>
      <c r="AB605" s="1"/>
      <c r="AD605" s="1"/>
      <c r="AF605" s="1"/>
      <c r="AH605" s="1"/>
      <c r="AJ605" s="1"/>
      <c r="AL605" s="1"/>
      <c r="AN605" s="1"/>
      <c r="AP605" s="1"/>
    </row>
    <row r="606" spans="26:42">
      <c r="Z606" s="136"/>
      <c r="AA606" s="136"/>
      <c r="AB606" s="1"/>
      <c r="AD606" s="1"/>
      <c r="AF606" s="1"/>
      <c r="AH606" s="1"/>
      <c r="AJ606" s="1"/>
      <c r="AL606" s="1"/>
      <c r="AN606" s="1"/>
      <c r="AP606" s="1"/>
    </row>
    <row r="607" spans="26:42">
      <c r="Z607" s="136"/>
      <c r="AA607" s="136"/>
      <c r="AB607" s="1"/>
      <c r="AD607" s="1"/>
      <c r="AF607" s="1"/>
      <c r="AH607" s="1"/>
      <c r="AJ607" s="1"/>
      <c r="AL607" s="1"/>
      <c r="AN607" s="1"/>
      <c r="AP607" s="1"/>
    </row>
    <row r="608" spans="26:42">
      <c r="Z608" s="136"/>
      <c r="AA608" s="136"/>
      <c r="AB608" s="1"/>
      <c r="AD608" s="1"/>
      <c r="AF608" s="1"/>
      <c r="AH608" s="1"/>
      <c r="AJ608" s="1"/>
      <c r="AL608" s="1"/>
      <c r="AN608" s="1"/>
      <c r="AP608" s="1"/>
    </row>
    <row r="609" spans="26:42">
      <c r="Z609" s="136"/>
      <c r="AA609" s="136"/>
      <c r="AB609" s="1"/>
      <c r="AD609" s="1"/>
      <c r="AF609" s="1"/>
      <c r="AH609" s="1"/>
      <c r="AJ609" s="1"/>
      <c r="AL609" s="1"/>
      <c r="AN609" s="1"/>
      <c r="AP609" s="1"/>
    </row>
    <row r="610" spans="26:42">
      <c r="Z610" s="136"/>
      <c r="AA610" s="136"/>
      <c r="AB610" s="1"/>
      <c r="AD610" s="1"/>
      <c r="AF610" s="1"/>
      <c r="AH610" s="1"/>
      <c r="AJ610" s="1"/>
      <c r="AL610" s="1"/>
      <c r="AN610" s="1"/>
      <c r="AP610" s="1"/>
    </row>
    <row r="611" spans="26:42">
      <c r="AA611" s="136"/>
      <c r="AB611" s="1"/>
      <c r="AD611" s="1"/>
      <c r="AF611" s="1"/>
      <c r="AH611" s="1"/>
      <c r="AJ611" s="1"/>
      <c r="AL611" s="1"/>
      <c r="AN611" s="1"/>
      <c r="AP611" s="1"/>
    </row>
    <row r="612" spans="26:42">
      <c r="AA612" s="136"/>
      <c r="AB612" s="1"/>
      <c r="AD612" s="1"/>
      <c r="AF612" s="1"/>
      <c r="AH612" s="1"/>
      <c r="AJ612" s="1"/>
      <c r="AL612" s="1"/>
      <c r="AN612" s="1"/>
      <c r="AP612" s="1"/>
    </row>
    <row r="613" spans="26:42">
      <c r="AA613" s="136"/>
      <c r="AB613" s="1"/>
      <c r="AD613" s="1"/>
      <c r="AF613" s="1"/>
      <c r="AH613" s="1"/>
      <c r="AJ613" s="1"/>
      <c r="AL613" s="1"/>
      <c r="AN613" s="1"/>
      <c r="AP613" s="1"/>
    </row>
    <row r="614" spans="26:42">
      <c r="AA614" s="136"/>
      <c r="AB614" s="1"/>
      <c r="AD614" s="1"/>
      <c r="AF614" s="1"/>
      <c r="AH614" s="1"/>
      <c r="AJ614" s="1"/>
      <c r="AL614" s="1"/>
      <c r="AN614" s="1"/>
      <c r="AP614" s="1"/>
    </row>
    <row r="615" spans="26:42">
      <c r="AA615" s="136"/>
      <c r="AB615" s="1"/>
      <c r="AD615" s="1"/>
      <c r="AF615" s="1"/>
      <c r="AH615" s="1"/>
      <c r="AJ615" s="1"/>
      <c r="AL615" s="1"/>
      <c r="AN615" s="1"/>
      <c r="AP615" s="1"/>
    </row>
    <row r="616" spans="26:42">
      <c r="AA616" s="136"/>
      <c r="AB616" s="1"/>
      <c r="AD616" s="1"/>
      <c r="AF616" s="1"/>
      <c r="AH616" s="1"/>
      <c r="AJ616" s="1"/>
      <c r="AL616" s="1"/>
      <c r="AN616" s="1"/>
      <c r="AP616" s="1"/>
    </row>
    <row r="617" spans="26:42">
      <c r="AA617" s="136"/>
      <c r="AB617" s="1"/>
      <c r="AD617" s="1"/>
      <c r="AF617" s="1"/>
      <c r="AH617" s="1"/>
      <c r="AJ617" s="1"/>
      <c r="AL617" s="1"/>
      <c r="AN617" s="1"/>
      <c r="AP617" s="1"/>
    </row>
    <row r="618" spans="26:42">
      <c r="AA618" s="136"/>
      <c r="AB618" s="1"/>
      <c r="AD618" s="1"/>
      <c r="AF618" s="1"/>
      <c r="AH618" s="1"/>
      <c r="AJ618" s="1"/>
      <c r="AL618" s="1"/>
      <c r="AN618" s="1"/>
      <c r="AP618" s="1"/>
    </row>
    <row r="619" spans="26:42">
      <c r="AA619" s="136"/>
      <c r="AB619" s="1"/>
      <c r="AD619" s="1"/>
      <c r="AF619" s="1"/>
      <c r="AH619" s="1"/>
      <c r="AJ619" s="1"/>
      <c r="AL619" s="1"/>
      <c r="AN619" s="1"/>
      <c r="AP619" s="1"/>
    </row>
    <row r="620" spans="26:42">
      <c r="AA620" s="136"/>
      <c r="AB620" s="1"/>
      <c r="AD620" s="1"/>
      <c r="AF620" s="1"/>
      <c r="AH620" s="1"/>
      <c r="AJ620" s="1"/>
      <c r="AL620" s="1"/>
      <c r="AN620" s="1"/>
      <c r="AP620" s="1"/>
    </row>
    <row r="621" spans="26:42">
      <c r="AA621" s="136"/>
      <c r="AB621" s="1"/>
      <c r="AD621" s="1"/>
      <c r="AF621" s="1"/>
      <c r="AH621" s="1"/>
      <c r="AJ621" s="1"/>
      <c r="AL621" s="1"/>
      <c r="AN621" s="1"/>
      <c r="AP621" s="1"/>
    </row>
    <row r="622" spans="26:42">
      <c r="AA622" s="136"/>
      <c r="AB622" s="1"/>
      <c r="AD622" s="1"/>
      <c r="AF622" s="1"/>
      <c r="AH622" s="1"/>
      <c r="AJ622" s="1"/>
      <c r="AL622" s="1"/>
      <c r="AN622" s="1"/>
      <c r="AP622" s="1"/>
    </row>
    <row r="623" spans="26:42">
      <c r="AA623" s="136"/>
      <c r="AB623" s="1"/>
      <c r="AD623" s="1"/>
      <c r="AF623" s="1"/>
      <c r="AH623" s="1"/>
      <c r="AJ623" s="1"/>
      <c r="AL623" s="1"/>
      <c r="AN623" s="1"/>
      <c r="AP623" s="1"/>
    </row>
    <row r="624" spans="26:42">
      <c r="AA624" s="136"/>
      <c r="AB624" s="1"/>
      <c r="AD624" s="1"/>
      <c r="AF624" s="1"/>
      <c r="AH624" s="1"/>
      <c r="AJ624" s="1"/>
      <c r="AL624" s="1"/>
      <c r="AN624" s="1"/>
      <c r="AP624" s="1"/>
    </row>
    <row r="625" spans="27:42">
      <c r="AA625" s="136"/>
      <c r="AB625" s="1"/>
      <c r="AD625" s="1"/>
      <c r="AF625" s="1"/>
      <c r="AH625" s="1"/>
      <c r="AJ625" s="1"/>
      <c r="AL625" s="1"/>
      <c r="AN625" s="1"/>
      <c r="AP625" s="1"/>
    </row>
    <row r="626" spans="27:42">
      <c r="AA626" s="136"/>
      <c r="AB626" s="1"/>
      <c r="AD626" s="1"/>
      <c r="AF626" s="1"/>
      <c r="AH626" s="1"/>
      <c r="AJ626" s="1"/>
      <c r="AL626" s="1"/>
      <c r="AN626" s="1"/>
      <c r="AP626" s="1"/>
    </row>
    <row r="627" spans="27:42">
      <c r="AA627" s="136"/>
      <c r="AB627" s="1"/>
      <c r="AD627" s="1"/>
      <c r="AF627" s="1"/>
      <c r="AH627" s="1"/>
      <c r="AJ627" s="1"/>
      <c r="AL627" s="1"/>
      <c r="AN627" s="1"/>
      <c r="AP627" s="1"/>
    </row>
    <row r="628" spans="27:42">
      <c r="AA628" s="136"/>
      <c r="AB628" s="1"/>
      <c r="AD628" s="1"/>
      <c r="AF628" s="1"/>
      <c r="AH628" s="1"/>
      <c r="AJ628" s="1"/>
      <c r="AL628" s="1"/>
      <c r="AN628" s="1"/>
      <c r="AP628" s="1"/>
    </row>
    <row r="629" spans="27:42">
      <c r="AA629" s="136"/>
      <c r="AB629" s="1"/>
      <c r="AD629" s="1"/>
      <c r="AF629" s="1"/>
      <c r="AH629" s="1"/>
      <c r="AJ629" s="1"/>
      <c r="AL629" s="1"/>
      <c r="AN629" s="1"/>
      <c r="AP629" s="1"/>
    </row>
    <row r="630" spans="27:42">
      <c r="AA630" s="136"/>
      <c r="AB630" s="1"/>
      <c r="AD630" s="1"/>
      <c r="AF630" s="1"/>
      <c r="AH630" s="1"/>
      <c r="AJ630" s="1"/>
      <c r="AL630" s="1"/>
      <c r="AN630" s="1"/>
      <c r="AP630" s="1"/>
    </row>
    <row r="631" spans="27:42">
      <c r="AA631" s="136"/>
      <c r="AB631" s="1"/>
      <c r="AD631" s="1"/>
      <c r="AF631" s="1"/>
      <c r="AH631" s="1"/>
      <c r="AJ631" s="1"/>
      <c r="AL631" s="1"/>
      <c r="AN631" s="1"/>
      <c r="AP631" s="1"/>
    </row>
    <row r="632" spans="27:42">
      <c r="AA632" s="136"/>
      <c r="AB632" s="1"/>
      <c r="AD632" s="1"/>
      <c r="AF632" s="1"/>
      <c r="AH632" s="1"/>
      <c r="AJ632" s="1"/>
      <c r="AL632" s="1"/>
      <c r="AN632" s="1"/>
      <c r="AP632" s="1"/>
    </row>
    <row r="633" spans="27:42">
      <c r="AA633" s="136"/>
      <c r="AB633" s="1"/>
      <c r="AD633" s="1"/>
      <c r="AF633" s="1"/>
      <c r="AH633" s="1"/>
      <c r="AJ633" s="1"/>
      <c r="AL633" s="1"/>
      <c r="AN633" s="1"/>
      <c r="AP633" s="1"/>
    </row>
    <row r="634" spans="27:42">
      <c r="AA634" s="136"/>
      <c r="AB634" s="1"/>
      <c r="AD634" s="1"/>
      <c r="AF634" s="1"/>
      <c r="AH634" s="1"/>
      <c r="AJ634" s="1"/>
      <c r="AL634" s="1"/>
      <c r="AN634" s="1"/>
      <c r="AP634" s="1"/>
    </row>
  </sheetData>
  <mergeCells count="34">
    <mergeCell ref="R25:S25"/>
    <mergeCell ref="T25:U25"/>
    <mergeCell ref="AN166:AO166"/>
    <mergeCell ref="AP166:AQ166"/>
    <mergeCell ref="B65:C65"/>
    <mergeCell ref="E65:F66"/>
    <mergeCell ref="M66:N66"/>
    <mergeCell ref="N78:Q78"/>
    <mergeCell ref="T166:U166"/>
    <mergeCell ref="A137:F137"/>
    <mergeCell ref="A166:A167"/>
    <mergeCell ref="B166:C166"/>
    <mergeCell ref="D166:E166"/>
    <mergeCell ref="F166:G166"/>
    <mergeCell ref="H166:I166"/>
    <mergeCell ref="B3:C3"/>
    <mergeCell ref="F3:F5"/>
    <mergeCell ref="G3:G5"/>
    <mergeCell ref="B16:F16"/>
    <mergeCell ref="B39:E39"/>
    <mergeCell ref="J166:K166"/>
    <mergeCell ref="L166:M166"/>
    <mergeCell ref="N166:O166"/>
    <mergeCell ref="P166:Q166"/>
    <mergeCell ref="R166:S166"/>
    <mergeCell ref="AH166:AI166"/>
    <mergeCell ref="AJ166:AK166"/>
    <mergeCell ref="AL166:AM166"/>
    <mergeCell ref="V166:W166"/>
    <mergeCell ref="X166:Y166"/>
    <mergeCell ref="Z166:AA166"/>
    <mergeCell ref="AB166:AC166"/>
    <mergeCell ref="AD166:AE166"/>
    <mergeCell ref="AF166:AG166"/>
  </mergeCells>
  <phoneticPr fontId="34" type="noConversion"/>
  <conditionalFormatting sqref="E81:E131 E132:G133">
    <cfRule type="expression" dxfId="31" priority="1" stopIfTrue="1">
      <formula>E81="Disponível"</formula>
    </cfRule>
  </conditionalFormatting>
  <dataValidations count="5">
    <dataValidation type="list" allowBlank="1" showInputMessage="1" showErrorMessage="1" sqref="C20" xr:uid="{5D67C248-968B-4319-AC18-F7695E94AE16}">
      <formula1>"Viabilidade,Cliente"</formula1>
    </dataValidation>
    <dataValidation type="list" allowBlank="1" showInputMessage="1" showErrorMessage="1" sqref="E67:E72" xr:uid="{A054C794-29C5-4870-B9FF-4ECE663CF944}">
      <formula1>"Pós Venda,Pós Entrega"</formula1>
    </dataValidation>
    <dataValidation type="list" allowBlank="1" showInputMessage="1" showErrorMessage="1" sqref="E132:G133" xr:uid="{CEAA9EB7-0BB3-4EDD-BF52-29855D7D95E7}">
      <formula1>"Contrato,Disponivel"</formula1>
    </dataValidation>
    <dataValidation type="list" allowBlank="1" showInputMessage="1" showErrorMessage="1" sqref="D132:D133" xr:uid="{A040FC1F-756D-465B-9DE0-A62CC911E469}">
      <formula1>$B$41:$B$58</formula1>
    </dataValidation>
    <dataValidation type="list" allowBlank="1" showInputMessage="1" showErrorMessage="1" sqref="D82:D131" xr:uid="{61E8BF34-C362-49D7-ABCB-D41606221074}">
      <formula1>$B$41:$B$60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79C-3F04-4B76-9BBF-8C8FD9400775}">
  <dimension ref="A1:AL2"/>
  <sheetViews>
    <sheetView workbookViewId="0"/>
  </sheetViews>
  <sheetFormatPr defaultColWidth="8.85546875" defaultRowHeight="12.95"/>
  <cols>
    <col min="1" max="1" width="14.85546875" bestFit="1" customWidth="1"/>
    <col min="2" max="2" width="12.42578125" bestFit="1" customWidth="1"/>
    <col min="3" max="3" width="16.28515625" bestFit="1" customWidth="1"/>
    <col min="4" max="4" width="15.7109375" bestFit="1" customWidth="1"/>
    <col min="5" max="5" width="12.7109375" bestFit="1" customWidth="1"/>
    <col min="6" max="6" width="16.28515625" bestFit="1" customWidth="1"/>
    <col min="7" max="7" width="11.28515625" bestFit="1" customWidth="1"/>
    <col min="8" max="8" width="19.28515625" bestFit="1" customWidth="1"/>
    <col min="9" max="9" width="27" bestFit="1" customWidth="1"/>
    <col min="10" max="10" width="20" bestFit="1" customWidth="1"/>
    <col min="11" max="11" width="12.42578125" bestFit="1" customWidth="1"/>
    <col min="12" max="12" width="14.855468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7109375" bestFit="1" customWidth="1"/>
    <col min="17" max="17" width="12.7109375" bestFit="1" customWidth="1"/>
    <col min="18" max="18" width="19.140625" bestFit="1" customWidth="1"/>
    <col min="19" max="19" width="19.85546875" bestFit="1" customWidth="1"/>
    <col min="20" max="20" width="23.7109375" bestFit="1" customWidth="1"/>
    <col min="21" max="21" width="24.42578125" bestFit="1" customWidth="1"/>
    <col min="22" max="22" width="40.42578125" bestFit="1" customWidth="1"/>
    <col min="23" max="23" width="26.42578125" bestFit="1" customWidth="1"/>
    <col min="24" max="24" width="16.140625" bestFit="1" customWidth="1"/>
    <col min="25" max="25" width="14.7109375" bestFit="1" customWidth="1"/>
    <col min="26" max="34" width="10.42578125" bestFit="1" customWidth="1"/>
    <col min="35" max="35" width="11.85546875" bestFit="1" customWidth="1"/>
    <col min="36" max="36" width="14.42578125" bestFit="1" customWidth="1"/>
    <col min="37" max="38" width="22.28515625" bestFit="1" customWidth="1"/>
  </cols>
  <sheetData>
    <row r="1" spans="1:38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</row>
    <row r="2" spans="1:38">
      <c r="V2" s="167"/>
      <c r="W2" s="167"/>
      <c r="X2" s="16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A787-EB26-42B0-B917-4B77EB44276F}">
  <sheetPr filterMode="1">
    <pageSetUpPr fitToPage="1"/>
  </sheetPr>
  <dimension ref="A1:AC76"/>
  <sheetViews>
    <sheetView showGridLines="0" topLeftCell="B1" zoomScale="110" zoomScaleNormal="80" zoomScaleSheetLayoutView="40" zoomScalePageLayoutView="90" workbookViewId="0">
      <selection activeCell="N24" sqref="N24"/>
    </sheetView>
  </sheetViews>
  <sheetFormatPr defaultColWidth="8.7109375" defaultRowHeight="15.95"/>
  <cols>
    <col min="1" max="1" width="9.42578125" style="171" hidden="1" customWidth="1"/>
    <col min="2" max="2" width="11" style="170" customWidth="1"/>
    <col min="3" max="3" width="12.85546875" style="169" customWidth="1"/>
    <col min="4" max="4" width="12.28515625" style="169" customWidth="1"/>
    <col min="5" max="5" width="12.7109375" style="169" hidden="1" customWidth="1"/>
    <col min="6" max="6" width="14.42578125" style="169" hidden="1" customWidth="1"/>
    <col min="7" max="7" width="16" style="169" customWidth="1"/>
    <col min="8" max="8" width="22" style="168" customWidth="1"/>
    <col min="9" max="9" width="22.7109375" style="168" hidden="1" customWidth="1"/>
    <col min="10" max="10" width="28" style="168" bestFit="1" customWidth="1"/>
    <col min="11" max="13" width="10.7109375" style="168" customWidth="1"/>
    <col min="14" max="14" width="16.42578125" style="168" hidden="1" customWidth="1"/>
    <col min="15" max="15" width="19" style="168" hidden="1" customWidth="1"/>
    <col min="16" max="16" width="14.28515625" style="168" customWidth="1"/>
    <col min="17" max="17" width="13.28515625" style="168" customWidth="1"/>
    <col min="18" max="18" width="19.42578125" style="168" customWidth="1"/>
    <col min="19" max="20" width="13.28515625" style="168" customWidth="1"/>
    <col min="21" max="21" width="12.7109375" style="168" customWidth="1"/>
    <col min="22" max="22" width="13.7109375" style="168" customWidth="1"/>
    <col min="23" max="23" width="2.85546875" style="168" customWidth="1"/>
    <col min="24" max="24" width="20.140625" style="168" customWidth="1"/>
    <col min="25" max="25" width="13.85546875" style="168" bestFit="1" customWidth="1"/>
    <col min="26" max="16384" width="8.7109375" style="168"/>
  </cols>
  <sheetData>
    <row r="1" spans="2:29" ht="17.100000000000001" thickBot="1"/>
    <row r="2" spans="2:29" ht="12.75" customHeight="1">
      <c r="B2" s="241"/>
      <c r="C2" s="242"/>
      <c r="D2" s="242"/>
      <c r="E2" s="208"/>
      <c r="F2" s="208"/>
      <c r="G2" s="242"/>
      <c r="H2" s="247"/>
      <c r="I2" s="207"/>
      <c r="J2" s="247"/>
      <c r="K2" s="247"/>
      <c r="L2" s="247"/>
      <c r="M2" s="247"/>
      <c r="N2" s="207"/>
      <c r="O2" s="207"/>
      <c r="P2" s="247"/>
      <c r="Q2" s="247"/>
      <c r="R2" s="247"/>
      <c r="S2" s="247"/>
      <c r="T2" s="247"/>
      <c r="U2" s="247"/>
      <c r="V2" s="247"/>
      <c r="W2" s="247"/>
      <c r="X2" s="250"/>
    </row>
    <row r="3" spans="2:29" ht="12.75" customHeight="1">
      <c r="B3" s="243"/>
      <c r="C3" s="244"/>
      <c r="D3" s="244"/>
      <c r="E3" s="177"/>
      <c r="F3" s="177"/>
      <c r="G3" s="244"/>
      <c r="H3" s="248"/>
      <c r="I3" s="171"/>
      <c r="J3" s="248"/>
      <c r="K3" s="248"/>
      <c r="L3" s="248"/>
      <c r="M3" s="248"/>
      <c r="N3" s="171"/>
      <c r="O3" s="171"/>
      <c r="P3" s="248"/>
      <c r="Q3" s="248"/>
      <c r="R3" s="248"/>
      <c r="S3" s="248"/>
      <c r="T3" s="248"/>
      <c r="U3" s="248"/>
      <c r="V3" s="248"/>
      <c r="W3" s="248"/>
      <c r="X3" s="251"/>
    </row>
    <row r="4" spans="2:29" ht="10.5" customHeight="1">
      <c r="B4" s="243"/>
      <c r="C4" s="244"/>
      <c r="D4" s="244"/>
      <c r="E4" s="177"/>
      <c r="F4" s="177"/>
      <c r="G4" s="244"/>
      <c r="H4" s="248"/>
      <c r="I4" s="171"/>
      <c r="J4" s="248"/>
      <c r="K4" s="248"/>
      <c r="L4" s="248"/>
      <c r="M4" s="248"/>
      <c r="N4" s="171"/>
      <c r="O4" s="171"/>
      <c r="P4" s="248"/>
      <c r="Q4" s="248"/>
      <c r="R4" s="248"/>
      <c r="S4" s="248"/>
      <c r="T4" s="248"/>
      <c r="U4" s="248"/>
      <c r="V4" s="248"/>
      <c r="W4" s="248"/>
      <c r="X4" s="251"/>
    </row>
    <row r="5" spans="2:29" ht="5.25" customHeight="1">
      <c r="B5" s="243"/>
      <c r="C5" s="244"/>
      <c r="D5" s="244"/>
      <c r="E5" s="177"/>
      <c r="F5" s="177"/>
      <c r="G5" s="244"/>
      <c r="H5" s="248"/>
      <c r="I5" s="171"/>
      <c r="J5" s="248"/>
      <c r="K5" s="248"/>
      <c r="L5" s="248"/>
      <c r="M5" s="248"/>
      <c r="N5" s="171"/>
      <c r="O5" s="171"/>
      <c r="P5" s="248"/>
      <c r="Q5" s="248"/>
      <c r="R5" s="248"/>
      <c r="S5" s="248"/>
      <c r="T5" s="248"/>
      <c r="U5" s="248"/>
      <c r="V5" s="248" t="s">
        <v>148</v>
      </c>
      <c r="W5" s="248"/>
      <c r="X5" s="251"/>
    </row>
    <row r="6" spans="2:29" ht="51.75" customHeight="1">
      <c r="B6" s="243"/>
      <c r="C6" s="244"/>
      <c r="D6" s="244"/>
      <c r="E6" s="177"/>
      <c r="F6" s="177"/>
      <c r="G6" s="244"/>
      <c r="H6" s="248"/>
      <c r="I6"/>
      <c r="J6" s="248"/>
      <c r="K6" s="248"/>
      <c r="L6" s="239"/>
      <c r="M6" s="248"/>
      <c r="N6" s="171"/>
      <c r="O6" s="171"/>
      <c r="P6" s="248"/>
      <c r="Q6" s="248"/>
      <c r="R6" s="248"/>
      <c r="S6" s="248"/>
      <c r="T6" s="248"/>
      <c r="U6" s="248"/>
      <c r="V6" s="248"/>
      <c r="W6" s="248"/>
      <c r="X6" s="251"/>
    </row>
    <row r="7" spans="2:29" ht="15.75" customHeight="1">
      <c r="B7" s="243"/>
      <c r="C7" s="244"/>
      <c r="D7" s="244"/>
      <c r="E7" s="177"/>
      <c r="F7" s="177"/>
      <c r="G7" s="244"/>
      <c r="H7" s="248"/>
      <c r="I7" s="171"/>
      <c r="J7" s="248"/>
      <c r="K7" s="248"/>
      <c r="L7" s="248"/>
      <c r="M7" s="248"/>
      <c r="N7" s="171"/>
      <c r="O7" s="171"/>
      <c r="P7" s="239"/>
      <c r="Q7" s="248"/>
      <c r="R7" s="248"/>
      <c r="S7" s="248"/>
      <c r="T7" s="248"/>
      <c r="U7" s="248"/>
      <c r="V7" s="248"/>
      <c r="W7" s="248"/>
      <c r="X7" s="251"/>
    </row>
    <row r="8" spans="2:29" ht="27" customHeight="1">
      <c r="B8" s="243"/>
      <c r="C8" s="244"/>
      <c r="D8" s="244"/>
      <c r="E8" s="177"/>
      <c r="F8" s="177"/>
      <c r="G8" s="244"/>
      <c r="H8" s="248"/>
      <c r="I8" s="171"/>
      <c r="J8" s="248"/>
      <c r="K8" s="239"/>
      <c r="L8" s="248"/>
      <c r="M8" s="248"/>
      <c r="N8" s="171"/>
      <c r="O8" s="171"/>
      <c r="P8" s="248"/>
      <c r="Q8" s="248"/>
      <c r="R8" s="248"/>
      <c r="S8" s="248"/>
      <c r="T8" s="248"/>
      <c r="U8" s="248"/>
      <c r="V8" s="248"/>
      <c r="W8" s="248"/>
      <c r="X8" s="251"/>
    </row>
    <row r="9" spans="2:29" ht="15" customHeight="1" thickBot="1">
      <c r="B9" s="245"/>
      <c r="C9" s="246"/>
      <c r="D9" s="246"/>
      <c r="E9" s="206"/>
      <c r="F9" s="206"/>
      <c r="G9" s="246"/>
      <c r="H9" s="249"/>
      <c r="I9" s="205"/>
      <c r="J9" s="249"/>
      <c r="K9" s="249"/>
      <c r="L9" s="249"/>
      <c r="M9" s="249"/>
      <c r="N9" s="205"/>
      <c r="O9" s="205"/>
      <c r="P9" s="249"/>
      <c r="Q9" s="249"/>
      <c r="R9" s="249"/>
      <c r="S9" s="249"/>
      <c r="T9" s="249"/>
      <c r="U9" s="249"/>
      <c r="V9" s="249"/>
      <c r="W9" s="249"/>
      <c r="X9" s="252"/>
      <c r="AC9" s="174"/>
    </row>
    <row r="10" spans="2:29" ht="20.25" customHeight="1" thickBot="1">
      <c r="B10" s="244"/>
      <c r="C10" s="244"/>
      <c r="D10" s="244"/>
      <c r="E10" s="177"/>
      <c r="F10" s="177"/>
      <c r="G10" s="244"/>
      <c r="H10" s="248"/>
      <c r="I10" s="171"/>
      <c r="J10" s="248"/>
      <c r="K10" s="248"/>
      <c r="L10" s="248"/>
      <c r="M10" s="248"/>
      <c r="N10" s="171"/>
      <c r="O10" s="171"/>
      <c r="P10" s="248"/>
      <c r="Q10" s="248"/>
      <c r="R10" s="248"/>
      <c r="S10" s="248"/>
      <c r="T10" s="248"/>
      <c r="U10" s="248"/>
      <c r="V10" s="248"/>
      <c r="W10" s="248"/>
      <c r="X10" s="248"/>
      <c r="AC10" s="174"/>
    </row>
    <row r="11" spans="2:29" ht="30" customHeight="1" thickBot="1">
      <c r="B11" s="291" t="s">
        <v>149</v>
      </c>
      <c r="C11" s="292"/>
      <c r="D11" s="292"/>
      <c r="E11" s="293"/>
      <c r="F11" s="293"/>
      <c r="G11" s="292"/>
      <c r="H11" s="292"/>
      <c r="I11" s="293"/>
      <c r="J11" s="292"/>
      <c r="K11" s="292"/>
      <c r="L11" s="292"/>
      <c r="M11" s="292"/>
      <c r="N11" s="293"/>
      <c r="O11" s="293"/>
      <c r="P11" s="292"/>
      <c r="Q11" s="292"/>
      <c r="R11" s="292"/>
      <c r="S11" s="292"/>
      <c r="T11" s="292"/>
      <c r="U11" s="292"/>
      <c r="V11" s="292"/>
      <c r="W11" s="292"/>
      <c r="X11" s="294"/>
      <c r="AC11" s="174"/>
    </row>
    <row r="12" spans="2:29" ht="18.95" thickBot="1">
      <c r="B12" s="295" t="s">
        <v>150</v>
      </c>
      <c r="C12" s="296"/>
      <c r="D12" s="296"/>
      <c r="E12" s="297"/>
      <c r="F12" s="297"/>
      <c r="G12" s="296"/>
      <c r="H12" s="296"/>
      <c r="I12" s="297"/>
      <c r="J12" s="296"/>
      <c r="K12" s="296"/>
      <c r="L12" s="296"/>
      <c r="M12" s="296"/>
      <c r="N12" s="297"/>
      <c r="O12" s="297"/>
      <c r="P12" s="296"/>
      <c r="Q12" s="296"/>
      <c r="R12" s="296"/>
      <c r="S12" s="296"/>
      <c r="T12" s="296"/>
      <c r="U12" s="296"/>
      <c r="V12" s="296"/>
      <c r="W12" s="296"/>
      <c r="X12" s="298"/>
      <c r="AC12" s="174"/>
    </row>
    <row r="13" spans="2:29" hidden="1">
      <c r="B13" s="299" t="s">
        <v>1</v>
      </c>
      <c r="C13" s="299"/>
      <c r="D13" s="212"/>
      <c r="E13" s="204" t="s">
        <v>2</v>
      </c>
      <c r="F13" s="203"/>
      <c r="G13" s="203"/>
      <c r="H13" s="201" t="s">
        <v>3</v>
      </c>
      <c r="I13" s="201"/>
      <c r="J13" s="201"/>
      <c r="K13" s="201"/>
      <c r="L13" s="201"/>
      <c r="M13" s="201"/>
      <c r="N13" s="204"/>
      <c r="O13" s="202"/>
      <c r="P13" s="201"/>
      <c r="Q13" s="184">
        <v>1</v>
      </c>
      <c r="R13" s="184">
        <v>1</v>
      </c>
      <c r="S13" s="184">
        <v>1</v>
      </c>
      <c r="T13" s="186">
        <v>6</v>
      </c>
      <c r="U13" s="186">
        <v>1</v>
      </c>
      <c r="V13" s="184"/>
      <c r="X13" s="184">
        <v>1</v>
      </c>
      <c r="Y13" s="171"/>
      <c r="AC13" s="174"/>
    </row>
    <row r="14" spans="2:29" hidden="1">
      <c r="B14" s="197" t="s">
        <v>7</v>
      </c>
      <c r="C14" s="196">
        <f ca="1">Piloto!C5</f>
        <v>45121</v>
      </c>
      <c r="D14" s="196"/>
      <c r="E14" s="195">
        <f ca="1">YEAR(C14)</f>
        <v>2023</v>
      </c>
      <c r="F14" s="195"/>
      <c r="G14" s="195"/>
      <c r="H14" s="193">
        <f>Piloto!E5</f>
        <v>7</v>
      </c>
      <c r="I14" s="199"/>
      <c r="J14" s="199"/>
      <c r="K14" s="199"/>
      <c r="L14" s="199"/>
      <c r="M14" s="199"/>
      <c r="N14" s="210"/>
      <c r="O14" s="200"/>
      <c r="P14" s="199"/>
      <c r="Q14" s="198" t="s">
        <v>75</v>
      </c>
      <c r="R14" s="198" t="s">
        <v>75</v>
      </c>
      <c r="S14" s="198" t="s">
        <v>75</v>
      </c>
      <c r="T14" s="198" t="s">
        <v>75</v>
      </c>
      <c r="U14" s="198" t="s">
        <v>75</v>
      </c>
      <c r="V14" s="198"/>
      <c r="X14" s="198" t="s">
        <v>81</v>
      </c>
      <c r="Y14" s="171"/>
      <c r="AC14" s="174"/>
    </row>
    <row r="15" spans="2:29" hidden="1">
      <c r="B15" s="197" t="s">
        <v>8</v>
      </c>
      <c r="C15" s="196">
        <f>Piloto!C6</f>
        <v>46296</v>
      </c>
      <c r="D15" s="196"/>
      <c r="E15" s="195">
        <f>YEAR(C15)</f>
        <v>2026</v>
      </c>
      <c r="F15" s="195"/>
      <c r="G15" s="195"/>
      <c r="H15" s="193">
        <f>Piloto!E6</f>
        <v>10</v>
      </c>
      <c r="I15" s="193"/>
      <c r="J15" s="193"/>
      <c r="K15" s="193"/>
      <c r="L15" s="193"/>
      <c r="M15" s="193"/>
      <c r="N15" s="195"/>
      <c r="O15" s="194"/>
      <c r="P15" s="193"/>
      <c r="Q15" s="184">
        <f>Piloto!F67</f>
        <v>0</v>
      </c>
      <c r="R15" s="184">
        <f>Piloto!F68</f>
        <v>1</v>
      </c>
      <c r="S15" s="184">
        <f>Piloto!F69</f>
        <v>4</v>
      </c>
      <c r="T15" s="186">
        <f>Piloto!F70</f>
        <v>6</v>
      </c>
      <c r="U15" s="186">
        <f>Piloto!F71</f>
        <v>23</v>
      </c>
      <c r="V15" s="184"/>
      <c r="X15" s="184">
        <f>Piloto!F72</f>
        <v>2</v>
      </c>
      <c r="Y15" s="171"/>
      <c r="AC15" s="174"/>
    </row>
    <row r="16" spans="2:29" hidden="1">
      <c r="B16" s="192"/>
      <c r="C16" s="191"/>
      <c r="D16" s="191"/>
      <c r="E16" s="190"/>
      <c r="F16" s="190"/>
      <c r="G16" s="190"/>
      <c r="H16" s="188"/>
      <c r="I16" s="188"/>
      <c r="J16" s="188"/>
      <c r="K16" s="188"/>
      <c r="L16" s="188"/>
      <c r="M16" s="188"/>
      <c r="N16" s="190"/>
      <c r="O16" s="189"/>
      <c r="P16" s="188"/>
      <c r="Q16" s="187">
        <f ca="1">IF(Q14="Pós Venda",DATE($E$14,$H$14+Q15,10),DATE($E$15,$H$15+Q15,10))</f>
        <v>45117</v>
      </c>
      <c r="R16" s="187">
        <f ca="1">IF(R14="Pós Venda",DATE($E$14,$H$14+R15,10),DATE($E$15,$H$15+R15,10))</f>
        <v>45148</v>
      </c>
      <c r="S16" s="187">
        <f ca="1">IF(S14="Pós Venda",DATE($E$14,$H$14+S15,10),DATE($E$15,$H$15+S15,10))</f>
        <v>45240</v>
      </c>
      <c r="T16" s="187">
        <f ca="1">IF(T14="Pós Venda",DATE($E$14,$H$14+T15,10),DATE($E$15,$H$15+T15,10))</f>
        <v>45301</v>
      </c>
      <c r="U16" s="187">
        <f ca="1">IF(U14="Pós Venda",DATE($E$14,$H$14+U15,10),DATE($E$15,$H$15+U15,10))</f>
        <v>45818</v>
      </c>
      <c r="V16" s="187"/>
      <c r="X16" s="187">
        <f>IF(X14="Pós Venda",DATE($E$14,$H$14+X15,10),DATE($E$15,$H$15+X15,1))</f>
        <v>46357</v>
      </c>
      <c r="Y16" s="171"/>
      <c r="AC16" s="174"/>
    </row>
    <row r="17" spans="1:29" hidden="1">
      <c r="B17" s="289" t="s">
        <v>151</v>
      </c>
      <c r="C17" s="290"/>
      <c r="D17" s="290"/>
      <c r="E17" s="290"/>
      <c r="F17" s="183"/>
      <c r="G17" s="183"/>
      <c r="H17" s="183"/>
      <c r="I17" s="183"/>
      <c r="J17" s="183"/>
      <c r="K17" s="183"/>
      <c r="L17" s="183"/>
      <c r="M17" s="183"/>
      <c r="N17" s="173"/>
      <c r="O17" s="173"/>
      <c r="P17" s="182">
        <v>46296</v>
      </c>
      <c r="Q17" s="184">
        <f>Piloto!A67</f>
        <v>1</v>
      </c>
      <c r="R17" s="184">
        <f>Piloto!A68</f>
        <v>3</v>
      </c>
      <c r="S17" s="186">
        <f>Piloto!A69</f>
        <v>36</v>
      </c>
      <c r="T17" s="186">
        <f>Piloto!A70</f>
        <v>6</v>
      </c>
      <c r="U17" s="184">
        <f>Piloto!A71</f>
        <v>2</v>
      </c>
      <c r="V17" s="184"/>
      <c r="W17" s="171"/>
      <c r="X17" s="184">
        <f>Piloto!A72</f>
        <v>1</v>
      </c>
      <c r="AC17" s="174"/>
    </row>
    <row r="18" spans="1:29" hidden="1">
      <c r="B18" s="289" t="s">
        <v>152</v>
      </c>
      <c r="C18" s="290"/>
      <c r="D18" s="290"/>
      <c r="E18" s="290"/>
      <c r="F18" s="183"/>
      <c r="G18" s="183"/>
      <c r="H18" s="183"/>
      <c r="I18" s="183"/>
      <c r="J18" s="183"/>
      <c r="K18" s="183"/>
      <c r="L18" s="183"/>
      <c r="M18" s="183"/>
      <c r="N18" s="182"/>
      <c r="O18" s="182"/>
      <c r="P18" s="182">
        <v>44927</v>
      </c>
      <c r="Q18" s="185">
        <f>Q19*Q17</f>
        <v>0.03</v>
      </c>
      <c r="R18" s="185">
        <f>R19*R17</f>
        <v>0.06</v>
      </c>
      <c r="S18" s="185">
        <f>S19*S17</f>
        <v>0.146484</v>
      </c>
      <c r="T18" s="185">
        <f>T19*T17</f>
        <v>0.12</v>
      </c>
      <c r="U18" s="185">
        <f>U19*U17</f>
        <v>0.05</v>
      </c>
      <c r="V18" s="184"/>
      <c r="W18" s="171"/>
      <c r="X18" s="184"/>
      <c r="AC18" s="174"/>
    </row>
    <row r="19" spans="1:29" ht="17.100000000000001" hidden="1" thickBot="1">
      <c r="B19" s="289" t="s">
        <v>153</v>
      </c>
      <c r="C19" s="290"/>
      <c r="D19" s="290"/>
      <c r="E19" s="290"/>
      <c r="F19" s="183"/>
      <c r="G19" s="183"/>
      <c r="H19" s="183"/>
      <c r="I19" s="183"/>
      <c r="J19" s="183"/>
      <c r="K19" s="183"/>
      <c r="L19" s="183"/>
      <c r="M19" s="183"/>
      <c r="N19" s="182"/>
      <c r="O19" s="182"/>
      <c r="P19" s="173"/>
      <c r="Q19" s="181">
        <f>Piloto!C67</f>
        <v>0.03</v>
      </c>
      <c r="R19" s="181">
        <f>Piloto!C68</f>
        <v>0.02</v>
      </c>
      <c r="S19" s="181">
        <f>Piloto!C69</f>
        <v>4.0689999999999997E-3</v>
      </c>
      <c r="T19" s="181">
        <f>Piloto!C70</f>
        <v>0.02</v>
      </c>
      <c r="U19" s="181">
        <f>Piloto!C71</f>
        <v>2.5000000000000001E-2</v>
      </c>
      <c r="V19" s="180">
        <f>R18+T18+U18+S18+Q18</f>
        <v>0.40648399999999996</v>
      </c>
      <c r="W19" s="176"/>
      <c r="X19" s="180">
        <f>Piloto!C72</f>
        <v>0.59351599999999993</v>
      </c>
      <c r="AC19" s="174"/>
    </row>
    <row r="20" spans="1:29" ht="18.95" thickBot="1">
      <c r="B20" s="244"/>
      <c r="C20" s="244"/>
      <c r="D20" s="244"/>
      <c r="E20" s="179"/>
      <c r="F20" s="179"/>
      <c r="G20" s="253"/>
      <c r="H20" s="244"/>
      <c r="I20" s="177"/>
      <c r="J20" s="244"/>
      <c r="K20" s="244"/>
      <c r="L20" s="244"/>
      <c r="M20" s="244"/>
      <c r="N20" s="178"/>
      <c r="O20" s="178"/>
      <c r="P20" s="244"/>
      <c r="Q20" s="317" t="s">
        <v>154</v>
      </c>
      <c r="R20" s="318"/>
      <c r="S20" s="318"/>
      <c r="T20" s="318"/>
      <c r="U20" s="318"/>
      <c r="V20" s="319"/>
      <c r="W20" s="254"/>
      <c r="X20" s="255" t="s">
        <v>155</v>
      </c>
      <c r="AC20" s="174"/>
    </row>
    <row r="21" spans="1:29" ht="32.1" customHeight="1">
      <c r="A21" s="280" t="s">
        <v>92</v>
      </c>
      <c r="B21" s="281" t="s">
        <v>156</v>
      </c>
      <c r="C21" s="281" t="s">
        <v>157</v>
      </c>
      <c r="D21" s="288" t="s">
        <v>158</v>
      </c>
      <c r="E21" s="284" t="s">
        <v>159</v>
      </c>
      <c r="F21" s="285" t="s">
        <v>160</v>
      </c>
      <c r="G21" s="281" t="s">
        <v>161</v>
      </c>
      <c r="H21" s="281" t="s">
        <v>162</v>
      </c>
      <c r="I21" s="284" t="s">
        <v>163</v>
      </c>
      <c r="J21" s="300" t="s">
        <v>164</v>
      </c>
      <c r="K21" s="306" t="s">
        <v>165</v>
      </c>
      <c r="L21" s="309" t="s">
        <v>166</v>
      </c>
      <c r="M21" s="312" t="s">
        <v>167</v>
      </c>
      <c r="N21" s="303" t="s">
        <v>168</v>
      </c>
      <c r="O21" s="284" t="s">
        <v>169</v>
      </c>
      <c r="P21" s="300" t="s">
        <v>170</v>
      </c>
      <c r="Q21" s="256" t="s">
        <v>171</v>
      </c>
      <c r="R21" s="257" t="s">
        <v>172</v>
      </c>
      <c r="S21" s="258" t="s">
        <v>173</v>
      </c>
      <c r="T21" s="256" t="s">
        <v>174</v>
      </c>
      <c r="U21" s="256" t="s">
        <v>175</v>
      </c>
      <c r="V21" s="315" t="s">
        <v>176</v>
      </c>
      <c r="W21" s="259"/>
      <c r="X21" s="315" t="s">
        <v>177</v>
      </c>
      <c r="AC21" s="174"/>
    </row>
    <row r="22" spans="1:29">
      <c r="A22" s="280"/>
      <c r="B22" s="282"/>
      <c r="C22" s="282"/>
      <c r="D22" s="286"/>
      <c r="E22" s="282"/>
      <c r="F22" s="286"/>
      <c r="G22" s="282"/>
      <c r="H22" s="282"/>
      <c r="I22" s="282"/>
      <c r="J22" s="301"/>
      <c r="K22" s="307"/>
      <c r="L22" s="310"/>
      <c r="M22" s="313"/>
      <c r="N22" s="304"/>
      <c r="O22" s="282"/>
      <c r="P22" s="301"/>
      <c r="Q22" s="16">
        <f>Q17</f>
        <v>1</v>
      </c>
      <c r="R22" s="16">
        <f>R17</f>
        <v>3</v>
      </c>
      <c r="S22" s="16">
        <f>S17</f>
        <v>36</v>
      </c>
      <c r="T22" s="16">
        <f>T17</f>
        <v>6</v>
      </c>
      <c r="U22" s="16">
        <f>U17</f>
        <v>2</v>
      </c>
      <c r="V22" s="316"/>
      <c r="W22" s="175"/>
      <c r="X22" s="316"/>
      <c r="AC22" s="174"/>
    </row>
    <row r="23" spans="1:29" ht="18" thickBot="1">
      <c r="A23" s="280"/>
      <c r="B23" s="283"/>
      <c r="C23" s="283"/>
      <c r="D23" s="287"/>
      <c r="E23" s="283"/>
      <c r="F23" s="287"/>
      <c r="G23" s="283"/>
      <c r="H23" s="283"/>
      <c r="I23" s="283"/>
      <c r="J23" s="302"/>
      <c r="K23" s="308"/>
      <c r="L23" s="311"/>
      <c r="M23" s="314"/>
      <c r="N23" s="305"/>
      <c r="O23" s="283"/>
      <c r="P23" s="302"/>
      <c r="Q23" s="15" t="s">
        <v>178</v>
      </c>
      <c r="R23" s="12" t="s">
        <v>179</v>
      </c>
      <c r="S23" s="13">
        <f ca="1">S16</f>
        <v>45240</v>
      </c>
      <c r="T23" s="14">
        <f ca="1">T16</f>
        <v>45301</v>
      </c>
      <c r="U23" s="13">
        <f ca="1">U16</f>
        <v>45818</v>
      </c>
      <c r="V23" s="320"/>
      <c r="W23" s="175"/>
      <c r="X23" s="316"/>
      <c r="Y23" s="168" t="s">
        <v>93</v>
      </c>
      <c r="AC23" s="174"/>
    </row>
    <row r="24" spans="1:29" ht="20.100000000000001" customHeight="1">
      <c r="A24" s="171">
        <f>RIGHT(B24,2)*1</f>
        <v>1</v>
      </c>
      <c r="B24" s="226">
        <v>401</v>
      </c>
      <c r="C24" s="227">
        <f t="shared" ref="C24:C74" si="0">D24+G24+M24</f>
        <v>315.66000000000003</v>
      </c>
      <c r="D24" s="213">
        <f>222.3+50.11</f>
        <v>272.41000000000003</v>
      </c>
      <c r="E24" s="228">
        <v>89.81</v>
      </c>
      <c r="F24" s="228">
        <v>3.68</v>
      </c>
      <c r="G24" s="227">
        <v>37.729999999999997</v>
      </c>
      <c r="H24" s="214" t="s">
        <v>180</v>
      </c>
      <c r="I24" s="229" t="s">
        <v>181</v>
      </c>
      <c r="J24" s="215" t="s">
        <v>182</v>
      </c>
      <c r="K24" s="216" t="s">
        <v>183</v>
      </c>
      <c r="L24" s="216" t="s">
        <v>184</v>
      </c>
      <c r="M24" s="215">
        <v>5.52</v>
      </c>
      <c r="N24" s="230">
        <f>VLOOKUP($B24,Piloto!$B$79:$H$131,7,0)</f>
        <v>10909</v>
      </c>
      <c r="O24" s="230"/>
      <c r="P24" s="225">
        <f t="shared" ref="P24:P74" si="1">C24*N24</f>
        <v>3443534.9400000004</v>
      </c>
      <c r="Q24" s="230">
        <f>$Q$19*P24</f>
        <v>103306.0482</v>
      </c>
      <c r="R24" s="230">
        <f>$R$19*P24</f>
        <v>68870.698800000013</v>
      </c>
      <c r="S24" s="230">
        <f t="shared" ref="S24:S74" si="2">$S$19*P24</f>
        <v>14011.74367086</v>
      </c>
      <c r="T24" s="230">
        <f t="shared" ref="T24:T74" si="3">$T$19*P24</f>
        <v>68870.698800000013</v>
      </c>
      <c r="U24" s="230">
        <f t="shared" ref="U24:U74" si="4">$U$19*P24</f>
        <v>86088.373500000016</v>
      </c>
      <c r="V24" s="225">
        <f>Q24*$Q$17+R24*$R$17+T24*$T$17+U24*$U$17+S24*$S$17</f>
        <v>1399741.8565509601</v>
      </c>
      <c r="W24" s="231"/>
      <c r="X24" s="232">
        <f t="shared" ref="X24:X74" si="5">$X$19*P24</f>
        <v>2043793.0834490401</v>
      </c>
      <c r="Y24" s="168" t="str">
        <f>VLOOKUP($B24,Piloto!$B$79:$H$131,4,0)</f>
        <v xml:space="preserve">DISPONIVEL </v>
      </c>
      <c r="Z24" s="172"/>
      <c r="AA24" s="172"/>
      <c r="AC24" s="174"/>
    </row>
    <row r="25" spans="1:29" ht="22.5" customHeight="1">
      <c r="A25" s="171">
        <f t="shared" ref="A25:A74" si="6">RIGHT(B25,2)*1</f>
        <v>2</v>
      </c>
      <c r="B25" s="233">
        <v>402</v>
      </c>
      <c r="C25" s="228">
        <f t="shared" si="0"/>
        <v>355.78999999999996</v>
      </c>
      <c r="D25" s="217">
        <f>259.25+80.62</f>
        <v>339.87</v>
      </c>
      <c r="E25" s="228">
        <v>63.49</v>
      </c>
      <c r="F25" s="228">
        <v>12.47</v>
      </c>
      <c r="G25" s="228">
        <v>11.64</v>
      </c>
      <c r="H25" s="218" t="s">
        <v>185</v>
      </c>
      <c r="I25" s="229" t="s">
        <v>186</v>
      </c>
      <c r="J25" s="219" t="s">
        <v>187</v>
      </c>
      <c r="K25" s="220" t="s">
        <v>188</v>
      </c>
      <c r="L25" s="220" t="s">
        <v>184</v>
      </c>
      <c r="M25" s="219">
        <v>4.28</v>
      </c>
      <c r="N25" s="230">
        <f>VLOOKUP($B25,Piloto!$B$79:$H$131,7,0)</f>
        <v>11889.9</v>
      </c>
      <c r="O25" s="234"/>
      <c r="P25" s="225">
        <f t="shared" si="1"/>
        <v>4230307.5209999997</v>
      </c>
      <c r="Q25" s="230">
        <f t="shared" ref="Q25:Q74" si="7">$Q$19*P25</f>
        <v>126909.22562999999</v>
      </c>
      <c r="R25" s="230">
        <f t="shared" ref="R25:R74" si="8">$R$19*P25</f>
        <v>84606.150419999991</v>
      </c>
      <c r="S25" s="230">
        <f t="shared" si="2"/>
        <v>17213.121302948999</v>
      </c>
      <c r="T25" s="230">
        <f t="shared" si="3"/>
        <v>84606.150419999991</v>
      </c>
      <c r="U25" s="230">
        <f t="shared" si="4"/>
        <v>105757.688025</v>
      </c>
      <c r="V25" s="235">
        <f t="shared" ref="V25:V74" si="9">Q25*$Q$17+R25*$R$17+T25*$T$17+U25*$U$17+S25*$S$17</f>
        <v>1719552.3223661638</v>
      </c>
      <c r="W25" s="236"/>
      <c r="X25" s="237">
        <f t="shared" si="5"/>
        <v>2510755.1986338357</v>
      </c>
      <c r="Y25" s="168" t="str">
        <f>VLOOKUP($B25,Piloto!$B$79:$H$131,4,0)</f>
        <v xml:space="preserve">DISPONIVEL </v>
      </c>
      <c r="Z25" s="172"/>
      <c r="AA25" s="172"/>
      <c r="AC25" s="174"/>
    </row>
    <row r="26" spans="1:29" ht="24" customHeight="1">
      <c r="A26" s="171">
        <f t="shared" si="6"/>
        <v>1</v>
      </c>
      <c r="B26" s="233">
        <v>501</v>
      </c>
      <c r="C26" s="228">
        <f t="shared" si="0"/>
        <v>253.34</v>
      </c>
      <c r="D26" s="217">
        <v>248.3</v>
      </c>
      <c r="E26" s="228">
        <v>89.77</v>
      </c>
      <c r="F26" s="228">
        <v>17.37</v>
      </c>
      <c r="G26" s="228">
        <v>0</v>
      </c>
      <c r="H26" s="218" t="s">
        <v>189</v>
      </c>
      <c r="I26" s="229" t="s">
        <v>186</v>
      </c>
      <c r="J26" s="219" t="s">
        <v>190</v>
      </c>
      <c r="K26" s="220" t="s">
        <v>191</v>
      </c>
      <c r="L26" s="220" t="s">
        <v>192</v>
      </c>
      <c r="M26" s="219">
        <v>5.04</v>
      </c>
      <c r="N26" s="230">
        <f>VLOOKUP($B26,Piloto!$B$79:$H$131,7,0)</f>
        <v>11889.9</v>
      </c>
      <c r="O26" s="234"/>
      <c r="P26" s="225">
        <f t="shared" si="1"/>
        <v>3012187.2659999998</v>
      </c>
      <c r="Q26" s="230">
        <f t="shared" si="7"/>
        <v>90365.617979999995</v>
      </c>
      <c r="R26" s="230">
        <f t="shared" si="8"/>
        <v>60243.745319999995</v>
      </c>
      <c r="S26" s="230">
        <f t="shared" si="2"/>
        <v>12256.589985353998</v>
      </c>
      <c r="T26" s="230">
        <f t="shared" si="3"/>
        <v>60243.745319999995</v>
      </c>
      <c r="U26" s="230">
        <f t="shared" si="4"/>
        <v>75304.681649999999</v>
      </c>
      <c r="V26" s="235">
        <f t="shared" si="9"/>
        <v>1224405.9286327439</v>
      </c>
      <c r="W26" s="236"/>
      <c r="X26" s="237">
        <f t="shared" si="5"/>
        <v>1787781.3373672557</v>
      </c>
      <c r="Y26" s="168" t="str">
        <f>VLOOKUP($B26,Piloto!$B$79:$H$131,4,0)</f>
        <v xml:space="preserve">DISPONIVEL </v>
      </c>
      <c r="Z26" s="172"/>
      <c r="AA26" s="172"/>
      <c r="AC26" s="174"/>
    </row>
    <row r="27" spans="1:29" ht="22.5" customHeight="1">
      <c r="A27" s="171">
        <f t="shared" si="6"/>
        <v>2</v>
      </c>
      <c r="B27" s="233">
        <v>502</v>
      </c>
      <c r="C27" s="228">
        <f t="shared" si="0"/>
        <v>306.8</v>
      </c>
      <c r="D27" s="217">
        <v>302.31</v>
      </c>
      <c r="E27" s="228">
        <v>41.22</v>
      </c>
      <c r="F27" s="228">
        <v>12.51</v>
      </c>
      <c r="G27" s="228">
        <v>0</v>
      </c>
      <c r="H27" s="218" t="s">
        <v>193</v>
      </c>
      <c r="I27" s="229" t="s">
        <v>194</v>
      </c>
      <c r="J27" s="219" t="s">
        <v>195</v>
      </c>
      <c r="K27" s="220" t="s">
        <v>196</v>
      </c>
      <c r="L27" s="220" t="s">
        <v>197</v>
      </c>
      <c r="M27" s="219">
        <v>4.49</v>
      </c>
      <c r="N27" s="230">
        <f>VLOOKUP($B27,Piloto!$B$79:$H$131,7,0)</f>
        <v>11889.9</v>
      </c>
      <c r="O27" s="234"/>
      <c r="P27" s="225">
        <f t="shared" si="1"/>
        <v>3647821.32</v>
      </c>
      <c r="Q27" s="230">
        <f t="shared" si="7"/>
        <v>109434.63959999999</v>
      </c>
      <c r="R27" s="230">
        <f t="shared" si="8"/>
        <v>72956.426399999997</v>
      </c>
      <c r="S27" s="230">
        <f t="shared" si="2"/>
        <v>14842.984951079998</v>
      </c>
      <c r="T27" s="230">
        <f t="shared" si="3"/>
        <v>72956.426399999997</v>
      </c>
      <c r="U27" s="230">
        <f t="shared" si="4"/>
        <v>91195.532999999996</v>
      </c>
      <c r="V27" s="235">
        <f t="shared" si="9"/>
        <v>1482781.0014388799</v>
      </c>
      <c r="W27" s="236"/>
      <c r="X27" s="237">
        <f t="shared" si="5"/>
        <v>2165040.3185611195</v>
      </c>
      <c r="Y27" s="168" t="str">
        <f>VLOOKUP($B27,Piloto!$B$79:$H$131,4,0)</f>
        <v xml:space="preserve">DISPONIVEL </v>
      </c>
      <c r="Z27" s="172"/>
      <c r="AA27" s="172"/>
      <c r="AC27" s="174"/>
    </row>
    <row r="28" spans="1:29" ht="22.5" customHeight="1">
      <c r="A28" s="171">
        <f t="shared" si="6"/>
        <v>1</v>
      </c>
      <c r="B28" s="233">
        <v>601</v>
      </c>
      <c r="C28" s="228">
        <f t="shared" si="0"/>
        <v>252.37</v>
      </c>
      <c r="D28" s="217">
        <v>248.74</v>
      </c>
      <c r="E28" s="228">
        <v>41.35</v>
      </c>
      <c r="F28" s="228">
        <v>5.86</v>
      </c>
      <c r="G28" s="228">
        <v>0</v>
      </c>
      <c r="H28" s="218" t="s">
        <v>198</v>
      </c>
      <c r="I28" s="229" t="s">
        <v>194</v>
      </c>
      <c r="J28" s="219" t="s">
        <v>190</v>
      </c>
      <c r="K28" s="220" t="s">
        <v>199</v>
      </c>
      <c r="L28" s="220" t="s">
        <v>192</v>
      </c>
      <c r="M28" s="219">
        <v>3.63</v>
      </c>
      <c r="N28" s="230">
        <f>VLOOKUP($B28,Piloto!$B$79:$H$131,7,0)</f>
        <v>11349.45</v>
      </c>
      <c r="O28" s="234"/>
      <c r="P28" s="225">
        <f t="shared" si="1"/>
        <v>2864260.6965000001</v>
      </c>
      <c r="Q28" s="230">
        <f t="shared" si="7"/>
        <v>85927.820894999997</v>
      </c>
      <c r="R28" s="230">
        <f t="shared" si="8"/>
        <v>57285.213930000005</v>
      </c>
      <c r="S28" s="230">
        <f t="shared" si="2"/>
        <v>11654.6767740585</v>
      </c>
      <c r="T28" s="230">
        <f t="shared" si="3"/>
        <v>57285.213930000005</v>
      </c>
      <c r="U28" s="230">
        <f t="shared" si="4"/>
        <v>71606.517412500005</v>
      </c>
      <c r="V28" s="235">
        <f t="shared" si="9"/>
        <v>1164276.1449561061</v>
      </c>
      <c r="W28" s="236"/>
      <c r="X28" s="237">
        <f t="shared" si="5"/>
        <v>1699984.5515438938</v>
      </c>
      <c r="Y28" s="168" t="str">
        <f>VLOOKUP($B28,Piloto!$B$79:$H$131,4,0)</f>
        <v xml:space="preserve">DISPONIVEL </v>
      </c>
      <c r="Z28" s="172"/>
      <c r="AA28" s="172"/>
      <c r="AC28" s="174"/>
    </row>
    <row r="29" spans="1:29" ht="22.5" customHeight="1">
      <c r="A29" s="171">
        <f t="shared" si="6"/>
        <v>2</v>
      </c>
      <c r="B29" s="233">
        <v>602</v>
      </c>
      <c r="C29" s="228">
        <f t="shared" si="0"/>
        <v>305.03999999999996</v>
      </c>
      <c r="D29" s="217">
        <v>302.7</v>
      </c>
      <c r="E29" s="228">
        <v>41.22</v>
      </c>
      <c r="F29" s="228">
        <v>5.91</v>
      </c>
      <c r="G29" s="228">
        <v>0</v>
      </c>
      <c r="H29" s="218" t="s">
        <v>200</v>
      </c>
      <c r="I29" s="229" t="s">
        <v>186</v>
      </c>
      <c r="J29" s="219" t="s">
        <v>201</v>
      </c>
      <c r="K29" s="220" t="s">
        <v>202</v>
      </c>
      <c r="L29" s="220" t="s">
        <v>184</v>
      </c>
      <c r="M29" s="219">
        <v>2.34</v>
      </c>
      <c r="N29" s="230">
        <f>VLOOKUP($B29,Piloto!$B$79:$H$131,7,0)</f>
        <v>12430.349999999999</v>
      </c>
      <c r="O29" s="234"/>
      <c r="P29" s="225">
        <f t="shared" si="1"/>
        <v>3791753.9639999992</v>
      </c>
      <c r="Q29" s="230">
        <f t="shared" si="7"/>
        <v>113752.61891999998</v>
      </c>
      <c r="R29" s="230">
        <f t="shared" si="8"/>
        <v>75835.079279999991</v>
      </c>
      <c r="S29" s="230">
        <f t="shared" si="2"/>
        <v>15428.646879515996</v>
      </c>
      <c r="T29" s="230">
        <f t="shared" si="3"/>
        <v>75835.079279999991</v>
      </c>
      <c r="U29" s="230">
        <f t="shared" si="4"/>
        <v>94793.849099999992</v>
      </c>
      <c r="V29" s="235">
        <f t="shared" si="9"/>
        <v>1541287.3183025755</v>
      </c>
      <c r="W29" s="236"/>
      <c r="X29" s="237">
        <f t="shared" si="5"/>
        <v>2250466.6456974233</v>
      </c>
      <c r="Y29" s="168" t="str">
        <f>VLOOKUP($B29,Piloto!$B$79:$H$131,4,0)</f>
        <v xml:space="preserve">DISPONIVEL </v>
      </c>
      <c r="Z29" s="172"/>
      <c r="AA29" s="172"/>
      <c r="AC29" s="174"/>
    </row>
    <row r="30" spans="1:29" ht="22.5" customHeight="1">
      <c r="A30" s="171">
        <f t="shared" si="6"/>
        <v>1</v>
      </c>
      <c r="B30" s="233">
        <v>701</v>
      </c>
      <c r="C30" s="228">
        <f t="shared" si="0"/>
        <v>252.5</v>
      </c>
      <c r="D30" s="217">
        <v>248.3</v>
      </c>
      <c r="E30" s="228">
        <v>68.25</v>
      </c>
      <c r="F30" s="228">
        <v>14.09</v>
      </c>
      <c r="G30" s="228">
        <v>0</v>
      </c>
      <c r="H30" s="218" t="s">
        <v>203</v>
      </c>
      <c r="I30" s="229" t="s">
        <v>181</v>
      </c>
      <c r="J30" s="219" t="s">
        <v>190</v>
      </c>
      <c r="K30" s="220" t="s">
        <v>204</v>
      </c>
      <c r="L30" s="220" t="s">
        <v>192</v>
      </c>
      <c r="M30" s="219">
        <v>4.2</v>
      </c>
      <c r="N30" s="230">
        <f>VLOOKUP($B30,Piloto!$B$79:$H$131,7,0)</f>
        <v>11889.9</v>
      </c>
      <c r="O30" s="234"/>
      <c r="P30" s="225">
        <f t="shared" si="1"/>
        <v>3002199.75</v>
      </c>
      <c r="Q30" s="230">
        <f t="shared" si="7"/>
        <v>90065.992499999993</v>
      </c>
      <c r="R30" s="230">
        <f t="shared" si="8"/>
        <v>60043.995000000003</v>
      </c>
      <c r="S30" s="230">
        <f t="shared" si="2"/>
        <v>12215.950782749998</v>
      </c>
      <c r="T30" s="230">
        <f t="shared" si="3"/>
        <v>60043.995000000003</v>
      </c>
      <c r="U30" s="230">
        <f t="shared" si="4"/>
        <v>75054.993750000009</v>
      </c>
      <c r="V30" s="235">
        <f t="shared" si="9"/>
        <v>1220346.1631789999</v>
      </c>
      <c r="W30" s="236"/>
      <c r="X30" s="237">
        <f t="shared" si="5"/>
        <v>1781853.5868209999</v>
      </c>
      <c r="Y30" s="168" t="str">
        <f>VLOOKUP($B30,Piloto!$B$79:$H$131,4,0)</f>
        <v xml:space="preserve">DISPONIVEL </v>
      </c>
      <c r="Z30" s="172"/>
      <c r="AA30" s="172"/>
      <c r="AC30" s="174"/>
    </row>
    <row r="31" spans="1:29" ht="22.5" customHeight="1">
      <c r="A31" s="171">
        <f t="shared" si="6"/>
        <v>2</v>
      </c>
      <c r="B31" s="233">
        <v>702</v>
      </c>
      <c r="C31" s="228">
        <f t="shared" si="0"/>
        <v>306.8</v>
      </c>
      <c r="D31" s="217">
        <v>298.33</v>
      </c>
      <c r="E31" s="228">
        <v>61.68</v>
      </c>
      <c r="F31" s="228">
        <v>14.92</v>
      </c>
      <c r="G31" s="228">
        <v>0</v>
      </c>
      <c r="H31" s="218" t="s">
        <v>205</v>
      </c>
      <c r="I31" s="229" t="s">
        <v>206</v>
      </c>
      <c r="J31" s="219" t="s">
        <v>207</v>
      </c>
      <c r="K31" s="220" t="s">
        <v>208</v>
      </c>
      <c r="L31" s="220" t="s">
        <v>197</v>
      </c>
      <c r="M31" s="219">
        <v>8.4700000000000006</v>
      </c>
      <c r="N31" s="230">
        <f>VLOOKUP($B31,Piloto!$B$79:$H$131,7,0)</f>
        <v>11889.9</v>
      </c>
      <c r="O31" s="234"/>
      <c r="P31" s="225">
        <f t="shared" si="1"/>
        <v>3647821.32</v>
      </c>
      <c r="Q31" s="230">
        <f t="shared" si="7"/>
        <v>109434.63959999999</v>
      </c>
      <c r="R31" s="230">
        <f t="shared" si="8"/>
        <v>72956.426399999997</v>
      </c>
      <c r="S31" s="230">
        <f t="shared" si="2"/>
        <v>14842.984951079998</v>
      </c>
      <c r="T31" s="230">
        <f t="shared" si="3"/>
        <v>72956.426399999997</v>
      </c>
      <c r="U31" s="230">
        <f t="shared" si="4"/>
        <v>91195.532999999996</v>
      </c>
      <c r="V31" s="235">
        <f t="shared" si="9"/>
        <v>1482781.0014388799</v>
      </c>
      <c r="W31" s="236"/>
      <c r="X31" s="237">
        <f t="shared" si="5"/>
        <v>2165040.3185611195</v>
      </c>
      <c r="Y31" s="168" t="str">
        <f>VLOOKUP($B31,Piloto!$B$79:$H$131,4,0)</f>
        <v xml:space="preserve">DISPONIVEL </v>
      </c>
      <c r="Z31" s="172"/>
      <c r="AA31" s="172"/>
      <c r="AC31" s="174"/>
    </row>
    <row r="32" spans="1:29" ht="22.5" customHeight="1">
      <c r="A32" s="171">
        <f t="shared" si="6"/>
        <v>1</v>
      </c>
      <c r="B32" s="233">
        <v>801</v>
      </c>
      <c r="C32" s="228">
        <f t="shared" si="0"/>
        <v>251.16</v>
      </c>
      <c r="D32" s="217">
        <v>248.74</v>
      </c>
      <c r="E32" s="228">
        <v>66.98</v>
      </c>
      <c r="F32" s="228">
        <v>15.780000000000001</v>
      </c>
      <c r="G32" s="228">
        <v>0</v>
      </c>
      <c r="H32" s="218" t="s">
        <v>209</v>
      </c>
      <c r="I32" s="229" t="s">
        <v>181</v>
      </c>
      <c r="J32" s="219" t="s">
        <v>210</v>
      </c>
      <c r="K32" s="220" t="s">
        <v>211</v>
      </c>
      <c r="L32" s="220" t="s">
        <v>192</v>
      </c>
      <c r="M32" s="219">
        <v>2.42</v>
      </c>
      <c r="N32" s="230">
        <f>VLOOKUP($B32,Piloto!$B$79:$H$131,7,0)</f>
        <v>11349.449999999999</v>
      </c>
      <c r="O32" s="234"/>
      <c r="P32" s="225">
        <f t="shared" si="1"/>
        <v>2850527.8619999997</v>
      </c>
      <c r="Q32" s="230">
        <f t="shared" si="7"/>
        <v>85515.835859999992</v>
      </c>
      <c r="R32" s="230">
        <f t="shared" si="8"/>
        <v>57010.557239999995</v>
      </c>
      <c r="S32" s="230">
        <f t="shared" si="2"/>
        <v>11598.797870477998</v>
      </c>
      <c r="T32" s="230">
        <f t="shared" si="3"/>
        <v>57010.557239999995</v>
      </c>
      <c r="U32" s="230">
        <f t="shared" si="4"/>
        <v>71263.196549999993</v>
      </c>
      <c r="V32" s="235">
        <f t="shared" si="9"/>
        <v>1158693.9674572079</v>
      </c>
      <c r="W32" s="236"/>
      <c r="X32" s="237">
        <f t="shared" si="5"/>
        <v>1691833.8945427916</v>
      </c>
      <c r="Y32" s="168" t="str">
        <f>VLOOKUP($B32,Piloto!$B$79:$H$131,4,0)</f>
        <v xml:space="preserve">DISPONIVEL </v>
      </c>
      <c r="Z32" s="172"/>
      <c r="AA32" s="172"/>
      <c r="AC32" s="174"/>
    </row>
    <row r="33" spans="1:29" ht="22.5" customHeight="1">
      <c r="A33" s="171">
        <f t="shared" si="6"/>
        <v>2</v>
      </c>
      <c r="B33" s="233">
        <v>802</v>
      </c>
      <c r="C33" s="228">
        <f t="shared" si="0"/>
        <v>299.27</v>
      </c>
      <c r="D33" s="217">
        <v>294.99</v>
      </c>
      <c r="E33" s="228">
        <v>41.85</v>
      </c>
      <c r="F33" s="228">
        <v>5.91</v>
      </c>
      <c r="G33" s="228">
        <v>0</v>
      </c>
      <c r="H33" s="218" t="s">
        <v>212</v>
      </c>
      <c r="I33" s="229" t="s">
        <v>186</v>
      </c>
      <c r="J33" s="219" t="s">
        <v>207</v>
      </c>
      <c r="K33" s="220" t="s">
        <v>213</v>
      </c>
      <c r="L33" s="220" t="s">
        <v>192</v>
      </c>
      <c r="M33" s="219">
        <v>4.28</v>
      </c>
      <c r="N33" s="230">
        <f>VLOOKUP($B33,Piloto!$B$79:$H$131,7,0)</f>
        <v>12430.35</v>
      </c>
      <c r="O33" s="234"/>
      <c r="P33" s="225">
        <f t="shared" si="1"/>
        <v>3720030.8444999997</v>
      </c>
      <c r="Q33" s="230">
        <f t="shared" si="7"/>
        <v>111600.92533499999</v>
      </c>
      <c r="R33" s="230">
        <f t="shared" si="8"/>
        <v>74400.61688999999</v>
      </c>
      <c r="S33" s="230">
        <f t="shared" si="2"/>
        <v>15136.805506270497</v>
      </c>
      <c r="T33" s="230">
        <f t="shared" si="3"/>
        <v>74400.61688999999</v>
      </c>
      <c r="U33" s="230">
        <f t="shared" si="4"/>
        <v>93000.771112499991</v>
      </c>
      <c r="V33" s="235">
        <f t="shared" si="9"/>
        <v>1512133.0177957378</v>
      </c>
      <c r="W33" s="236"/>
      <c r="X33" s="237">
        <f t="shared" si="5"/>
        <v>2207897.8267042614</v>
      </c>
      <c r="Y33" s="168" t="str">
        <f>VLOOKUP($B33,Piloto!$B$79:$H$131,4,0)</f>
        <v xml:space="preserve">DISPONIVEL </v>
      </c>
      <c r="Z33" s="172"/>
      <c r="AA33" s="172"/>
      <c r="AC33" s="174"/>
    </row>
    <row r="34" spans="1:29" ht="22.5" hidden="1" customHeight="1">
      <c r="A34" s="171">
        <f t="shared" si="6"/>
        <v>1</v>
      </c>
      <c r="B34" s="233">
        <v>901</v>
      </c>
      <c r="C34" s="228">
        <f t="shared" si="0"/>
        <v>252.5</v>
      </c>
      <c r="D34" s="217">
        <v>248.3</v>
      </c>
      <c r="E34" s="228">
        <v>42.9</v>
      </c>
      <c r="F34" s="228">
        <v>5.86</v>
      </c>
      <c r="G34" s="228">
        <v>0</v>
      </c>
      <c r="H34" s="218" t="s">
        <v>214</v>
      </c>
      <c r="I34" s="229" t="s">
        <v>181</v>
      </c>
      <c r="J34" s="219" t="s">
        <v>190</v>
      </c>
      <c r="K34" s="220" t="s">
        <v>215</v>
      </c>
      <c r="L34" s="220" t="s">
        <v>192</v>
      </c>
      <c r="M34" s="219">
        <v>4.2</v>
      </c>
      <c r="N34" s="230">
        <f>VLOOKUP($B34,Piloto!$B$79:$H$131,7,0)</f>
        <v>11665.004999999999</v>
      </c>
      <c r="O34" s="234"/>
      <c r="P34" s="225">
        <f t="shared" si="1"/>
        <v>2945413.7624999997</v>
      </c>
      <c r="Q34" s="230">
        <f t="shared" si="7"/>
        <v>88362.412874999995</v>
      </c>
      <c r="R34" s="230">
        <f t="shared" si="8"/>
        <v>58908.275249999999</v>
      </c>
      <c r="S34" s="230">
        <f t="shared" si="2"/>
        <v>11984.888599612497</v>
      </c>
      <c r="T34" s="230">
        <f t="shared" si="3"/>
        <v>58908.275249999999</v>
      </c>
      <c r="U34" s="230">
        <f t="shared" si="4"/>
        <v>73635.344062499993</v>
      </c>
      <c r="V34" s="235">
        <f t="shared" si="9"/>
        <v>1197263.5678360499</v>
      </c>
      <c r="W34" s="236"/>
      <c r="X34" s="237">
        <f t="shared" si="5"/>
        <v>1748150.1946639495</v>
      </c>
      <c r="Y34" s="168" t="str">
        <f>VLOOKUP($B34,Piloto!$B$79:$H$131,4,0)</f>
        <v>CONTRATO</v>
      </c>
      <c r="Z34" s="172"/>
      <c r="AA34" s="172"/>
      <c r="AC34" s="174"/>
    </row>
    <row r="35" spans="1:29" ht="22.5" customHeight="1">
      <c r="A35" s="171">
        <f t="shared" si="6"/>
        <v>2</v>
      </c>
      <c r="B35" s="233">
        <v>902</v>
      </c>
      <c r="C35" s="228">
        <f t="shared" si="0"/>
        <v>303.26</v>
      </c>
      <c r="D35" s="217">
        <v>299.98</v>
      </c>
      <c r="E35" s="228">
        <v>40.97</v>
      </c>
      <c r="F35" s="228">
        <v>11.89</v>
      </c>
      <c r="G35" s="228">
        <v>0</v>
      </c>
      <c r="H35" s="218" t="s">
        <v>216</v>
      </c>
      <c r="I35" s="229" t="s">
        <v>186</v>
      </c>
      <c r="J35" s="219" t="s">
        <v>217</v>
      </c>
      <c r="K35" s="220" t="s">
        <v>218</v>
      </c>
      <c r="L35" s="220" t="s">
        <v>219</v>
      </c>
      <c r="M35" s="219">
        <v>3.28</v>
      </c>
      <c r="N35" s="230">
        <f>VLOOKUP($B35,Piloto!$B$79:$H$131,7,0)</f>
        <v>11889.9</v>
      </c>
      <c r="O35" s="234"/>
      <c r="P35" s="225">
        <f t="shared" si="1"/>
        <v>3605731.0739999996</v>
      </c>
      <c r="Q35" s="230">
        <f t="shared" si="7"/>
        <v>108171.93221999999</v>
      </c>
      <c r="R35" s="230">
        <f t="shared" si="8"/>
        <v>72114.621479999987</v>
      </c>
      <c r="S35" s="230">
        <f t="shared" si="2"/>
        <v>14671.719740105997</v>
      </c>
      <c r="T35" s="230">
        <f t="shared" si="3"/>
        <v>72114.621479999987</v>
      </c>
      <c r="U35" s="230">
        <f t="shared" si="4"/>
        <v>90143.276849999995</v>
      </c>
      <c r="V35" s="235">
        <f t="shared" si="9"/>
        <v>1465671.9898838159</v>
      </c>
      <c r="W35" s="236"/>
      <c r="X35" s="237">
        <f t="shared" si="5"/>
        <v>2140059.0841161837</v>
      </c>
      <c r="Y35" s="168" t="str">
        <f>VLOOKUP($B35,Piloto!$B$79:$H$131,4,0)</f>
        <v xml:space="preserve">DISPONIVEL </v>
      </c>
      <c r="Z35" s="172"/>
      <c r="AA35" s="172"/>
      <c r="AC35" s="174"/>
    </row>
    <row r="36" spans="1:29" ht="22.5" customHeight="1">
      <c r="A36" s="171">
        <f t="shared" si="6"/>
        <v>1</v>
      </c>
      <c r="B36" s="233">
        <v>1001</v>
      </c>
      <c r="C36" s="228">
        <f t="shared" si="0"/>
        <v>251.12</v>
      </c>
      <c r="D36" s="217">
        <v>248.74</v>
      </c>
      <c r="E36" s="228">
        <v>89.81</v>
      </c>
      <c r="F36" s="228">
        <v>13.8</v>
      </c>
      <c r="G36" s="228">
        <v>0</v>
      </c>
      <c r="H36" s="218" t="s">
        <v>220</v>
      </c>
      <c r="I36" s="229" t="s">
        <v>186</v>
      </c>
      <c r="J36" s="219" t="s">
        <v>190</v>
      </c>
      <c r="K36" s="220" t="s">
        <v>221</v>
      </c>
      <c r="L36" s="220" t="s">
        <v>192</v>
      </c>
      <c r="M36" s="219">
        <v>2.38</v>
      </c>
      <c r="N36" s="230">
        <f>VLOOKUP($B36,Piloto!$B$79:$H$131,7,0)</f>
        <v>11349.45</v>
      </c>
      <c r="O36" s="234"/>
      <c r="P36" s="225">
        <f t="shared" si="1"/>
        <v>2850073.8840000001</v>
      </c>
      <c r="Q36" s="230">
        <f t="shared" si="7"/>
        <v>85502.216520000002</v>
      </c>
      <c r="R36" s="230">
        <f t="shared" si="8"/>
        <v>57001.477680000004</v>
      </c>
      <c r="S36" s="230">
        <f t="shared" si="2"/>
        <v>11596.950633995999</v>
      </c>
      <c r="T36" s="230">
        <f t="shared" si="3"/>
        <v>57001.477680000004</v>
      </c>
      <c r="U36" s="230">
        <f t="shared" si="4"/>
        <v>71251.847099999999</v>
      </c>
      <c r="V36" s="235">
        <f t="shared" si="9"/>
        <v>1158509.4326638561</v>
      </c>
      <c r="W36" s="236"/>
      <c r="X36" s="237">
        <f t="shared" si="5"/>
        <v>1691564.4513361438</v>
      </c>
      <c r="Y36" s="168" t="str">
        <f>VLOOKUP($B36,Piloto!$B$79:$H$131,4,0)</f>
        <v xml:space="preserve">DISPONIVEL </v>
      </c>
      <c r="Z36" s="172"/>
      <c r="AA36" s="172"/>
      <c r="AC36" s="174"/>
    </row>
    <row r="37" spans="1:29" ht="22.5" customHeight="1">
      <c r="A37" s="171">
        <f t="shared" si="6"/>
        <v>2</v>
      </c>
      <c r="B37" s="233">
        <v>1002</v>
      </c>
      <c r="C37" s="228">
        <f t="shared" si="0"/>
        <v>309.91999999999996</v>
      </c>
      <c r="D37" s="217">
        <v>300.08999999999997</v>
      </c>
      <c r="E37" s="228">
        <v>63.49</v>
      </c>
      <c r="F37" s="228">
        <v>12.47</v>
      </c>
      <c r="G37" s="228">
        <v>0</v>
      </c>
      <c r="H37" s="218" t="s">
        <v>222</v>
      </c>
      <c r="I37" s="229" t="s">
        <v>194</v>
      </c>
      <c r="J37" s="219" t="s">
        <v>223</v>
      </c>
      <c r="K37" s="220" t="s">
        <v>224</v>
      </c>
      <c r="L37" s="220" t="s">
        <v>197</v>
      </c>
      <c r="M37" s="219">
        <v>9.83</v>
      </c>
      <c r="N37" s="230">
        <f>VLOOKUP($B37,Piloto!$B$79:$H$131,7,0)</f>
        <v>12430.349999999999</v>
      </c>
      <c r="O37" s="234"/>
      <c r="P37" s="225">
        <f t="shared" si="1"/>
        <v>3852414.0719999992</v>
      </c>
      <c r="Q37" s="230">
        <f t="shared" si="7"/>
        <v>115572.42215999997</v>
      </c>
      <c r="R37" s="230">
        <f t="shared" si="8"/>
        <v>77048.281439999992</v>
      </c>
      <c r="S37" s="230">
        <f t="shared" si="2"/>
        <v>15675.472858967996</v>
      </c>
      <c r="T37" s="230">
        <f t="shared" si="3"/>
        <v>77048.281439999992</v>
      </c>
      <c r="U37" s="230">
        <f t="shared" si="4"/>
        <v>96310.351799999989</v>
      </c>
      <c r="V37" s="235">
        <f t="shared" si="9"/>
        <v>1565944.6816428476</v>
      </c>
      <c r="W37" s="236"/>
      <c r="X37" s="237">
        <f t="shared" si="5"/>
        <v>2286469.3903571512</v>
      </c>
      <c r="Y37" s="168" t="str">
        <f>VLOOKUP($B37,Piloto!$B$79:$H$131,4,0)</f>
        <v xml:space="preserve">DISPONIVEL </v>
      </c>
      <c r="Z37" s="172"/>
      <c r="AA37" s="172"/>
      <c r="AC37" s="174"/>
    </row>
    <row r="38" spans="1:29" ht="22.5" hidden="1" customHeight="1">
      <c r="A38" s="171">
        <f t="shared" si="6"/>
        <v>1</v>
      </c>
      <c r="B38" s="233">
        <v>1101</v>
      </c>
      <c r="C38" s="228">
        <f t="shared" si="0"/>
        <v>253.26000000000002</v>
      </c>
      <c r="D38" s="217">
        <v>248.3</v>
      </c>
      <c r="E38" s="228">
        <v>89.77</v>
      </c>
      <c r="F38" s="228">
        <v>3.68</v>
      </c>
      <c r="G38" s="228">
        <v>0</v>
      </c>
      <c r="H38" s="218" t="s">
        <v>225</v>
      </c>
      <c r="I38" s="229" t="s">
        <v>194</v>
      </c>
      <c r="J38" s="219" t="s">
        <v>190</v>
      </c>
      <c r="K38" s="220" t="s">
        <v>226</v>
      </c>
      <c r="L38" s="220" t="s">
        <v>192</v>
      </c>
      <c r="M38" s="219">
        <v>4.96</v>
      </c>
      <c r="N38" s="230">
        <f>VLOOKUP($B38,Piloto!$B$79:$H$131,7,0)</f>
        <v>11610.004999999999</v>
      </c>
      <c r="O38" s="234"/>
      <c r="P38" s="225">
        <f t="shared" si="1"/>
        <v>2940349.8662999999</v>
      </c>
      <c r="Q38" s="230">
        <f t="shared" si="7"/>
        <v>88210.495988999988</v>
      </c>
      <c r="R38" s="230">
        <f t="shared" si="8"/>
        <v>58806.997325999997</v>
      </c>
      <c r="S38" s="230">
        <f t="shared" si="2"/>
        <v>11964.283605974699</v>
      </c>
      <c r="T38" s="230">
        <f t="shared" si="3"/>
        <v>58806.997325999997</v>
      </c>
      <c r="U38" s="230">
        <f t="shared" si="4"/>
        <v>73508.7466575</v>
      </c>
      <c r="V38" s="235">
        <f t="shared" si="9"/>
        <v>1195205.1750530889</v>
      </c>
      <c r="W38" s="236"/>
      <c r="X38" s="237">
        <f t="shared" si="5"/>
        <v>1745144.6912469105</v>
      </c>
      <c r="Y38" s="168" t="str">
        <f>VLOOKUP($B38,Piloto!$B$79:$H$131,4,0)</f>
        <v>CONTRATO</v>
      </c>
      <c r="Z38" s="172"/>
      <c r="AA38" s="172"/>
      <c r="AC38" s="174"/>
    </row>
    <row r="39" spans="1:29" ht="22.5" customHeight="1">
      <c r="A39" s="171">
        <f t="shared" si="6"/>
        <v>2</v>
      </c>
      <c r="B39" s="233">
        <v>1102</v>
      </c>
      <c r="C39" s="228">
        <f t="shared" si="0"/>
        <v>306.83</v>
      </c>
      <c r="D39" s="217">
        <v>302.31</v>
      </c>
      <c r="E39" s="228">
        <v>41.22</v>
      </c>
      <c r="F39" s="228">
        <v>12.51</v>
      </c>
      <c r="G39" s="228">
        <v>0</v>
      </c>
      <c r="H39" s="218" t="s">
        <v>227</v>
      </c>
      <c r="I39" s="229" t="s">
        <v>181</v>
      </c>
      <c r="J39" s="219" t="s">
        <v>228</v>
      </c>
      <c r="K39" s="220" t="s">
        <v>229</v>
      </c>
      <c r="L39" s="220" t="s">
        <v>192</v>
      </c>
      <c r="M39" s="219">
        <v>4.5199999999999996</v>
      </c>
      <c r="N39" s="230">
        <f>VLOOKUP($B39,Piloto!$B$79:$H$131,7,0)</f>
        <v>11889.900000000001</v>
      </c>
      <c r="O39" s="234"/>
      <c r="P39" s="225">
        <f t="shared" si="1"/>
        <v>3648178.0170000005</v>
      </c>
      <c r="Q39" s="230">
        <f t="shared" si="7"/>
        <v>109445.34051000001</v>
      </c>
      <c r="R39" s="230">
        <f t="shared" si="8"/>
        <v>72963.560340000011</v>
      </c>
      <c r="S39" s="230">
        <f t="shared" si="2"/>
        <v>14844.436351173001</v>
      </c>
      <c r="T39" s="230">
        <f t="shared" si="3"/>
        <v>72963.560340000011</v>
      </c>
      <c r="U39" s="230">
        <f t="shared" si="4"/>
        <v>91204.450425000017</v>
      </c>
      <c r="V39" s="235">
        <f t="shared" si="9"/>
        <v>1482925.9930622282</v>
      </c>
      <c r="W39" s="236"/>
      <c r="X39" s="237">
        <f t="shared" si="5"/>
        <v>2165252.023937772</v>
      </c>
      <c r="Y39" s="168" t="str">
        <f>VLOOKUP($B39,Piloto!$B$79:$H$131,4,0)</f>
        <v xml:space="preserve">DISPONIVEL </v>
      </c>
      <c r="Z39" s="172"/>
      <c r="AA39" s="172"/>
      <c r="AC39" s="174"/>
    </row>
    <row r="40" spans="1:29" ht="22.5" customHeight="1">
      <c r="A40" s="171">
        <f t="shared" si="6"/>
        <v>1</v>
      </c>
      <c r="B40" s="233">
        <v>1201</v>
      </c>
      <c r="C40" s="228">
        <f t="shared" si="0"/>
        <v>251.08</v>
      </c>
      <c r="D40" s="217">
        <v>248.74</v>
      </c>
      <c r="E40" s="228">
        <v>41.35</v>
      </c>
      <c r="F40" s="228">
        <v>5.86</v>
      </c>
      <c r="G40" s="228">
        <v>0</v>
      </c>
      <c r="H40" s="218" t="s">
        <v>230</v>
      </c>
      <c r="I40" s="229" t="s">
        <v>206</v>
      </c>
      <c r="J40" s="219" t="s">
        <v>210</v>
      </c>
      <c r="K40" s="220" t="s">
        <v>231</v>
      </c>
      <c r="L40" s="220" t="s">
        <v>192</v>
      </c>
      <c r="M40" s="219">
        <v>2.34</v>
      </c>
      <c r="N40" s="230">
        <f>VLOOKUP($B40,Piloto!$B$79:$H$131,7,0)</f>
        <v>11349.449999999999</v>
      </c>
      <c r="O40" s="234"/>
      <c r="P40" s="225">
        <f t="shared" si="1"/>
        <v>2849619.906</v>
      </c>
      <c r="Q40" s="230">
        <f t="shared" si="7"/>
        <v>85488.597179999997</v>
      </c>
      <c r="R40" s="230">
        <f t="shared" si="8"/>
        <v>56992.398119999998</v>
      </c>
      <c r="S40" s="230">
        <f t="shared" si="2"/>
        <v>11595.103397514</v>
      </c>
      <c r="T40" s="230">
        <f t="shared" si="3"/>
        <v>56992.398119999998</v>
      </c>
      <c r="U40" s="230">
        <f t="shared" si="4"/>
        <v>71240.497650000005</v>
      </c>
      <c r="V40" s="235">
        <f t="shared" si="9"/>
        <v>1158324.8978705041</v>
      </c>
      <c r="W40" s="236"/>
      <c r="X40" s="237">
        <f t="shared" si="5"/>
        <v>1691295.0081294959</v>
      </c>
      <c r="Y40" s="168" t="str">
        <f>VLOOKUP($B40,Piloto!$B$79:$H$131,4,0)</f>
        <v xml:space="preserve">DISPONIVEL </v>
      </c>
      <c r="Z40" s="172"/>
      <c r="AA40" s="172"/>
      <c r="AC40" s="174"/>
    </row>
    <row r="41" spans="1:29" ht="22.35" hidden="1" customHeight="1">
      <c r="A41" s="171">
        <f t="shared" si="6"/>
        <v>2</v>
      </c>
      <c r="B41" s="233">
        <v>1202</v>
      </c>
      <c r="C41" s="228">
        <f t="shared" si="0"/>
        <v>305.08</v>
      </c>
      <c r="D41" s="217">
        <v>302.7</v>
      </c>
      <c r="E41" s="228">
        <v>41.22</v>
      </c>
      <c r="F41" s="228">
        <v>5.91</v>
      </c>
      <c r="G41" s="228">
        <v>0</v>
      </c>
      <c r="H41" s="218" t="s">
        <v>232</v>
      </c>
      <c r="I41" s="229" t="s">
        <v>181</v>
      </c>
      <c r="J41" s="219" t="s">
        <v>201</v>
      </c>
      <c r="K41" s="220" t="s">
        <v>233</v>
      </c>
      <c r="L41" s="220" t="s">
        <v>184</v>
      </c>
      <c r="M41" s="219">
        <v>2.38</v>
      </c>
      <c r="N41" s="230">
        <f>VLOOKUP($B41,Piloto!$B$79:$H$131,7,0)</f>
        <v>12114.996999999999</v>
      </c>
      <c r="O41" s="234"/>
      <c r="P41" s="225">
        <f t="shared" si="1"/>
        <v>3696043.2847599997</v>
      </c>
      <c r="Q41" s="230">
        <f t="shared" si="7"/>
        <v>110881.29854279998</v>
      </c>
      <c r="R41" s="230">
        <f t="shared" si="8"/>
        <v>73920.865695200002</v>
      </c>
      <c r="S41" s="230">
        <f t="shared" si="2"/>
        <v>15039.200125688438</v>
      </c>
      <c r="T41" s="230">
        <f t="shared" si="3"/>
        <v>73920.865695200002</v>
      </c>
      <c r="U41" s="230">
        <f t="shared" si="4"/>
        <v>92401.082118999999</v>
      </c>
      <c r="V41" s="235">
        <f t="shared" si="9"/>
        <v>1502382.4585623839</v>
      </c>
      <c r="W41" s="236"/>
      <c r="X41" s="237">
        <f t="shared" si="5"/>
        <v>2193660.8261976158</v>
      </c>
      <c r="Y41" s="168" t="str">
        <f>VLOOKUP($B41,Piloto!$B$79:$H$131,4,0)</f>
        <v>CONTRATO</v>
      </c>
      <c r="Z41" s="172"/>
      <c r="AA41" s="172"/>
      <c r="AC41" s="174"/>
    </row>
    <row r="42" spans="1:29" ht="22.5" hidden="1" customHeight="1">
      <c r="A42" s="171">
        <f t="shared" si="6"/>
        <v>1</v>
      </c>
      <c r="B42" s="233">
        <v>1301</v>
      </c>
      <c r="C42" s="228">
        <f t="shared" si="0"/>
        <v>254.67000000000002</v>
      </c>
      <c r="D42" s="217">
        <v>248.3</v>
      </c>
      <c r="E42" s="228">
        <v>68.25</v>
      </c>
      <c r="F42" s="228">
        <v>14.09</v>
      </c>
      <c r="G42" s="228">
        <v>0</v>
      </c>
      <c r="H42" s="218" t="s">
        <v>234</v>
      </c>
      <c r="I42" s="229" t="s">
        <v>181</v>
      </c>
      <c r="J42" s="219" t="s">
        <v>235</v>
      </c>
      <c r="K42" s="220" t="s">
        <v>236</v>
      </c>
      <c r="L42" s="220" t="s">
        <v>197</v>
      </c>
      <c r="M42" s="219">
        <v>6.37</v>
      </c>
      <c r="N42" s="230">
        <f>VLOOKUP($B42,Piloto!$B$79:$H$131,7,0)</f>
        <v>11610.004999999999</v>
      </c>
      <c r="O42" s="234"/>
      <c r="P42" s="225">
        <f t="shared" si="1"/>
        <v>2956719.9733500001</v>
      </c>
      <c r="Q42" s="230">
        <f t="shared" si="7"/>
        <v>88701.599200500001</v>
      </c>
      <c r="R42" s="230">
        <f t="shared" si="8"/>
        <v>59134.399467000003</v>
      </c>
      <c r="S42" s="230">
        <f t="shared" si="2"/>
        <v>12030.89357156115</v>
      </c>
      <c r="T42" s="230">
        <f t="shared" si="3"/>
        <v>59134.399467000003</v>
      </c>
      <c r="U42" s="230">
        <f t="shared" si="4"/>
        <v>73917.999333750005</v>
      </c>
      <c r="V42" s="235">
        <f t="shared" si="9"/>
        <v>1201859.3616472015</v>
      </c>
      <c r="W42" s="236"/>
      <c r="X42" s="237">
        <f t="shared" si="5"/>
        <v>1754860.6117027984</v>
      </c>
      <c r="Y42" s="168" t="str">
        <f>VLOOKUP($B42,Piloto!$B$79:$H$131,4,0)</f>
        <v>CONTRATO</v>
      </c>
      <c r="Z42" s="172"/>
      <c r="AA42" s="172"/>
      <c r="AC42" s="174"/>
    </row>
    <row r="43" spans="1:29" ht="22.5" hidden="1" customHeight="1">
      <c r="A43" s="171">
        <f t="shared" si="6"/>
        <v>2</v>
      </c>
      <c r="B43" s="233">
        <v>1302</v>
      </c>
      <c r="C43" s="228">
        <f t="shared" si="0"/>
        <v>305.44</v>
      </c>
      <c r="D43" s="217">
        <v>298.33</v>
      </c>
      <c r="E43" s="228">
        <v>61.68</v>
      </c>
      <c r="F43" s="228">
        <v>14.92</v>
      </c>
      <c r="G43" s="228">
        <v>0</v>
      </c>
      <c r="H43" s="218" t="s">
        <v>237</v>
      </c>
      <c r="I43" s="229" t="s">
        <v>186</v>
      </c>
      <c r="J43" s="219" t="s">
        <v>207</v>
      </c>
      <c r="K43" s="220" t="s">
        <v>238</v>
      </c>
      <c r="L43" s="220" t="s">
        <v>192</v>
      </c>
      <c r="M43" s="219">
        <v>7.11</v>
      </c>
      <c r="N43" s="230">
        <f>VLOOKUP($B43,Piloto!$B$79:$H$131,7,0)</f>
        <v>11825</v>
      </c>
      <c r="O43" s="234"/>
      <c r="P43" s="225">
        <f t="shared" si="1"/>
        <v>3611828</v>
      </c>
      <c r="Q43" s="230">
        <f t="shared" si="7"/>
        <v>108354.84</v>
      </c>
      <c r="R43" s="230">
        <f t="shared" si="8"/>
        <v>72236.56</v>
      </c>
      <c r="S43" s="230">
        <f t="shared" si="2"/>
        <v>14696.528131999999</v>
      </c>
      <c r="T43" s="230">
        <f t="shared" si="3"/>
        <v>72236.56</v>
      </c>
      <c r="U43" s="230">
        <f t="shared" si="4"/>
        <v>90295.700000000012</v>
      </c>
      <c r="V43" s="235">
        <f t="shared" si="9"/>
        <v>1468150.292752</v>
      </c>
      <c r="W43" s="236"/>
      <c r="X43" s="237">
        <f t="shared" si="5"/>
        <v>2143677.707248</v>
      </c>
      <c r="Y43" s="168" t="str">
        <f>VLOOKUP($B43,Piloto!$B$79:$H$131,4,0)</f>
        <v>CONTRATO</v>
      </c>
      <c r="Z43" s="172"/>
      <c r="AA43" s="172"/>
      <c r="AC43" s="174"/>
    </row>
    <row r="44" spans="1:29" ht="22.5" hidden="1" customHeight="1">
      <c r="A44" s="171">
        <f t="shared" si="6"/>
        <v>1</v>
      </c>
      <c r="B44" s="233">
        <v>1401</v>
      </c>
      <c r="C44" s="228">
        <f t="shared" si="0"/>
        <v>251.89000000000001</v>
      </c>
      <c r="D44" s="217">
        <v>248.74</v>
      </c>
      <c r="E44" s="228">
        <v>66.98</v>
      </c>
      <c r="F44" s="228">
        <v>15.780000000000001</v>
      </c>
      <c r="G44" s="228">
        <v>0</v>
      </c>
      <c r="H44" s="218" t="s">
        <v>239</v>
      </c>
      <c r="I44" s="229" t="s">
        <v>186</v>
      </c>
      <c r="J44" s="219" t="s">
        <v>240</v>
      </c>
      <c r="K44" s="220" t="s">
        <v>241</v>
      </c>
      <c r="L44" s="220" t="s">
        <v>219</v>
      </c>
      <c r="M44" s="219">
        <v>3.15</v>
      </c>
      <c r="N44" s="230">
        <f>VLOOKUP($B44,Piloto!$B$79:$H$131,7,0)</f>
        <v>11182.499999999998</v>
      </c>
      <c r="O44" s="234"/>
      <c r="P44" s="225">
        <f t="shared" si="1"/>
        <v>2816759.9249999998</v>
      </c>
      <c r="Q44" s="230">
        <f t="shared" si="7"/>
        <v>84502.797749999998</v>
      </c>
      <c r="R44" s="230">
        <f t="shared" si="8"/>
        <v>56335.198499999999</v>
      </c>
      <c r="S44" s="230">
        <f t="shared" si="2"/>
        <v>11461.396134824998</v>
      </c>
      <c r="T44" s="230">
        <f t="shared" si="3"/>
        <v>56335.198499999999</v>
      </c>
      <c r="U44" s="230">
        <f t="shared" si="4"/>
        <v>70418.998124999998</v>
      </c>
      <c r="V44" s="235">
        <f t="shared" si="9"/>
        <v>1144967.8413536998</v>
      </c>
      <c r="W44" s="236"/>
      <c r="X44" s="237">
        <f t="shared" si="5"/>
        <v>1671792.0836462998</v>
      </c>
      <c r="Y44" s="168" t="str">
        <f>VLOOKUP($B44,Piloto!$B$79:$H$131,4,0)</f>
        <v>CONTRATO</v>
      </c>
      <c r="Z44" s="172"/>
      <c r="AA44" s="172"/>
      <c r="AC44" s="174"/>
    </row>
    <row r="45" spans="1:29" ht="22.5" hidden="1" customHeight="1">
      <c r="A45" s="171">
        <f t="shared" si="6"/>
        <v>2</v>
      </c>
      <c r="B45" s="233">
        <v>1402</v>
      </c>
      <c r="C45" s="228">
        <f t="shared" si="0"/>
        <v>300.21000000000004</v>
      </c>
      <c r="D45" s="217">
        <v>294.99</v>
      </c>
      <c r="E45" s="228">
        <v>41.85</v>
      </c>
      <c r="F45" s="228">
        <v>5.91</v>
      </c>
      <c r="G45" s="228">
        <v>0</v>
      </c>
      <c r="H45" s="218" t="s">
        <v>242</v>
      </c>
      <c r="I45" s="229" t="s">
        <v>194</v>
      </c>
      <c r="J45" s="219" t="s">
        <v>228</v>
      </c>
      <c r="K45" s="220" t="s">
        <v>243</v>
      </c>
      <c r="L45" s="220" t="s">
        <v>219</v>
      </c>
      <c r="M45" s="219">
        <v>5.22</v>
      </c>
      <c r="N45" s="230">
        <f>VLOOKUP($B45,Piloto!$B$79:$H$131,7,0)</f>
        <v>12137.7325</v>
      </c>
      <c r="O45" s="234"/>
      <c r="P45" s="225">
        <f t="shared" si="1"/>
        <v>3643868.6738250004</v>
      </c>
      <c r="Q45" s="230">
        <f t="shared" si="7"/>
        <v>109316.06021475</v>
      </c>
      <c r="R45" s="230">
        <f t="shared" si="8"/>
        <v>72877.373476500012</v>
      </c>
      <c r="S45" s="230">
        <f t="shared" si="2"/>
        <v>14826.901633793925</v>
      </c>
      <c r="T45" s="230">
        <f t="shared" si="3"/>
        <v>72877.373476500012</v>
      </c>
      <c r="U45" s="230">
        <f t="shared" si="4"/>
        <v>91096.716845625022</v>
      </c>
      <c r="V45" s="235">
        <f t="shared" si="9"/>
        <v>1481174.3140110814</v>
      </c>
      <c r="W45" s="236"/>
      <c r="X45" s="237">
        <f t="shared" si="5"/>
        <v>2162694.3598139188</v>
      </c>
      <c r="Y45" s="168" t="str">
        <f>VLOOKUP($B45,Piloto!$B$79:$H$131,4,0)</f>
        <v>CONTRATO</v>
      </c>
      <c r="Z45" s="172"/>
      <c r="AA45" s="172"/>
      <c r="AC45" s="174"/>
    </row>
    <row r="46" spans="1:29" ht="22.5" hidden="1" customHeight="1">
      <c r="A46" s="171">
        <f t="shared" si="6"/>
        <v>1</v>
      </c>
      <c r="B46" s="233">
        <v>1501</v>
      </c>
      <c r="C46" s="228">
        <f t="shared" si="0"/>
        <v>253.52</v>
      </c>
      <c r="D46" s="217">
        <v>248.3</v>
      </c>
      <c r="E46" s="228">
        <v>42.9</v>
      </c>
      <c r="F46" s="228">
        <v>5.86</v>
      </c>
      <c r="G46" s="228">
        <v>0</v>
      </c>
      <c r="H46" s="218" t="s">
        <v>244</v>
      </c>
      <c r="I46" s="229" t="s">
        <v>186</v>
      </c>
      <c r="J46" s="219" t="s">
        <v>235</v>
      </c>
      <c r="K46" s="220" t="s">
        <v>245</v>
      </c>
      <c r="L46" s="220" t="s">
        <v>197</v>
      </c>
      <c r="M46" s="219">
        <v>5.22</v>
      </c>
      <c r="N46" s="230">
        <f>VLOOKUP($B46,Piloto!$B$79:$H$131,7,0)</f>
        <v>11610.004999999999</v>
      </c>
      <c r="O46" s="234"/>
      <c r="P46" s="225">
        <f t="shared" si="1"/>
        <v>2943368.4676000001</v>
      </c>
      <c r="Q46" s="230">
        <f t="shared" si="7"/>
        <v>88301.054027999999</v>
      </c>
      <c r="R46" s="230">
        <f t="shared" si="8"/>
        <v>58867.369352000002</v>
      </c>
      <c r="S46" s="230">
        <f t="shared" si="2"/>
        <v>11976.566294664399</v>
      </c>
      <c r="T46" s="230">
        <f t="shared" si="3"/>
        <v>58867.369352000002</v>
      </c>
      <c r="U46" s="230">
        <f t="shared" si="4"/>
        <v>73584.211690000011</v>
      </c>
      <c r="V46" s="235">
        <f t="shared" si="9"/>
        <v>1196432.1881839184</v>
      </c>
      <c r="W46" s="236"/>
      <c r="X46" s="237">
        <f t="shared" si="5"/>
        <v>1746936.2794160815</v>
      </c>
      <c r="Y46" s="168" t="str">
        <f>VLOOKUP($B46,Piloto!$B$79:$H$131,4,0)</f>
        <v>CONTRATO</v>
      </c>
      <c r="Z46" s="172"/>
      <c r="AA46" s="172"/>
      <c r="AC46" s="174"/>
    </row>
    <row r="47" spans="1:29" ht="22.5" hidden="1" customHeight="1">
      <c r="A47" s="171">
        <f t="shared" si="6"/>
        <v>2</v>
      </c>
      <c r="B47" s="233">
        <v>1502</v>
      </c>
      <c r="C47" s="228">
        <f t="shared" si="0"/>
        <v>304.70000000000005</v>
      </c>
      <c r="D47" s="217">
        <v>299.98</v>
      </c>
      <c r="E47" s="228">
        <v>40.97</v>
      </c>
      <c r="F47" s="228">
        <v>11.89</v>
      </c>
      <c r="G47" s="228">
        <v>0</v>
      </c>
      <c r="H47" s="218" t="s">
        <v>246</v>
      </c>
      <c r="I47" s="229" t="s">
        <v>206</v>
      </c>
      <c r="J47" s="219" t="s">
        <v>247</v>
      </c>
      <c r="K47" s="220" t="s">
        <v>248</v>
      </c>
      <c r="L47" s="220" t="s">
        <v>192</v>
      </c>
      <c r="M47" s="219">
        <v>4.72</v>
      </c>
      <c r="N47" s="230">
        <f>VLOOKUP($B47,Piloto!$B$79:$H$131,7,0)</f>
        <v>11834.900000000001</v>
      </c>
      <c r="O47" s="234"/>
      <c r="P47" s="225">
        <f t="shared" si="1"/>
        <v>3606094.0300000012</v>
      </c>
      <c r="Q47" s="230">
        <f t="shared" si="7"/>
        <v>108182.82090000004</v>
      </c>
      <c r="R47" s="230">
        <f t="shared" si="8"/>
        <v>72121.880600000019</v>
      </c>
      <c r="S47" s="230">
        <f t="shared" si="2"/>
        <v>14673.196608070004</v>
      </c>
      <c r="T47" s="230">
        <f t="shared" si="3"/>
        <v>72121.880600000019</v>
      </c>
      <c r="U47" s="230">
        <f t="shared" si="4"/>
        <v>90152.350750000041</v>
      </c>
      <c r="V47" s="235">
        <f t="shared" si="9"/>
        <v>1465819.5256905204</v>
      </c>
      <c r="W47" s="236"/>
      <c r="X47" s="237">
        <f t="shared" si="5"/>
        <v>2140274.5043094805</v>
      </c>
      <c r="Y47" s="168" t="str">
        <f>VLOOKUP($B47,Piloto!$B$79:$H$131,4,0)</f>
        <v>CONTRATO</v>
      </c>
      <c r="Z47" s="172"/>
      <c r="AA47" s="172"/>
      <c r="AC47" s="174"/>
    </row>
    <row r="48" spans="1:29" ht="22.5" customHeight="1">
      <c r="A48" s="171">
        <f t="shared" si="6"/>
        <v>1</v>
      </c>
      <c r="B48" s="233">
        <v>1601</v>
      </c>
      <c r="C48" s="228">
        <f t="shared" si="0"/>
        <v>254.92000000000002</v>
      </c>
      <c r="D48" s="217">
        <v>248.74</v>
      </c>
      <c r="E48" s="228">
        <v>89.81</v>
      </c>
      <c r="F48" s="228">
        <v>3.68</v>
      </c>
      <c r="G48" s="228">
        <v>0</v>
      </c>
      <c r="H48" s="218" t="s">
        <v>249</v>
      </c>
      <c r="I48" s="229" t="s">
        <v>181</v>
      </c>
      <c r="J48" s="219" t="s">
        <v>250</v>
      </c>
      <c r="K48" s="220" t="s">
        <v>251</v>
      </c>
      <c r="L48" s="220" t="s">
        <v>184</v>
      </c>
      <c r="M48" s="219">
        <v>6.18</v>
      </c>
      <c r="N48" s="230">
        <f>VLOOKUP($B48,Piloto!$B$79:$H$131,7,0)</f>
        <v>11349.449999999999</v>
      </c>
      <c r="O48" s="234"/>
      <c r="P48" s="225">
        <f t="shared" si="1"/>
        <v>2893201.7939999998</v>
      </c>
      <c r="Q48" s="230">
        <f t="shared" si="7"/>
        <v>86796.053819999986</v>
      </c>
      <c r="R48" s="230">
        <f t="shared" si="8"/>
        <v>57864.035879999996</v>
      </c>
      <c r="S48" s="230">
        <f t="shared" si="2"/>
        <v>11772.438099785999</v>
      </c>
      <c r="T48" s="230">
        <f t="shared" si="3"/>
        <v>57864.035879999996</v>
      </c>
      <c r="U48" s="230">
        <f t="shared" si="4"/>
        <v>72330.044849999991</v>
      </c>
      <c r="V48" s="235">
        <f t="shared" si="9"/>
        <v>1176040.2380322958</v>
      </c>
      <c r="W48" s="236"/>
      <c r="X48" s="237">
        <f t="shared" si="5"/>
        <v>1717161.5559677037</v>
      </c>
      <c r="Y48" s="168" t="str">
        <f>VLOOKUP($B48,Piloto!$B$79:$H$131,4,0)</f>
        <v xml:space="preserve">DISPONIVEL </v>
      </c>
      <c r="Z48" s="172"/>
      <c r="AA48" s="172"/>
      <c r="AC48" s="174"/>
    </row>
    <row r="49" spans="1:29" ht="22.5" hidden="1" customHeight="1">
      <c r="A49" s="171">
        <f t="shared" si="6"/>
        <v>2</v>
      </c>
      <c r="B49" s="233">
        <v>1602</v>
      </c>
      <c r="C49" s="228">
        <f t="shared" si="0"/>
        <v>308.10999999999996</v>
      </c>
      <c r="D49" s="217">
        <v>300.08999999999997</v>
      </c>
      <c r="E49" s="228">
        <v>63.49</v>
      </c>
      <c r="F49" s="228">
        <v>12.47</v>
      </c>
      <c r="G49" s="228">
        <v>0</v>
      </c>
      <c r="H49" s="218" t="s">
        <v>252</v>
      </c>
      <c r="I49" s="229" t="s">
        <v>181</v>
      </c>
      <c r="J49" s="219" t="s">
        <v>195</v>
      </c>
      <c r="K49" s="220" t="s">
        <v>253</v>
      </c>
      <c r="L49" s="220" t="s">
        <v>197</v>
      </c>
      <c r="M49" s="219">
        <v>8.02</v>
      </c>
      <c r="N49" s="230">
        <f>VLOOKUP($B49,Piloto!$B$79:$H$131,7,0)</f>
        <v>12137.7325</v>
      </c>
      <c r="O49" s="234"/>
      <c r="P49" s="225">
        <f t="shared" si="1"/>
        <v>3739756.7605749993</v>
      </c>
      <c r="Q49" s="230">
        <f t="shared" si="7"/>
        <v>112192.70281724997</v>
      </c>
      <c r="R49" s="230">
        <f t="shared" si="8"/>
        <v>74795.13521149999</v>
      </c>
      <c r="S49" s="230">
        <f t="shared" si="2"/>
        <v>15217.070258779671</v>
      </c>
      <c r="T49" s="230">
        <f t="shared" si="3"/>
        <v>74795.13521149999</v>
      </c>
      <c r="U49" s="230">
        <f t="shared" si="4"/>
        <v>93493.919014374987</v>
      </c>
      <c r="V49" s="235">
        <f t="shared" si="9"/>
        <v>1520151.2870655679</v>
      </c>
      <c r="W49" s="236"/>
      <c r="X49" s="237">
        <f t="shared" si="5"/>
        <v>2219605.4735094309</v>
      </c>
      <c r="Y49" s="168" t="str">
        <f>VLOOKUP($B49,Piloto!$B$79:$H$131,4,0)</f>
        <v>CONTRATO</v>
      </c>
      <c r="Z49" s="172"/>
      <c r="AA49" s="172"/>
      <c r="AC49" s="174"/>
    </row>
    <row r="50" spans="1:29" ht="22.5" hidden="1" customHeight="1">
      <c r="A50" s="171">
        <f t="shared" si="6"/>
        <v>1</v>
      </c>
      <c r="B50" s="233">
        <v>1701</v>
      </c>
      <c r="C50" s="228">
        <f t="shared" si="0"/>
        <v>253.13000000000002</v>
      </c>
      <c r="D50" s="217">
        <v>248.3</v>
      </c>
      <c r="E50" s="228">
        <v>89.77</v>
      </c>
      <c r="F50" s="228">
        <v>17.37</v>
      </c>
      <c r="G50" s="228">
        <v>0</v>
      </c>
      <c r="H50" s="218" t="s">
        <v>254</v>
      </c>
      <c r="I50" s="229" t="s">
        <v>186</v>
      </c>
      <c r="J50" s="219" t="s">
        <v>235</v>
      </c>
      <c r="K50" s="220" t="s">
        <v>255</v>
      </c>
      <c r="L50" s="220" t="s">
        <v>184</v>
      </c>
      <c r="M50" s="219">
        <v>4.83</v>
      </c>
      <c r="N50" s="230">
        <f>VLOOKUP($B50,Piloto!$B$79:$H$131,7,0)</f>
        <v>11610.005000000001</v>
      </c>
      <c r="O50" s="234"/>
      <c r="P50" s="225">
        <f t="shared" si="1"/>
        <v>2938840.5656500007</v>
      </c>
      <c r="Q50" s="230">
        <f t="shared" si="7"/>
        <v>88165.216969500019</v>
      </c>
      <c r="R50" s="230">
        <f t="shared" si="8"/>
        <v>58776.811313000013</v>
      </c>
      <c r="S50" s="230">
        <f t="shared" si="2"/>
        <v>11958.142261629851</v>
      </c>
      <c r="T50" s="230">
        <f t="shared" si="3"/>
        <v>58776.811313000013</v>
      </c>
      <c r="U50" s="230">
        <f t="shared" si="4"/>
        <v>73471.014141250023</v>
      </c>
      <c r="V50" s="235">
        <f t="shared" si="9"/>
        <v>1194591.668487675</v>
      </c>
      <c r="W50" s="236"/>
      <c r="X50" s="237">
        <f t="shared" si="5"/>
        <v>1744248.8971623257</v>
      </c>
      <c r="Y50" s="168" t="str">
        <f>VLOOKUP($B50,Piloto!$B$79:$H$131,4,0)</f>
        <v>CONTRATO</v>
      </c>
      <c r="Z50" s="172"/>
      <c r="AA50" s="172"/>
      <c r="AC50" s="174"/>
    </row>
    <row r="51" spans="1:29" ht="22.5" hidden="1" customHeight="1">
      <c r="A51" s="171">
        <f t="shared" si="6"/>
        <v>2</v>
      </c>
      <c r="B51" s="233">
        <v>1702</v>
      </c>
      <c r="C51" s="228">
        <f t="shared" si="0"/>
        <v>307.38</v>
      </c>
      <c r="D51" s="217">
        <v>302.31</v>
      </c>
      <c r="E51" s="228">
        <v>41.22</v>
      </c>
      <c r="F51" s="228">
        <v>12.51</v>
      </c>
      <c r="G51" s="228">
        <v>0</v>
      </c>
      <c r="H51" s="218" t="s">
        <v>256</v>
      </c>
      <c r="I51" s="229" t="s">
        <v>186</v>
      </c>
      <c r="J51" s="219" t="s">
        <v>257</v>
      </c>
      <c r="K51" s="220" t="s">
        <v>258</v>
      </c>
      <c r="L51" s="220" t="s">
        <v>192</v>
      </c>
      <c r="M51" s="219">
        <v>5.07</v>
      </c>
      <c r="N51" s="230">
        <f>VLOOKUP($B51,Piloto!$B$79:$H$131,7,0)</f>
        <v>11610.005000000001</v>
      </c>
      <c r="O51" s="234"/>
      <c r="P51" s="225">
        <f t="shared" si="1"/>
        <v>3568683.3369000005</v>
      </c>
      <c r="Q51" s="230">
        <f t="shared" si="7"/>
        <v>107060.50010700001</v>
      </c>
      <c r="R51" s="230">
        <f t="shared" si="8"/>
        <v>71373.666738000014</v>
      </c>
      <c r="S51" s="230">
        <f t="shared" si="2"/>
        <v>14520.9724978461</v>
      </c>
      <c r="T51" s="230">
        <f t="shared" si="3"/>
        <v>71373.666738000014</v>
      </c>
      <c r="U51" s="230">
        <f t="shared" si="4"/>
        <v>89217.083422500014</v>
      </c>
      <c r="V51" s="235">
        <f t="shared" si="9"/>
        <v>1450612.6775164597</v>
      </c>
      <c r="W51" s="236"/>
      <c r="X51" s="237">
        <f t="shared" si="5"/>
        <v>2118070.6593835405</v>
      </c>
      <c r="Y51" s="168" t="str">
        <f>VLOOKUP($B51,Piloto!$B$79:$H$131,4,0)</f>
        <v>CONTRATO</v>
      </c>
      <c r="Z51" s="172"/>
      <c r="AA51" s="172"/>
      <c r="AC51" s="174"/>
    </row>
    <row r="52" spans="1:29" ht="22.5" hidden="1" customHeight="1">
      <c r="A52" s="171">
        <f t="shared" si="6"/>
        <v>1</v>
      </c>
      <c r="B52" s="233">
        <v>1801</v>
      </c>
      <c r="C52" s="228">
        <f t="shared" si="0"/>
        <v>252.12</v>
      </c>
      <c r="D52" s="217">
        <v>248.74</v>
      </c>
      <c r="E52" s="228">
        <v>41.35</v>
      </c>
      <c r="F52" s="228">
        <v>5.86</v>
      </c>
      <c r="G52" s="228">
        <v>0</v>
      </c>
      <c r="H52" s="218" t="s">
        <v>259</v>
      </c>
      <c r="I52" s="229" t="s">
        <v>194</v>
      </c>
      <c r="J52" s="219" t="s">
        <v>240</v>
      </c>
      <c r="K52" s="220" t="s">
        <v>260</v>
      </c>
      <c r="L52" s="220" t="s">
        <v>261</v>
      </c>
      <c r="M52" s="219">
        <v>3.38</v>
      </c>
      <c r="N52" s="230">
        <f>VLOOKUP($B52,Piloto!$B$79:$H$131,7,0)</f>
        <v>11287.5</v>
      </c>
      <c r="O52" s="234"/>
      <c r="P52" s="225">
        <f t="shared" si="1"/>
        <v>2845804.5</v>
      </c>
      <c r="Q52" s="230">
        <f t="shared" si="7"/>
        <v>85374.134999999995</v>
      </c>
      <c r="R52" s="230">
        <f t="shared" si="8"/>
        <v>56916.090000000004</v>
      </c>
      <c r="S52" s="230">
        <f t="shared" si="2"/>
        <v>11579.5785105</v>
      </c>
      <c r="T52" s="230">
        <f t="shared" si="3"/>
        <v>56916.090000000004</v>
      </c>
      <c r="U52" s="230">
        <f t="shared" si="4"/>
        <v>71145.112500000003</v>
      </c>
      <c r="V52" s="235">
        <f t="shared" si="9"/>
        <v>1156773.9963779999</v>
      </c>
      <c r="W52" s="236"/>
      <c r="X52" s="237">
        <f t="shared" si="5"/>
        <v>1689030.5036219999</v>
      </c>
      <c r="Y52" s="168" t="str">
        <f>VLOOKUP($B52,Piloto!$B$79:$H$131,4,0)</f>
        <v>CONTRATO</v>
      </c>
      <c r="Z52" s="172"/>
      <c r="AA52" s="172"/>
      <c r="AC52" s="174"/>
    </row>
    <row r="53" spans="1:29" ht="22.5" hidden="1" customHeight="1">
      <c r="A53" s="171">
        <f t="shared" si="6"/>
        <v>2</v>
      </c>
      <c r="B53" s="233">
        <v>1802</v>
      </c>
      <c r="C53" s="228">
        <f t="shared" si="0"/>
        <v>307.21999999999997</v>
      </c>
      <c r="D53" s="217">
        <v>302.7</v>
      </c>
      <c r="E53" s="228">
        <v>41.22</v>
      </c>
      <c r="F53" s="228">
        <v>5.91</v>
      </c>
      <c r="G53" s="228">
        <v>0</v>
      </c>
      <c r="H53" s="218" t="s">
        <v>262</v>
      </c>
      <c r="I53" s="229" t="s">
        <v>186</v>
      </c>
      <c r="J53" s="219" t="s">
        <v>263</v>
      </c>
      <c r="K53" s="220" t="s">
        <v>264</v>
      </c>
      <c r="L53" s="220" t="s">
        <v>184</v>
      </c>
      <c r="M53" s="219">
        <v>4.5199999999999996</v>
      </c>
      <c r="N53" s="230">
        <f>VLOOKUP($B53,Piloto!$B$79:$H$131,7,0)</f>
        <v>12137.7325</v>
      </c>
      <c r="O53" s="234"/>
      <c r="P53" s="225">
        <f t="shared" si="1"/>
        <v>3728954.1786499997</v>
      </c>
      <c r="Q53" s="230">
        <f t="shared" si="7"/>
        <v>111868.62535949999</v>
      </c>
      <c r="R53" s="230">
        <f t="shared" si="8"/>
        <v>74579.083572999996</v>
      </c>
      <c r="S53" s="230">
        <f t="shared" si="2"/>
        <v>15173.114552926847</v>
      </c>
      <c r="T53" s="230">
        <f t="shared" si="3"/>
        <v>74579.083572999996</v>
      </c>
      <c r="U53" s="230">
        <f t="shared" si="4"/>
        <v>93223.854466249992</v>
      </c>
      <c r="V53" s="235">
        <f t="shared" si="9"/>
        <v>1515760.2103543663</v>
      </c>
      <c r="W53" s="236"/>
      <c r="X53" s="237">
        <f t="shared" si="5"/>
        <v>2213193.9682956329</v>
      </c>
      <c r="Y53" s="168" t="str">
        <f>VLOOKUP($B53,Piloto!$B$79:$H$131,4,0)</f>
        <v>CONTRATO</v>
      </c>
      <c r="Z53" s="172"/>
      <c r="AA53" s="172"/>
      <c r="AC53" s="174"/>
    </row>
    <row r="54" spans="1:29" ht="22.5" hidden="1" customHeight="1">
      <c r="A54" s="171">
        <f t="shared" si="6"/>
        <v>1</v>
      </c>
      <c r="B54" s="233">
        <v>1901</v>
      </c>
      <c r="C54" s="228">
        <f t="shared" si="0"/>
        <v>252.71</v>
      </c>
      <c r="D54" s="217">
        <v>248.3</v>
      </c>
      <c r="E54" s="228">
        <v>68.25</v>
      </c>
      <c r="F54" s="228">
        <v>14.09</v>
      </c>
      <c r="G54" s="228">
        <v>0</v>
      </c>
      <c r="H54" s="218" t="s">
        <v>265</v>
      </c>
      <c r="I54" s="229" t="s">
        <v>206</v>
      </c>
      <c r="J54" s="219" t="s">
        <v>240</v>
      </c>
      <c r="K54" s="220" t="s">
        <v>266</v>
      </c>
      <c r="L54" s="220" t="s">
        <v>261</v>
      </c>
      <c r="M54" s="219">
        <v>4.41</v>
      </c>
      <c r="N54" s="230">
        <f>VLOOKUP($B54,Piloto!$B$79:$H$131,7,0)</f>
        <v>11610.004999999999</v>
      </c>
      <c r="O54" s="234"/>
      <c r="P54" s="225">
        <f t="shared" si="1"/>
        <v>2933964.3635499999</v>
      </c>
      <c r="Q54" s="230">
        <f t="shared" si="7"/>
        <v>88018.930906499998</v>
      </c>
      <c r="R54" s="230">
        <f t="shared" si="8"/>
        <v>58679.287271000001</v>
      </c>
      <c r="S54" s="230">
        <f t="shared" si="2"/>
        <v>11938.300995284948</v>
      </c>
      <c r="T54" s="230">
        <f t="shared" si="3"/>
        <v>58679.287271000001</v>
      </c>
      <c r="U54" s="230">
        <f t="shared" si="4"/>
        <v>73349.109088750003</v>
      </c>
      <c r="V54" s="235">
        <f t="shared" si="9"/>
        <v>1192609.5703532582</v>
      </c>
      <c r="W54" s="236"/>
      <c r="X54" s="237">
        <f t="shared" si="5"/>
        <v>1741354.7931967415</v>
      </c>
      <c r="Y54" s="168" t="str">
        <f>VLOOKUP($B54,Piloto!$B$79:$H$131,4,0)</f>
        <v>CONTRATO</v>
      </c>
      <c r="Z54" s="172"/>
      <c r="AA54" s="172"/>
      <c r="AC54" s="174"/>
    </row>
    <row r="55" spans="1:29" ht="22.5" hidden="1" customHeight="1">
      <c r="A55" s="171">
        <f t="shared" si="6"/>
        <v>2</v>
      </c>
      <c r="B55" s="233">
        <v>1902</v>
      </c>
      <c r="C55" s="228">
        <f t="shared" si="0"/>
        <v>304.24</v>
      </c>
      <c r="D55" s="217">
        <v>298.33</v>
      </c>
      <c r="E55" s="228">
        <v>61.68</v>
      </c>
      <c r="F55" s="228">
        <v>14.92</v>
      </c>
      <c r="G55" s="228">
        <v>0</v>
      </c>
      <c r="H55" s="218" t="s">
        <v>267</v>
      </c>
      <c r="I55" s="229" t="s">
        <v>186</v>
      </c>
      <c r="J55" s="219" t="s">
        <v>263</v>
      </c>
      <c r="K55" s="220" t="s">
        <v>268</v>
      </c>
      <c r="L55" s="220" t="s">
        <v>184</v>
      </c>
      <c r="M55" s="219">
        <v>5.91</v>
      </c>
      <c r="N55" s="230">
        <f>VLOOKUP($B55,Piloto!$B$79:$H$131,7,0)</f>
        <v>11610.005000000001</v>
      </c>
      <c r="O55" s="234"/>
      <c r="P55" s="225">
        <f t="shared" si="1"/>
        <v>3532227.9212000002</v>
      </c>
      <c r="Q55" s="230">
        <f t="shared" si="7"/>
        <v>105966.837636</v>
      </c>
      <c r="R55" s="230">
        <f t="shared" si="8"/>
        <v>70644.558424000003</v>
      </c>
      <c r="S55" s="230">
        <f t="shared" si="2"/>
        <v>14372.6354113628</v>
      </c>
      <c r="T55" s="230">
        <f t="shared" si="3"/>
        <v>70644.558424000003</v>
      </c>
      <c r="U55" s="230">
        <f t="shared" si="4"/>
        <v>88305.698030000014</v>
      </c>
      <c r="V55" s="235">
        <f t="shared" si="9"/>
        <v>1435794.134321061</v>
      </c>
      <c r="W55" s="236"/>
      <c r="X55" s="237">
        <f t="shared" si="5"/>
        <v>2096433.786878939</v>
      </c>
      <c r="Y55" s="168" t="str">
        <f>VLOOKUP($B55,Piloto!$B$79:$H$131,4,0)</f>
        <v>CONTRATO</v>
      </c>
      <c r="Z55" s="172"/>
      <c r="AA55" s="172"/>
      <c r="AC55" s="174"/>
    </row>
    <row r="56" spans="1:29" ht="22.5" customHeight="1">
      <c r="A56" s="171">
        <f t="shared" si="6"/>
        <v>1</v>
      </c>
      <c r="B56" s="233">
        <v>2001</v>
      </c>
      <c r="C56" s="228">
        <f t="shared" si="0"/>
        <v>251.16</v>
      </c>
      <c r="D56" s="217">
        <v>248.74</v>
      </c>
      <c r="E56" s="228">
        <v>66.98</v>
      </c>
      <c r="F56" s="228">
        <v>15.780000000000001</v>
      </c>
      <c r="G56" s="228">
        <v>0</v>
      </c>
      <c r="H56" s="218" t="s">
        <v>269</v>
      </c>
      <c r="I56" s="229" t="s">
        <v>181</v>
      </c>
      <c r="J56" s="219" t="s">
        <v>235</v>
      </c>
      <c r="K56" s="220" t="s">
        <v>270</v>
      </c>
      <c r="L56" s="220" t="s">
        <v>184</v>
      </c>
      <c r="M56" s="219">
        <v>2.42</v>
      </c>
      <c r="N56" s="230">
        <f>VLOOKUP($B56,Piloto!$B$79:$H$131,7,0)</f>
        <v>11349.449999999999</v>
      </c>
      <c r="O56" s="234"/>
      <c r="P56" s="225">
        <f t="shared" si="1"/>
        <v>2850527.8619999997</v>
      </c>
      <c r="Q56" s="230">
        <f t="shared" si="7"/>
        <v>85515.835859999992</v>
      </c>
      <c r="R56" s="230">
        <f t="shared" si="8"/>
        <v>57010.557239999995</v>
      </c>
      <c r="S56" s="230">
        <f t="shared" si="2"/>
        <v>11598.797870477998</v>
      </c>
      <c r="T56" s="230">
        <f t="shared" si="3"/>
        <v>57010.557239999995</v>
      </c>
      <c r="U56" s="230">
        <f t="shared" si="4"/>
        <v>71263.196549999993</v>
      </c>
      <c r="V56" s="235">
        <f t="shared" si="9"/>
        <v>1158693.9674572079</v>
      </c>
      <c r="W56" s="236"/>
      <c r="X56" s="237">
        <f t="shared" si="5"/>
        <v>1691833.8945427916</v>
      </c>
      <c r="Y56" s="168" t="str">
        <f>VLOOKUP($B56,Piloto!$B$79:$H$131,4,0)</f>
        <v xml:space="preserve">DISPONIVEL </v>
      </c>
      <c r="Z56" s="172"/>
      <c r="AA56" s="172"/>
      <c r="AC56" s="174"/>
    </row>
    <row r="57" spans="1:29" ht="22.5" hidden="1" customHeight="1">
      <c r="A57" s="171">
        <f t="shared" si="6"/>
        <v>2</v>
      </c>
      <c r="B57" s="233">
        <v>2002</v>
      </c>
      <c r="C57" s="228">
        <f t="shared" si="0"/>
        <v>299.96000000000004</v>
      </c>
      <c r="D57" s="217">
        <v>294.99</v>
      </c>
      <c r="E57" s="228">
        <v>41.85</v>
      </c>
      <c r="F57" s="228">
        <v>5.91</v>
      </c>
      <c r="G57" s="228">
        <v>0</v>
      </c>
      <c r="H57" s="218" t="s">
        <v>271</v>
      </c>
      <c r="I57" s="229" t="s">
        <v>194</v>
      </c>
      <c r="J57" s="219" t="s">
        <v>272</v>
      </c>
      <c r="K57" s="220" t="s">
        <v>273</v>
      </c>
      <c r="L57" s="220" t="s">
        <v>219</v>
      </c>
      <c r="M57" s="219">
        <v>4.97</v>
      </c>
      <c r="N57" s="230">
        <f>VLOOKUP($B57,Piloto!$B$79:$H$131,7,0)</f>
        <v>12109.999</v>
      </c>
      <c r="O57" s="234"/>
      <c r="P57" s="225">
        <f t="shared" si="1"/>
        <v>3632515.3000400006</v>
      </c>
      <c r="Q57" s="230">
        <f t="shared" si="7"/>
        <v>108975.45900120001</v>
      </c>
      <c r="R57" s="230">
        <f t="shared" si="8"/>
        <v>72650.306000800018</v>
      </c>
      <c r="S57" s="230">
        <f t="shared" si="2"/>
        <v>14780.704755862762</v>
      </c>
      <c r="T57" s="230">
        <f t="shared" si="3"/>
        <v>72650.306000800018</v>
      </c>
      <c r="U57" s="230">
        <f t="shared" si="4"/>
        <v>90812.882501000015</v>
      </c>
      <c r="V57" s="235">
        <f t="shared" si="9"/>
        <v>1476559.3492214596</v>
      </c>
      <c r="W57" s="236"/>
      <c r="X57" s="237">
        <f t="shared" si="5"/>
        <v>2155955.9508185405</v>
      </c>
      <c r="Y57" s="168" t="str">
        <f>VLOOKUP($B57,Piloto!$B$79:$H$131,4,0)</f>
        <v>CONTRATO</v>
      </c>
      <c r="Z57" s="172"/>
      <c r="AA57" s="172"/>
      <c r="AC57" s="174"/>
    </row>
    <row r="58" spans="1:29" ht="22.5" hidden="1" customHeight="1">
      <c r="A58" s="171">
        <f t="shared" si="6"/>
        <v>1</v>
      </c>
      <c r="B58" s="233">
        <v>2101</v>
      </c>
      <c r="C58" s="228">
        <f t="shared" si="0"/>
        <v>253.24</v>
      </c>
      <c r="D58" s="217">
        <v>248.3</v>
      </c>
      <c r="E58" s="228">
        <v>42.9</v>
      </c>
      <c r="F58" s="228">
        <v>5.86</v>
      </c>
      <c r="G58" s="228">
        <v>0</v>
      </c>
      <c r="H58" s="218" t="s">
        <v>274</v>
      </c>
      <c r="I58" s="229" t="s">
        <v>186</v>
      </c>
      <c r="J58" s="219" t="s">
        <v>182</v>
      </c>
      <c r="K58" s="220" t="s">
        <v>275</v>
      </c>
      <c r="L58" s="220" t="s">
        <v>184</v>
      </c>
      <c r="M58" s="219">
        <v>4.9400000000000004</v>
      </c>
      <c r="N58" s="230">
        <f>VLOOKUP($B58,Piloto!$B$79:$H$131,7,0)</f>
        <v>11610.004999999999</v>
      </c>
      <c r="O58" s="234"/>
      <c r="P58" s="225">
        <f t="shared" si="1"/>
        <v>2940117.6661999999</v>
      </c>
      <c r="Q58" s="230">
        <f t="shared" si="7"/>
        <v>88203.529985999994</v>
      </c>
      <c r="R58" s="230">
        <f t="shared" si="8"/>
        <v>58802.353323999996</v>
      </c>
      <c r="S58" s="230">
        <f t="shared" si="2"/>
        <v>11963.338783767798</v>
      </c>
      <c r="T58" s="230">
        <f t="shared" si="3"/>
        <v>58802.353323999996</v>
      </c>
      <c r="U58" s="230">
        <f t="shared" si="4"/>
        <v>73502.941655000002</v>
      </c>
      <c r="V58" s="235">
        <f t="shared" si="9"/>
        <v>1195110.7894276406</v>
      </c>
      <c r="W58" s="236"/>
      <c r="X58" s="237">
        <f t="shared" si="5"/>
        <v>1745006.876772359</v>
      </c>
      <c r="Y58" s="168" t="str">
        <f>VLOOKUP($B58,Piloto!$B$79:$H$131,4,0)</f>
        <v>CONTRATO</v>
      </c>
      <c r="Z58" s="172"/>
      <c r="AA58" s="172"/>
    </row>
    <row r="59" spans="1:29" ht="22.5" hidden="1" customHeight="1">
      <c r="A59" s="171">
        <f t="shared" si="6"/>
        <v>2</v>
      </c>
      <c r="B59" s="233">
        <v>2102</v>
      </c>
      <c r="C59" s="228">
        <f t="shared" si="0"/>
        <v>306.12</v>
      </c>
      <c r="D59" s="217">
        <v>299.98</v>
      </c>
      <c r="E59" s="228">
        <v>40.97</v>
      </c>
      <c r="F59" s="228">
        <v>11.89</v>
      </c>
      <c r="G59" s="228">
        <v>0</v>
      </c>
      <c r="H59" s="218" t="s">
        <v>276</v>
      </c>
      <c r="I59" s="229" t="s">
        <v>206</v>
      </c>
      <c r="J59" s="219" t="s">
        <v>195</v>
      </c>
      <c r="K59" s="220" t="s">
        <v>277</v>
      </c>
      <c r="L59" s="220" t="s">
        <v>197</v>
      </c>
      <c r="M59" s="219">
        <v>6.14</v>
      </c>
      <c r="N59" s="230">
        <f>VLOOKUP($B59,Piloto!$B$79:$H$131,7,0)</f>
        <v>11610.004999999999</v>
      </c>
      <c r="O59" s="234"/>
      <c r="P59" s="225">
        <f t="shared" si="1"/>
        <v>3554054.7305999999</v>
      </c>
      <c r="Q59" s="230">
        <f t="shared" si="7"/>
        <v>106621.64191799999</v>
      </c>
      <c r="R59" s="230">
        <f t="shared" si="8"/>
        <v>71081.094612000001</v>
      </c>
      <c r="S59" s="230">
        <f t="shared" si="2"/>
        <v>14461.448698811399</v>
      </c>
      <c r="T59" s="230">
        <f t="shared" si="3"/>
        <v>71081.094612000001</v>
      </c>
      <c r="U59" s="230">
        <f t="shared" si="4"/>
        <v>88851.368264999997</v>
      </c>
      <c r="V59" s="235">
        <f t="shared" si="9"/>
        <v>1444666.3831132103</v>
      </c>
      <c r="W59" s="236"/>
      <c r="X59" s="237">
        <f t="shared" si="5"/>
        <v>2109388.3474867893</v>
      </c>
      <c r="Y59" s="168" t="str">
        <f>VLOOKUP($B59,Piloto!$B$79:$H$131,4,0)</f>
        <v>CONTRATO</v>
      </c>
      <c r="Z59" s="172"/>
      <c r="AA59" s="172"/>
    </row>
    <row r="60" spans="1:29" ht="22.5" hidden="1" customHeight="1">
      <c r="A60" s="171">
        <f t="shared" si="6"/>
        <v>1</v>
      </c>
      <c r="B60" s="233">
        <v>2201</v>
      </c>
      <c r="C60" s="228">
        <f t="shared" si="0"/>
        <v>253.41</v>
      </c>
      <c r="D60" s="217">
        <v>248.74</v>
      </c>
      <c r="E60" s="228">
        <v>89.81</v>
      </c>
      <c r="F60" s="228">
        <v>13.8</v>
      </c>
      <c r="G60" s="228">
        <v>0</v>
      </c>
      <c r="H60" s="218" t="s">
        <v>278</v>
      </c>
      <c r="I60" s="229" t="s">
        <v>186</v>
      </c>
      <c r="J60" s="219" t="s">
        <v>235</v>
      </c>
      <c r="K60" s="220" t="s">
        <v>279</v>
      </c>
      <c r="L60" s="220" t="s">
        <v>261</v>
      </c>
      <c r="M60" s="219">
        <v>4.67</v>
      </c>
      <c r="N60" s="230">
        <f>VLOOKUP($B60,Piloto!$B$79:$H$131,7,0)</f>
        <v>11296.95</v>
      </c>
      <c r="O60" s="234"/>
      <c r="P60" s="225">
        <f t="shared" si="1"/>
        <v>2862760.0995</v>
      </c>
      <c r="Q60" s="230">
        <f t="shared" si="7"/>
        <v>85882.802985000002</v>
      </c>
      <c r="R60" s="230">
        <f t="shared" si="8"/>
        <v>57255.201990000001</v>
      </c>
      <c r="S60" s="230">
        <f t="shared" si="2"/>
        <v>11648.570844865499</v>
      </c>
      <c r="T60" s="230">
        <f t="shared" si="3"/>
        <v>57255.201990000001</v>
      </c>
      <c r="U60" s="230">
        <f t="shared" si="4"/>
        <v>71569.002487500009</v>
      </c>
      <c r="V60" s="235">
        <f t="shared" si="9"/>
        <v>1163666.1762851579</v>
      </c>
      <c r="W60" s="236"/>
      <c r="X60" s="237">
        <f t="shared" si="5"/>
        <v>1699093.9232148419</v>
      </c>
      <c r="Y60" s="168" t="str">
        <f>VLOOKUP($B60,Piloto!$B$79:$H$131,4,0)</f>
        <v>CONTRATO</v>
      </c>
      <c r="Z60" s="172"/>
      <c r="AA60" s="172"/>
    </row>
    <row r="61" spans="1:29" ht="22.5" customHeight="1">
      <c r="A61" s="171">
        <f t="shared" si="6"/>
        <v>2</v>
      </c>
      <c r="B61" s="238">
        <v>2202</v>
      </c>
      <c r="C61" s="228">
        <f t="shared" si="0"/>
        <v>309</v>
      </c>
      <c r="D61" s="217">
        <v>300.08999999999997</v>
      </c>
      <c r="E61" s="228">
        <v>63.49</v>
      </c>
      <c r="F61" s="228">
        <v>12.47</v>
      </c>
      <c r="G61" s="228">
        <v>0</v>
      </c>
      <c r="H61" s="218" t="s">
        <v>280</v>
      </c>
      <c r="I61" s="229" t="s">
        <v>181</v>
      </c>
      <c r="J61" s="219" t="s">
        <v>195</v>
      </c>
      <c r="K61" s="220" t="s">
        <v>281</v>
      </c>
      <c r="L61" s="220" t="s">
        <v>197</v>
      </c>
      <c r="M61" s="219">
        <v>8.91</v>
      </c>
      <c r="N61" s="230">
        <f>VLOOKUP($B61,Piloto!$B$79:$H$131,7,0)</f>
        <v>12430.35</v>
      </c>
      <c r="O61" s="234"/>
      <c r="P61" s="225">
        <f t="shared" si="1"/>
        <v>3840978.15</v>
      </c>
      <c r="Q61" s="230">
        <f t="shared" si="7"/>
        <v>115229.34449999999</v>
      </c>
      <c r="R61" s="230">
        <f t="shared" si="8"/>
        <v>76819.562999999995</v>
      </c>
      <c r="S61" s="230">
        <f t="shared" si="2"/>
        <v>15628.940092349998</v>
      </c>
      <c r="T61" s="230">
        <f t="shared" si="3"/>
        <v>76819.562999999995</v>
      </c>
      <c r="U61" s="230">
        <f t="shared" si="4"/>
        <v>96024.453750000001</v>
      </c>
      <c r="V61" s="235">
        <f t="shared" si="9"/>
        <v>1561296.1623245999</v>
      </c>
      <c r="W61" s="239"/>
      <c r="X61" s="237">
        <f t="shared" si="5"/>
        <v>2279681.9876753995</v>
      </c>
      <c r="Y61" s="168" t="str">
        <f>VLOOKUP($B61,Piloto!$B$79:$H$131,4,0)</f>
        <v xml:space="preserve">DISPONIVEL </v>
      </c>
      <c r="Z61" s="172"/>
      <c r="AA61" s="172"/>
    </row>
    <row r="62" spans="1:29" ht="22.5" hidden="1" customHeight="1">
      <c r="A62" s="171">
        <f t="shared" si="6"/>
        <v>1</v>
      </c>
      <c r="B62" s="238">
        <v>2301</v>
      </c>
      <c r="C62" s="228">
        <f t="shared" si="0"/>
        <v>251.78</v>
      </c>
      <c r="D62" s="217">
        <v>248.3</v>
      </c>
      <c r="E62" s="228">
        <v>89.77</v>
      </c>
      <c r="F62" s="228">
        <v>3.68</v>
      </c>
      <c r="G62" s="228">
        <v>0</v>
      </c>
      <c r="H62" s="218" t="s">
        <v>282</v>
      </c>
      <c r="I62" s="229" t="s">
        <v>194</v>
      </c>
      <c r="J62" s="219" t="s">
        <v>235</v>
      </c>
      <c r="K62" s="220" t="s">
        <v>283</v>
      </c>
      <c r="L62" s="220" t="s">
        <v>261</v>
      </c>
      <c r="M62" s="219">
        <v>3.48</v>
      </c>
      <c r="N62" s="230">
        <f>VLOOKUP($B62,Piloto!$B$79:$H$131,7,0)</f>
        <v>11610.005000000001</v>
      </c>
      <c r="O62" s="234"/>
      <c r="P62" s="225">
        <f t="shared" si="1"/>
        <v>2923167.0589000001</v>
      </c>
      <c r="Q62" s="230">
        <f t="shared" si="7"/>
        <v>87695.011767000004</v>
      </c>
      <c r="R62" s="230">
        <f t="shared" si="8"/>
        <v>58463.341178000002</v>
      </c>
      <c r="S62" s="230">
        <f t="shared" si="2"/>
        <v>11894.3667626641</v>
      </c>
      <c r="T62" s="230">
        <f t="shared" si="3"/>
        <v>58463.341178000002</v>
      </c>
      <c r="U62" s="230">
        <f t="shared" si="4"/>
        <v>73079.17647250001</v>
      </c>
      <c r="V62" s="235">
        <f t="shared" si="9"/>
        <v>1188220.6387699076</v>
      </c>
      <c r="W62" s="239"/>
      <c r="X62" s="237">
        <f t="shared" si="5"/>
        <v>1734946.4201300922</v>
      </c>
      <c r="Y62" s="168" t="str">
        <f>VLOOKUP($B62,Piloto!$B$79:$H$131,4,0)</f>
        <v>CONTRATO</v>
      </c>
      <c r="Z62" s="172"/>
      <c r="AA62" s="172"/>
    </row>
    <row r="63" spans="1:29" ht="22.35" hidden="1" customHeight="1">
      <c r="A63" s="171">
        <f t="shared" si="6"/>
        <v>2</v>
      </c>
      <c r="B63" s="238">
        <v>2302</v>
      </c>
      <c r="C63" s="228">
        <f t="shared" si="0"/>
        <v>310.55</v>
      </c>
      <c r="D63" s="217">
        <v>302.31</v>
      </c>
      <c r="E63" s="228">
        <v>41.22</v>
      </c>
      <c r="F63" s="228">
        <v>12.51</v>
      </c>
      <c r="G63" s="228">
        <v>0</v>
      </c>
      <c r="H63" s="218" t="s">
        <v>284</v>
      </c>
      <c r="I63" s="229" t="s">
        <v>186</v>
      </c>
      <c r="J63" s="219" t="s">
        <v>285</v>
      </c>
      <c r="K63" s="220" t="s">
        <v>286</v>
      </c>
      <c r="L63" s="220" t="s">
        <v>197</v>
      </c>
      <c r="M63" s="219">
        <v>8.24</v>
      </c>
      <c r="N63" s="230">
        <f>VLOOKUP($B63,Piloto!$B$79:$H$131,7,0)</f>
        <v>11825</v>
      </c>
      <c r="O63" s="234"/>
      <c r="P63" s="225">
        <f t="shared" si="1"/>
        <v>3672253.75</v>
      </c>
      <c r="Q63" s="230">
        <f t="shared" si="7"/>
        <v>110167.6125</v>
      </c>
      <c r="R63" s="230">
        <f t="shared" si="8"/>
        <v>73445.074999999997</v>
      </c>
      <c r="S63" s="230">
        <f t="shared" si="2"/>
        <v>14942.400508749999</v>
      </c>
      <c r="T63" s="230">
        <f t="shared" si="3"/>
        <v>73445.074999999997</v>
      </c>
      <c r="U63" s="230">
        <f t="shared" si="4"/>
        <v>91806.34375</v>
      </c>
      <c r="V63" s="235">
        <f t="shared" si="9"/>
        <v>1492712.393315</v>
      </c>
      <c r="W63" s="239"/>
      <c r="X63" s="237">
        <f t="shared" si="5"/>
        <v>2179541.3566849995</v>
      </c>
      <c r="Y63" s="168" t="str">
        <f>VLOOKUP($B63,Piloto!$B$79:$H$131,4,0)</f>
        <v>CONTRATO</v>
      </c>
      <c r="Z63" s="172"/>
      <c r="AA63" s="172"/>
    </row>
    <row r="64" spans="1:29" ht="22.5" customHeight="1">
      <c r="A64" s="171">
        <f t="shared" si="6"/>
        <v>0</v>
      </c>
      <c r="B64" s="238">
        <v>2400</v>
      </c>
      <c r="C64" s="228">
        <f t="shared" si="0"/>
        <v>494.53</v>
      </c>
      <c r="D64" s="217">
        <v>485.53</v>
      </c>
      <c r="E64" s="228">
        <v>41.35</v>
      </c>
      <c r="F64" s="228">
        <v>5.86</v>
      </c>
      <c r="G64" s="228">
        <v>0</v>
      </c>
      <c r="H64" s="218" t="s">
        <v>287</v>
      </c>
      <c r="I64" s="229" t="s">
        <v>186</v>
      </c>
      <c r="J64" s="219" t="s">
        <v>288</v>
      </c>
      <c r="K64" s="220" t="s">
        <v>289</v>
      </c>
      <c r="L64" s="220" t="s">
        <v>261</v>
      </c>
      <c r="M64" s="219">
        <v>9</v>
      </c>
      <c r="N64" s="230">
        <f>VLOOKUP($B64,Piloto!$B$79:$H$131,7,0)</f>
        <v>12925</v>
      </c>
      <c r="O64" s="234"/>
      <c r="P64" s="225">
        <f t="shared" si="1"/>
        <v>6391800.25</v>
      </c>
      <c r="Q64" s="230">
        <f t="shared" si="7"/>
        <v>191754.00750000001</v>
      </c>
      <c r="R64" s="230">
        <f t="shared" si="8"/>
        <v>127836.005</v>
      </c>
      <c r="S64" s="230">
        <f t="shared" si="2"/>
        <v>26008.23521725</v>
      </c>
      <c r="T64" s="230">
        <f t="shared" si="3"/>
        <v>127836.005</v>
      </c>
      <c r="U64" s="230">
        <f t="shared" si="4"/>
        <v>159795.00625000001</v>
      </c>
      <c r="V64" s="235">
        <f t="shared" si="9"/>
        <v>2598164.5328210001</v>
      </c>
      <c r="W64" s="239"/>
      <c r="X64" s="237">
        <f t="shared" si="5"/>
        <v>3793635.7171789994</v>
      </c>
      <c r="Y64" s="168" t="str">
        <f>VLOOKUP($B64,Piloto!$B$79:$H$131,4,0)</f>
        <v xml:space="preserve">DISPONIVEL </v>
      </c>
      <c r="Z64" s="172"/>
      <c r="AA64" s="172"/>
    </row>
    <row r="65" spans="1:27" ht="22.5" hidden="1" customHeight="1">
      <c r="A65" s="171">
        <f t="shared" si="6"/>
        <v>0</v>
      </c>
      <c r="B65" s="238">
        <v>2500</v>
      </c>
      <c r="C65" s="228">
        <f t="shared" si="0"/>
        <v>414.57</v>
      </c>
      <c r="D65" s="217">
        <v>409.11</v>
      </c>
      <c r="E65" s="228">
        <v>41.22</v>
      </c>
      <c r="F65" s="228">
        <v>5.91</v>
      </c>
      <c r="G65" s="228">
        <v>0</v>
      </c>
      <c r="H65" s="218" t="s">
        <v>290</v>
      </c>
      <c r="I65" s="229" t="s">
        <v>186</v>
      </c>
      <c r="J65" s="219" t="s">
        <v>263</v>
      </c>
      <c r="K65" s="220" t="s">
        <v>291</v>
      </c>
      <c r="L65" s="220" t="s">
        <v>219</v>
      </c>
      <c r="M65" s="219">
        <v>5.46</v>
      </c>
      <c r="N65" s="230">
        <f>VLOOKUP($B65,Piloto!$B$79:$H$131,7,0)</f>
        <v>13224.000000000002</v>
      </c>
      <c r="O65" s="234"/>
      <c r="P65" s="225">
        <f t="shared" si="1"/>
        <v>5482273.6800000006</v>
      </c>
      <c r="Q65" s="230">
        <f t="shared" si="7"/>
        <v>164468.21040000001</v>
      </c>
      <c r="R65" s="230">
        <f t="shared" si="8"/>
        <v>109645.47360000001</v>
      </c>
      <c r="S65" s="230">
        <f t="shared" si="2"/>
        <v>22307.371603920001</v>
      </c>
      <c r="T65" s="230">
        <f t="shared" si="3"/>
        <v>109645.47360000001</v>
      </c>
      <c r="U65" s="230">
        <f t="shared" si="4"/>
        <v>137056.84200000003</v>
      </c>
      <c r="V65" s="235">
        <f t="shared" si="9"/>
        <v>2228456.5345411203</v>
      </c>
      <c r="W65" s="239"/>
      <c r="X65" s="237">
        <f t="shared" si="5"/>
        <v>3253817.1454588799</v>
      </c>
      <c r="Y65" s="168" t="str">
        <f>VLOOKUP($B65,Piloto!$B$79:$H$131,4,0)</f>
        <v>CONTRATO</v>
      </c>
      <c r="Z65" s="172"/>
      <c r="AA65" s="172"/>
    </row>
    <row r="66" spans="1:27" ht="22.5" hidden="1" customHeight="1">
      <c r="A66" s="171">
        <f t="shared" si="6"/>
        <v>0</v>
      </c>
      <c r="B66" s="238">
        <v>2600</v>
      </c>
      <c r="C66" s="228">
        <f t="shared" si="0"/>
        <v>413.04</v>
      </c>
      <c r="D66" s="217">
        <v>409.11</v>
      </c>
      <c r="E66" s="228">
        <v>68.25</v>
      </c>
      <c r="F66" s="228">
        <v>14.09</v>
      </c>
      <c r="G66" s="228">
        <v>0</v>
      </c>
      <c r="H66" s="218" t="s">
        <v>292</v>
      </c>
      <c r="I66" s="229" t="s">
        <v>194</v>
      </c>
      <c r="J66" s="219" t="s">
        <v>293</v>
      </c>
      <c r="K66" s="220" t="s">
        <v>294</v>
      </c>
      <c r="L66" s="220" t="s">
        <v>219</v>
      </c>
      <c r="M66" s="219">
        <v>3.93</v>
      </c>
      <c r="N66" s="230">
        <f>VLOOKUP($B66,Piloto!$B$79:$H$131,7,0)</f>
        <v>13119.995999999999</v>
      </c>
      <c r="O66" s="234"/>
      <c r="P66" s="225">
        <f t="shared" si="1"/>
        <v>5419083.1478399998</v>
      </c>
      <c r="Q66" s="230">
        <f t="shared" si="7"/>
        <v>162572.49443519997</v>
      </c>
      <c r="R66" s="230">
        <f t="shared" si="8"/>
        <v>108381.66295679999</v>
      </c>
      <c r="S66" s="230">
        <f t="shared" si="2"/>
        <v>22050.249328560956</v>
      </c>
      <c r="T66" s="230">
        <f t="shared" si="3"/>
        <v>108381.66295679999</v>
      </c>
      <c r="U66" s="230">
        <f t="shared" si="4"/>
        <v>135477.07869600001</v>
      </c>
      <c r="V66" s="235">
        <f t="shared" si="9"/>
        <v>2202770.5942665944</v>
      </c>
      <c r="W66" s="239"/>
      <c r="X66" s="237">
        <f t="shared" si="5"/>
        <v>3216312.5535734049</v>
      </c>
      <c r="Y66" s="168" t="str">
        <f>VLOOKUP($B66,Piloto!$B$79:$H$131,4,0)</f>
        <v>CONTRATO</v>
      </c>
      <c r="Z66" s="172"/>
      <c r="AA66" s="172"/>
    </row>
    <row r="67" spans="1:27" ht="22.5" hidden="1" customHeight="1">
      <c r="A67" s="171">
        <f t="shared" si="6"/>
        <v>0</v>
      </c>
      <c r="B67" s="238">
        <v>2700</v>
      </c>
      <c r="C67" s="228">
        <f t="shared" si="0"/>
        <v>418.22</v>
      </c>
      <c r="D67" s="217">
        <v>409.11</v>
      </c>
      <c r="E67" s="228">
        <v>61.68</v>
      </c>
      <c r="F67" s="228">
        <v>14.92</v>
      </c>
      <c r="G67" s="228">
        <v>0</v>
      </c>
      <c r="H67" s="218" t="s">
        <v>295</v>
      </c>
      <c r="I67" s="229" t="s">
        <v>194</v>
      </c>
      <c r="J67" s="219" t="s">
        <v>296</v>
      </c>
      <c r="K67" s="220" t="s">
        <v>297</v>
      </c>
      <c r="L67" s="220" t="s">
        <v>219</v>
      </c>
      <c r="M67" s="219">
        <v>9.11</v>
      </c>
      <c r="N67" s="230">
        <f>VLOOKUP($B67,Piloto!$B$79:$H$131,7,0)</f>
        <v>13239.995999999997</v>
      </c>
      <c r="O67" s="234"/>
      <c r="P67" s="225">
        <f t="shared" si="1"/>
        <v>5537231.1271199994</v>
      </c>
      <c r="Q67" s="230">
        <f t="shared" si="7"/>
        <v>166116.93381359999</v>
      </c>
      <c r="R67" s="230">
        <f t="shared" si="8"/>
        <v>110744.62254239999</v>
      </c>
      <c r="S67" s="230">
        <f t="shared" si="2"/>
        <v>22530.993456251275</v>
      </c>
      <c r="T67" s="230">
        <f t="shared" si="3"/>
        <v>110744.62254239999</v>
      </c>
      <c r="U67" s="230">
        <f t="shared" si="4"/>
        <v>138430.77817799998</v>
      </c>
      <c r="V67" s="235">
        <f t="shared" si="9"/>
        <v>2250795.8574762461</v>
      </c>
      <c r="W67" s="239"/>
      <c r="X67" s="237">
        <f t="shared" si="5"/>
        <v>3286435.2696437533</v>
      </c>
      <c r="Y67" s="168" t="str">
        <f>VLOOKUP($B67,Piloto!$B$79:$H$131,4,0)</f>
        <v>CONTRATO</v>
      </c>
      <c r="Z67" s="172"/>
      <c r="AA67" s="172"/>
    </row>
    <row r="68" spans="1:27" ht="22.5" customHeight="1">
      <c r="A68" s="171">
        <f t="shared" si="6"/>
        <v>0</v>
      </c>
      <c r="B68" s="238">
        <v>2800</v>
      </c>
      <c r="C68" s="228">
        <f t="shared" si="0"/>
        <v>414.03000000000003</v>
      </c>
      <c r="D68" s="217">
        <v>409.11</v>
      </c>
      <c r="E68" s="228">
        <v>66.98</v>
      </c>
      <c r="F68" s="228">
        <v>15.780000000000001</v>
      </c>
      <c r="G68" s="228">
        <v>0</v>
      </c>
      <c r="H68" s="218" t="s">
        <v>298</v>
      </c>
      <c r="I68" s="229" t="s">
        <v>206</v>
      </c>
      <c r="J68" s="219" t="s">
        <v>296</v>
      </c>
      <c r="K68" s="220" t="s">
        <v>299</v>
      </c>
      <c r="L68" s="220" t="s">
        <v>219</v>
      </c>
      <c r="M68" s="219">
        <v>4.92</v>
      </c>
      <c r="N68" s="230">
        <f>VLOOKUP($B68,Piloto!$B$79:$H$131,7,0)</f>
        <v>13404</v>
      </c>
      <c r="O68" s="234"/>
      <c r="P68" s="225">
        <f t="shared" si="1"/>
        <v>5549658.1200000001</v>
      </c>
      <c r="Q68" s="230">
        <f t="shared" si="7"/>
        <v>166489.74359999999</v>
      </c>
      <c r="R68" s="230">
        <f t="shared" si="8"/>
        <v>110993.1624</v>
      </c>
      <c r="S68" s="230">
        <f t="shared" si="2"/>
        <v>22581.558890279997</v>
      </c>
      <c r="T68" s="230">
        <f t="shared" si="3"/>
        <v>110993.1624</v>
      </c>
      <c r="U68" s="230">
        <f t="shared" si="4"/>
        <v>138741.45300000001</v>
      </c>
      <c r="V68" s="235">
        <f t="shared" si="9"/>
        <v>2255847.2312500798</v>
      </c>
      <c r="W68" s="239"/>
      <c r="X68" s="237">
        <f t="shared" si="5"/>
        <v>3293810.8887499198</v>
      </c>
      <c r="Y68" s="168" t="str">
        <f>VLOOKUP($B68,Piloto!$B$79:$H$131,4,0)</f>
        <v xml:space="preserve">DISPONIVEL </v>
      </c>
      <c r="Z68" s="172"/>
      <c r="AA68" s="172"/>
    </row>
    <row r="69" spans="1:27" ht="22.5" customHeight="1">
      <c r="A69" s="171">
        <f t="shared" si="6"/>
        <v>0</v>
      </c>
      <c r="B69" s="238">
        <v>2900</v>
      </c>
      <c r="C69" s="228">
        <f t="shared" si="0"/>
        <v>413.29</v>
      </c>
      <c r="D69" s="217">
        <v>409.11</v>
      </c>
      <c r="E69" s="228">
        <v>41.85</v>
      </c>
      <c r="F69" s="228">
        <v>5.91</v>
      </c>
      <c r="G69" s="228">
        <v>0</v>
      </c>
      <c r="H69" s="218" t="s">
        <v>300</v>
      </c>
      <c r="I69" s="229" t="s">
        <v>186</v>
      </c>
      <c r="J69" s="219" t="s">
        <v>293</v>
      </c>
      <c r="K69" s="220" t="s">
        <v>301</v>
      </c>
      <c r="L69" s="220" t="s">
        <v>219</v>
      </c>
      <c r="M69" s="219">
        <v>4.18</v>
      </c>
      <c r="N69" s="230">
        <f>VLOOKUP($B69,Piloto!$B$79:$H$131,7,0)</f>
        <v>13299.995999999999</v>
      </c>
      <c r="O69" s="234"/>
      <c r="P69" s="225">
        <f t="shared" si="1"/>
        <v>5496755.3468399998</v>
      </c>
      <c r="Q69" s="230">
        <f t="shared" si="7"/>
        <v>164902.66040519997</v>
      </c>
      <c r="R69" s="230">
        <f t="shared" si="8"/>
        <v>109935.1069368</v>
      </c>
      <c r="S69" s="230">
        <f t="shared" si="2"/>
        <v>22366.297506291958</v>
      </c>
      <c r="T69" s="230">
        <f t="shared" si="3"/>
        <v>109935.1069368</v>
      </c>
      <c r="U69" s="230">
        <f t="shared" si="4"/>
        <v>137418.88367099999</v>
      </c>
      <c r="V69" s="235">
        <f t="shared" si="9"/>
        <v>2234343.1004049107</v>
      </c>
      <c r="W69" s="239"/>
      <c r="X69" s="237">
        <f t="shared" si="5"/>
        <v>3262412.246435089</v>
      </c>
      <c r="Y69" s="168" t="str">
        <f>VLOOKUP($B69,Piloto!$B$79:$H$131,4,0)</f>
        <v xml:space="preserve">DISPONIVEL </v>
      </c>
      <c r="Z69" s="172"/>
      <c r="AA69" s="172"/>
    </row>
    <row r="70" spans="1:27" ht="22.5" customHeight="1">
      <c r="A70" s="171">
        <f t="shared" si="6"/>
        <v>0</v>
      </c>
      <c r="B70" s="238">
        <v>3000</v>
      </c>
      <c r="C70" s="228">
        <f t="shared" si="0"/>
        <v>416.24</v>
      </c>
      <c r="D70" s="217">
        <v>409.11</v>
      </c>
      <c r="E70" s="228">
        <v>42.9</v>
      </c>
      <c r="F70" s="228">
        <v>5.86</v>
      </c>
      <c r="G70" s="228">
        <v>0</v>
      </c>
      <c r="H70" s="218" t="s">
        <v>302</v>
      </c>
      <c r="I70" s="229" t="s">
        <v>181</v>
      </c>
      <c r="J70" s="219" t="s">
        <v>303</v>
      </c>
      <c r="K70" s="220" t="s">
        <v>304</v>
      </c>
      <c r="L70" s="220" t="s">
        <v>261</v>
      </c>
      <c r="M70" s="219">
        <v>7.13</v>
      </c>
      <c r="N70" s="230">
        <f>VLOOKUP($B70,Piloto!$B$79:$H$131,7,0)</f>
        <v>13404</v>
      </c>
      <c r="O70" s="234"/>
      <c r="P70" s="225">
        <f t="shared" si="1"/>
        <v>5579280.96</v>
      </c>
      <c r="Q70" s="230">
        <f t="shared" si="7"/>
        <v>167378.42879999999</v>
      </c>
      <c r="R70" s="230">
        <f t="shared" si="8"/>
        <v>111585.6192</v>
      </c>
      <c r="S70" s="230">
        <f t="shared" si="2"/>
        <v>22702.094226239999</v>
      </c>
      <c r="T70" s="230">
        <f t="shared" si="3"/>
        <v>111585.6192</v>
      </c>
      <c r="U70" s="230">
        <f t="shared" si="4"/>
        <v>139482.024</v>
      </c>
      <c r="V70" s="235">
        <f t="shared" si="9"/>
        <v>2267888.44174464</v>
      </c>
      <c r="W70" s="239"/>
      <c r="X70" s="237">
        <f t="shared" si="5"/>
        <v>3311392.5182553595</v>
      </c>
      <c r="Y70" s="168" t="str">
        <f>VLOOKUP($B70,Piloto!$B$79:$H$131,4,0)</f>
        <v xml:space="preserve">DISPONIVEL </v>
      </c>
      <c r="Z70" s="172"/>
      <c r="AA70" s="172"/>
    </row>
    <row r="71" spans="1:27" ht="22.5" hidden="1" customHeight="1">
      <c r="A71" s="171">
        <f t="shared" si="6"/>
        <v>0</v>
      </c>
      <c r="B71" s="238">
        <v>3100</v>
      </c>
      <c r="C71" s="228">
        <f t="shared" si="0"/>
        <v>413.90000000000003</v>
      </c>
      <c r="D71" s="217">
        <v>409.11</v>
      </c>
      <c r="E71" s="228">
        <v>40.97</v>
      </c>
      <c r="F71" s="228">
        <v>11.89</v>
      </c>
      <c r="G71" s="228">
        <v>0</v>
      </c>
      <c r="H71" s="218" t="s">
        <v>305</v>
      </c>
      <c r="I71" s="229" t="s">
        <v>194</v>
      </c>
      <c r="J71" s="219" t="s">
        <v>306</v>
      </c>
      <c r="K71" s="220" t="s">
        <v>307</v>
      </c>
      <c r="L71" s="220" t="s">
        <v>219</v>
      </c>
      <c r="M71" s="219">
        <v>4.79</v>
      </c>
      <c r="N71" s="230">
        <f>VLOOKUP($B71,Piloto!$B$79:$H$131,7,0)</f>
        <v>13119.995999999999</v>
      </c>
      <c r="O71" s="234"/>
      <c r="P71" s="225">
        <f t="shared" si="1"/>
        <v>5430366.3443999998</v>
      </c>
      <c r="Q71" s="230">
        <f t="shared" si="7"/>
        <v>162910.99033199999</v>
      </c>
      <c r="R71" s="230">
        <f t="shared" si="8"/>
        <v>108607.326888</v>
      </c>
      <c r="S71" s="230">
        <f t="shared" si="2"/>
        <v>22096.160655363597</v>
      </c>
      <c r="T71" s="230">
        <f t="shared" si="3"/>
        <v>108607.326888</v>
      </c>
      <c r="U71" s="230">
        <f t="shared" si="4"/>
        <v>135759.15861000001</v>
      </c>
      <c r="V71" s="235">
        <f t="shared" si="9"/>
        <v>2207357.0331370896</v>
      </c>
      <c r="W71" s="239"/>
      <c r="X71" s="237">
        <f t="shared" si="5"/>
        <v>3223009.3112629098</v>
      </c>
      <c r="Y71" s="168" t="str">
        <f>VLOOKUP($B71,Piloto!$B$79:$H$131,4,0)</f>
        <v>CONTRATO</v>
      </c>
      <c r="Z71" s="172"/>
      <c r="AA71" s="172"/>
    </row>
    <row r="72" spans="1:27" ht="22.5" customHeight="1">
      <c r="A72" s="171">
        <f t="shared" si="6"/>
        <v>0</v>
      </c>
      <c r="B72" s="238">
        <v>3200</v>
      </c>
      <c r="C72" s="228">
        <f t="shared" si="0"/>
        <v>415.01</v>
      </c>
      <c r="D72" s="217">
        <v>409.11</v>
      </c>
      <c r="E72" s="228">
        <v>89.81</v>
      </c>
      <c r="F72" s="228">
        <v>3.68</v>
      </c>
      <c r="G72" s="228">
        <v>0</v>
      </c>
      <c r="H72" s="218" t="s">
        <v>308</v>
      </c>
      <c r="I72" s="229" t="s">
        <v>186</v>
      </c>
      <c r="J72" s="219" t="s">
        <v>309</v>
      </c>
      <c r="K72" s="220" t="s">
        <v>310</v>
      </c>
      <c r="L72" s="220" t="s">
        <v>219</v>
      </c>
      <c r="M72" s="219">
        <v>5.9</v>
      </c>
      <c r="N72" s="230">
        <f>VLOOKUP($B72,Piloto!$B$79:$H$131,7,0)</f>
        <v>13404</v>
      </c>
      <c r="O72" s="234"/>
      <c r="P72" s="225">
        <f t="shared" si="1"/>
        <v>5562794.04</v>
      </c>
      <c r="Q72" s="230">
        <f t="shared" si="7"/>
        <v>166883.82120000001</v>
      </c>
      <c r="R72" s="230">
        <f t="shared" si="8"/>
        <v>111255.8808</v>
      </c>
      <c r="S72" s="230">
        <f t="shared" si="2"/>
        <v>22635.008948759998</v>
      </c>
      <c r="T72" s="230">
        <f t="shared" si="3"/>
        <v>111255.8808</v>
      </c>
      <c r="U72" s="230">
        <f t="shared" si="4"/>
        <v>139069.851</v>
      </c>
      <c r="V72" s="235">
        <f t="shared" si="9"/>
        <v>2261186.7725553596</v>
      </c>
      <c r="W72" s="239"/>
      <c r="X72" s="237">
        <f t="shared" si="5"/>
        <v>3301607.2674446395</v>
      </c>
      <c r="Y72" s="168" t="str">
        <f>VLOOKUP($B72,Piloto!$B$79:$H$131,4,0)</f>
        <v xml:space="preserve">DISPONIVEL </v>
      </c>
      <c r="Z72" s="172"/>
      <c r="AA72" s="172"/>
    </row>
    <row r="73" spans="1:27" ht="22.5" customHeight="1">
      <c r="A73" s="171">
        <f t="shared" si="6"/>
        <v>0</v>
      </c>
      <c r="B73" s="238">
        <v>3300</v>
      </c>
      <c r="C73" s="228">
        <f t="shared" si="0"/>
        <v>413.04</v>
      </c>
      <c r="D73" s="217">
        <v>409.11</v>
      </c>
      <c r="E73" s="228">
        <v>63.49</v>
      </c>
      <c r="F73" s="228">
        <v>12.47</v>
      </c>
      <c r="G73" s="228">
        <v>0</v>
      </c>
      <c r="H73" s="218" t="s">
        <v>311</v>
      </c>
      <c r="I73" s="229" t="s">
        <v>186</v>
      </c>
      <c r="J73" s="219" t="s">
        <v>309</v>
      </c>
      <c r="K73" s="220" t="s">
        <v>312</v>
      </c>
      <c r="L73" s="220" t="s">
        <v>219</v>
      </c>
      <c r="M73" s="219">
        <v>3.93</v>
      </c>
      <c r="N73" s="230">
        <f>VLOOKUP($B73,Piloto!$B$79:$H$131,7,0)</f>
        <v>15050</v>
      </c>
      <c r="O73" s="234"/>
      <c r="P73" s="225">
        <f t="shared" si="1"/>
        <v>6216252</v>
      </c>
      <c r="Q73" s="230">
        <f t="shared" si="7"/>
        <v>186487.56</v>
      </c>
      <c r="R73" s="230">
        <f t="shared" si="8"/>
        <v>124325.04000000001</v>
      </c>
      <c r="S73" s="230">
        <f t="shared" si="2"/>
        <v>25293.929387999997</v>
      </c>
      <c r="T73" s="230">
        <f t="shared" si="3"/>
        <v>124325.04000000001</v>
      </c>
      <c r="U73" s="230">
        <f t="shared" si="4"/>
        <v>155406.30000000002</v>
      </c>
      <c r="V73" s="235">
        <f t="shared" si="9"/>
        <v>2526806.9779679999</v>
      </c>
      <c r="W73" s="239"/>
      <c r="X73" s="237">
        <f t="shared" si="5"/>
        <v>3689445.0220319997</v>
      </c>
      <c r="Y73" s="168" t="str">
        <f>VLOOKUP($B73,Piloto!$B$79:$H$131,4,0)</f>
        <v xml:space="preserve">DISPONIVEL </v>
      </c>
      <c r="Z73" s="172"/>
      <c r="AA73" s="172"/>
    </row>
    <row r="74" spans="1:27" ht="22.5" hidden="1" customHeight="1" thickBot="1">
      <c r="A74" s="171">
        <f t="shared" si="6"/>
        <v>0</v>
      </c>
      <c r="B74" s="238">
        <v>3400</v>
      </c>
      <c r="C74" s="228">
        <f t="shared" si="0"/>
        <v>415.48</v>
      </c>
      <c r="D74" s="221">
        <v>409.11</v>
      </c>
      <c r="E74" s="228">
        <v>89.77</v>
      </c>
      <c r="F74" s="228">
        <v>17.37</v>
      </c>
      <c r="G74" s="228">
        <v>0</v>
      </c>
      <c r="H74" s="222" t="s">
        <v>313</v>
      </c>
      <c r="I74" s="229" t="s">
        <v>194</v>
      </c>
      <c r="J74" s="223" t="s">
        <v>306</v>
      </c>
      <c r="K74" s="224" t="s">
        <v>314</v>
      </c>
      <c r="L74" s="224" t="s">
        <v>219</v>
      </c>
      <c r="M74" s="223">
        <v>6.37</v>
      </c>
      <c r="N74" s="230">
        <f>VLOOKUP($B74,Piloto!$B$79:$H$131,7,0)</f>
        <v>14639.998799999999</v>
      </c>
      <c r="O74" s="234"/>
      <c r="P74" s="225">
        <f t="shared" si="1"/>
        <v>6082626.7014239999</v>
      </c>
      <c r="Q74" s="230">
        <f t="shared" si="7"/>
        <v>182478.80104271998</v>
      </c>
      <c r="R74" s="230">
        <f t="shared" si="8"/>
        <v>121652.53402848</v>
      </c>
      <c r="S74" s="230">
        <f t="shared" si="2"/>
        <v>24750.208048094253</v>
      </c>
      <c r="T74" s="230">
        <f t="shared" si="3"/>
        <v>121652.53402848</v>
      </c>
      <c r="U74" s="230">
        <f t="shared" si="4"/>
        <v>152065.66753559999</v>
      </c>
      <c r="V74" s="235">
        <f t="shared" si="9"/>
        <v>2472490.4321016334</v>
      </c>
      <c r="W74" s="239"/>
      <c r="X74" s="237">
        <f t="shared" si="5"/>
        <v>3610136.2693223665</v>
      </c>
      <c r="Y74" s="168" t="str">
        <f>VLOOKUP($B74,Piloto!$B$79:$H$131,4,0)</f>
        <v>CONTRATO</v>
      </c>
      <c r="Z74" s="172"/>
      <c r="AA74" s="172"/>
    </row>
    <row r="75" spans="1:27">
      <c r="B75" s="168"/>
      <c r="C75" s="168"/>
      <c r="D75" s="168"/>
      <c r="E75" s="168"/>
      <c r="F75" s="168"/>
      <c r="G75" s="168"/>
    </row>
    <row r="76" spans="1:27">
      <c r="B76" s="168"/>
      <c r="C76" s="168"/>
      <c r="D76" s="168"/>
      <c r="E76" s="168"/>
      <c r="F76" s="168"/>
      <c r="G76" s="168"/>
    </row>
  </sheetData>
  <autoFilter ref="A21:Y74" xr:uid="{00000000-0001-0000-0000-000000000000}">
    <filterColumn colId="24">
      <filters blank="1">
        <filter val="DISPONIVEL"/>
      </filters>
    </filterColumn>
  </autoFilter>
  <mergeCells count="25">
    <mergeCell ref="X21:X23"/>
    <mergeCell ref="Q20:V20"/>
    <mergeCell ref="P21:P23"/>
    <mergeCell ref="V21:V23"/>
    <mergeCell ref="O21:O23"/>
    <mergeCell ref="G21:G23"/>
    <mergeCell ref="H21:H23"/>
    <mergeCell ref="I21:I23"/>
    <mergeCell ref="J21:J23"/>
    <mergeCell ref="N21:N23"/>
    <mergeCell ref="K21:K23"/>
    <mergeCell ref="L21:L23"/>
    <mergeCell ref="M21:M23"/>
    <mergeCell ref="B19:E19"/>
    <mergeCell ref="B11:X11"/>
    <mergeCell ref="B12:X12"/>
    <mergeCell ref="B13:C13"/>
    <mergeCell ref="B17:E17"/>
    <mergeCell ref="B18:E18"/>
    <mergeCell ref="A21:A23"/>
    <mergeCell ref="B21:B23"/>
    <mergeCell ref="C21:C23"/>
    <mergeCell ref="E21:E23"/>
    <mergeCell ref="F21:F23"/>
    <mergeCell ref="D21:D23"/>
  </mergeCells>
  <conditionalFormatting sqref="L24:M74">
    <cfRule type="expression" dxfId="0" priority="1">
      <formula>L24=0</formula>
    </cfRule>
  </conditionalFormatting>
  <dataValidations count="1">
    <dataValidation type="list" allowBlank="1" showInputMessage="1" showErrorMessage="1" sqref="Q14:V14 X14" xr:uid="{00000000-0002-0000-0000-000000000000}">
      <formula1>"Pós Venda,Pós Entrega"</formula1>
    </dataValidation>
  </dataValidations>
  <pageMargins left="0.59055118110236227" right="0.59055118110236227" top="0.59055118110236227" bottom="0.59055118110236227" header="0.31496062992125984" footer="0.31496062992125984"/>
  <pageSetup paperSize="8" scale="7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a 2 b 5 0 8 1 b - 8 9 8 e - 4 d b b - 8 5 6 2 - 7 2 3 b b 7 1 7 1 c 3 8 "   x m l n s = " h t t p : / / s c h e m a s . m i c r o s o f t . c o m / D a t a M a s h u p " > A A A A A E I H A A B Q S w M E F A A C A A g A D 3 l N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D 3 l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5 T V V q N R N k P A Q A A I o R A A A T A B w A R m 9 y b X V s Y X M v U 2 V j d G l v b j E u b S C i G A A o o B Q A A A A A A A A A A A A A A A A A A A A A A A A A A A C t W M 1 u 2 z g Q v g f o O x D u I T a g N e r 8 B 0 U P r i y j 6 T p 2 Y s n p o S g M W p r Y K m R R J a n s F k W f Z g 9 7 2 q f I i + 1 I p m S J k u I g s S 4 m 5 4 f z w 5 n R Z w l w p c 9 C Y m 9 + e + / f H L w 5 E C v K w S M m C 0 U c S N o j H 0 g A 8 o D g M 2 S h B N z b P 4 L u g E q 6 o A L a L X t 6 9 4 d 9 O 3 r X a x m k N e v P 8 O f r b Q z 8 5 4 e W b Y 0 s 0 y H q o S H 8 z c Q 8 D n 3 P I D e c e W p p r S M O g q r d O F 7 f A F e b y Y I X 6 J M F q I 2 J y m w B B h l y 6 l J 2 5 Q E N F K t A G Y D r r 3 M G k k L p 3 / s u 9 V h 2 / q 3 0 C k f 6 S z a f b b x j 3 E X p G 6 7 2 d x B 6 v s e U 6 N t 2 c N 8 h T Y / j R w y z J z m V q O D J 1 H W T S l j a k s o 4 S 8 A A h D t 3 R R y l p l G p k J G E x 9 F R N p d + F C H d I F O Q w G + 4 v + 4 H 8 T K G Y H O y 8 t N k a 1 8 I m v m X 3 M 0 U X B a u k g Q g n + E O f E m v a U Q L M h Y 6 C U t q r u g D i A L d p N 6 z I p 0 J v h U 1 e 9 n i K F s c Z 4 u T b H G a L c 6 y x X m 2 u M g W l 3 m F Y A j X f q j S M R d p 9 p K a + G 6 J C I I V c 1 i U 1 0 l G G 8 G 9 T I m p 6 8 P p 5 L r o c b t c k d 6 C d Z M L p h 5 g z X V L B a r x C r e j c c r l q z F L 1 a z x C s V d 1 d r W e s J L R D 8 G z G W W x C v s 5 u X / 9 P 0 8 8 W g G q 2 3 U L F D u K k 2 u r s k 0 k U L P a Z x S C + r 5 1 z p y X 5 G X O 7 v A H I C k w Q q 6 1 X a u X l a 1 u x O Z l M q 4 T z e c g k q h 9 6 s p K I + C V 8 W Z + B 6 w p U + T A 2 O 8 w G 7 N Z K m J u X 7 Y 1 N + I N n s 0 o e e M o n 1 d Z d N I q x H b j i 2 N W R p p + t 3 0 G u h H D f T j B v r J n g P P x 6 p O P 2 u g n z f Q L x r o l / X 0 O x q k Q z r l k r 5 d G N k v D s 3 s 2 x b 5 8 s k a k 4 Y m R f z x j j i J w O H A F x E L H / 9 7 g O B w l 0 5 v o 1 M 5 v q n N y d W Y t H s G O T L I a e f l 4 W w c H T G c h / S Q W C O 0 f r j x L N m O B 7 v c P l I n T E E A f 8 C h u j P Q Y 6 W B L R 8 x f G f u V D h R C r c x t u U u A y 9 O B B o 6 V Y a s Z A T J m D 8 n m r N M Z 0 0 e k L M 7 m n O l Y M e I B 0 K x 2 8 K F U h g y T o k H z z H z m i R c b g O i L n C 5 2 8 F e X u 7 0 8 d / H f 9 i m b r D b y r C o A i 6 q K K l R p A y a m t 3 X 4 V T 5 Q P L l y v l E 2 u P J a G L + 2 S E j a + i Q y c y x p u T z 5 G q 8 j 2 G n m l U z N B k / B c k w g z V v u F w C O 7 2 P 6 W x C e / X a G 7 Z S 3 d c U L 0 D F e q u Z A N r d Z 2 7 L 2 L I + t x r + z L K H G L T s a i X 5 W W 6 1 A 1 L o W 6 u d g + L X 5 1 a z i e m r N 1 l A 2 3 t N b A V 9 1 e e 2 C t I U D l Y I r e q w B h L 3 6 n Q j a N 3 Z d D U 4 W L n e D I S T O 0 l w c C e Z Z w 7 D O k e q Y G H r W 8 d I P z m 8 b Y 3 8 c E U F G f o B v p s 9 K l p 4 q E M X A X R t C M C V U / a X a K d f J g w C 1 F 2 R 9 t d i B X 5 L J u h x h 9 D Q Q 0 6 e s 4 R 8 d t H J r S S X Q P o B w l 5 8 K 2 1 N O J y G 4 p 7 x t c m C e B 0 6 P y M Q 7 R q f j F + / W t W / P i 2 D S N Q g Y b x e A P / 9 u 3 P g h 7 X 2 3 v 8 P U E s B A i 0 A F A A C A A g A D 3 l N V c B / g k y k A A A A 9 g A A A B I A A A A A A A A A A A A A A A A A A A A A A E N v b m Z p Z y 9 Q Y W N r Y W d l L n h t b F B L A Q I t A B Q A A g A I A A 9 5 T V U P y u m r p A A A A O k A A A A T A A A A A A A A A A A A A A A A A P A A A A B b Q 2 9 u d G V u d F 9 U e X B l c 1 0 u e G 1 s U E s B A i 0 A F A A C A A g A D 3 l N V W o 1 E 2 Q 8 B A A A i h E A A B M A A A A A A A A A A A A A A A A A 4 Q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w A A A A A A A C z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Y W 5 l e G 9 z X 3 V u a W Q m c X V v d D s s J n F 1 b 3 Q 7 U H J v Z F 9 1 b m l k J n F 1 b 3 Q 7 L C Z x d W 9 0 O 0 V t c H J l c 2 F f d W 5 p Z C Z x d W 9 0 O y w m c X V v d D t O d W 1 Q Z X J f d W 5 p Z C Z x d W 9 0 O y w m c X V v d D t P Y n J h X 3 V u a W Q m c X V v d D s s J n F 1 b 3 Q 7 T n V t T 2 J l X 3 V u a W Q m c X V v d D s s J n F 1 b 3 Q 7 Q 2 9 k X 2 9 i Z S Z x d W 9 0 O y w m c X V v d D t G c m F j Y W 9 J Z G V h b F 9 1 b m l k J n F 1 b 3 Q 7 L C Z x d W 9 0 O 0 Z y Y W N h b 0 l k Z W F s R G V j a W 1 h b F 9 1 b m l k J n F 1 b 3 Q 7 L C Z x d W 9 0 O 0 l k Z W 5 0 a W Z p Y 2 F k b 3 J f d W 5 p Z C Z x d W 9 0 O y w m c X V v d D t R d G R l X 3 V u a W Q m c X V v d D s s J n F 1 b 3 Q 7 Q 2 9 k a W d v X 1 V u a W Q m c X V v d D s s J n F 1 b 3 Q 7 U G 9 y Y 2 V u d F B y X 1 V u a W Q m c X V v d D s s J n F 1 b 3 Q 7 V m V u Z G l k b 1 9 1 b m l k J n F 1 b 3 Q 7 L C Z x d W 9 0 O 1 R p c G 9 D b 2 5 0 c m F 0 b 1 9 1 Z H Q m c X V v d D s s J n F 1 b 3 Q 7 T n V t Q 2 F 0 Z W d T d G F 0 d X N f d W 5 p Z C Z x d W 9 0 O y w m c X V v d D t E Z X N j X 2 N z d X A m c X V v d D s s J n F 1 b 3 Q 7 Q 2 9 k V G l w U H J v Z F 9 1 b m l k J n F 1 b 3 Q 7 L C Z x d W 9 0 O 0 R l c 2 N y a W N h b 1 9 0 a X B w c m 9 k J n F 1 b 3 Q 7 L C Z x d W 9 0 O 1 J l d G V y U H J p b U F s d W d 1 Z W x f d W R 0 J n F 1 b 3 Q 7 L C Z x d W 9 0 O 1 B v c m N l b n R D b 2 1 p c 3 N h b 1 9 1 b m l k J n F 1 b 3 Q 7 L C Z x d W 9 0 O 0 R h d G F S Z W N v b m h l Y 2 l t Z W 5 0 b 1 J l Y 2 V p d G F N Y X B h X 3 V u a W Q m c X V v d D s s J n F 1 b 3 Q 7 R G F 0 Y U V u d H J l Z 2 F D a G F 2 Z X N f d W 5 p Z C Z x d W 9 0 O y w m c X V v d D t E Y X R h Q 2 F k X 3 V u a W Q m c X V v d D s s J n F 1 b 3 Q 7 V X N y Q 2 F k X 3 V u a W Q m c X V v d D s s J n F 1 b 3 Q 7 Q z F f d W 5 p Z C Z x d W 9 0 O y w m c X V v d D t D M l 9 1 b m l k J n F 1 b 3 Q 7 L C Z x d W 9 0 O 0 M z X 3 V u a W Q m c X V v d D s s J n F 1 b 3 Q 7 Q z R f d W 5 p Z C Z x d W 9 0 O y w m c X V v d D t D N V 9 1 b m l k J n F 1 b 3 Q 7 L C Z x d W 9 0 O 0 M 2 X 3 V u a W Q m c X V v d D s s J n F 1 b 3 Q 7 Q z d f d W 5 p Z C Z x d W 9 0 O y w m c X V v d D t D O F 9 1 b m l k J n F 1 b 3 Q 7 L C Z x d W 9 0 O 0 M 5 X 3 V u a W Q m c X V v d D s s J n F 1 b 3 Q 7 U H J l Y 2 9 N a W 4 m c X V v d D s s J n F 1 b 3 Q 7 R G V z Y 3 J f c 3 R h d H V z J n F 1 b 3 Q 7 L C Z x d W 9 0 O 0 9 i a k V z c G V s a G 9 U b 3 B f d W 5 p Z C Z x d W 9 0 O y w m c X V v d D t P Y m p F c 3 B l b G h v T G V m d F 9 1 b m l k J n F 1 b 3 Q 7 X S I g L z 4 8 R W 5 0 c n k g V H l w Z T 0 i R m l s b E N v b H V t b l R 5 c G V z I i B W Y W x 1 Z T 0 i c 0 R R S U 1 B Z 1 l D Q m d R R U J R U U d C Q T B O Q W d Z R 0 J n M E V C d 2 N I Q m d Z R 0 J n W U d C Z 1 l H Q m d R R 0 F n S T 0 i I C 8 + P E V u d H J 5 I F R 5 c G U 9 I k Z p b G x M Y X N 0 V X B k Y X R l Z C I g V m F s d W U 9 I m Q y M D I y L T E w L T E z V D E 4 O j A 4 O j M w L j I 5 N T E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Z k N D l h N j M t O W F l Y y 0 0 M z B l L T k z Z W E t N m M 4 N T M w M j U 0 Z m F m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Z v b n R l L n t h b m V 4 b 3 N f d W 5 p Z C w w f S Z x d W 9 0 O y w m c X V v d D t T Z W N 0 a W 9 u M S 9 D b 2 5 z d W x 0 Y T E v R m 9 u d G U u e 1 B y b 2 R f d W 5 p Z C w x f S Z x d W 9 0 O y w m c X V v d D t T Z W N 0 a W 9 u M S 9 D b 2 5 z d W x 0 Y T E v R m 9 u d G U u e 0 V t c H J l c 2 F f d W 5 p Z C w y f S Z x d W 9 0 O y w m c X V v d D t T Z W N 0 a W 9 u M S 9 D b 2 5 z d W x 0 Y T E v R m 9 u d G U u e 0 5 1 b V B l c l 9 1 b m l k L D N 9 J n F 1 b 3 Q 7 L C Z x d W 9 0 O 1 N l Y 3 R p b 2 4 x L 0 N v b n N 1 b H R h M S 9 G b 2 5 0 Z S 5 7 T 2 J y Y V 9 1 b m l k L D R 9 J n F 1 b 3 Q 7 L C Z x d W 9 0 O 1 N l Y 3 R p b 2 4 x L 0 N v b n N 1 b H R h M S 9 G b 2 5 0 Z S 5 7 T n V t T 2 J l X 3 V u a W Q s N X 0 m c X V v d D s s J n F 1 b 3 Q 7 U 2 V j d G l v b j E v Q 2 9 u c 3 V s d G E x L 0 Z v b n R l L n t D b 2 R f b 2 J l L D Z 9 J n F 1 b 3 Q 7 L C Z x d W 9 0 O 1 N l Y 3 R p b 2 4 x L 0 N v b n N 1 b H R h M S 9 G b 2 5 0 Z S 5 7 R n J h Y 2 F v S W R l Y W x f d W 5 p Z C w 3 f S Z x d W 9 0 O y w m c X V v d D t T Z W N 0 a W 9 u M S 9 D b 2 5 z d W x 0 Y T E v R m 9 u d G U u e 0 Z y Y W N h b 0 l k Z W F s R G V j a W 1 h b F 9 1 b m l k L D h 9 J n F 1 b 3 Q 7 L C Z x d W 9 0 O 1 N l Y 3 R p b 2 4 x L 0 N v b n N 1 b H R h M S 9 U a X B v I E F s d G V y Y W R v L n t J Z G V u d G l m a W N h Z G 9 y X 3 V u a W Q s O X 0 m c X V v d D s s J n F 1 b 3 Q 7 U 2 V j d G l v b j E v Q 2 9 u c 3 V s d G E x L 0 Z v b n R l L n t R d G R l X 3 V u a W Q s M T B 9 J n F 1 b 3 Q 7 L C Z x d W 9 0 O 1 N l Y 3 R p b 2 4 x L 0 N v b n N 1 b H R h M S 9 G b 2 5 0 Z S 5 7 Q 2 9 k a W d v X 1 V u a W Q s M T F 9 J n F 1 b 3 Q 7 L C Z x d W 9 0 O 1 N l Y 3 R p b 2 4 x L 0 N v b n N 1 b H R h M S 9 G b 2 5 0 Z S 5 7 U G 9 y Y 2 V u d F B y X 1 V u a W Q s M T J 9 J n F 1 b 3 Q 7 L C Z x d W 9 0 O 1 N l Y 3 R p b 2 4 x L 0 N v b n N 1 b H R h M S 9 G b 2 5 0 Z S 5 7 V m V u Z G l k b 1 9 1 b m l k L D E z f S Z x d W 9 0 O y w m c X V v d D t T Z W N 0 a W 9 u M S 9 D b 2 5 z d W x 0 Y T E v R m 9 u d G U u e 1 R p c G 9 D b 2 5 0 c m F 0 b 1 9 1 Z H Q s M T R 9 J n F 1 b 3 Q 7 L C Z x d W 9 0 O 1 N l Y 3 R p b 2 4 x L 0 N v b n N 1 b H R h M S 9 G b 2 5 0 Z S 5 7 T n V t Q 2 F 0 Z W d T d G F 0 d X N f d W 5 p Z C w x N X 0 m c X V v d D s s J n F 1 b 3 Q 7 U 2 V j d G l v b j E v Q 2 9 u c 3 V s d G E x L 0 Z v b n R l L n t E Z X N j X 2 N z d X A s M T Z 9 J n F 1 b 3 Q 7 L C Z x d W 9 0 O 1 N l Y 3 R p b 2 4 x L 0 N v b n N 1 b H R h M S 9 G b 2 5 0 Z S 5 7 Q 2 9 k V G l w U H J v Z F 9 1 b m l k L D E 3 f S Z x d W 9 0 O y w m c X V v d D t T Z W N 0 a W 9 u M S 9 D b 2 5 z d W x 0 Y T E v R m 9 u d G U u e 0 R l c 2 N y a W N h b 1 9 0 a X B w c m 9 k L D E 4 f S Z x d W 9 0 O y w m c X V v d D t T Z W N 0 a W 9 u M S 9 D b 2 5 z d W x 0 Y T E v R m 9 u d G U u e 1 J l d G V y U H J p b U F s d W d 1 Z W x f d W R 0 L D E 5 f S Z x d W 9 0 O y w m c X V v d D t T Z W N 0 a W 9 u M S 9 D b 2 5 z d W x 0 Y T E v R m 9 u d G U u e 1 B v c m N l b n R D b 2 1 p c 3 N h b 1 9 1 b m l k L D I w f S Z x d W 9 0 O y w m c X V v d D t T Z W N 0 a W 9 u M S 9 D b 2 5 z d W x 0 Y T E v R m 9 u d G U u e 0 R h d G F S Z W N v b m h l Y 2 l t Z W 5 0 b 1 J l Y 2 V p d G F N Y X B h X 3 V u a W Q s M j F 9 J n F 1 b 3 Q 7 L C Z x d W 9 0 O 1 N l Y 3 R p b 2 4 x L 0 N v b n N 1 b H R h M S 9 G b 2 5 0 Z S 5 7 R G F 0 Y U V u d H J l Z 2 F D a G F 2 Z X N f d W 5 p Z C w y M n 0 m c X V v d D s s J n F 1 b 3 Q 7 U 2 V j d G l v b j E v Q 2 9 u c 3 V s d G E x L 0 Z v b n R l L n t E Y X R h Q 2 F k X 3 V u a W Q s M j N 9 J n F 1 b 3 Q 7 L C Z x d W 9 0 O 1 N l Y 3 R p b 2 4 x L 0 N v b n N 1 b H R h M S 9 G b 2 5 0 Z S 5 7 V X N y Q 2 F k X 3 V u a W Q s M j R 9 J n F 1 b 3 Q 7 L C Z x d W 9 0 O 1 N l Y 3 R p b 2 4 x L 0 N v b n N 1 b H R h M S 9 G b 2 5 0 Z S 5 7 Q z F f d W 5 p Z C w y N X 0 m c X V v d D s s J n F 1 b 3 Q 7 U 2 V j d G l v b j E v Q 2 9 u c 3 V s d G E x L 0 Z v b n R l L n t D M l 9 1 b m l k L D I 2 f S Z x d W 9 0 O y w m c X V v d D t T Z W N 0 a W 9 u M S 9 D b 2 5 z d W x 0 Y T E v R m 9 u d G U u e 0 M z X 3 V u a W Q s M j d 9 J n F 1 b 3 Q 7 L C Z x d W 9 0 O 1 N l Y 3 R p b 2 4 x L 0 N v b n N 1 b H R h M S 9 G b 2 5 0 Z S 5 7 Q z R f d W 5 p Z C w y O H 0 m c X V v d D s s J n F 1 b 3 Q 7 U 2 V j d G l v b j E v Q 2 9 u c 3 V s d G E x L 0 Z v b n R l L n t D N V 9 1 b m l k L D I 5 f S Z x d W 9 0 O y w m c X V v d D t T Z W N 0 a W 9 u M S 9 D b 2 5 z d W x 0 Y T E v R m 9 u d G U u e 0 M 2 X 3 V u a W Q s M z B 9 J n F 1 b 3 Q 7 L C Z x d W 9 0 O 1 N l Y 3 R p b 2 4 x L 0 N v b n N 1 b H R h M S 9 G b 2 5 0 Z S 5 7 Q z d f d W 5 p Z C w z M X 0 m c X V v d D s s J n F 1 b 3 Q 7 U 2 V j d G l v b j E v Q 2 9 u c 3 V s d G E x L 0 Z v b n R l L n t D O F 9 1 b m l k L D M y f S Z x d W 9 0 O y w m c X V v d D t T Z W N 0 a W 9 u M S 9 D b 2 5 z d W x 0 Y T E v R m 9 u d G U u e 0 M 5 X 3 V u a W Q s M z N 9 J n F 1 b 3 Q 7 L C Z x d W 9 0 O 1 N l Y 3 R p b 2 4 x L 0 N v b n N 1 b H R h M S 9 G b 2 5 0 Z S 5 7 U H J l Y 2 9 N a W 4 s M z R 9 J n F 1 b 3 Q 7 L C Z x d W 9 0 O 1 N l Y 3 R p b 2 4 x L 0 N v b n N 1 b H R h M S 9 G b 2 5 0 Z S 5 7 R G V z Y 3 J f c 3 R h d H V z L D M 1 f S Z x d W 9 0 O y w m c X V v d D t T Z W N 0 a W 9 u M S 9 D b 2 5 z d W x 0 Y T E v R m 9 u d G U u e 0 9 i a k V z c G V s a G 9 U b 3 B f d W 5 p Z C w z N n 0 m c X V v d D s s J n F 1 b 3 Q 7 U 2 V j d G l v b j E v Q 2 9 u c 3 V s d G E x L 0 Z v b n R l L n t P Y m p F c 3 B l b G h v T G V m d F 9 1 b m l k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9 u c 3 V s d G E x L 0 Z v b n R l L n t h b m V 4 b 3 N f d W 5 p Z C w w f S Z x d W 9 0 O y w m c X V v d D t T Z W N 0 a W 9 u M S 9 D b 2 5 z d W x 0 Y T E v R m 9 u d G U u e 1 B y b 2 R f d W 5 p Z C w x f S Z x d W 9 0 O y w m c X V v d D t T Z W N 0 a W 9 u M S 9 D b 2 5 z d W x 0 Y T E v R m 9 u d G U u e 0 V t c H J l c 2 F f d W 5 p Z C w y f S Z x d W 9 0 O y w m c X V v d D t T Z W N 0 a W 9 u M S 9 D b 2 5 z d W x 0 Y T E v R m 9 u d G U u e 0 5 1 b V B l c l 9 1 b m l k L D N 9 J n F 1 b 3 Q 7 L C Z x d W 9 0 O 1 N l Y 3 R p b 2 4 x L 0 N v b n N 1 b H R h M S 9 G b 2 5 0 Z S 5 7 T 2 J y Y V 9 1 b m l k L D R 9 J n F 1 b 3 Q 7 L C Z x d W 9 0 O 1 N l Y 3 R p b 2 4 x L 0 N v b n N 1 b H R h M S 9 G b 2 5 0 Z S 5 7 T n V t T 2 J l X 3 V u a W Q s N X 0 m c X V v d D s s J n F 1 b 3 Q 7 U 2 V j d G l v b j E v Q 2 9 u c 3 V s d G E x L 0 Z v b n R l L n t D b 2 R f b 2 J l L D Z 9 J n F 1 b 3 Q 7 L C Z x d W 9 0 O 1 N l Y 3 R p b 2 4 x L 0 N v b n N 1 b H R h M S 9 G b 2 5 0 Z S 5 7 R n J h Y 2 F v S W R l Y W x f d W 5 p Z C w 3 f S Z x d W 9 0 O y w m c X V v d D t T Z W N 0 a W 9 u M S 9 D b 2 5 z d W x 0 Y T E v R m 9 u d G U u e 0 Z y Y W N h b 0 l k Z W F s R G V j a W 1 h b F 9 1 b m l k L D h 9 J n F 1 b 3 Q 7 L C Z x d W 9 0 O 1 N l Y 3 R p b 2 4 x L 0 N v b n N 1 b H R h M S 9 U a X B v I E F s d G V y Y W R v L n t J Z G V u d G l m a W N h Z G 9 y X 3 V u a W Q s O X 0 m c X V v d D s s J n F 1 b 3 Q 7 U 2 V j d G l v b j E v Q 2 9 u c 3 V s d G E x L 0 Z v b n R l L n t R d G R l X 3 V u a W Q s M T B 9 J n F 1 b 3 Q 7 L C Z x d W 9 0 O 1 N l Y 3 R p b 2 4 x L 0 N v b n N 1 b H R h M S 9 G b 2 5 0 Z S 5 7 Q 2 9 k a W d v X 1 V u a W Q s M T F 9 J n F 1 b 3 Q 7 L C Z x d W 9 0 O 1 N l Y 3 R p b 2 4 x L 0 N v b n N 1 b H R h M S 9 G b 2 5 0 Z S 5 7 U G 9 y Y 2 V u d F B y X 1 V u a W Q s M T J 9 J n F 1 b 3 Q 7 L C Z x d W 9 0 O 1 N l Y 3 R p b 2 4 x L 0 N v b n N 1 b H R h M S 9 G b 2 5 0 Z S 5 7 V m V u Z G l k b 1 9 1 b m l k L D E z f S Z x d W 9 0 O y w m c X V v d D t T Z W N 0 a W 9 u M S 9 D b 2 5 z d W x 0 Y T E v R m 9 u d G U u e 1 R p c G 9 D b 2 5 0 c m F 0 b 1 9 1 Z H Q s M T R 9 J n F 1 b 3 Q 7 L C Z x d W 9 0 O 1 N l Y 3 R p b 2 4 x L 0 N v b n N 1 b H R h M S 9 G b 2 5 0 Z S 5 7 T n V t Q 2 F 0 Z W d T d G F 0 d X N f d W 5 p Z C w x N X 0 m c X V v d D s s J n F 1 b 3 Q 7 U 2 V j d G l v b j E v Q 2 9 u c 3 V s d G E x L 0 Z v b n R l L n t E Z X N j X 2 N z d X A s M T Z 9 J n F 1 b 3 Q 7 L C Z x d W 9 0 O 1 N l Y 3 R p b 2 4 x L 0 N v b n N 1 b H R h M S 9 G b 2 5 0 Z S 5 7 Q 2 9 k V G l w U H J v Z F 9 1 b m l k L D E 3 f S Z x d W 9 0 O y w m c X V v d D t T Z W N 0 a W 9 u M S 9 D b 2 5 z d W x 0 Y T E v R m 9 u d G U u e 0 R l c 2 N y a W N h b 1 9 0 a X B w c m 9 k L D E 4 f S Z x d W 9 0 O y w m c X V v d D t T Z W N 0 a W 9 u M S 9 D b 2 5 z d W x 0 Y T E v R m 9 u d G U u e 1 J l d G V y U H J p b U F s d W d 1 Z W x f d W R 0 L D E 5 f S Z x d W 9 0 O y w m c X V v d D t T Z W N 0 a W 9 u M S 9 D b 2 5 z d W x 0 Y T E v R m 9 u d G U u e 1 B v c m N l b n R D b 2 1 p c 3 N h b 1 9 1 b m l k L D I w f S Z x d W 9 0 O y w m c X V v d D t T Z W N 0 a W 9 u M S 9 D b 2 5 z d W x 0 Y T E v R m 9 u d G U u e 0 R h d G F S Z W N v b m h l Y 2 l t Z W 5 0 b 1 J l Y 2 V p d G F N Y X B h X 3 V u a W Q s M j F 9 J n F 1 b 3 Q 7 L C Z x d W 9 0 O 1 N l Y 3 R p b 2 4 x L 0 N v b n N 1 b H R h M S 9 G b 2 5 0 Z S 5 7 R G F 0 Y U V u d H J l Z 2 F D a G F 2 Z X N f d W 5 p Z C w y M n 0 m c X V v d D s s J n F 1 b 3 Q 7 U 2 V j d G l v b j E v Q 2 9 u c 3 V s d G E x L 0 Z v b n R l L n t E Y X R h Q 2 F k X 3 V u a W Q s M j N 9 J n F 1 b 3 Q 7 L C Z x d W 9 0 O 1 N l Y 3 R p b 2 4 x L 0 N v b n N 1 b H R h M S 9 G b 2 5 0 Z S 5 7 V X N y Q 2 F k X 3 V u a W Q s M j R 9 J n F 1 b 3 Q 7 L C Z x d W 9 0 O 1 N l Y 3 R p b 2 4 x L 0 N v b n N 1 b H R h M S 9 G b 2 5 0 Z S 5 7 Q z F f d W 5 p Z C w y N X 0 m c X V v d D s s J n F 1 b 3 Q 7 U 2 V j d G l v b j E v Q 2 9 u c 3 V s d G E x L 0 Z v b n R l L n t D M l 9 1 b m l k L D I 2 f S Z x d W 9 0 O y w m c X V v d D t T Z W N 0 a W 9 u M S 9 D b 2 5 z d W x 0 Y T E v R m 9 u d G U u e 0 M z X 3 V u a W Q s M j d 9 J n F 1 b 3 Q 7 L C Z x d W 9 0 O 1 N l Y 3 R p b 2 4 x L 0 N v b n N 1 b H R h M S 9 G b 2 5 0 Z S 5 7 Q z R f d W 5 p Z C w y O H 0 m c X V v d D s s J n F 1 b 3 Q 7 U 2 V j d G l v b j E v Q 2 9 u c 3 V s d G E x L 0 Z v b n R l L n t D N V 9 1 b m l k L D I 5 f S Z x d W 9 0 O y w m c X V v d D t T Z W N 0 a W 9 u M S 9 D b 2 5 z d W x 0 Y T E v R m 9 u d G U u e 0 M 2 X 3 V u a W Q s M z B 9 J n F 1 b 3 Q 7 L C Z x d W 9 0 O 1 N l Y 3 R p b 2 4 x L 0 N v b n N 1 b H R h M S 9 G b 2 5 0 Z S 5 7 Q z d f d W 5 p Z C w z M X 0 m c X V v d D s s J n F 1 b 3 Q 7 U 2 V j d G l v b j E v Q 2 9 u c 3 V s d G E x L 0 Z v b n R l L n t D O F 9 1 b m l k L D M y f S Z x d W 9 0 O y w m c X V v d D t T Z W N 0 a W 9 u M S 9 D b 2 5 z d W x 0 Y T E v R m 9 u d G U u e 0 M 5 X 3 V u a W Q s M z N 9 J n F 1 b 3 Q 7 L C Z x d W 9 0 O 1 N l Y 3 R p b 2 4 x L 0 N v b n N 1 b H R h M S 9 G b 2 5 0 Z S 5 7 U H J l Y 2 9 N a W 4 s M z R 9 J n F 1 b 3 Q 7 L C Z x d W 9 0 O 1 N l Y 3 R p b 2 4 x L 0 N v b n N 1 b H R h M S 9 G b 2 5 0 Z S 5 7 R G V z Y 3 J f c 3 R h d H V z L D M 1 f S Z x d W 9 0 O y w m c X V v d D t T Z W N 0 a W 9 u M S 9 D b 2 5 z d W x 0 Y T E v R m 9 u d G U u e 0 9 i a k V z c G V s a G 9 U b 3 B f d W 5 p Z C w z N n 0 m c X V v d D s s J n F 1 b 3 Q 7 U 2 V j d G l v b j E v Q 2 9 u c 3 V s d G E x L 0 Z v b n R l L n t P Y m p F c 3 B l b G h v T G V m d F 9 1 b m l k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M 2 X 3 s j c L U + / u i g 2 P G k c R Q A A A A A C A A A A A A A D Z g A A w A A A A B A A A A A V p 1 R y 2 S y D Z h j R Z Q O / I D D n A A A A A A S A A A C g A A A A E A A A A B G R z q N i X v 3 K f 9 L w L z A S A l h Q A A A A x l o y e G g X 8 r a 1 w 2 G e v L b 9 + l p B T c c U X 3 A u K + H i k X m P + v l n u 1 M 8 m l 8 a h z b 0 A m x r + C D Q K v m j E C X n 8 Y a 6 z W h l E 3 A H Q L + p + Y B i c 8 P s 0 4 q e i K T K q b 8 U A A A A P v C x t 1 T v R w L r M / K J u H q f F k m b y W g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E1830D-C2C9-482D-A62C-EB1BD77BDCC4}"/>
</file>

<file path=customXml/itemProps2.xml><?xml version="1.0" encoding="utf-8"?>
<ds:datastoreItem xmlns:ds="http://schemas.openxmlformats.org/officeDocument/2006/customXml" ds:itemID="{80B97C69-9B7E-41C9-9C39-3AEE90B4A098}"/>
</file>

<file path=customXml/itemProps3.xml><?xml version="1.0" encoding="utf-8"?>
<ds:datastoreItem xmlns:ds="http://schemas.openxmlformats.org/officeDocument/2006/customXml" ds:itemID="{949E4A28-794F-4D0F-BF58-471779427134}"/>
</file>

<file path=customXml/itemProps4.xml><?xml version="1.0" encoding="utf-8"?>
<ds:datastoreItem xmlns:ds="http://schemas.openxmlformats.org/officeDocument/2006/customXml" ds:itemID="{5474D9D8-35A1-412C-A556-188B4DF00D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TCI</dc:creator>
  <cp:keywords/>
  <dc:description/>
  <cp:lastModifiedBy>Felipe Augusto Didonet</cp:lastModifiedBy>
  <cp:revision>1</cp:revision>
  <dcterms:created xsi:type="dcterms:W3CDTF">2006-02-10T16:45:20Z</dcterms:created>
  <dcterms:modified xsi:type="dcterms:W3CDTF">2023-07-14T16:16:47Z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