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E:\Era swap\PET\"/>
    </mc:Choice>
  </mc:AlternateContent>
  <xr:revisionPtr revIDLastSave="0" documentId="13_ncr:1_{21DECB6D-A8C2-47AC-867C-6A7294B90614}" xr6:coauthVersionLast="45" xr6:coauthVersionMax="45" xr10:uidLastSave="{00000000-0000-0000-0000-000000000000}"/>
  <bookViews>
    <workbookView xWindow="-120" yWindow="-120" windowWidth="20730" windowHeight="11160" xr2:uid="{957FF464-E8C6-4A00-B379-4CEB9A4686C4}"/>
  </bookViews>
  <sheets>
    <sheet name="USER GUIDE" sheetId="2" r:id="rId1"/>
    <sheet name="PET Calculator"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8" i="1" l="1"/>
  <c r="C17" i="1"/>
  <c r="C16" i="1"/>
  <c r="C15" i="1"/>
  <c r="C14" i="1"/>
  <c r="C13" i="1"/>
  <c r="C12" i="1"/>
  <c r="C11" i="1"/>
  <c r="C10" i="1"/>
  <c r="C9" i="1"/>
  <c r="C8" i="1"/>
  <c r="C7" i="1"/>
  <c r="I107" i="1" l="1"/>
  <c r="I106" i="1"/>
  <c r="I105" i="1"/>
  <c r="I104" i="1"/>
  <c r="I103" i="1"/>
  <c r="I102" i="1"/>
  <c r="I101" i="1"/>
  <c r="I100" i="1"/>
  <c r="I99" i="1"/>
  <c r="I98" i="1"/>
  <c r="I97" i="1"/>
  <c r="I108" i="1"/>
  <c r="C19" i="1" l="1"/>
  <c r="D7" i="1" l="1"/>
  <c r="K111" i="1"/>
  <c r="L111" i="1" s="1"/>
  <c r="K112" i="1"/>
  <c r="L112" i="1" s="1"/>
  <c r="K113" i="1"/>
  <c r="L113" i="1" s="1"/>
  <c r="K114" i="1"/>
  <c r="L114" i="1" s="1"/>
  <c r="K115" i="1"/>
  <c r="L115" i="1" s="1"/>
  <c r="K116" i="1"/>
  <c r="L116" i="1" s="1"/>
  <c r="K117" i="1"/>
  <c r="L117" i="1" s="1"/>
  <c r="K118" i="1"/>
  <c r="L118" i="1" s="1"/>
  <c r="K119" i="1"/>
  <c r="L119" i="1" s="1"/>
  <c r="K120" i="1"/>
  <c r="L120" i="1" s="1"/>
  <c r="K121" i="1"/>
  <c r="L121" i="1" s="1"/>
  <c r="K122" i="1"/>
  <c r="L122" i="1" s="1"/>
  <c r="E111" i="1"/>
  <c r="G111" i="1" s="1"/>
  <c r="E112" i="1"/>
  <c r="G112" i="1" s="1"/>
  <c r="E113" i="1"/>
  <c r="G113" i="1" s="1"/>
  <c r="E114" i="1"/>
  <c r="G114" i="1" s="1"/>
  <c r="E115" i="1"/>
  <c r="G115" i="1" s="1"/>
  <c r="E116" i="1"/>
  <c r="G116" i="1" s="1"/>
  <c r="E117" i="1"/>
  <c r="G117" i="1" s="1"/>
  <c r="E118" i="1"/>
  <c r="G118" i="1" s="1"/>
  <c r="E119" i="1"/>
  <c r="G119" i="1" s="1"/>
  <c r="E120" i="1"/>
  <c r="G120" i="1" s="1"/>
  <c r="E121" i="1"/>
  <c r="G121" i="1" s="1"/>
  <c r="E122" i="1"/>
  <c r="G122" i="1" s="1"/>
  <c r="M97" i="1"/>
  <c r="N97" i="1" s="1"/>
  <c r="M98" i="1"/>
  <c r="N98" i="1" s="1"/>
  <c r="M99" i="1"/>
  <c r="N99" i="1" s="1"/>
  <c r="M100" i="1"/>
  <c r="N100" i="1" s="1"/>
  <c r="M101" i="1"/>
  <c r="N101" i="1" s="1"/>
  <c r="M102" i="1"/>
  <c r="N102" i="1" s="1"/>
  <c r="M103" i="1"/>
  <c r="N103" i="1" s="1"/>
  <c r="M104" i="1"/>
  <c r="N104" i="1" s="1"/>
  <c r="M105" i="1"/>
  <c r="N105" i="1" s="1"/>
  <c r="M106" i="1"/>
  <c r="N106" i="1" s="1"/>
  <c r="M107" i="1"/>
  <c r="N107" i="1" s="1"/>
  <c r="M108" i="1"/>
  <c r="N108" i="1" s="1"/>
  <c r="E97" i="1"/>
  <c r="G97" i="1" s="1"/>
  <c r="E98" i="1"/>
  <c r="G98" i="1" s="1"/>
  <c r="E99" i="1"/>
  <c r="G99" i="1" s="1"/>
  <c r="E100" i="1"/>
  <c r="G100" i="1" s="1"/>
  <c r="E101" i="1"/>
  <c r="G101" i="1" s="1"/>
  <c r="E102" i="1"/>
  <c r="G102" i="1" s="1"/>
  <c r="E103" i="1"/>
  <c r="G103" i="1" s="1"/>
  <c r="E104" i="1"/>
  <c r="G104" i="1" s="1"/>
  <c r="E105" i="1"/>
  <c r="G105" i="1" s="1"/>
  <c r="E106" i="1"/>
  <c r="G106" i="1" s="1"/>
  <c r="E107" i="1"/>
  <c r="G107" i="1" s="1"/>
  <c r="E108" i="1"/>
  <c r="G108" i="1" s="1"/>
  <c r="H7" i="1" l="1"/>
  <c r="G7" i="1"/>
  <c r="D8" i="1"/>
  <c r="E7" i="1"/>
  <c r="F7" i="1" s="1"/>
  <c r="M122" i="1"/>
  <c r="M114" i="1"/>
  <c r="M118" i="1"/>
  <c r="M113" i="1"/>
  <c r="M120" i="1"/>
  <c r="M116" i="1"/>
  <c r="M112" i="1"/>
  <c r="O99" i="1"/>
  <c r="M121" i="1"/>
  <c r="M117" i="1"/>
  <c r="M119" i="1"/>
  <c r="M115" i="1"/>
  <c r="M111" i="1"/>
  <c r="O105" i="1"/>
  <c r="P105" i="1"/>
  <c r="Q105" i="1" s="1"/>
  <c r="O101" i="1"/>
  <c r="P101" i="1"/>
  <c r="Q101" i="1" s="1"/>
  <c r="O97" i="1"/>
  <c r="P97" i="1"/>
  <c r="Q97" i="1" s="1"/>
  <c r="O108" i="1"/>
  <c r="P108" i="1"/>
  <c r="Q108" i="1" s="1"/>
  <c r="O104" i="1"/>
  <c r="P104" i="1"/>
  <c r="Q104" i="1" s="1"/>
  <c r="O100" i="1"/>
  <c r="P100" i="1"/>
  <c r="Q100" i="1" s="1"/>
  <c r="O107" i="1"/>
  <c r="P107" i="1"/>
  <c r="Q107" i="1" s="1"/>
  <c r="O103" i="1"/>
  <c r="P103" i="1"/>
  <c r="Q103" i="1" s="1"/>
  <c r="O106" i="1"/>
  <c r="P106" i="1"/>
  <c r="Q106" i="1" s="1"/>
  <c r="O102" i="1"/>
  <c r="P102" i="1"/>
  <c r="Q102" i="1" s="1"/>
  <c r="O98" i="1"/>
  <c r="P98" i="1"/>
  <c r="Q98" i="1" s="1"/>
  <c r="N122" i="1"/>
  <c r="O122" i="1" s="1"/>
  <c r="N118" i="1"/>
  <c r="O118" i="1" s="1"/>
  <c r="N114" i="1"/>
  <c r="O114" i="1" s="1"/>
  <c r="P99" i="1"/>
  <c r="Q99" i="1" s="1"/>
  <c r="N121" i="1"/>
  <c r="O121" i="1" s="1"/>
  <c r="N117" i="1"/>
  <c r="O117" i="1" s="1"/>
  <c r="N113" i="1"/>
  <c r="O113" i="1" s="1"/>
  <c r="N120" i="1"/>
  <c r="O120" i="1" s="1"/>
  <c r="N116" i="1"/>
  <c r="O116" i="1" s="1"/>
  <c r="N112" i="1"/>
  <c r="O112" i="1" s="1"/>
  <c r="N119" i="1"/>
  <c r="O119" i="1" s="1"/>
  <c r="N115" i="1"/>
  <c r="O115" i="1" s="1"/>
  <c r="N111" i="1"/>
  <c r="O111" i="1" s="1"/>
  <c r="D9" i="1" l="1"/>
  <c r="E9" i="1" s="1"/>
  <c r="F9" i="1" s="1"/>
  <c r="G8" i="1"/>
  <c r="H8" i="1"/>
  <c r="E8" i="1"/>
  <c r="F8" i="1" s="1"/>
  <c r="D3" i="1"/>
  <c r="G9" i="1" l="1"/>
  <c r="H9" i="1"/>
  <c r="D10" i="1"/>
  <c r="H10" i="1" s="1"/>
  <c r="C89" i="1"/>
  <c r="C88" i="1"/>
  <c r="C87" i="1"/>
  <c r="C86" i="1"/>
  <c r="C85" i="1"/>
  <c r="C84" i="1"/>
  <c r="C83" i="1"/>
  <c r="C82" i="1"/>
  <c r="C81" i="1"/>
  <c r="C80" i="1"/>
  <c r="C79" i="1"/>
  <c r="C78" i="1"/>
  <c r="D11" i="1" l="1"/>
  <c r="G11" i="1" s="1"/>
  <c r="G10" i="1"/>
  <c r="E10" i="1"/>
  <c r="F10" i="1" s="1"/>
  <c r="M7" i="1"/>
  <c r="W35" i="1"/>
  <c r="W36" i="1"/>
  <c r="W37" i="1"/>
  <c r="W38" i="1"/>
  <c r="W39" i="1"/>
  <c r="W40" i="1"/>
  <c r="G78" i="1"/>
  <c r="I78" i="1" s="1"/>
  <c r="D12" i="1" l="1"/>
  <c r="H12" i="1" s="1"/>
  <c r="H11" i="1"/>
  <c r="E11" i="1"/>
  <c r="F11" i="1" s="1"/>
  <c r="G79" i="1"/>
  <c r="G84" i="1"/>
  <c r="G80" i="1"/>
  <c r="G89" i="1"/>
  <c r="G81" i="1"/>
  <c r="G86" i="1"/>
  <c r="G88" i="1"/>
  <c r="G85" i="1"/>
  <c r="G83" i="1"/>
  <c r="G87" i="1"/>
  <c r="G82" i="1"/>
  <c r="D13" i="1" l="1"/>
  <c r="G13" i="1" s="1"/>
  <c r="G12" i="1"/>
  <c r="E12" i="1"/>
  <c r="F12" i="1" s="1"/>
  <c r="I82" i="1"/>
  <c r="I88" i="1"/>
  <c r="I80" i="1"/>
  <c r="I87" i="1"/>
  <c r="I86" i="1"/>
  <c r="I84" i="1"/>
  <c r="I83" i="1"/>
  <c r="I81" i="1"/>
  <c r="I85" i="1"/>
  <c r="I89" i="1"/>
  <c r="I79" i="1"/>
  <c r="D92" i="1"/>
  <c r="D14" i="1" l="1"/>
  <c r="H13" i="1"/>
  <c r="E13" i="1"/>
  <c r="F13" i="1" s="1"/>
  <c r="L29" i="1" s="1"/>
  <c r="I24" i="1"/>
  <c r="L28" i="1"/>
  <c r="D83" i="1"/>
  <c r="I28" i="1"/>
  <c r="O28" i="1"/>
  <c r="C28" i="1"/>
  <c r="F28" i="1"/>
  <c r="I27" i="1"/>
  <c r="F27" i="1"/>
  <c r="L27" i="1"/>
  <c r="D82" i="1"/>
  <c r="O27" i="1"/>
  <c r="C27" i="1"/>
  <c r="D80" i="1"/>
  <c r="O25" i="1"/>
  <c r="C25" i="1"/>
  <c r="F25" i="1"/>
  <c r="L25" i="1"/>
  <c r="I25" i="1"/>
  <c r="D79" i="1"/>
  <c r="H14" i="1" l="1"/>
  <c r="G14" i="1"/>
  <c r="D15" i="1"/>
  <c r="D16" i="1" s="1"/>
  <c r="D17" i="1" s="1"/>
  <c r="D18" i="1" s="1"/>
  <c r="D84" i="1"/>
  <c r="C29" i="1"/>
  <c r="I29" i="1"/>
  <c r="O29" i="1"/>
  <c r="F29" i="1"/>
  <c r="E14" i="1"/>
  <c r="C24" i="1"/>
  <c r="O24" i="1"/>
  <c r="F24" i="1"/>
  <c r="L24" i="1"/>
  <c r="F26" i="1"/>
  <c r="C26" i="1"/>
  <c r="D81" i="1"/>
  <c r="I26" i="1"/>
  <c r="L26" i="1"/>
  <c r="O26" i="1"/>
  <c r="L23" i="1"/>
  <c r="O23" i="1"/>
  <c r="C23" i="1"/>
  <c r="I23" i="1"/>
  <c r="D78" i="1"/>
  <c r="F23" i="1"/>
  <c r="H15" i="1" l="1"/>
  <c r="F14" i="1"/>
  <c r="F30" i="1" s="1"/>
  <c r="D19" i="1"/>
  <c r="G15" i="1"/>
  <c r="G16" i="1"/>
  <c r="H16" i="1"/>
  <c r="C30" i="1"/>
  <c r="I30" i="1"/>
  <c r="E15" i="1"/>
  <c r="F15" i="1" s="1"/>
  <c r="L30" i="1" l="1"/>
  <c r="O30" i="1"/>
  <c r="D85" i="1"/>
  <c r="H17" i="1"/>
  <c r="G17" i="1"/>
  <c r="O31" i="1"/>
  <c r="L31" i="1"/>
  <c r="D86" i="1"/>
  <c r="F31" i="1"/>
  <c r="C31" i="1"/>
  <c r="I31" i="1"/>
  <c r="E16" i="1"/>
  <c r="F16" i="1" s="1"/>
  <c r="H18" i="1" l="1"/>
  <c r="H19" i="1" s="1"/>
  <c r="G18" i="1"/>
  <c r="G19" i="1" s="1"/>
  <c r="O32" i="1"/>
  <c r="L32" i="1"/>
  <c r="I32" i="1"/>
  <c r="F32" i="1"/>
  <c r="D87" i="1"/>
  <c r="C32" i="1"/>
  <c r="E17" i="1"/>
  <c r="E18" i="1"/>
  <c r="F18" i="1" s="1"/>
  <c r="E19" i="1" l="1"/>
  <c r="I34" i="1"/>
  <c r="O34" i="1"/>
  <c r="F34" i="1"/>
  <c r="D89" i="1"/>
  <c r="L34" i="1"/>
  <c r="C34" i="1"/>
  <c r="F17" i="1"/>
  <c r="F19" i="1" s="1"/>
  <c r="M8" i="1"/>
  <c r="M9" i="1" s="1"/>
  <c r="F33" i="1" l="1"/>
  <c r="O33" i="1"/>
  <c r="D88" i="1"/>
  <c r="D91" i="1" s="1"/>
  <c r="D93" i="1" s="1"/>
  <c r="P34" i="1" s="1"/>
  <c r="I33" i="1"/>
  <c r="L33" i="1"/>
  <c r="C33" i="1"/>
  <c r="J28" i="1" l="1"/>
  <c r="P24" i="1"/>
  <c r="D32" i="1"/>
  <c r="G25" i="1"/>
  <c r="M31" i="1"/>
  <c r="D27" i="1"/>
  <c r="M26" i="1"/>
  <c r="G30" i="1"/>
  <c r="J23" i="1"/>
  <c r="J33" i="1"/>
  <c r="P29" i="1"/>
  <c r="M11" i="1"/>
  <c r="N11" i="1" s="1"/>
  <c r="M12" i="1" l="1"/>
  <c r="N12" i="1" s="1"/>
  <c r="N13" i="1" s="1"/>
  <c r="M13" i="1" l="1"/>
</calcChain>
</file>

<file path=xl/sharedStrings.xml><?xml version="1.0" encoding="utf-8"?>
<sst xmlns="http://schemas.openxmlformats.org/spreadsheetml/2006/main" count="145" uniqueCount="100">
  <si>
    <t>Annuity</t>
  </si>
  <si>
    <t>Month</t>
  </si>
  <si>
    <t>Year</t>
  </si>
  <si>
    <t>Self Staked ES</t>
  </si>
  <si>
    <t>Annuity Benefit</t>
  </si>
  <si>
    <t>Total</t>
  </si>
  <si>
    <t>Minimum</t>
  </si>
  <si>
    <t>Booster Bonus</t>
  </si>
  <si>
    <t>Month of Staking</t>
  </si>
  <si>
    <t>Total Staked Count (ES)</t>
  </si>
  <si>
    <t>ES Count</t>
  </si>
  <si>
    <t>% of ES Accumulation</t>
  </si>
  <si>
    <t>At 5 years (ES)</t>
  </si>
  <si>
    <t>Target Reached</t>
  </si>
  <si>
    <t>Total accumulation Staking (ES)</t>
  </si>
  <si>
    <t>Gross Annuity Benifits (ES)</t>
  </si>
  <si>
    <t>Total Staking</t>
  </si>
  <si>
    <t>Annuity Benifit</t>
  </si>
  <si>
    <t>50% Target Reached</t>
  </si>
  <si>
    <t>Minimum Staking Commitment</t>
  </si>
  <si>
    <t>Gross PET Bonus (ES)</t>
  </si>
  <si>
    <t>Number of Months Staked</t>
  </si>
  <si>
    <t>Monthly Staking (ES)</t>
  </si>
  <si>
    <t>Total PET Bounty Received (ES)</t>
  </si>
  <si>
    <t>Gross Total ES Gained</t>
  </si>
  <si>
    <t>NET Total ES GAINED</t>
  </si>
  <si>
    <t>Gross Total ES Gained %</t>
  </si>
  <si>
    <t>NET Total ES Gained %</t>
  </si>
  <si>
    <t>Gross Annuity Gained for 5 years (ES)</t>
  </si>
  <si>
    <t>Total Staking in 1 year (ES)</t>
  </si>
  <si>
    <t>READY RECKNOR CHART FOR PET WITH 10000 ES MONTHLY TARGET COMMITMENT, ANNUITY GAIN 12%</t>
  </si>
  <si>
    <t>Gross Staking (ES)</t>
  </si>
  <si>
    <t>Gross Self Staking</t>
  </si>
  <si>
    <t>Scenarios</t>
  </si>
  <si>
    <t>Scenario 1</t>
  </si>
  <si>
    <t>Scenario 9</t>
  </si>
  <si>
    <t>Scenario 8</t>
  </si>
  <si>
    <t>Scenario 7</t>
  </si>
  <si>
    <t>Scenario 6</t>
  </si>
  <si>
    <t>Scenario 5</t>
  </si>
  <si>
    <t>Scenario 4</t>
  </si>
  <si>
    <t>Scenario 3</t>
  </si>
  <si>
    <t>Scenario 2</t>
  </si>
  <si>
    <t>Scenario 10</t>
  </si>
  <si>
    <t>Scenario 11</t>
  </si>
  <si>
    <t>Scenario 12</t>
  </si>
  <si>
    <t>Scenario 13</t>
  </si>
  <si>
    <t>Scenario 14</t>
  </si>
  <si>
    <t>Scenario 15</t>
  </si>
  <si>
    <t>Scenario 16</t>
  </si>
  <si>
    <t>Scenario 17</t>
  </si>
  <si>
    <t>Scenario 18</t>
  </si>
  <si>
    <t>Scenario 19</t>
  </si>
  <si>
    <t>Scenario 20</t>
  </si>
  <si>
    <t>Scenario 21</t>
  </si>
  <si>
    <t>Scenario 22</t>
  </si>
  <si>
    <t>Scenario 23</t>
  </si>
  <si>
    <t>Scenario 24</t>
  </si>
  <si>
    <t>Single PET Bonus Strenght (ES)</t>
  </si>
  <si>
    <t>Number of Months PET Bonus Eligible</t>
  </si>
  <si>
    <t>READY RECKNOR CHART FOR PET WITH 10000 ES MONTHLY TARGET COMMITMENT, ANNUITY GAIN 12% If 50% comitment</t>
  </si>
  <si>
    <t>Single PET Bonus Strength (ES)</t>
  </si>
  <si>
    <t>GROSS TOTAL BENEFIT (ES)</t>
  </si>
  <si>
    <t>PET Bounty Gained (ES)</t>
  </si>
  <si>
    <t>USER GUIDE</t>
  </si>
  <si>
    <t>Editable Cells</t>
  </si>
  <si>
    <t>Please Enter Your Inputs in Cells Higlighted in Green &amp; Only numbers No Text</t>
  </si>
  <si>
    <t>Important Smart Contract  Conditions for Stakers</t>
  </si>
  <si>
    <t>TSGAP Benefit Calculations</t>
  </si>
  <si>
    <t>Sheets accesible by click</t>
  </si>
  <si>
    <t>Sheets Description</t>
  </si>
  <si>
    <t>PET Calculator</t>
  </si>
  <si>
    <t>Monthly PET  staking for 12 months (ES)</t>
  </si>
  <si>
    <t>Monthly Annuity Return in ES  every month for 5 years</t>
  </si>
  <si>
    <t>PET Bounty will accumulate equal ES as per SAP each corresponding month</t>
  </si>
  <si>
    <t>two lines text</t>
  </si>
  <si>
    <t>two lines text made</t>
  </si>
  <si>
    <t>two lines text made to 4 sorry 5 ohk</t>
  </si>
  <si>
    <t>two lines text so much that I need to make 15</t>
  </si>
  <si>
    <r>
      <t xml:space="preserve">       </t>
    </r>
    <r>
      <rPr>
        <b/>
        <sz val="11"/>
        <color theme="1"/>
        <rFont val="Calibri"/>
        <family val="2"/>
        <scheme val="minor"/>
      </rPr>
      <t>Passing PET Target Commitment %</t>
    </r>
    <r>
      <rPr>
        <sz val="11"/>
        <color theme="1"/>
        <rFont val="Calibri"/>
        <family val="2"/>
        <scheme val="minor"/>
      </rPr>
      <t xml:space="preserve">
The Passing PET target commitment will be minimum 50% of the Monthly target commitment of ES to qualify for PET Bonus.  If the monthly  target commitment is not achieved and PET target commitment is achieved then the user shall be provided with the PET Smart Contract Contribution but shall not be awarded the PET Bonus and those respective tokens shall be burned for the corresponding month.  
</t>
    </r>
    <r>
      <rPr>
        <b/>
        <sz val="11"/>
        <color theme="1"/>
        <rFont val="Calibri"/>
        <family val="2"/>
        <scheme val="minor"/>
      </rPr>
      <t>Example</t>
    </r>
    <r>
      <rPr>
        <sz val="11"/>
        <color theme="1"/>
        <rFont val="Calibri"/>
        <family val="2"/>
        <scheme val="minor"/>
      </rPr>
      <t>: If the monthly target of commitment is 10000 ES and the user stakes 5000ES that means he/she has achieved PET Target Commitment by staking minimum 50%. He /She shall avail on PET Smart Contract Contribution of 5000ES but he/she shall qualify for the PET Bonus.</t>
    </r>
  </si>
  <si>
    <r>
      <t xml:space="preserve">       </t>
    </r>
    <r>
      <rPr>
        <b/>
        <sz val="11"/>
        <color theme="1"/>
        <rFont val="Calibri"/>
        <family val="2"/>
        <scheme val="minor"/>
      </rPr>
      <t>Top-ups</t>
    </r>
    <r>
      <rPr>
        <sz val="11"/>
        <color theme="1"/>
        <rFont val="Calibri"/>
        <family val="2"/>
        <scheme val="minor"/>
      </rPr>
      <t xml:space="preserve">
If the user stakes more than the monthly target commitment he/she shall receive 50% of the PET Bounty on the staking above his desired Monthly Target Commitment.
</t>
    </r>
    <r>
      <rPr>
        <b/>
        <sz val="11"/>
        <color theme="1"/>
        <rFont val="Calibri"/>
        <family val="2"/>
        <scheme val="minor"/>
      </rPr>
      <t>Example:</t>
    </r>
    <r>
      <rPr>
        <sz val="11"/>
        <color theme="1"/>
        <rFont val="Calibri"/>
        <family val="2"/>
        <scheme val="minor"/>
      </rPr>
      <t xml:space="preserve"> User has decided his limit of 5000 ES and he/she stakes 2000 ES + 2000 ES + 6000 ES in 3 installments within 30 Days 10 hours. The total ES staked in PET is 10000 ES which will shall imply that he/she has achieved his/her target for the month and he/she shall receive a PET Bounty of 5000 ES + 2500 ES = 7500 ES.</t>
    </r>
  </si>
  <si>
    <r>
      <t xml:space="preserve">       </t>
    </r>
    <r>
      <rPr>
        <b/>
        <sz val="11"/>
        <color theme="1"/>
        <rFont val="Calibri"/>
        <family val="2"/>
        <scheme val="minor"/>
      </rPr>
      <t>Monthly Target Achievement Benefits</t>
    </r>
    <r>
      <rPr>
        <sz val="11"/>
        <color theme="1"/>
        <rFont val="Calibri"/>
        <family val="2"/>
        <scheme val="minor"/>
      </rPr>
      <t xml:space="preserve">
The staker has the flexibility to stake within 30 days 10 hours till the next window opens. The staker will have to meet the Monthly Target commitment to receive the PET Bonus as well as the PET Bounty</t>
    </r>
  </si>
  <si>
    <r>
      <t xml:space="preserve">       PET Starts with </t>
    </r>
    <r>
      <rPr>
        <b/>
        <sz val="11"/>
        <color theme="1"/>
        <rFont val="Calibri"/>
        <family val="2"/>
        <scheme val="minor"/>
      </rPr>
      <t>Systematic Accumulation Plan (SAP)</t>
    </r>
    <r>
      <rPr>
        <sz val="11"/>
        <color theme="1"/>
        <rFont val="Calibri"/>
        <family val="2"/>
        <scheme val="minor"/>
      </rPr>
      <t xml:space="preserve"> of minimum 500 ES commitment and above ( Please refer to PET Annuity Chart ) . PET Bounty will accumulate equal count of ES as per Monthly Target Commitment achieved as per the Staker</t>
    </r>
  </si>
  <si>
    <t xml:space="preserve">       PET Bonus will be released in 12 equal intervals of 5 months each over a period of 5 years as per the Monthly Target Commitment achievement in accumulation year. The PET Bonus pertaining to the 1st month shall be awarded on the 60th month of Annuity, the 2nd month shall be awarded on the 55th month of Annuity, correspondingly the 12th month shall be provided on the end of  5th month of Annuity.</t>
  </si>
  <si>
    <r>
      <t xml:space="preserve">       </t>
    </r>
    <r>
      <rPr>
        <b/>
        <sz val="11"/>
        <color theme="1"/>
        <rFont val="Calibri"/>
        <family val="2"/>
        <scheme val="minor"/>
      </rPr>
      <t>Monthly Target commitment</t>
    </r>
    <r>
      <rPr>
        <sz val="11"/>
        <color theme="1"/>
        <rFont val="Calibri"/>
        <family val="2"/>
        <scheme val="minor"/>
      </rPr>
      <t xml:space="preserve">
Monthly target commitment refers to the total ES to be staked within 30 days 10 hours. One needs to select his Monthly target commitment  from the annuity chart at the start of the plan.</t>
    </r>
  </si>
  <si>
    <r>
      <t xml:space="preserve">       </t>
    </r>
    <r>
      <rPr>
        <b/>
        <sz val="11"/>
        <color theme="1"/>
        <rFont val="Calibri"/>
        <family val="2"/>
        <scheme val="minor"/>
      </rPr>
      <t>Default Monthly Commitment</t>
    </r>
    <r>
      <rPr>
        <sz val="11"/>
        <color theme="1"/>
        <rFont val="Calibri"/>
        <family val="2"/>
        <scheme val="minor"/>
      </rPr>
      <t xml:space="preserve">
If the staker is unable to reach 50% of the monthly Target Commitment ES then he/she shall not qualify for PET Bounty nor shall he qualify for the PET bonus. The total staking ES count shall carry forward to the following month and a default shall be considered for that corresponding month. 
</t>
    </r>
    <r>
      <rPr>
        <b/>
        <sz val="11"/>
        <color theme="1"/>
        <rFont val="Calibri"/>
        <family val="2"/>
        <scheme val="minor"/>
      </rPr>
      <t>Example</t>
    </r>
    <r>
      <rPr>
        <sz val="11"/>
        <color theme="1"/>
        <rFont val="Calibri"/>
        <family val="2"/>
        <scheme val="minor"/>
      </rPr>
      <t xml:space="preserve">: Staker defaults to achieve Monthly Target Commitment for 11 months then, he/she will not get 11 installments PET Bonus. He/She will receive PET bonus corresponding to 1 month on the 12th Month of Annuity Year 5. 
</t>
    </r>
  </si>
  <si>
    <t xml:space="preserve">       Era Swap Token is subject to Market Risk. Please read Era Swap Utility Token Whitepaper , Era Swap Life T &amp; C* before participating</t>
  </si>
  <si>
    <t>Back to User Guide</t>
  </si>
  <si>
    <t>Back to TOP</t>
  </si>
  <si>
    <t>TOP</t>
  </si>
  <si>
    <t>PET Bounty</t>
  </si>
  <si>
    <t>Gross PET Bonus Benifits (ES)</t>
  </si>
  <si>
    <t>500 to 999</t>
  </si>
  <si>
    <t>1000 to 2499</t>
  </si>
  <si>
    <t>2500 to 4999</t>
  </si>
  <si>
    <t>5000 to 9999</t>
  </si>
  <si>
    <t>10000 and above</t>
  </si>
  <si>
    <t>PET Bonus (every 5 months)</t>
  </si>
  <si>
    <t>Month Annuity (ES)</t>
  </si>
  <si>
    <t>Number of Months Annuity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</si>
</sst>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1"/>
      <color theme="0"/>
      <name val="Calibri"/>
      <family val="2"/>
    </font>
    <font>
      <sz val="11"/>
      <color rgb="FF000000"/>
      <name val="Calibri"/>
      <family val="2"/>
    </font>
    <font>
      <b/>
      <sz val="12"/>
      <color theme="1"/>
      <name val="Calibri"/>
      <family val="2"/>
      <scheme val="minor"/>
    </font>
    <font>
      <sz val="8"/>
      <name val="Calibri"/>
      <family val="2"/>
      <scheme val="minor"/>
    </font>
    <font>
      <b/>
      <sz val="12"/>
      <color theme="0"/>
      <name val="Calibri"/>
      <family val="2"/>
    </font>
    <font>
      <sz val="11"/>
      <color rgb="FF000000"/>
      <name val="Calibri"/>
      <family val="2"/>
      <scheme val="minor"/>
    </font>
    <font>
      <u/>
      <sz val="11"/>
      <color theme="10"/>
      <name val="Calibri"/>
      <family val="2"/>
      <scheme val="minor"/>
    </font>
    <font>
      <sz val="12"/>
      <color theme="1"/>
      <name val="Calibri"/>
      <family val="2"/>
      <scheme val="minor"/>
    </font>
    <font>
      <sz val="12"/>
      <color rgb="FF000000"/>
      <name val="Calibri"/>
      <family val="2"/>
    </font>
    <font>
      <b/>
      <sz val="12"/>
      <color rgb="FF000000"/>
      <name val="Calibri"/>
      <family val="2"/>
    </font>
    <font>
      <u/>
      <sz val="12"/>
      <color theme="10"/>
      <name val="Calibri"/>
      <family val="2"/>
      <scheme val="minor"/>
    </font>
  </fonts>
  <fills count="21">
    <fill>
      <patternFill patternType="none"/>
    </fill>
    <fill>
      <patternFill patternType="gray125"/>
    </fill>
    <fill>
      <patternFill patternType="solid">
        <fgColor theme="4" tint="-0.249977111117893"/>
        <bgColor indexed="64"/>
      </patternFill>
    </fill>
    <fill>
      <patternFill patternType="solid">
        <fgColor theme="5"/>
        <bgColor indexed="64"/>
      </patternFill>
    </fill>
    <fill>
      <patternFill patternType="solid">
        <fgColor theme="7"/>
        <bgColor indexed="64"/>
      </patternFill>
    </fill>
    <fill>
      <patternFill patternType="solid">
        <fgColor theme="4" tint="0.59999389629810485"/>
        <bgColor indexed="64"/>
      </patternFill>
    </fill>
    <fill>
      <patternFill patternType="solid">
        <fgColor rgb="FF92D050"/>
        <bgColor indexed="64"/>
      </patternFill>
    </fill>
    <fill>
      <patternFill patternType="solid">
        <fgColor theme="3"/>
        <bgColor indexed="64"/>
      </patternFill>
    </fill>
    <fill>
      <patternFill patternType="solid">
        <fgColor theme="5" tint="0.59999389629810485"/>
        <bgColor indexed="64"/>
      </patternFill>
    </fill>
    <fill>
      <patternFill patternType="solid">
        <fgColor theme="9"/>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FF00"/>
        <bgColor indexed="64"/>
      </patternFill>
    </fill>
    <fill>
      <patternFill patternType="solid">
        <fgColor theme="4"/>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0070C0"/>
        <bgColor indexed="64"/>
      </patternFill>
    </fill>
    <fill>
      <patternFill patternType="solid">
        <fgColor theme="5" tint="0.39997558519241921"/>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auto="1"/>
      </left>
      <right style="medium">
        <color indexed="64"/>
      </right>
      <top style="medium">
        <color indexed="64"/>
      </top>
      <bottom style="thin">
        <color auto="1"/>
      </bottom>
      <diagonal/>
    </border>
    <border>
      <left style="thin">
        <color auto="1"/>
      </left>
      <right style="medium">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style="medium">
        <color auto="1"/>
      </right>
      <top style="thin">
        <color auto="1"/>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medium">
        <color auto="1"/>
      </right>
      <top/>
      <bottom style="thin">
        <color auto="1"/>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rgb="FF000000"/>
      </left>
      <right style="thin">
        <color rgb="FF000000"/>
      </right>
      <top style="thin">
        <color rgb="FF000000"/>
      </top>
      <bottom/>
      <diagonal/>
    </border>
  </borders>
  <cellStyleXfs count="3">
    <xf numFmtId="0" fontId="0" fillId="0" borderId="0"/>
    <xf numFmtId="9" fontId="1" fillId="0" borderId="0" applyFont="0" applyFill="0" applyBorder="0" applyAlignment="0" applyProtection="0"/>
    <xf numFmtId="0" fontId="10" fillId="0" borderId="0" applyNumberFormat="0" applyFill="0" applyBorder="0" applyAlignment="0" applyProtection="0"/>
  </cellStyleXfs>
  <cellXfs count="103">
    <xf numFmtId="0" fontId="0" fillId="0" borderId="0" xfId="0"/>
    <xf numFmtId="0" fontId="0" fillId="0" borderId="0" xfId="0" applyProtection="1">
      <protection hidden="1"/>
    </xf>
    <xf numFmtId="0" fontId="2" fillId="2" borderId="9" xfId="0" applyFont="1" applyFill="1" applyBorder="1" applyAlignment="1" applyProtection="1">
      <alignment horizontal="center" vertical="center" wrapText="1"/>
      <protection hidden="1"/>
    </xf>
    <xf numFmtId="0" fontId="0" fillId="9" borderId="2" xfId="0" applyFill="1" applyBorder="1" applyAlignment="1" applyProtection="1">
      <alignment horizontal="center" vertical="center"/>
      <protection locked="0" hidden="1"/>
    </xf>
    <xf numFmtId="164" fontId="0" fillId="0" borderId="11" xfId="0" applyNumberFormat="1" applyBorder="1" applyAlignment="1" applyProtection="1">
      <alignment horizontal="center" vertical="center"/>
      <protection hidden="1"/>
    </xf>
    <xf numFmtId="0" fontId="0" fillId="0" borderId="0" xfId="0" applyAlignment="1" applyProtection="1">
      <alignment vertical="center"/>
      <protection hidden="1"/>
    </xf>
    <xf numFmtId="0" fontId="0" fillId="0" borderId="0" xfId="0" applyFill="1" applyAlignment="1" applyProtection="1">
      <alignment vertical="center"/>
      <protection hidden="1"/>
    </xf>
    <xf numFmtId="0" fontId="4" fillId="7" borderId="7" xfId="0" applyFont="1" applyFill="1" applyBorder="1" applyAlignment="1" applyProtection="1">
      <alignment horizontal="center" vertical="center" wrapText="1"/>
      <protection hidden="1"/>
    </xf>
    <xf numFmtId="0" fontId="4" fillId="7" borderId="8" xfId="0" applyFont="1" applyFill="1" applyBorder="1" applyAlignment="1" applyProtection="1">
      <alignment horizontal="center" vertical="center" wrapText="1"/>
      <protection hidden="1"/>
    </xf>
    <xf numFmtId="0" fontId="0" fillId="0" borderId="1" xfId="0" applyBorder="1" applyAlignment="1" applyProtection="1">
      <alignment horizontal="center"/>
      <protection hidden="1"/>
    </xf>
    <xf numFmtId="0" fontId="0" fillId="6" borderId="1" xfId="0" applyFill="1" applyBorder="1" applyAlignment="1" applyProtection="1">
      <alignment horizontal="center"/>
      <protection locked="0" hidden="1"/>
    </xf>
    <xf numFmtId="0" fontId="0" fillId="10" borderId="1" xfId="0" applyFill="1" applyBorder="1" applyAlignment="1" applyProtection="1">
      <alignment horizontal="center"/>
      <protection hidden="1"/>
    </xf>
    <xf numFmtId="0" fontId="5" fillId="0" borderId="16" xfId="0" applyFont="1" applyBorder="1" applyAlignment="1" applyProtection="1">
      <alignment horizontal="center" vertical="center" wrapText="1"/>
      <protection hidden="1"/>
    </xf>
    <xf numFmtId="0" fontId="5" fillId="0" borderId="3" xfId="0" applyFont="1" applyBorder="1" applyAlignment="1" applyProtection="1">
      <alignment horizontal="center" vertical="center" wrapText="1"/>
      <protection hidden="1"/>
    </xf>
    <xf numFmtId="0" fontId="5" fillId="0" borderId="5" xfId="0" applyFont="1" applyBorder="1" applyAlignment="1" applyProtection="1">
      <alignment horizontal="center" vertical="center" wrapText="1"/>
      <protection hidden="1"/>
    </xf>
    <xf numFmtId="0" fontId="4" fillId="0" borderId="0" xfId="0" applyFont="1" applyFill="1" applyBorder="1" applyAlignment="1" applyProtection="1">
      <alignment horizontal="center" vertical="center" wrapText="1"/>
      <protection hidden="1"/>
    </xf>
    <xf numFmtId="0" fontId="3" fillId="3" borderId="1" xfId="0" applyFont="1" applyFill="1" applyBorder="1" applyAlignment="1" applyProtection="1">
      <alignment horizontal="center" vertical="center" wrapText="1"/>
      <protection hidden="1"/>
    </xf>
    <xf numFmtId="0" fontId="3" fillId="4" borderId="1" xfId="0" applyFont="1" applyFill="1" applyBorder="1" applyAlignment="1" applyProtection="1">
      <alignment horizontal="center" vertical="center" wrapText="1"/>
      <protection hidden="1"/>
    </xf>
    <xf numFmtId="0" fontId="2" fillId="2" borderId="13" xfId="0" applyFont="1" applyFill="1" applyBorder="1" applyAlignment="1" applyProtection="1">
      <alignment horizontal="center" vertical="center" wrapText="1"/>
      <protection hidden="1"/>
    </xf>
    <xf numFmtId="1" fontId="0" fillId="0" borderId="1" xfId="0" applyNumberFormat="1" applyBorder="1" applyAlignment="1" applyProtection="1">
      <alignment horizontal="center"/>
      <protection hidden="1"/>
    </xf>
    <xf numFmtId="9" fontId="0" fillId="0" borderId="1" xfId="1" applyFont="1" applyBorder="1" applyAlignment="1" applyProtection="1">
      <alignment horizontal="center"/>
      <protection hidden="1"/>
    </xf>
    <xf numFmtId="1" fontId="0" fillId="0" borderId="12" xfId="0" applyNumberFormat="1" applyFill="1" applyBorder="1" applyAlignment="1" applyProtection="1">
      <alignment horizontal="left"/>
      <protection hidden="1"/>
    </xf>
    <xf numFmtId="2" fontId="0" fillId="5" borderId="1" xfId="0" applyNumberFormat="1" applyFill="1" applyBorder="1" applyAlignment="1" applyProtection="1">
      <alignment horizontal="center"/>
      <protection hidden="1"/>
    </xf>
    <xf numFmtId="0" fontId="2" fillId="2" borderId="10" xfId="0" applyFont="1" applyFill="1" applyBorder="1" applyAlignment="1" applyProtection="1">
      <alignment horizontal="center" vertical="center" wrapText="1"/>
      <protection hidden="1"/>
    </xf>
    <xf numFmtId="0" fontId="0" fillId="0" borderId="0" xfId="0" applyAlignment="1" applyProtection="1">
      <alignment wrapText="1"/>
      <protection hidden="1"/>
    </xf>
    <xf numFmtId="0" fontId="9" fillId="0" borderId="0" xfId="0" applyFont="1" applyAlignment="1">
      <alignment horizontal="justify" vertical="center" readingOrder="1"/>
    </xf>
    <xf numFmtId="0" fontId="11" fillId="0" borderId="0" xfId="0" applyFont="1"/>
    <xf numFmtId="0" fontId="13" fillId="12" borderId="32" xfId="0" applyFont="1" applyFill="1" applyBorder="1" applyAlignment="1">
      <alignment horizontal="center" vertical="center" wrapText="1" readingOrder="1"/>
    </xf>
    <xf numFmtId="0" fontId="11" fillId="0" borderId="1" xfId="0" applyFont="1" applyBorder="1" applyAlignment="1">
      <alignment horizontal="center" vertical="center"/>
    </xf>
    <xf numFmtId="164" fontId="11" fillId="0" borderId="1" xfId="1" applyNumberFormat="1" applyFont="1" applyBorder="1" applyAlignment="1">
      <alignment horizontal="center" vertical="center"/>
    </xf>
    <xf numFmtId="0" fontId="0" fillId="0" borderId="0" xfId="0" applyAlignment="1">
      <alignment wrapText="1"/>
    </xf>
    <xf numFmtId="0" fontId="0" fillId="0" borderId="13" xfId="0" applyBorder="1" applyAlignment="1" applyProtection="1">
      <alignment horizontal="center"/>
      <protection hidden="1"/>
    </xf>
    <xf numFmtId="0" fontId="0" fillId="6" borderId="13" xfId="0" applyFill="1" applyBorder="1" applyAlignment="1" applyProtection="1">
      <alignment horizontal="center"/>
      <protection locked="0" hidden="1"/>
    </xf>
    <xf numFmtId="0" fontId="0" fillId="10" borderId="13" xfId="0" applyFill="1" applyBorder="1" applyAlignment="1" applyProtection="1">
      <alignment horizontal="center"/>
      <protection hidden="1"/>
    </xf>
    <xf numFmtId="0" fontId="2" fillId="2" borderId="20" xfId="0" applyFont="1" applyFill="1" applyBorder="1" applyAlignment="1" applyProtection="1">
      <alignment horizontal="center" vertical="center" wrapText="1"/>
      <protection hidden="1"/>
    </xf>
    <xf numFmtId="0" fontId="2" fillId="2" borderId="7" xfId="0" applyFont="1" applyFill="1" applyBorder="1" applyAlignment="1" applyProtection="1">
      <alignment horizontal="center" vertical="center"/>
      <protection hidden="1"/>
    </xf>
    <xf numFmtId="0" fontId="2" fillId="2" borderId="7" xfId="0" applyFont="1" applyFill="1" applyBorder="1" applyAlignment="1" applyProtection="1">
      <alignment horizontal="center" vertical="center" wrapText="1"/>
      <protection hidden="1"/>
    </xf>
    <xf numFmtId="0" fontId="0" fillId="0" borderId="4" xfId="0" applyBorder="1" applyAlignment="1" applyProtection="1">
      <alignment horizontal="center"/>
      <protection hidden="1"/>
    </xf>
    <xf numFmtId="0" fontId="0" fillId="6" borderId="4" xfId="0" applyFill="1" applyBorder="1" applyAlignment="1" applyProtection="1">
      <alignment horizontal="center"/>
      <protection locked="0" hidden="1"/>
    </xf>
    <xf numFmtId="0" fontId="0" fillId="10" borderId="4" xfId="0" applyFill="1" applyBorder="1" applyAlignment="1" applyProtection="1">
      <alignment horizontal="center"/>
      <protection hidden="1"/>
    </xf>
    <xf numFmtId="0" fontId="3" fillId="14" borderId="7" xfId="0" applyFont="1" applyFill="1" applyBorder="1" applyAlignment="1" applyProtection="1">
      <alignment horizontal="center"/>
      <protection locked="0" hidden="1"/>
    </xf>
    <xf numFmtId="2" fontId="5" fillId="6" borderId="13" xfId="0" applyNumberFormat="1" applyFont="1" applyFill="1" applyBorder="1" applyAlignment="1" applyProtection="1">
      <alignment horizontal="center" vertical="center" wrapText="1"/>
      <protection hidden="1"/>
    </xf>
    <xf numFmtId="2" fontId="5" fillId="5" borderId="13" xfId="0" applyNumberFormat="1" applyFont="1" applyFill="1" applyBorder="1" applyAlignment="1" applyProtection="1">
      <alignment horizontal="center" vertical="center" wrapText="1"/>
      <protection hidden="1"/>
    </xf>
    <xf numFmtId="10" fontId="5" fillId="5" borderId="16" xfId="1" applyNumberFormat="1" applyFont="1" applyFill="1" applyBorder="1" applyAlignment="1" applyProtection="1">
      <alignment horizontal="center" vertical="center" wrapText="1"/>
      <protection hidden="1"/>
    </xf>
    <xf numFmtId="2" fontId="5" fillId="10" borderId="4" xfId="0" applyNumberFormat="1" applyFont="1" applyFill="1" applyBorder="1" applyAlignment="1" applyProtection="1">
      <alignment horizontal="center" vertical="center" wrapText="1"/>
      <protection hidden="1"/>
    </xf>
    <xf numFmtId="0" fontId="0" fillId="8" borderId="13" xfId="0" applyFill="1" applyBorder="1" applyAlignment="1" applyProtection="1">
      <alignment horizontal="center"/>
      <protection hidden="1"/>
    </xf>
    <xf numFmtId="0" fontId="0" fillId="8" borderId="1" xfId="0" applyFill="1" applyBorder="1" applyAlignment="1" applyProtection="1">
      <alignment horizontal="center"/>
      <protection hidden="1"/>
    </xf>
    <xf numFmtId="0" fontId="0" fillId="8" borderId="4" xfId="0" applyFill="1" applyBorder="1" applyAlignment="1" applyProtection="1">
      <alignment horizontal="center"/>
      <protection hidden="1"/>
    </xf>
    <xf numFmtId="2" fontId="5" fillId="8" borderId="1" xfId="0" applyNumberFormat="1" applyFont="1" applyFill="1" applyBorder="1" applyAlignment="1" applyProtection="1">
      <alignment horizontal="center" vertical="center" wrapText="1"/>
      <protection hidden="1"/>
    </xf>
    <xf numFmtId="2" fontId="0" fillId="11" borderId="1" xfId="0" applyNumberFormat="1" applyFill="1" applyBorder="1" applyAlignment="1" applyProtection="1">
      <alignment horizontal="center"/>
      <protection hidden="1"/>
    </xf>
    <xf numFmtId="2" fontId="5" fillId="11" borderId="4" xfId="0" applyNumberFormat="1" applyFont="1" applyFill="1" applyBorder="1" applyAlignment="1" applyProtection="1">
      <alignment horizontal="center" vertical="center" wrapText="1"/>
      <protection hidden="1"/>
    </xf>
    <xf numFmtId="10" fontId="5" fillId="11" borderId="5" xfId="1" applyNumberFormat="1" applyFont="1" applyFill="1" applyBorder="1" applyAlignment="1" applyProtection="1">
      <alignment horizontal="center" vertical="center" wrapText="1"/>
      <protection hidden="1"/>
    </xf>
    <xf numFmtId="0" fontId="3" fillId="16" borderId="7" xfId="0" applyFont="1" applyFill="1" applyBorder="1" applyAlignment="1" applyProtection="1">
      <alignment horizontal="center"/>
      <protection hidden="1"/>
    </xf>
    <xf numFmtId="0" fontId="3" fillId="17" borderId="7" xfId="0" applyFont="1" applyFill="1" applyBorder="1" applyAlignment="1" applyProtection="1">
      <alignment horizontal="center"/>
      <protection hidden="1"/>
    </xf>
    <xf numFmtId="0" fontId="3" fillId="18" borderId="20" xfId="0" applyFont="1" applyFill="1" applyBorder="1" applyAlignment="1" applyProtection="1">
      <alignment horizontal="center"/>
      <protection hidden="1"/>
    </xf>
    <xf numFmtId="0" fontId="3" fillId="18" borderId="7" xfId="0" applyFont="1" applyFill="1" applyBorder="1" applyAlignment="1" applyProtection="1">
      <alignment horizontal="center"/>
      <protection hidden="1"/>
    </xf>
    <xf numFmtId="0" fontId="3" fillId="18" borderId="8" xfId="0" applyFont="1" applyFill="1" applyBorder="1" applyAlignment="1" applyProtection="1">
      <alignment horizontal="center"/>
      <protection hidden="1"/>
    </xf>
    <xf numFmtId="2" fontId="4" fillId="19" borderId="7" xfId="0" applyNumberFormat="1" applyFont="1" applyFill="1" applyBorder="1" applyAlignment="1" applyProtection="1">
      <alignment horizontal="center" vertical="center" wrapText="1"/>
      <protection hidden="1"/>
    </xf>
    <xf numFmtId="10" fontId="4" fillId="19" borderId="8" xfId="1" applyNumberFormat="1" applyFont="1" applyFill="1" applyBorder="1" applyAlignment="1" applyProtection="1">
      <alignment horizontal="center" vertical="center" wrapText="1"/>
      <protection hidden="1"/>
    </xf>
    <xf numFmtId="1" fontId="0" fillId="6" borderId="1" xfId="0" applyNumberFormat="1" applyFill="1" applyBorder="1" applyAlignment="1" applyProtection="1">
      <alignment horizontal="center"/>
      <protection hidden="1"/>
    </xf>
    <xf numFmtId="1" fontId="0" fillId="20" borderId="1" xfId="0" applyNumberFormat="1" applyFill="1" applyBorder="1" applyAlignment="1" applyProtection="1">
      <alignment horizontal="center"/>
      <protection hidden="1"/>
    </xf>
    <xf numFmtId="1" fontId="0" fillId="8" borderId="1" xfId="0" applyNumberFormat="1" applyFill="1" applyBorder="1" applyAlignment="1" applyProtection="1">
      <alignment horizontal="center"/>
      <protection hidden="1"/>
    </xf>
    <xf numFmtId="1" fontId="0" fillId="15" borderId="1" xfId="0" applyNumberFormat="1" applyFill="1" applyBorder="1" applyAlignment="1" applyProtection="1">
      <alignment horizontal="center"/>
      <protection hidden="1"/>
    </xf>
    <xf numFmtId="1" fontId="0" fillId="11" borderId="1" xfId="0" applyNumberFormat="1" applyFill="1" applyBorder="1" applyAlignment="1" applyProtection="1">
      <alignment horizontal="center"/>
      <protection hidden="1"/>
    </xf>
    <xf numFmtId="0" fontId="0" fillId="0" borderId="1" xfId="0" applyBorder="1" applyAlignment="1">
      <alignment horizontal="left" vertical="center" wrapText="1"/>
    </xf>
    <xf numFmtId="0" fontId="2" fillId="2" borderId="28" xfId="0" applyFont="1" applyFill="1" applyBorder="1" applyAlignment="1">
      <alignment horizontal="center"/>
    </xf>
    <xf numFmtId="0" fontId="2" fillId="2" borderId="27" xfId="0" applyFont="1" applyFill="1" applyBorder="1" applyAlignment="1">
      <alignment horizontal="center"/>
    </xf>
    <xf numFmtId="0" fontId="2" fillId="2" borderId="29" xfId="0" applyFont="1" applyFill="1" applyBorder="1" applyAlignment="1">
      <alignment horizontal="center"/>
    </xf>
    <xf numFmtId="0" fontId="0" fillId="0" borderId="1" xfId="0" applyBorder="1" applyAlignment="1">
      <alignment horizontal="left" wrapText="1"/>
    </xf>
    <xf numFmtId="0" fontId="12" fillId="0" borderId="13" xfId="0" applyFont="1" applyBorder="1" applyAlignment="1">
      <alignment horizontal="center"/>
    </xf>
    <xf numFmtId="0" fontId="14" fillId="6" borderId="13" xfId="2" applyFont="1" applyFill="1" applyBorder="1" applyAlignment="1">
      <alignment horizontal="center"/>
    </xf>
    <xf numFmtId="0" fontId="13" fillId="6" borderId="21" xfId="0" applyFont="1" applyFill="1" applyBorder="1" applyAlignment="1">
      <alignment horizontal="center" vertical="center" wrapText="1"/>
    </xf>
    <xf numFmtId="0" fontId="13" fillId="6" borderId="22" xfId="0" applyFont="1" applyFill="1" applyBorder="1" applyAlignment="1">
      <alignment horizontal="center" vertical="center" wrapText="1"/>
    </xf>
    <xf numFmtId="0" fontId="13" fillId="6" borderId="23" xfId="0" applyFont="1" applyFill="1" applyBorder="1" applyAlignment="1">
      <alignment horizontal="center" vertical="center" wrapText="1"/>
    </xf>
    <xf numFmtId="0" fontId="8" fillId="7" borderId="24" xfId="0" applyFont="1" applyFill="1" applyBorder="1" applyAlignment="1">
      <alignment horizontal="center" vertical="center"/>
    </xf>
    <xf numFmtId="0" fontId="8" fillId="7" borderId="25" xfId="0" applyFont="1" applyFill="1" applyBorder="1" applyAlignment="1">
      <alignment horizontal="center" vertical="center"/>
    </xf>
    <xf numFmtId="0" fontId="8" fillId="7" borderId="26" xfId="0" applyFont="1" applyFill="1" applyBorder="1" applyAlignment="1">
      <alignment horizontal="center" vertical="center"/>
    </xf>
    <xf numFmtId="0" fontId="12" fillId="0" borderId="30" xfId="0" applyFont="1" applyBorder="1" applyAlignment="1">
      <alignment horizontal="center" vertical="center" wrapText="1"/>
    </xf>
    <xf numFmtId="0" fontId="12" fillId="0" borderId="31" xfId="0" applyFont="1" applyBorder="1" applyAlignment="1">
      <alignment horizontal="center" vertical="center" wrapText="1"/>
    </xf>
    <xf numFmtId="0" fontId="8" fillId="2" borderId="6" xfId="0" applyFont="1" applyFill="1" applyBorder="1" applyAlignment="1">
      <alignment horizontal="center"/>
    </xf>
    <xf numFmtId="0" fontId="8" fillId="2" borderId="14" xfId="0" applyFont="1" applyFill="1" applyBorder="1" applyAlignment="1">
      <alignment horizontal="center"/>
    </xf>
    <xf numFmtId="0" fontId="8" fillId="2" borderId="15" xfId="0" applyFont="1" applyFill="1" applyBorder="1" applyAlignment="1">
      <alignment horizontal="center"/>
    </xf>
    <xf numFmtId="0" fontId="2" fillId="13" borderId="20" xfId="0" applyFont="1" applyFill="1" applyBorder="1" applyAlignment="1" applyProtection="1">
      <alignment horizontal="center" vertical="center"/>
      <protection hidden="1"/>
    </xf>
    <xf numFmtId="0" fontId="2" fillId="13" borderId="7" xfId="0" applyFont="1" applyFill="1" applyBorder="1" applyAlignment="1" applyProtection="1">
      <alignment horizontal="center" vertical="center"/>
      <protection hidden="1"/>
    </xf>
    <xf numFmtId="0" fontId="10" fillId="6" borderId="7" xfId="2" applyFill="1" applyBorder="1" applyAlignment="1">
      <alignment horizontal="center" vertical="center"/>
    </xf>
    <xf numFmtId="0" fontId="10" fillId="6" borderId="8" xfId="2" applyFill="1" applyBorder="1" applyAlignment="1">
      <alignment horizontal="center" vertical="center"/>
    </xf>
    <xf numFmtId="0" fontId="6" fillId="11" borderId="6" xfId="0" applyFont="1" applyFill="1" applyBorder="1" applyAlignment="1" applyProtection="1">
      <alignment horizontal="center"/>
      <protection hidden="1"/>
    </xf>
    <xf numFmtId="0" fontId="6" fillId="11" borderId="14" xfId="0" applyFont="1" applyFill="1" applyBorder="1" applyAlignment="1" applyProtection="1">
      <alignment horizontal="center"/>
      <protection hidden="1"/>
    </xf>
    <xf numFmtId="0" fontId="6" fillId="11" borderId="15" xfId="0" applyFont="1" applyFill="1" applyBorder="1" applyAlignment="1" applyProtection="1">
      <alignment horizontal="center"/>
      <protection hidden="1"/>
    </xf>
    <xf numFmtId="0" fontId="4" fillId="7" borderId="20" xfId="0" applyFont="1" applyFill="1" applyBorder="1" applyAlignment="1" applyProtection="1">
      <alignment horizontal="center" vertical="center" wrapText="1"/>
      <protection hidden="1"/>
    </xf>
    <xf numFmtId="0" fontId="4" fillId="7" borderId="7" xfId="0" applyFont="1" applyFill="1" applyBorder="1" applyAlignment="1" applyProtection="1">
      <alignment horizontal="center" vertical="center" wrapText="1"/>
      <protection hidden="1"/>
    </xf>
    <xf numFmtId="0" fontId="5" fillId="6" borderId="19" xfId="0" applyFont="1" applyFill="1" applyBorder="1" applyAlignment="1" applyProtection="1">
      <alignment horizontal="center" vertical="center" wrapText="1"/>
      <protection hidden="1"/>
    </xf>
    <xf numFmtId="0" fontId="5" fillId="6" borderId="13" xfId="0" applyFont="1" applyFill="1" applyBorder="1" applyAlignment="1" applyProtection="1">
      <alignment horizontal="center" vertical="center" wrapText="1"/>
      <protection hidden="1"/>
    </xf>
    <xf numFmtId="0" fontId="5" fillId="8" borderId="17" xfId="0" applyFont="1" applyFill="1" applyBorder="1" applyAlignment="1" applyProtection="1">
      <alignment horizontal="center" vertical="center" wrapText="1"/>
      <protection hidden="1"/>
    </xf>
    <xf numFmtId="0" fontId="5" fillId="8" borderId="1" xfId="0" applyFont="1" applyFill="1" applyBorder="1" applyAlignment="1" applyProtection="1">
      <alignment horizontal="center" vertical="center" wrapText="1"/>
      <protection hidden="1"/>
    </xf>
    <xf numFmtId="0" fontId="5" fillId="10" borderId="18" xfId="0" applyFont="1" applyFill="1" applyBorder="1" applyAlignment="1" applyProtection="1">
      <alignment horizontal="center" vertical="center" wrapText="1"/>
      <protection hidden="1"/>
    </xf>
    <xf numFmtId="0" fontId="5" fillId="10" borderId="4" xfId="0" applyFont="1" applyFill="1" applyBorder="1" applyAlignment="1" applyProtection="1">
      <alignment horizontal="center" vertical="center" wrapText="1"/>
      <protection hidden="1"/>
    </xf>
    <xf numFmtId="0" fontId="5" fillId="5" borderId="19" xfId="0" applyFont="1" applyFill="1" applyBorder="1" applyAlignment="1" applyProtection="1">
      <alignment horizontal="center" vertical="center" wrapText="1"/>
      <protection hidden="1"/>
    </xf>
    <xf numFmtId="0" fontId="5" fillId="5" borderId="13" xfId="0" applyFont="1" applyFill="1" applyBorder="1" applyAlignment="1" applyProtection="1">
      <alignment horizontal="center" vertical="center" wrapText="1"/>
      <protection hidden="1"/>
    </xf>
    <xf numFmtId="0" fontId="5" fillId="11" borderId="18" xfId="0" applyFont="1" applyFill="1" applyBorder="1" applyAlignment="1" applyProtection="1">
      <alignment horizontal="center" vertical="center" wrapText="1"/>
      <protection hidden="1"/>
    </xf>
    <xf numFmtId="0" fontId="5" fillId="11" borderId="4" xfId="0" applyFont="1" applyFill="1" applyBorder="1" applyAlignment="1" applyProtection="1">
      <alignment horizontal="center" vertical="center" wrapText="1"/>
      <protection hidden="1"/>
    </xf>
    <xf numFmtId="0" fontId="4" fillId="19" borderId="20" xfId="0" applyFont="1" applyFill="1" applyBorder="1" applyAlignment="1" applyProtection="1">
      <alignment horizontal="center" vertical="center" wrapText="1"/>
      <protection hidden="1"/>
    </xf>
    <xf numFmtId="0" fontId="4" fillId="19" borderId="7" xfId="0" applyFont="1" applyFill="1" applyBorder="1" applyAlignment="1" applyProtection="1">
      <alignment horizontal="center" vertical="center" wrapText="1"/>
      <protection hidden="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590550</xdr:colOff>
      <xdr:row>11</xdr:row>
      <xdr:rowOff>0</xdr:rowOff>
    </xdr:from>
    <xdr:to>
      <xdr:col>1</xdr:col>
      <xdr:colOff>230887</xdr:colOff>
      <xdr:row>11</xdr:row>
      <xdr:rowOff>219456</xdr:rowOff>
    </xdr:to>
    <xdr:pic>
      <xdr:nvPicPr>
        <xdr:cNvPr id="2" name="Picture 1">
          <a:extLst>
            <a:ext uri="{FF2B5EF4-FFF2-40B4-BE49-F238E27FC236}">
              <a16:creationId xmlns:a16="http://schemas.microsoft.com/office/drawing/2014/main" id="{DFDBF299-20EA-4C24-96BA-AD9E95B1580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0550" y="2628900"/>
          <a:ext cx="249937" cy="219456"/>
        </a:xfrm>
        <a:prstGeom prst="rect">
          <a:avLst/>
        </a:prstGeom>
      </xdr:spPr>
    </xdr:pic>
    <xdr:clientData/>
  </xdr:twoCellAnchor>
  <xdr:twoCellAnchor editAs="oneCell">
    <xdr:from>
      <xdr:col>0</xdr:col>
      <xdr:colOff>590550</xdr:colOff>
      <xdr:row>11</xdr:row>
      <xdr:rowOff>371475</xdr:rowOff>
    </xdr:from>
    <xdr:to>
      <xdr:col>1</xdr:col>
      <xdr:colOff>230887</xdr:colOff>
      <xdr:row>12</xdr:row>
      <xdr:rowOff>209931</xdr:rowOff>
    </xdr:to>
    <xdr:pic>
      <xdr:nvPicPr>
        <xdr:cNvPr id="3" name="Picture 2">
          <a:extLst>
            <a:ext uri="{FF2B5EF4-FFF2-40B4-BE49-F238E27FC236}">
              <a16:creationId xmlns:a16="http://schemas.microsoft.com/office/drawing/2014/main" id="{34D5590F-CCEC-42AC-BBA1-6167DF69D9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0550" y="3000375"/>
          <a:ext cx="249937" cy="219456"/>
        </a:xfrm>
        <a:prstGeom prst="rect">
          <a:avLst/>
        </a:prstGeom>
      </xdr:spPr>
    </xdr:pic>
    <xdr:clientData/>
  </xdr:twoCellAnchor>
  <xdr:twoCellAnchor editAs="oneCell">
    <xdr:from>
      <xdr:col>0</xdr:col>
      <xdr:colOff>590550</xdr:colOff>
      <xdr:row>12</xdr:row>
      <xdr:rowOff>371475</xdr:rowOff>
    </xdr:from>
    <xdr:to>
      <xdr:col>1</xdr:col>
      <xdr:colOff>230887</xdr:colOff>
      <xdr:row>13</xdr:row>
      <xdr:rowOff>209931</xdr:rowOff>
    </xdr:to>
    <xdr:pic>
      <xdr:nvPicPr>
        <xdr:cNvPr id="4" name="Picture 3">
          <a:extLst>
            <a:ext uri="{FF2B5EF4-FFF2-40B4-BE49-F238E27FC236}">
              <a16:creationId xmlns:a16="http://schemas.microsoft.com/office/drawing/2014/main" id="{C1F4C7A0-AA07-4B6C-AD61-782A09E926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0550" y="3381375"/>
          <a:ext cx="249937" cy="219456"/>
        </a:xfrm>
        <a:prstGeom prst="rect">
          <a:avLst/>
        </a:prstGeom>
      </xdr:spPr>
    </xdr:pic>
    <xdr:clientData/>
  </xdr:twoCellAnchor>
  <xdr:twoCellAnchor editAs="oneCell">
    <xdr:from>
      <xdr:col>0</xdr:col>
      <xdr:colOff>590550</xdr:colOff>
      <xdr:row>13</xdr:row>
      <xdr:rowOff>371475</xdr:rowOff>
    </xdr:from>
    <xdr:to>
      <xdr:col>1</xdr:col>
      <xdr:colOff>230887</xdr:colOff>
      <xdr:row>14</xdr:row>
      <xdr:rowOff>209931</xdr:rowOff>
    </xdr:to>
    <xdr:pic>
      <xdr:nvPicPr>
        <xdr:cNvPr id="5" name="Picture 4">
          <a:extLst>
            <a:ext uri="{FF2B5EF4-FFF2-40B4-BE49-F238E27FC236}">
              <a16:creationId xmlns:a16="http://schemas.microsoft.com/office/drawing/2014/main" id="{1C23B00D-8DCF-42C2-9AF6-72B67F2D02B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0550" y="3762375"/>
          <a:ext cx="249937" cy="219456"/>
        </a:xfrm>
        <a:prstGeom prst="rect">
          <a:avLst/>
        </a:prstGeom>
      </xdr:spPr>
    </xdr:pic>
    <xdr:clientData/>
  </xdr:twoCellAnchor>
  <xdr:twoCellAnchor editAs="oneCell">
    <xdr:from>
      <xdr:col>0</xdr:col>
      <xdr:colOff>590550</xdr:colOff>
      <xdr:row>14</xdr:row>
      <xdr:rowOff>561975</xdr:rowOff>
    </xdr:from>
    <xdr:to>
      <xdr:col>1</xdr:col>
      <xdr:colOff>230887</xdr:colOff>
      <xdr:row>15</xdr:row>
      <xdr:rowOff>209931</xdr:rowOff>
    </xdr:to>
    <xdr:pic>
      <xdr:nvPicPr>
        <xdr:cNvPr id="6" name="Picture 5">
          <a:extLst>
            <a:ext uri="{FF2B5EF4-FFF2-40B4-BE49-F238E27FC236}">
              <a16:creationId xmlns:a16="http://schemas.microsoft.com/office/drawing/2014/main" id="{2367C057-A2F8-482F-B208-56A1172EE96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0550" y="4333875"/>
          <a:ext cx="249937" cy="219456"/>
        </a:xfrm>
        <a:prstGeom prst="rect">
          <a:avLst/>
        </a:prstGeom>
      </xdr:spPr>
    </xdr:pic>
    <xdr:clientData/>
  </xdr:twoCellAnchor>
  <xdr:twoCellAnchor editAs="oneCell">
    <xdr:from>
      <xdr:col>0</xdr:col>
      <xdr:colOff>590550</xdr:colOff>
      <xdr:row>16</xdr:row>
      <xdr:rowOff>0</xdr:rowOff>
    </xdr:from>
    <xdr:to>
      <xdr:col>1</xdr:col>
      <xdr:colOff>230887</xdr:colOff>
      <xdr:row>16</xdr:row>
      <xdr:rowOff>219456</xdr:rowOff>
    </xdr:to>
    <xdr:pic>
      <xdr:nvPicPr>
        <xdr:cNvPr id="8" name="Picture 7">
          <a:extLst>
            <a:ext uri="{FF2B5EF4-FFF2-40B4-BE49-F238E27FC236}">
              <a16:creationId xmlns:a16="http://schemas.microsoft.com/office/drawing/2014/main" id="{E12865C6-29BC-4D94-9D5D-2635870DACF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0550" y="5295900"/>
          <a:ext cx="249937" cy="219456"/>
        </a:xfrm>
        <a:prstGeom prst="rect">
          <a:avLst/>
        </a:prstGeom>
      </xdr:spPr>
    </xdr:pic>
    <xdr:clientData/>
  </xdr:twoCellAnchor>
  <xdr:twoCellAnchor editAs="oneCell">
    <xdr:from>
      <xdr:col>0</xdr:col>
      <xdr:colOff>590550</xdr:colOff>
      <xdr:row>16</xdr:row>
      <xdr:rowOff>1133475</xdr:rowOff>
    </xdr:from>
    <xdr:to>
      <xdr:col>1</xdr:col>
      <xdr:colOff>230887</xdr:colOff>
      <xdr:row>17</xdr:row>
      <xdr:rowOff>209931</xdr:rowOff>
    </xdr:to>
    <xdr:pic>
      <xdr:nvPicPr>
        <xdr:cNvPr id="9" name="Picture 8">
          <a:extLst>
            <a:ext uri="{FF2B5EF4-FFF2-40B4-BE49-F238E27FC236}">
              <a16:creationId xmlns:a16="http://schemas.microsoft.com/office/drawing/2014/main" id="{1C3970A8-2DE9-42DC-84F1-ABB64A3092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0550" y="6429375"/>
          <a:ext cx="249937" cy="219456"/>
        </a:xfrm>
        <a:prstGeom prst="rect">
          <a:avLst/>
        </a:prstGeom>
      </xdr:spPr>
    </xdr:pic>
    <xdr:clientData/>
  </xdr:twoCellAnchor>
  <xdr:twoCellAnchor editAs="oneCell">
    <xdr:from>
      <xdr:col>0</xdr:col>
      <xdr:colOff>590550</xdr:colOff>
      <xdr:row>17</xdr:row>
      <xdr:rowOff>942975</xdr:rowOff>
    </xdr:from>
    <xdr:to>
      <xdr:col>1</xdr:col>
      <xdr:colOff>230887</xdr:colOff>
      <xdr:row>19</xdr:row>
      <xdr:rowOff>19431</xdr:rowOff>
    </xdr:to>
    <xdr:pic>
      <xdr:nvPicPr>
        <xdr:cNvPr id="10" name="Picture 9">
          <a:extLst>
            <a:ext uri="{FF2B5EF4-FFF2-40B4-BE49-F238E27FC236}">
              <a16:creationId xmlns:a16="http://schemas.microsoft.com/office/drawing/2014/main" id="{90C7EA9C-2096-4520-B596-99E1520622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0550" y="7381875"/>
          <a:ext cx="249937" cy="2194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4A06E-8B93-4CD3-8EB2-C0D49201EE01}">
  <dimension ref="A1:Q19"/>
  <sheetViews>
    <sheetView showGridLines="0" tabSelected="1" workbookViewId="0">
      <selection activeCell="B2" sqref="B2:F2"/>
    </sheetView>
  </sheetViews>
  <sheetFormatPr defaultRowHeight="15" x14ac:dyDescent="0.25"/>
  <cols>
    <col min="2" max="2" width="12.42578125" customWidth="1"/>
    <col min="3" max="3" width="13.7109375" customWidth="1"/>
    <col min="4" max="4" width="10.85546875" customWidth="1"/>
    <col min="5" max="5" width="11.42578125" customWidth="1"/>
    <col min="6" max="6" width="11.5703125" customWidth="1"/>
    <col min="9" max="9" width="17.140625" customWidth="1"/>
    <col min="10" max="10" width="28.7109375" bestFit="1" customWidth="1"/>
    <col min="11" max="11" width="19.85546875" bestFit="1" customWidth="1"/>
    <col min="17" max="17" width="0" hidden="1" customWidth="1"/>
  </cols>
  <sheetData>
    <row r="1" spans="1:17" ht="16.5" thickBot="1" x14ac:dyDescent="0.3">
      <c r="A1" s="26"/>
      <c r="B1" s="26"/>
      <c r="C1" s="26"/>
      <c r="D1" s="26"/>
      <c r="E1" s="26"/>
      <c r="F1" s="26"/>
      <c r="G1" s="26"/>
      <c r="H1" s="26"/>
      <c r="I1" s="26"/>
      <c r="J1" s="26"/>
      <c r="K1" s="26"/>
      <c r="L1" s="26"/>
      <c r="M1" s="26"/>
      <c r="N1" s="26"/>
      <c r="O1" s="26"/>
      <c r="P1" s="26"/>
    </row>
    <row r="2" spans="1:17" ht="15.75" x14ac:dyDescent="0.25">
      <c r="A2" s="26"/>
      <c r="B2" s="74" t="s">
        <v>64</v>
      </c>
      <c r="C2" s="75"/>
      <c r="D2" s="75"/>
      <c r="E2" s="75"/>
      <c r="F2" s="76"/>
      <c r="G2" s="26"/>
      <c r="H2" s="26"/>
      <c r="I2" s="26"/>
      <c r="J2" s="26"/>
      <c r="K2" s="26"/>
      <c r="L2" s="26"/>
      <c r="M2" s="26"/>
      <c r="N2" s="26"/>
      <c r="O2" s="26"/>
      <c r="P2" s="26"/>
    </row>
    <row r="3" spans="1:17" ht="48" thickBot="1" x14ac:dyDescent="0.3">
      <c r="A3" s="26"/>
      <c r="B3" s="77" t="s">
        <v>65</v>
      </c>
      <c r="C3" s="78"/>
      <c r="D3" s="71" t="s">
        <v>66</v>
      </c>
      <c r="E3" s="72"/>
      <c r="F3" s="73"/>
      <c r="G3" s="26"/>
      <c r="H3" s="26"/>
      <c r="I3" s="27" t="s">
        <v>72</v>
      </c>
      <c r="J3" s="27" t="s">
        <v>74</v>
      </c>
      <c r="K3" s="27" t="s">
        <v>73</v>
      </c>
      <c r="L3" s="26"/>
      <c r="M3" s="26"/>
      <c r="N3" s="26"/>
      <c r="O3" s="26"/>
      <c r="P3" s="26"/>
    </row>
    <row r="4" spans="1:17" ht="16.5" thickBot="1" x14ac:dyDescent="0.3">
      <c r="A4" s="26"/>
      <c r="B4" s="26"/>
      <c r="C4" s="26"/>
      <c r="D4" s="26"/>
      <c r="E4" s="26"/>
      <c r="F4" s="26"/>
      <c r="G4" s="26"/>
      <c r="H4" s="26"/>
      <c r="I4" s="28" t="s">
        <v>92</v>
      </c>
      <c r="J4" s="28" t="s">
        <v>92</v>
      </c>
      <c r="K4" s="29">
        <v>0.1</v>
      </c>
      <c r="L4" s="26"/>
      <c r="M4" s="26"/>
      <c r="N4" s="26"/>
      <c r="O4" s="26"/>
      <c r="P4" s="26"/>
    </row>
    <row r="5" spans="1:17" ht="16.5" thickBot="1" x14ac:dyDescent="0.3">
      <c r="A5" s="26"/>
      <c r="B5" s="79" t="s">
        <v>69</v>
      </c>
      <c r="C5" s="81"/>
      <c r="D5" s="79" t="s">
        <v>70</v>
      </c>
      <c r="E5" s="80"/>
      <c r="F5" s="81"/>
      <c r="G5" s="26"/>
      <c r="H5" s="26"/>
      <c r="I5" s="28" t="s">
        <v>93</v>
      </c>
      <c r="J5" s="28" t="s">
        <v>93</v>
      </c>
      <c r="K5" s="29">
        <v>0.105</v>
      </c>
      <c r="L5" s="26"/>
      <c r="M5" s="26"/>
      <c r="N5" s="26"/>
      <c r="O5" s="26"/>
      <c r="P5" s="26"/>
    </row>
    <row r="6" spans="1:17" ht="15.75" x14ac:dyDescent="0.25">
      <c r="A6" s="26"/>
      <c r="B6" s="70" t="s">
        <v>71</v>
      </c>
      <c r="C6" s="70"/>
      <c r="D6" s="69" t="s">
        <v>68</v>
      </c>
      <c r="E6" s="69"/>
      <c r="F6" s="69"/>
      <c r="G6" s="26"/>
      <c r="H6" s="26"/>
      <c r="I6" s="28" t="s">
        <v>94</v>
      </c>
      <c r="J6" s="28" t="s">
        <v>94</v>
      </c>
      <c r="K6" s="29">
        <v>0.11</v>
      </c>
      <c r="L6" s="26"/>
      <c r="M6" s="26"/>
      <c r="N6" s="26"/>
      <c r="O6" s="26"/>
      <c r="P6" s="26"/>
    </row>
    <row r="7" spans="1:17" ht="15.75" x14ac:dyDescent="0.25">
      <c r="A7" s="26"/>
      <c r="B7" s="26"/>
      <c r="C7" s="26"/>
      <c r="D7" s="26"/>
      <c r="E7" s="26"/>
      <c r="F7" s="26"/>
      <c r="G7" s="26"/>
      <c r="H7" s="26"/>
      <c r="I7" s="28" t="s">
        <v>95</v>
      </c>
      <c r="J7" s="28" t="s">
        <v>95</v>
      </c>
      <c r="K7" s="29">
        <v>0.115</v>
      </c>
      <c r="L7" s="26"/>
      <c r="M7" s="26"/>
      <c r="N7" s="26"/>
      <c r="O7" s="26"/>
      <c r="P7" s="26"/>
    </row>
    <row r="8" spans="1:17" ht="15.75" x14ac:dyDescent="0.25">
      <c r="A8" s="26"/>
      <c r="B8" s="26"/>
      <c r="C8" s="26"/>
      <c r="D8" s="26"/>
      <c r="E8" s="26"/>
      <c r="F8" s="26"/>
      <c r="G8" s="26"/>
      <c r="H8" s="26"/>
      <c r="I8" s="28" t="s">
        <v>96</v>
      </c>
      <c r="J8" s="28" t="s">
        <v>96</v>
      </c>
      <c r="K8" s="29">
        <v>0.12</v>
      </c>
      <c r="L8" s="26"/>
      <c r="M8" s="26"/>
      <c r="N8" s="26"/>
      <c r="O8" s="26"/>
      <c r="P8" s="26"/>
    </row>
    <row r="9" spans="1:17" ht="15.75" x14ac:dyDescent="0.25">
      <c r="A9" s="26"/>
      <c r="B9" s="26"/>
      <c r="C9" s="26"/>
      <c r="D9" s="26"/>
      <c r="E9" s="26"/>
      <c r="F9" s="26"/>
      <c r="G9" s="26"/>
      <c r="H9" s="26"/>
      <c r="I9" s="26"/>
      <c r="J9" s="26"/>
      <c r="K9" s="26"/>
      <c r="L9" s="26"/>
      <c r="M9" s="26"/>
      <c r="N9" s="26"/>
      <c r="O9" s="26"/>
      <c r="P9" s="26"/>
    </row>
    <row r="10" spans="1:17" ht="15.75" thickBot="1" x14ac:dyDescent="0.3"/>
    <row r="11" spans="1:17" x14ac:dyDescent="0.25">
      <c r="B11" s="65" t="s">
        <v>67</v>
      </c>
      <c r="C11" s="66"/>
      <c r="D11" s="66"/>
      <c r="E11" s="66"/>
      <c r="F11" s="66"/>
      <c r="G11" s="66"/>
      <c r="H11" s="66"/>
      <c r="I11" s="66"/>
      <c r="J11" s="66"/>
      <c r="K11" s="67"/>
    </row>
    <row r="12" spans="1:17" ht="30" x14ac:dyDescent="0.25">
      <c r="B12" s="68" t="s">
        <v>82</v>
      </c>
      <c r="C12" s="68"/>
      <c r="D12" s="68"/>
      <c r="E12" s="68"/>
      <c r="F12" s="68"/>
      <c r="G12" s="68"/>
      <c r="H12" s="68"/>
      <c r="I12" s="68"/>
      <c r="J12" s="68"/>
      <c r="K12" s="68"/>
      <c r="Q12" s="30" t="s">
        <v>75</v>
      </c>
    </row>
    <row r="13" spans="1:17" ht="30" x14ac:dyDescent="0.25">
      <c r="B13" s="64" t="s">
        <v>83</v>
      </c>
      <c r="C13" s="64"/>
      <c r="D13" s="64"/>
      <c r="E13" s="64"/>
      <c r="F13" s="64"/>
      <c r="G13" s="64"/>
      <c r="H13" s="64"/>
      <c r="I13" s="64"/>
      <c r="J13" s="64"/>
      <c r="K13" s="64"/>
      <c r="Q13" s="30" t="s">
        <v>75</v>
      </c>
    </row>
    <row r="14" spans="1:17" ht="30" customHeight="1" x14ac:dyDescent="0.25">
      <c r="B14" s="64" t="s">
        <v>84</v>
      </c>
      <c r="C14" s="64"/>
      <c r="D14" s="64"/>
      <c r="E14" s="64"/>
      <c r="F14" s="64"/>
      <c r="G14" s="64"/>
      <c r="H14" s="64"/>
      <c r="I14" s="64"/>
      <c r="J14" s="64"/>
      <c r="K14" s="64"/>
      <c r="Q14" s="30" t="s">
        <v>75</v>
      </c>
    </row>
    <row r="15" spans="1:17" ht="45" x14ac:dyDescent="0.25">
      <c r="B15" s="64" t="s">
        <v>81</v>
      </c>
      <c r="C15" s="64"/>
      <c r="D15" s="64"/>
      <c r="E15" s="64"/>
      <c r="F15" s="64"/>
      <c r="G15" s="64"/>
      <c r="H15" s="64"/>
      <c r="I15" s="64"/>
      <c r="J15" s="64"/>
      <c r="K15" s="64"/>
      <c r="Q15" s="30" t="s">
        <v>76</v>
      </c>
    </row>
    <row r="16" spans="1:17" ht="75" x14ac:dyDescent="0.25">
      <c r="B16" s="64" t="s">
        <v>80</v>
      </c>
      <c r="C16" s="64"/>
      <c r="D16" s="64"/>
      <c r="E16" s="64"/>
      <c r="F16" s="64"/>
      <c r="G16" s="64"/>
      <c r="H16" s="64"/>
      <c r="I16" s="64"/>
      <c r="J16" s="64"/>
      <c r="K16" s="64"/>
      <c r="Q16" s="30" t="s">
        <v>77</v>
      </c>
    </row>
    <row r="17" spans="2:17" ht="90" x14ac:dyDescent="0.25">
      <c r="B17" s="64" t="s">
        <v>79</v>
      </c>
      <c r="C17" s="64"/>
      <c r="D17" s="64"/>
      <c r="E17" s="64"/>
      <c r="F17" s="64"/>
      <c r="G17" s="64"/>
      <c r="H17" s="64"/>
      <c r="I17" s="64"/>
      <c r="J17" s="64"/>
      <c r="K17" s="64"/>
      <c r="Q17" s="30" t="s">
        <v>78</v>
      </c>
    </row>
    <row r="18" spans="2:17" ht="75" x14ac:dyDescent="0.25">
      <c r="B18" s="64" t="s">
        <v>85</v>
      </c>
      <c r="C18" s="64"/>
      <c r="D18" s="64"/>
      <c r="E18" s="64"/>
      <c r="F18" s="64"/>
      <c r="G18" s="64"/>
      <c r="H18" s="64"/>
      <c r="I18" s="64"/>
      <c r="J18" s="64"/>
      <c r="K18" s="64"/>
      <c r="Q18" s="30" t="s">
        <v>77</v>
      </c>
    </row>
    <row r="19" spans="2:17" x14ac:dyDescent="0.25">
      <c r="B19" s="64" t="s">
        <v>86</v>
      </c>
      <c r="C19" s="64"/>
      <c r="D19" s="64"/>
      <c r="E19" s="64"/>
      <c r="F19" s="64"/>
      <c r="G19" s="64"/>
      <c r="H19" s="64"/>
      <c r="I19" s="64"/>
      <c r="J19" s="64"/>
      <c r="K19" s="64"/>
    </row>
  </sheetData>
  <sheetProtection algorithmName="SHA-512" hashValue="GzLm1w7Cspev7Z7ycDUkXJHxGHKBndVnNF5tbzNz2EnwbY9+VRN2tfXu+QLu9CbDBuG94p/c3jC9juRSX/tC8g==" saltValue="ch14te5jM3U4YCI6p2DZhQ==" spinCount="100000" sheet="1" objects="1" scenarios="1"/>
  <mergeCells count="16">
    <mergeCell ref="D6:F6"/>
    <mergeCell ref="B6:C6"/>
    <mergeCell ref="D3:F3"/>
    <mergeCell ref="B2:F2"/>
    <mergeCell ref="B3:C3"/>
    <mergeCell ref="D5:F5"/>
    <mergeCell ref="B5:C5"/>
    <mergeCell ref="B19:K19"/>
    <mergeCell ref="B17:K17"/>
    <mergeCell ref="B18:K18"/>
    <mergeCell ref="B11:K11"/>
    <mergeCell ref="B12:K12"/>
    <mergeCell ref="B13:K13"/>
    <mergeCell ref="B14:K14"/>
    <mergeCell ref="B15:K15"/>
    <mergeCell ref="B16:K16"/>
  </mergeCells>
  <hyperlinks>
    <hyperlink ref="B6" location="TSGAP!A1" display="TSGAP" xr:uid="{7C9D4B54-819A-4D5A-868C-08FFE9C7A197}"/>
    <hyperlink ref="B6:C6" location="'PET Calculator'!D2" display="PET Calculator" xr:uid="{BCD569AD-80AD-494A-A79F-2D998FB06D7A}"/>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2AFEA-53DF-4AA8-A7A8-14B1613E8B97}">
  <dimension ref="B1:W124"/>
  <sheetViews>
    <sheetView showGridLines="0" zoomScaleNormal="100" workbookViewId="0">
      <selection activeCell="D2" sqref="D2"/>
    </sheetView>
  </sheetViews>
  <sheetFormatPr defaultRowHeight="15" x14ac:dyDescent="0.25"/>
  <cols>
    <col min="1" max="1" width="9.140625" style="1"/>
    <col min="2" max="2" width="11" style="1" bestFit="1" customWidth="1"/>
    <col min="3" max="3" width="16.7109375" style="1" bestFit="1" customWidth="1"/>
    <col min="4" max="4" width="12.85546875" style="1" customWidth="1"/>
    <col min="5" max="5" width="12.28515625" style="1" bestFit="1" customWidth="1"/>
    <col min="6" max="6" width="14.5703125" style="1" customWidth="1"/>
    <col min="7" max="7" width="10.5703125" style="1" bestFit="1" customWidth="1"/>
    <col min="8" max="8" width="12.7109375" style="1" customWidth="1"/>
    <col min="9" max="9" width="16" style="1" customWidth="1"/>
    <col min="10" max="10" width="15.42578125" style="1" customWidth="1"/>
    <col min="11" max="11" width="12.42578125" style="1" bestFit="1" customWidth="1"/>
    <col min="12" max="12" width="13.7109375" style="1" customWidth="1"/>
    <col min="13" max="13" width="11.28515625" style="1" customWidth="1"/>
    <col min="14" max="14" width="13.42578125" style="1" bestFit="1" customWidth="1"/>
    <col min="15" max="15" width="13.28515625" style="1" bestFit="1" customWidth="1"/>
    <col min="16" max="16" width="11.85546875" style="1" customWidth="1"/>
    <col min="17" max="17" width="11.7109375" style="1" bestFit="1" customWidth="1"/>
    <col min="18" max="18" width="9.5703125" style="1" bestFit="1" customWidth="1"/>
    <col min="19" max="19" width="8" style="1" customWidth="1"/>
    <col min="20" max="20" width="8.5703125" style="1" bestFit="1" customWidth="1"/>
    <col min="21" max="21" width="9.5703125" style="1" bestFit="1" customWidth="1"/>
    <col min="22" max="22" width="8" style="1" bestFit="1" customWidth="1"/>
    <col min="23" max="23" width="8.5703125" style="1" bestFit="1" customWidth="1"/>
    <col min="24" max="24" width="9.5703125" style="1" bestFit="1" customWidth="1"/>
    <col min="25" max="16384" width="9.140625" style="1"/>
  </cols>
  <sheetData>
    <row r="1" spans="2:17" ht="15.75" thickBot="1" x14ac:dyDescent="0.3"/>
    <row r="2" spans="2:17" ht="30.75" thickBot="1" x14ac:dyDescent="0.3">
      <c r="C2" s="2" t="s">
        <v>19</v>
      </c>
      <c r="D2" s="3">
        <v>10000</v>
      </c>
      <c r="K2" s="82" t="s">
        <v>87</v>
      </c>
      <c r="L2" s="83"/>
      <c r="M2" s="83"/>
      <c r="N2" s="84" t="s">
        <v>64</v>
      </c>
      <c r="O2" s="85"/>
    </row>
    <row r="3" spans="2:17" ht="33" customHeight="1" thickBot="1" x14ac:dyDescent="0.3">
      <c r="C3" s="23" t="s">
        <v>4</v>
      </c>
      <c r="D3" s="4">
        <f>IF($D$2&gt;=10000,12,IF($D$2&gt;=5000,11.5,IF($D$2&gt;=2500,11,IF($D$2&gt;=1000,10.5,IF($D$2&gt;=500,10,0)))))/100</f>
        <v>0.12</v>
      </c>
      <c r="F3" s="24"/>
      <c r="Q3" s="25"/>
    </row>
    <row r="4" spans="2:17" x14ac:dyDescent="0.25">
      <c r="Q4" s="25"/>
    </row>
    <row r="5" spans="2:17" ht="15.75" thickBot="1" x14ac:dyDescent="0.3">
      <c r="B5" s="5"/>
      <c r="C5" s="5"/>
      <c r="E5" s="5"/>
      <c r="F5" s="5"/>
      <c r="G5" s="6"/>
      <c r="H5" s="6"/>
      <c r="I5" s="6"/>
      <c r="J5" s="5"/>
    </row>
    <row r="6" spans="2:17" ht="30.75" thickBot="1" x14ac:dyDescent="0.3">
      <c r="B6" s="34" t="s">
        <v>8</v>
      </c>
      <c r="C6" s="35" t="s">
        <v>3</v>
      </c>
      <c r="D6" s="36" t="s">
        <v>32</v>
      </c>
      <c r="E6" s="36" t="s">
        <v>90</v>
      </c>
      <c r="F6" s="36" t="s">
        <v>16</v>
      </c>
      <c r="G6" s="36" t="s">
        <v>18</v>
      </c>
      <c r="H6" s="36" t="s">
        <v>13</v>
      </c>
      <c r="I6" s="5"/>
      <c r="J6" s="89" t="s">
        <v>9</v>
      </c>
      <c r="K6" s="90"/>
      <c r="L6" s="90"/>
      <c r="M6" s="7" t="s">
        <v>10</v>
      </c>
      <c r="N6" s="8"/>
    </row>
    <row r="7" spans="2:17" x14ac:dyDescent="0.25">
      <c r="B7" s="31">
        <v>1</v>
      </c>
      <c r="C7" s="32">
        <f>$D$2</f>
        <v>10000</v>
      </c>
      <c r="D7" s="31">
        <f>IF(C7&lt;($D$2/2),0,C7)</f>
        <v>10000</v>
      </c>
      <c r="E7" s="45">
        <f>IF(D7&lt;($D$2/2),0,IF(D7&gt;$D$2,(D7-$D$2)/2+$D$2,D7))</f>
        <v>10000</v>
      </c>
      <c r="F7" s="33">
        <f>D7+E7</f>
        <v>20000</v>
      </c>
      <c r="G7" s="31" t="str">
        <f>IF(D7&gt;=($D$2/2),"YES","NO")</f>
        <v>YES</v>
      </c>
      <c r="H7" s="31" t="str">
        <f>IF(D7&gt;=$D$2,"YES","NO")</f>
        <v>YES</v>
      </c>
      <c r="J7" s="91" t="s">
        <v>14</v>
      </c>
      <c r="K7" s="92"/>
      <c r="L7" s="92"/>
      <c r="M7" s="41">
        <f>SUM(C7:C18)</f>
        <v>120000</v>
      </c>
      <c r="N7" s="12"/>
    </row>
    <row r="8" spans="2:17" x14ac:dyDescent="0.25">
      <c r="B8" s="9">
        <v>2</v>
      </c>
      <c r="C8" s="10">
        <f t="shared" ref="C8:C18" si="0">$D$2</f>
        <v>10000</v>
      </c>
      <c r="D8" s="9">
        <f>IF(D7=0,IF((C7+C8)&gt;=$D$2/2,C7+C8,0),IF(C8&gt;=$D$2/2,C8,0))</f>
        <v>10000</v>
      </c>
      <c r="E8" s="46">
        <f t="shared" ref="E8:E18" si="1">IF(D8&lt;($D$2/2),0,IF(D8&gt;$D$2,(D8-$D$2)/2+$D$2,D8))</f>
        <v>10000</v>
      </c>
      <c r="F8" s="11">
        <f t="shared" ref="F8:F18" si="2">D8+E8</f>
        <v>20000</v>
      </c>
      <c r="G8" s="9" t="str">
        <f t="shared" ref="G8:G18" si="3">IF(D8&gt;=($D$2/2),"YES","NO")</f>
        <v>YES</v>
      </c>
      <c r="H8" s="9" t="str">
        <f t="shared" ref="H8:H18" si="4">IF(D8&gt;=$D$2,"YES","NO")</f>
        <v>YES</v>
      </c>
      <c r="J8" s="93" t="s">
        <v>63</v>
      </c>
      <c r="K8" s="94"/>
      <c r="L8" s="94"/>
      <c r="M8" s="48">
        <f>SUM(E7:E18)</f>
        <v>120000</v>
      </c>
      <c r="N8" s="13"/>
    </row>
    <row r="9" spans="2:17" ht="15.75" thickBot="1" x14ac:dyDescent="0.3">
      <c r="B9" s="9">
        <v>3</v>
      </c>
      <c r="C9" s="10">
        <f t="shared" si="0"/>
        <v>10000</v>
      </c>
      <c r="D9" s="9">
        <f>IF(D8=0,IF(D7=0,IF((C7+C8+C9)&gt;=$D$2/2,C7+C8+C9,0),IF(C8+C9&gt;=$D$2/2,C8+C9,0)),IF(C9&gt;=$D$2/2,C9,0))</f>
        <v>10000</v>
      </c>
      <c r="E9" s="46">
        <f t="shared" si="1"/>
        <v>10000</v>
      </c>
      <c r="F9" s="11">
        <f t="shared" si="2"/>
        <v>20000</v>
      </c>
      <c r="G9" s="9" t="str">
        <f t="shared" si="3"/>
        <v>YES</v>
      </c>
      <c r="H9" s="9" t="str">
        <f t="shared" si="4"/>
        <v>YES</v>
      </c>
      <c r="J9" s="95" t="s">
        <v>31</v>
      </c>
      <c r="K9" s="96"/>
      <c r="L9" s="96"/>
      <c r="M9" s="44">
        <f>M7+M8</f>
        <v>240000</v>
      </c>
      <c r="N9" s="14"/>
    </row>
    <row r="10" spans="2:17" ht="30.75" thickBot="1" x14ac:dyDescent="0.3">
      <c r="B10" s="9">
        <v>4</v>
      </c>
      <c r="C10" s="10">
        <f t="shared" si="0"/>
        <v>10000</v>
      </c>
      <c r="D10" s="9">
        <f>IF(D9=0,IF(D8=0,IF(D7=0,IF((SUM(C7:C10))&gt;=$D$2/2,SUM(C7:C10),0),IF(SUM(C8:C10)&gt;=$D$2/2,SUM(C8:C10),0)),IF(SUM(C9:C10)&gt;=$D$2/2,SUM(C9:C10),0)),IF(C10&gt;=$D$2/2,C10,0))</f>
        <v>10000</v>
      </c>
      <c r="E10" s="46">
        <f t="shared" si="1"/>
        <v>10000</v>
      </c>
      <c r="F10" s="11">
        <f t="shared" si="2"/>
        <v>20000</v>
      </c>
      <c r="G10" s="9" t="str">
        <f t="shared" si="3"/>
        <v>YES</v>
      </c>
      <c r="H10" s="9" t="str">
        <f t="shared" si="4"/>
        <v>YES</v>
      </c>
      <c r="J10" s="89" t="s">
        <v>12</v>
      </c>
      <c r="K10" s="90"/>
      <c r="L10" s="90"/>
      <c r="M10" s="7" t="s">
        <v>10</v>
      </c>
      <c r="N10" s="8" t="s">
        <v>11</v>
      </c>
    </row>
    <row r="11" spans="2:17" x14ac:dyDescent="0.25">
      <c r="B11" s="9">
        <v>5</v>
      </c>
      <c r="C11" s="10">
        <f t="shared" si="0"/>
        <v>10000</v>
      </c>
      <c r="D11" s="9">
        <f>IF(D10=0,IF(D9=0,IF(D8=0,IF(D7=0,IF((SUM(C7:C11))&gt;=$D$2/2,SUM(C7:C11),0),IF(SUM(C8:C11)&gt;=$D$2/2,SUM(C8:C11),0)),IF(SUM(C9:C11)&gt;=$D$2/2,SUM(C9:C11),0)),IF(SUM(C10:C11)&gt;=$D$2/2,SUM(C10:C11),0)),IF(C11&gt;=$D$2/2,C11,0))</f>
        <v>10000</v>
      </c>
      <c r="E11" s="46">
        <f t="shared" si="1"/>
        <v>10000</v>
      </c>
      <c r="F11" s="11">
        <f t="shared" si="2"/>
        <v>20000</v>
      </c>
      <c r="G11" s="9" t="str">
        <f t="shared" si="3"/>
        <v>YES</v>
      </c>
      <c r="H11" s="9" t="str">
        <f t="shared" si="4"/>
        <v>YES</v>
      </c>
      <c r="J11" s="97" t="s">
        <v>15</v>
      </c>
      <c r="K11" s="98"/>
      <c r="L11" s="98"/>
      <c r="M11" s="42">
        <f>SUM(C23:C34,F23:F34,I23:I34,L23:L34,O23:O34)</f>
        <v>144000</v>
      </c>
      <c r="N11" s="43">
        <f>M11/$M$7</f>
        <v>1.2</v>
      </c>
    </row>
    <row r="12" spans="2:17" ht="15.75" thickBot="1" x14ac:dyDescent="0.3">
      <c r="B12" s="9">
        <v>6</v>
      </c>
      <c r="C12" s="10">
        <f t="shared" si="0"/>
        <v>10000</v>
      </c>
      <c r="D12" s="9">
        <f>IF(D11=0,IF(D10=0,IF(D9=0,IF(D8=0,IF(D7=0,IF((SUM(C7:C12))&gt;=$D$2/2,SUM(C7:C12),0),IF(SUM(C8:C12)&gt;=$D$2/2,SUM(C8:C12),0)),IF(SUM(C9:C12)&gt;=$D$2/2,SUM(C9:C12),0)),IF(SUM(C10:C12)&gt;=$D$2/2,SUM(C10:C12),0)),IF(SUM(C11:C12)&gt;=$D$2/2,SUM(C11:C12),0)),IF(SUM($C$12:C12)&gt;=$D$2/2,SUM($C$12:C12),0))</f>
        <v>10000</v>
      </c>
      <c r="E12" s="46">
        <f t="shared" si="1"/>
        <v>10000</v>
      </c>
      <c r="F12" s="11">
        <f t="shared" si="2"/>
        <v>20000</v>
      </c>
      <c r="G12" s="9" t="str">
        <f t="shared" si="3"/>
        <v>YES</v>
      </c>
      <c r="H12" s="9" t="str">
        <f t="shared" si="4"/>
        <v>YES</v>
      </c>
      <c r="J12" s="99" t="s">
        <v>91</v>
      </c>
      <c r="K12" s="100"/>
      <c r="L12" s="100"/>
      <c r="M12" s="50">
        <f>SUM(D23:D34,G23:G34,J23:J34,M23:M34,P23:P34)</f>
        <v>240000</v>
      </c>
      <c r="N12" s="51">
        <f>M12/$M$7</f>
        <v>2</v>
      </c>
    </row>
    <row r="13" spans="2:17" ht="15.75" thickBot="1" x14ac:dyDescent="0.3">
      <c r="B13" s="9">
        <v>7</v>
      </c>
      <c r="C13" s="10">
        <f t="shared" si="0"/>
        <v>10000</v>
      </c>
      <c r="D13" s="9">
        <f>IF(D12=0,IF(D11=0,IF(D10=0,IF(D9=0,IF(D8=0,IF(D7=0,IF((SUM(C7:C13))&gt;=$D$2/2,SUM(C7:C13),0),IF(SUM(C8:C13)&gt;=$D$2/2,SUM(C8:C13),0)),IF(SUM(C9:C13)&gt;=$D$2/2,SUM(C9:C13),0)),IF(SUM(C10:C13)&gt;=$D$2/2,SUM(C10:C13),0)),IF(SUM(C11:C13)&gt;=$D$2/2,SUM(C11:C13),0)),IF(SUM($C$12:C13)&gt;=$D$2/2,SUM($C$12:C13),0)),IF(SUM(C$13:C13)&gt;=$D$2/2,SUM(C$13:C13),0))</f>
        <v>10000</v>
      </c>
      <c r="E13" s="46">
        <f t="shared" si="1"/>
        <v>10000</v>
      </c>
      <c r="F13" s="11">
        <f t="shared" si="2"/>
        <v>20000</v>
      </c>
      <c r="G13" s="9" t="str">
        <f t="shared" si="3"/>
        <v>YES</v>
      </c>
      <c r="H13" s="9" t="str">
        <f t="shared" si="4"/>
        <v>YES</v>
      </c>
      <c r="J13" s="101" t="s">
        <v>62</v>
      </c>
      <c r="K13" s="102"/>
      <c r="L13" s="102"/>
      <c r="M13" s="57">
        <f>SUM(M11:M12)</f>
        <v>384000</v>
      </c>
      <c r="N13" s="58">
        <f>SUM(N11:N12)</f>
        <v>3.2</v>
      </c>
    </row>
    <row r="14" spans="2:17" x14ac:dyDescent="0.25">
      <c r="B14" s="9">
        <v>8</v>
      </c>
      <c r="C14" s="10">
        <f t="shared" si="0"/>
        <v>10000</v>
      </c>
      <c r="D14" s="9">
        <f>IF(D13=0,IF(D12=0,IF(D11=0,IF(D10=0,IF(D9=0,IF(D8=0,IF(D7=0,IF((SUM(C7:C14))&gt;=$D$2/2,SUM(C7:C14),0),IF(SUM(C8:C14)&gt;=$D$2/2,SUM(C8:C14),0)),IF(SUM(C9:C14)&gt;=$D$2/2,SUM(C9:C14),0)),IF(SUM(C10:C14)&gt;=$D$2/2,SUM(C10:C14),0)),IF(SUM(C11:C14)&gt;=$D$2/2,SUM(C11:C14),0)),IF(SUM($C$12:C14)&gt;=$D$2/2,SUM($C$12:C14),0)),IF(SUM(C$13:C14)&gt;=$D$2/2,SUM(C$13:C14),0)),IF(SUM(C$14:C14)&gt;=$D$2/2,SUM(C$14:C14),0))</f>
        <v>10000</v>
      </c>
      <c r="E14" s="46">
        <f t="shared" si="1"/>
        <v>10000</v>
      </c>
      <c r="F14" s="11">
        <f t="shared" si="2"/>
        <v>20000</v>
      </c>
      <c r="G14" s="9" t="str">
        <f t="shared" si="3"/>
        <v>YES</v>
      </c>
      <c r="H14" s="9" t="str">
        <f t="shared" si="4"/>
        <v>YES</v>
      </c>
    </row>
    <row r="15" spans="2:17" x14ac:dyDescent="0.25">
      <c r="B15" s="9">
        <v>9</v>
      </c>
      <c r="C15" s="10">
        <f t="shared" si="0"/>
        <v>10000</v>
      </c>
      <c r="D15" s="9">
        <f>IF(D14=0,IF(D13=0,IF(D12=0,IF(D11=0,IF(D10=0,IF(D9=0,IF(D8=0,IF(D7=0,IF((SUM(C7:C15))&gt;=$D$2/2,SUM(C7:C15),0),IF(SUM(C8:C15)&gt;=$D$2/2,SUM(C8:C15),0)),IF(SUM(C9:C15)&gt;=$D$2/2,SUM(C9:C15),0)),IF(SUM(C10:C15)&gt;=$D$2/2,SUM(C10:C15),0)),IF(SUM(C11:C15)&gt;=$D$2/2,SUM(C11:C15),0)),IF(SUM($C$12:C15)&gt;=$D$2/2,SUM($C$12:C15),0)),IF(SUM(C$13:C15)&gt;=$D$2/2,SUM(C$13:C15),0)),IF(SUM(C$14:C15)&gt;=$D$2/2,SUM(C$14:C15),0)),IF(SUM(C$15:C15)&gt;=$D$2/2,SUM(C$15:C15),0))</f>
        <v>10000</v>
      </c>
      <c r="E15" s="46">
        <f t="shared" si="1"/>
        <v>10000</v>
      </c>
      <c r="F15" s="11">
        <f t="shared" si="2"/>
        <v>20000</v>
      </c>
      <c r="G15" s="9" t="str">
        <f t="shared" si="3"/>
        <v>YES</v>
      </c>
      <c r="H15" s="9" t="str">
        <f t="shared" si="4"/>
        <v>YES</v>
      </c>
    </row>
    <row r="16" spans="2:17" x14ac:dyDescent="0.25">
      <c r="B16" s="9">
        <v>10</v>
      </c>
      <c r="C16" s="10">
        <f t="shared" si="0"/>
        <v>10000</v>
      </c>
      <c r="D16" s="9">
        <f>IF(D15=0,IF(D14=0,IF(D13=0,IF(D12=0,IF(D11=0,IF(D10=0,IF(D9=0,IF(D8=0,IF(D7=0,IF((SUM(C7:C16))&gt;=$D$2/2,SUM(C7:C16),0),IF(SUM(C8:C16)&gt;=$D$2/2,SUM(C8:C16),0)),IF(SUM(C9:C16)&gt;=$D$2/2,SUM(C9:C16),0)),IF(SUM(C10:C16)&gt;=$D$2/2,SUM(C10:C16),0)),IF(SUM(C11:C16)&gt;=$D$2/2,SUM(C11:C16),0)),IF(SUM($C$12:C16)&gt;=$D$2/2,SUM($C$12:C16),0)),IF(SUM(C$13:C16)&gt;=$D$2/2,SUM(C$13:C16),0)),IF(SUM(C$14:C16)&gt;=$D$2/2,SUM(C$14:C16),0)),IF(SUM(C$15:C16)&gt;=$D$2/2,SUM(C$15:C16),0)),IF(SUM(C$16:C16)&gt;=$D$2/2,SUM(C$16:C16),0))</f>
        <v>10000</v>
      </c>
      <c r="E16" s="46">
        <f t="shared" si="1"/>
        <v>10000</v>
      </c>
      <c r="F16" s="11">
        <f t="shared" si="2"/>
        <v>20000</v>
      </c>
      <c r="G16" s="9" t="str">
        <f t="shared" si="3"/>
        <v>YES</v>
      </c>
      <c r="H16" s="9" t="str">
        <f t="shared" si="4"/>
        <v>YES</v>
      </c>
    </row>
    <row r="17" spans="2:16" x14ac:dyDescent="0.25">
      <c r="B17" s="9">
        <v>11</v>
      </c>
      <c r="C17" s="10">
        <f t="shared" si="0"/>
        <v>10000</v>
      </c>
      <c r="D17" s="9">
        <f>IF(D16=0,IF(D15=0,IF(D14=0,IF(D13=0,IF(D12=0,IF(D11=0,IF(D10=0,IF(D9=0,IF(D8=0,IF(D7=0,IF((SUM(C7:C17))&gt;=$D$2/2,SUM(C7:C17),0),IF(SUM(C8:C17)&gt;=$D$2/2,SUM(C8:C17),0)),IF(SUM(C9:C17)&gt;=$D$2/2,SUM(C9:C17),0)),IF(SUM(C10:C17)&gt;=$D$2/2,SUM(C10:C17),0)),IF(SUM(C11:C17)&gt;=$D$2/2,SUM(C11:C17),0)),IF(SUM($C$12:C17)&gt;=$D$2/2,SUM($C$12:C17),0)),IF(SUM(C$13:C17)&gt;=$D$2/2,SUM(C$13:C17),0)),IF(SUM(C$14:C17)&gt;=$D$2/2,SUM(C$14:C17),0)),IF(SUM(C$15:C17)&gt;=$D$2/2,SUM(C$15:C17),0)),IF(SUM(C$16:C17)&gt;=$D$2/2,SUM(C$16:C17),0)),IF(SUM(C$17:C17)&gt;=$D$2/2,SUM(C$17:C17),0))</f>
        <v>10000</v>
      </c>
      <c r="E17" s="46">
        <f t="shared" si="1"/>
        <v>10000</v>
      </c>
      <c r="F17" s="11">
        <f t="shared" si="2"/>
        <v>20000</v>
      </c>
      <c r="G17" s="9" t="str">
        <f t="shared" si="3"/>
        <v>YES</v>
      </c>
      <c r="H17" s="9" t="str">
        <f t="shared" si="4"/>
        <v>YES</v>
      </c>
    </row>
    <row r="18" spans="2:16" ht="15.75" thickBot="1" x14ac:dyDescent="0.3">
      <c r="B18" s="37">
        <v>12</v>
      </c>
      <c r="C18" s="38">
        <f t="shared" si="0"/>
        <v>10000</v>
      </c>
      <c r="D18" s="37">
        <f>IF(D17=0,IF(D16=0,IF(D15=0,IF(D14=0,IF(D13=0,IF(D12=0,IF(D11=0,IF(D10=0,IF(D9=0,IF(D8=0,IF(D7=0,SUM(C7:C18),SUM(C8:C18)),SUM(C9:C18)),SUM(C10:C18)),SUM(C11:C18)),SUM($C$12:C18)),SUM(C$13:C18)),SUM(C$14:C18)),SUM(C$15:C18)),SUM(C$16:C18)),SUM(C$17:C18)),C18)</f>
        <v>10000</v>
      </c>
      <c r="E18" s="47">
        <f t="shared" si="1"/>
        <v>10000</v>
      </c>
      <c r="F18" s="39">
        <f t="shared" si="2"/>
        <v>20000</v>
      </c>
      <c r="G18" s="37" t="str">
        <f t="shared" si="3"/>
        <v>YES</v>
      </c>
      <c r="H18" s="37" t="str">
        <f t="shared" si="4"/>
        <v>YES</v>
      </c>
    </row>
    <row r="19" spans="2:16" ht="15.75" thickBot="1" x14ac:dyDescent="0.3">
      <c r="B19" s="54" t="s">
        <v>5</v>
      </c>
      <c r="C19" s="40">
        <f>SUM(C7:C18)</f>
        <v>120000</v>
      </c>
      <c r="D19" s="55">
        <f>SUM(D7:D18)</f>
        <v>120000</v>
      </c>
      <c r="E19" s="53">
        <f>SUM(E7:E18)</f>
        <v>120000</v>
      </c>
      <c r="F19" s="52">
        <f>SUM(F7:F18)</f>
        <v>240000</v>
      </c>
      <c r="G19" s="55">
        <f>COUNTIFS(G7:G18,"YES")</f>
        <v>12</v>
      </c>
      <c r="H19" s="56">
        <f>COUNTIFS(H7:H18,"YES")</f>
        <v>12</v>
      </c>
    </row>
    <row r="20" spans="2:16" x14ac:dyDescent="0.25">
      <c r="F20" s="15"/>
    </row>
    <row r="21" spans="2:16" x14ac:dyDescent="0.25">
      <c r="B21" s="16" t="s">
        <v>0</v>
      </c>
      <c r="C21" s="16" t="s">
        <v>2</v>
      </c>
      <c r="D21" s="16">
        <v>1</v>
      </c>
      <c r="E21" s="17" t="s">
        <v>0</v>
      </c>
      <c r="F21" s="17" t="s">
        <v>2</v>
      </c>
      <c r="G21" s="17">
        <v>2</v>
      </c>
      <c r="H21" s="16" t="s">
        <v>0</v>
      </c>
      <c r="I21" s="16" t="s">
        <v>2</v>
      </c>
      <c r="J21" s="16">
        <v>3</v>
      </c>
      <c r="K21" s="17" t="s">
        <v>0</v>
      </c>
      <c r="L21" s="17" t="s">
        <v>2</v>
      </c>
      <c r="M21" s="17">
        <v>4</v>
      </c>
      <c r="N21" s="16" t="s">
        <v>0</v>
      </c>
      <c r="O21" s="16" t="s">
        <v>2</v>
      </c>
      <c r="P21" s="16">
        <v>5</v>
      </c>
    </row>
    <row r="22" spans="2:16" ht="45" x14ac:dyDescent="0.25">
      <c r="B22" s="16" t="s">
        <v>1</v>
      </c>
      <c r="C22" s="16" t="s">
        <v>17</v>
      </c>
      <c r="D22" s="16" t="s">
        <v>97</v>
      </c>
      <c r="E22" s="17" t="s">
        <v>1</v>
      </c>
      <c r="F22" s="17" t="s">
        <v>17</v>
      </c>
      <c r="G22" s="17" t="s">
        <v>97</v>
      </c>
      <c r="H22" s="16" t="s">
        <v>1</v>
      </c>
      <c r="I22" s="16" t="s">
        <v>17</v>
      </c>
      <c r="J22" s="16" t="s">
        <v>97</v>
      </c>
      <c r="K22" s="17" t="s">
        <v>1</v>
      </c>
      <c r="L22" s="17" t="s">
        <v>17</v>
      </c>
      <c r="M22" s="17" t="s">
        <v>97</v>
      </c>
      <c r="N22" s="16" t="s">
        <v>1</v>
      </c>
      <c r="O22" s="16" t="s">
        <v>17</v>
      </c>
      <c r="P22" s="16" t="s">
        <v>97</v>
      </c>
    </row>
    <row r="23" spans="2:16" x14ac:dyDescent="0.25">
      <c r="B23" s="9">
        <v>1</v>
      </c>
      <c r="C23" s="22">
        <f t="shared" ref="C23:C34" si="5">$F7*$D$3</f>
        <v>2400</v>
      </c>
      <c r="D23" s="22"/>
      <c r="E23" s="9">
        <v>13</v>
      </c>
      <c r="F23" s="22">
        <f t="shared" ref="F23:F34" si="6">$F7*$D$3</f>
        <v>2400</v>
      </c>
      <c r="G23" s="22"/>
      <c r="H23" s="9">
        <v>25</v>
      </c>
      <c r="I23" s="22">
        <f t="shared" ref="I23:I34" si="7">$F7*$D$3</f>
        <v>2400</v>
      </c>
      <c r="J23" s="49">
        <f>IF(H14="YES",$D$93,0)</f>
        <v>20000</v>
      </c>
      <c r="K23" s="9">
        <v>37</v>
      </c>
      <c r="L23" s="22">
        <f t="shared" ref="L23:L34" si="8">$F7*$D$3</f>
        <v>2400</v>
      </c>
      <c r="M23" s="22"/>
      <c r="N23" s="9">
        <v>49</v>
      </c>
      <c r="O23" s="22">
        <f t="shared" ref="O23:O34" si="9">$F7*$D$3</f>
        <v>2400</v>
      </c>
      <c r="P23" s="22"/>
    </row>
    <row r="24" spans="2:16" x14ac:dyDescent="0.25">
      <c r="B24" s="9">
        <v>2</v>
      </c>
      <c r="C24" s="22">
        <f t="shared" si="5"/>
        <v>2400</v>
      </c>
      <c r="D24" s="22"/>
      <c r="E24" s="9">
        <v>14</v>
      </c>
      <c r="F24" s="22">
        <f t="shared" si="6"/>
        <v>2400</v>
      </c>
      <c r="G24" s="22"/>
      <c r="H24" s="9">
        <v>26</v>
      </c>
      <c r="I24" s="22">
        <f t="shared" si="7"/>
        <v>2400</v>
      </c>
      <c r="J24" s="22"/>
      <c r="K24" s="9">
        <v>38</v>
      </c>
      <c r="L24" s="22">
        <f t="shared" si="8"/>
        <v>2400</v>
      </c>
      <c r="M24" s="22"/>
      <c r="N24" s="9">
        <v>50</v>
      </c>
      <c r="O24" s="22">
        <f t="shared" si="9"/>
        <v>2400</v>
      </c>
      <c r="P24" s="49">
        <f>IF(H9="YES",$D$93,0)</f>
        <v>20000</v>
      </c>
    </row>
    <row r="25" spans="2:16" x14ac:dyDescent="0.25">
      <c r="B25" s="9">
        <v>3</v>
      </c>
      <c r="C25" s="22">
        <f t="shared" si="5"/>
        <v>2400</v>
      </c>
      <c r="D25" s="22"/>
      <c r="E25" s="9">
        <v>15</v>
      </c>
      <c r="F25" s="22">
        <f t="shared" si="6"/>
        <v>2400</v>
      </c>
      <c r="G25" s="49">
        <f>IF(H16="YES",$D$93,0)</f>
        <v>20000</v>
      </c>
      <c r="H25" s="9">
        <v>27</v>
      </c>
      <c r="I25" s="22">
        <f t="shared" si="7"/>
        <v>2400</v>
      </c>
      <c r="J25" s="22"/>
      <c r="K25" s="9">
        <v>39</v>
      </c>
      <c r="L25" s="22">
        <f t="shared" si="8"/>
        <v>2400</v>
      </c>
      <c r="M25" s="22"/>
      <c r="N25" s="9">
        <v>51</v>
      </c>
      <c r="O25" s="22">
        <f t="shared" si="9"/>
        <v>2400</v>
      </c>
      <c r="P25" s="22"/>
    </row>
    <row r="26" spans="2:16" x14ac:dyDescent="0.25">
      <c r="B26" s="9">
        <v>4</v>
      </c>
      <c r="C26" s="22">
        <f t="shared" si="5"/>
        <v>2400</v>
      </c>
      <c r="D26" s="22"/>
      <c r="E26" s="9">
        <v>16</v>
      </c>
      <c r="F26" s="22">
        <f t="shared" si="6"/>
        <v>2400</v>
      </c>
      <c r="G26" s="22"/>
      <c r="H26" s="9">
        <v>28</v>
      </c>
      <c r="I26" s="22">
        <f t="shared" si="7"/>
        <v>2400</v>
      </c>
      <c r="J26" s="22"/>
      <c r="K26" s="9">
        <v>40</v>
      </c>
      <c r="L26" s="22">
        <f t="shared" si="8"/>
        <v>2400</v>
      </c>
      <c r="M26" s="49">
        <f>IF(H11="YES",$D$93,0)</f>
        <v>20000</v>
      </c>
      <c r="N26" s="9">
        <v>52</v>
      </c>
      <c r="O26" s="22">
        <f t="shared" si="9"/>
        <v>2400</v>
      </c>
      <c r="P26" s="22"/>
    </row>
    <row r="27" spans="2:16" x14ac:dyDescent="0.25">
      <c r="B27" s="9">
        <v>5</v>
      </c>
      <c r="C27" s="22">
        <f t="shared" si="5"/>
        <v>2400</v>
      </c>
      <c r="D27" s="49">
        <f>IF(H18="YES",$D$93,0)</f>
        <v>20000</v>
      </c>
      <c r="E27" s="9">
        <v>17</v>
      </c>
      <c r="F27" s="22">
        <f t="shared" si="6"/>
        <v>2400</v>
      </c>
      <c r="G27" s="22"/>
      <c r="H27" s="9">
        <v>29</v>
      </c>
      <c r="I27" s="22">
        <f t="shared" si="7"/>
        <v>2400</v>
      </c>
      <c r="J27" s="22"/>
      <c r="K27" s="9">
        <v>41</v>
      </c>
      <c r="L27" s="22">
        <f t="shared" si="8"/>
        <v>2400</v>
      </c>
      <c r="M27" s="22"/>
      <c r="N27" s="9">
        <v>53</v>
      </c>
      <c r="O27" s="22">
        <f t="shared" si="9"/>
        <v>2400</v>
      </c>
      <c r="P27" s="22"/>
    </row>
    <row r="28" spans="2:16" x14ac:dyDescent="0.25">
      <c r="B28" s="9">
        <v>6</v>
      </c>
      <c r="C28" s="22">
        <f t="shared" si="5"/>
        <v>2400</v>
      </c>
      <c r="D28" s="22"/>
      <c r="E28" s="9">
        <v>18</v>
      </c>
      <c r="F28" s="22">
        <f t="shared" si="6"/>
        <v>2400</v>
      </c>
      <c r="G28" s="22"/>
      <c r="H28" s="9">
        <v>30</v>
      </c>
      <c r="I28" s="22">
        <f t="shared" si="7"/>
        <v>2400</v>
      </c>
      <c r="J28" s="49">
        <f>IF(H13="YES",$D$93,0)</f>
        <v>20000</v>
      </c>
      <c r="K28" s="9">
        <v>42</v>
      </c>
      <c r="L28" s="22">
        <f t="shared" si="8"/>
        <v>2400</v>
      </c>
      <c r="M28" s="22"/>
      <c r="N28" s="9">
        <v>54</v>
      </c>
      <c r="O28" s="22">
        <f t="shared" si="9"/>
        <v>2400</v>
      </c>
      <c r="P28" s="22"/>
    </row>
    <row r="29" spans="2:16" x14ac:dyDescent="0.25">
      <c r="B29" s="9">
        <v>7</v>
      </c>
      <c r="C29" s="22">
        <f t="shared" si="5"/>
        <v>2400</v>
      </c>
      <c r="D29" s="22"/>
      <c r="E29" s="9">
        <v>19</v>
      </c>
      <c r="F29" s="22">
        <f t="shared" si="6"/>
        <v>2400</v>
      </c>
      <c r="G29" s="22"/>
      <c r="H29" s="9">
        <v>31</v>
      </c>
      <c r="I29" s="22">
        <f t="shared" si="7"/>
        <v>2400</v>
      </c>
      <c r="J29" s="22"/>
      <c r="K29" s="9">
        <v>43</v>
      </c>
      <c r="L29" s="22">
        <f t="shared" si="8"/>
        <v>2400</v>
      </c>
      <c r="M29" s="22"/>
      <c r="N29" s="9">
        <v>55</v>
      </c>
      <c r="O29" s="22">
        <f t="shared" si="9"/>
        <v>2400</v>
      </c>
      <c r="P29" s="49">
        <f>IF(H8="YES",$D$93,0)</f>
        <v>20000</v>
      </c>
    </row>
    <row r="30" spans="2:16" x14ac:dyDescent="0.25">
      <c r="B30" s="9">
        <v>8</v>
      </c>
      <c r="C30" s="22">
        <f t="shared" si="5"/>
        <v>2400</v>
      </c>
      <c r="D30" s="22"/>
      <c r="E30" s="9">
        <v>20</v>
      </c>
      <c r="F30" s="22">
        <f t="shared" si="6"/>
        <v>2400</v>
      </c>
      <c r="G30" s="49">
        <f>IF(H15="YES",$D$93,0)</f>
        <v>20000</v>
      </c>
      <c r="H30" s="9">
        <v>32</v>
      </c>
      <c r="I30" s="22">
        <f t="shared" si="7"/>
        <v>2400</v>
      </c>
      <c r="J30" s="22"/>
      <c r="K30" s="9">
        <v>44</v>
      </c>
      <c r="L30" s="22">
        <f t="shared" si="8"/>
        <v>2400</v>
      </c>
      <c r="M30" s="22"/>
      <c r="N30" s="9">
        <v>56</v>
      </c>
      <c r="O30" s="22">
        <f t="shared" si="9"/>
        <v>2400</v>
      </c>
      <c r="P30" s="22"/>
    </row>
    <row r="31" spans="2:16" x14ac:dyDescent="0.25">
      <c r="B31" s="9">
        <v>9</v>
      </c>
      <c r="C31" s="22">
        <f t="shared" si="5"/>
        <v>2400</v>
      </c>
      <c r="D31" s="22"/>
      <c r="E31" s="9">
        <v>21</v>
      </c>
      <c r="F31" s="22">
        <f t="shared" si="6"/>
        <v>2400</v>
      </c>
      <c r="G31" s="22"/>
      <c r="H31" s="9">
        <v>33</v>
      </c>
      <c r="I31" s="22">
        <f t="shared" si="7"/>
        <v>2400</v>
      </c>
      <c r="J31" s="22"/>
      <c r="K31" s="9">
        <v>45</v>
      </c>
      <c r="L31" s="22">
        <f t="shared" si="8"/>
        <v>2400</v>
      </c>
      <c r="M31" s="49">
        <f>IF(H10="YES",$D$93,0)</f>
        <v>20000</v>
      </c>
      <c r="N31" s="9">
        <v>57</v>
      </c>
      <c r="O31" s="22">
        <f t="shared" si="9"/>
        <v>2400</v>
      </c>
      <c r="P31" s="22"/>
    </row>
    <row r="32" spans="2:16" x14ac:dyDescent="0.25">
      <c r="B32" s="9">
        <v>10</v>
      </c>
      <c r="C32" s="22">
        <f t="shared" si="5"/>
        <v>2400</v>
      </c>
      <c r="D32" s="49">
        <f>IF(H17="YES",$D$93,0)</f>
        <v>20000</v>
      </c>
      <c r="E32" s="9">
        <v>22</v>
      </c>
      <c r="F32" s="22">
        <f t="shared" si="6"/>
        <v>2400</v>
      </c>
      <c r="G32" s="22"/>
      <c r="H32" s="9">
        <v>34</v>
      </c>
      <c r="I32" s="22">
        <f t="shared" si="7"/>
        <v>2400</v>
      </c>
      <c r="J32" s="22"/>
      <c r="K32" s="9">
        <v>46</v>
      </c>
      <c r="L32" s="22">
        <f t="shared" si="8"/>
        <v>2400</v>
      </c>
      <c r="M32" s="22"/>
      <c r="N32" s="9">
        <v>58</v>
      </c>
      <c r="O32" s="22">
        <f t="shared" si="9"/>
        <v>2400</v>
      </c>
      <c r="P32" s="22"/>
    </row>
    <row r="33" spans="2:23" x14ac:dyDescent="0.25">
      <c r="B33" s="9">
        <v>11</v>
      </c>
      <c r="C33" s="22">
        <f t="shared" si="5"/>
        <v>2400</v>
      </c>
      <c r="D33" s="22"/>
      <c r="E33" s="9">
        <v>23</v>
      </c>
      <c r="F33" s="22">
        <f t="shared" si="6"/>
        <v>2400</v>
      </c>
      <c r="G33" s="22"/>
      <c r="H33" s="9">
        <v>35</v>
      </c>
      <c r="I33" s="22">
        <f t="shared" si="7"/>
        <v>2400</v>
      </c>
      <c r="J33" s="49">
        <f>IF(H12="YES",$D$93,0)</f>
        <v>20000</v>
      </c>
      <c r="K33" s="9">
        <v>47</v>
      </c>
      <c r="L33" s="22">
        <f t="shared" si="8"/>
        <v>2400</v>
      </c>
      <c r="M33" s="22"/>
      <c r="N33" s="9">
        <v>59</v>
      </c>
      <c r="O33" s="22">
        <f t="shared" si="9"/>
        <v>2400</v>
      </c>
      <c r="P33" s="22"/>
    </row>
    <row r="34" spans="2:23" x14ac:dyDescent="0.25">
      <c r="B34" s="9">
        <v>12</v>
      </c>
      <c r="C34" s="22">
        <f t="shared" si="5"/>
        <v>2400</v>
      </c>
      <c r="D34" s="22"/>
      <c r="E34" s="9">
        <v>24</v>
      </c>
      <c r="F34" s="22">
        <f t="shared" si="6"/>
        <v>2400</v>
      </c>
      <c r="G34" s="22"/>
      <c r="H34" s="9">
        <v>36</v>
      </c>
      <c r="I34" s="22">
        <f t="shared" si="7"/>
        <v>2400</v>
      </c>
      <c r="J34" s="22"/>
      <c r="K34" s="9">
        <v>48</v>
      </c>
      <c r="L34" s="22">
        <f t="shared" si="8"/>
        <v>2400</v>
      </c>
      <c r="M34" s="22"/>
      <c r="N34" s="9">
        <v>60</v>
      </c>
      <c r="O34" s="22">
        <f t="shared" si="9"/>
        <v>2400</v>
      </c>
      <c r="P34" s="49">
        <f>IF(H7="YES",$D$93,0)</f>
        <v>20000</v>
      </c>
    </row>
    <row r="35" spans="2:23" ht="15.75" thickBot="1" x14ac:dyDescent="0.3">
      <c r="W35" s="1" t="str">
        <f t="shared" ref="W35:W40" si="10">IF(G90&gt;10,$D$93,"")</f>
        <v/>
      </c>
    </row>
    <row r="36" spans="2:23" ht="15.75" thickBot="1" x14ac:dyDescent="0.3">
      <c r="K36" s="82" t="s">
        <v>88</v>
      </c>
      <c r="L36" s="83"/>
      <c r="M36" s="83"/>
      <c r="N36" s="84" t="s">
        <v>89</v>
      </c>
      <c r="O36" s="85"/>
      <c r="W36" s="1" t="str">
        <f t="shared" si="10"/>
        <v/>
      </c>
    </row>
    <row r="37" spans="2:23" x14ac:dyDescent="0.25">
      <c r="W37" s="1" t="str">
        <f t="shared" si="10"/>
        <v/>
      </c>
    </row>
    <row r="38" spans="2:23" x14ac:dyDescent="0.25">
      <c r="W38" s="1" t="str">
        <f t="shared" si="10"/>
        <v/>
      </c>
    </row>
    <row r="39" spans="2:23" x14ac:dyDescent="0.25">
      <c r="W39" s="1" t="str">
        <f t="shared" si="10"/>
        <v/>
      </c>
    </row>
    <row r="40" spans="2:23" x14ac:dyDescent="0.25">
      <c r="W40" s="1" t="str">
        <f t="shared" si="10"/>
        <v/>
      </c>
    </row>
    <row r="76" spans="2:13" hidden="1" x14ac:dyDescent="0.25"/>
    <row r="77" spans="2:13" hidden="1" x14ac:dyDescent="0.25"/>
    <row r="78" spans="2:13" hidden="1" x14ac:dyDescent="0.25">
      <c r="B78" s="1">
        <v>1</v>
      </c>
      <c r="C78" s="1">
        <f t="shared" ref="C78:C89" si="11">C7</f>
        <v>10000</v>
      </c>
      <c r="D78" s="1">
        <f t="shared" ref="D78:D89" si="12">F7</f>
        <v>20000</v>
      </c>
      <c r="G78" s="1">
        <f>IF(C78&lt;(0.5*MAX($C$78:C78)),"",C78)</f>
        <v>10000</v>
      </c>
      <c r="I78" s="1">
        <f>IF(G78&gt;100,G78,"")</f>
        <v>10000</v>
      </c>
      <c r="L78" s="1">
        <v>500</v>
      </c>
      <c r="M78" s="1">
        <v>10</v>
      </c>
    </row>
    <row r="79" spans="2:13" hidden="1" x14ac:dyDescent="0.25">
      <c r="B79" s="1">
        <v>2</v>
      </c>
      <c r="C79" s="1">
        <f t="shared" si="11"/>
        <v>10000</v>
      </c>
      <c r="D79" s="1">
        <f t="shared" si="12"/>
        <v>20000</v>
      </c>
      <c r="G79" s="1">
        <f>IF(C79&lt;(0.5*MAX($C$78:C79)),0,C79)</f>
        <v>10000</v>
      </c>
      <c r="I79" s="1">
        <f t="shared" ref="I79:I89" si="13">IF(G79&gt;100,G79,"")</f>
        <v>10000</v>
      </c>
      <c r="L79" s="1">
        <v>1000</v>
      </c>
      <c r="M79" s="1">
        <v>10.5</v>
      </c>
    </row>
    <row r="80" spans="2:13" hidden="1" x14ac:dyDescent="0.25">
      <c r="B80" s="1">
        <v>3</v>
      </c>
      <c r="C80" s="1">
        <f t="shared" si="11"/>
        <v>10000</v>
      </c>
      <c r="D80" s="1">
        <f t="shared" si="12"/>
        <v>20000</v>
      </c>
      <c r="G80" s="1">
        <f>IF(C80&lt;(0.5*MAX($C$78:C80)),0,C80)</f>
        <v>10000</v>
      </c>
      <c r="I80" s="1">
        <f t="shared" si="13"/>
        <v>10000</v>
      </c>
      <c r="L80" s="1">
        <v>2500</v>
      </c>
      <c r="M80" s="1">
        <v>11</v>
      </c>
    </row>
    <row r="81" spans="2:17" hidden="1" x14ac:dyDescent="0.25">
      <c r="B81" s="1">
        <v>4</v>
      </c>
      <c r="C81" s="1">
        <f t="shared" si="11"/>
        <v>10000</v>
      </c>
      <c r="D81" s="1">
        <f t="shared" si="12"/>
        <v>20000</v>
      </c>
      <c r="G81" s="1">
        <f>IF(C81&lt;(0.5*MAX($C$78:C81)),0,C81)</f>
        <v>10000</v>
      </c>
      <c r="I81" s="1">
        <f t="shared" si="13"/>
        <v>10000</v>
      </c>
      <c r="L81" s="1">
        <v>5000</v>
      </c>
      <c r="M81" s="1">
        <v>11.5</v>
      </c>
    </row>
    <row r="82" spans="2:17" hidden="1" x14ac:dyDescent="0.25">
      <c r="B82" s="1">
        <v>5</v>
      </c>
      <c r="C82" s="1">
        <f t="shared" si="11"/>
        <v>10000</v>
      </c>
      <c r="D82" s="1">
        <f t="shared" si="12"/>
        <v>20000</v>
      </c>
      <c r="G82" s="1">
        <f>IF(C82&lt;(0.5*MAX($C$78:C82)),0,C82)</f>
        <v>10000</v>
      </c>
      <c r="I82" s="1">
        <f t="shared" si="13"/>
        <v>10000</v>
      </c>
      <c r="L82" s="1">
        <v>10000</v>
      </c>
      <c r="M82" s="1">
        <v>12</v>
      </c>
    </row>
    <row r="83" spans="2:17" hidden="1" x14ac:dyDescent="0.25">
      <c r="B83" s="1">
        <v>6</v>
      </c>
      <c r="C83" s="1">
        <f t="shared" si="11"/>
        <v>10000</v>
      </c>
      <c r="D83" s="1">
        <f t="shared" si="12"/>
        <v>20000</v>
      </c>
      <c r="G83" s="1">
        <f>IF(C83&lt;(0.5*MAX($C$78:C83)),0,C83)</f>
        <v>10000</v>
      </c>
      <c r="I83" s="1">
        <f t="shared" si="13"/>
        <v>10000</v>
      </c>
    </row>
    <row r="84" spans="2:17" hidden="1" x14ac:dyDescent="0.25">
      <c r="B84" s="1">
        <v>7</v>
      </c>
      <c r="C84" s="1">
        <f t="shared" si="11"/>
        <v>10000</v>
      </c>
      <c r="D84" s="1">
        <f t="shared" si="12"/>
        <v>20000</v>
      </c>
      <c r="G84" s="1">
        <f>IF(C84&lt;(0.5*MAX($C$78:C84)),0,C84)</f>
        <v>10000</v>
      </c>
      <c r="I84" s="1">
        <f t="shared" si="13"/>
        <v>10000</v>
      </c>
    </row>
    <row r="85" spans="2:17" hidden="1" x14ac:dyDescent="0.25">
      <c r="B85" s="1">
        <v>8</v>
      </c>
      <c r="C85" s="1">
        <f t="shared" si="11"/>
        <v>10000</v>
      </c>
      <c r="D85" s="1">
        <f t="shared" si="12"/>
        <v>20000</v>
      </c>
      <c r="G85" s="1">
        <f>IF(C85&lt;(0.5*MAX($C$78:C85)),0,C85)</f>
        <v>10000</v>
      </c>
      <c r="I85" s="1">
        <f t="shared" si="13"/>
        <v>10000</v>
      </c>
    </row>
    <row r="86" spans="2:17" hidden="1" x14ac:dyDescent="0.25">
      <c r="B86" s="1">
        <v>9</v>
      </c>
      <c r="C86" s="1">
        <f t="shared" si="11"/>
        <v>10000</v>
      </c>
      <c r="D86" s="1">
        <f t="shared" si="12"/>
        <v>20000</v>
      </c>
      <c r="G86" s="1">
        <f>IF(C86&lt;(0.5*MAX($C$78:C86)),0,C86)</f>
        <v>10000</v>
      </c>
      <c r="I86" s="1">
        <f t="shared" si="13"/>
        <v>10000</v>
      </c>
    </row>
    <row r="87" spans="2:17" hidden="1" x14ac:dyDescent="0.25">
      <c r="B87" s="1">
        <v>10</v>
      </c>
      <c r="C87" s="1">
        <f t="shared" si="11"/>
        <v>10000</v>
      </c>
      <c r="D87" s="1">
        <f t="shared" si="12"/>
        <v>20000</v>
      </c>
      <c r="G87" s="1">
        <f>IF(C87&lt;(0.5*MAX($C$78:C87)),0,C87)</f>
        <v>10000</v>
      </c>
      <c r="I87" s="1">
        <f t="shared" si="13"/>
        <v>10000</v>
      </c>
    </row>
    <row r="88" spans="2:17" hidden="1" x14ac:dyDescent="0.25">
      <c r="B88" s="1">
        <v>11</v>
      </c>
      <c r="C88" s="1">
        <f t="shared" si="11"/>
        <v>10000</v>
      </c>
      <c r="D88" s="1">
        <f t="shared" si="12"/>
        <v>20000</v>
      </c>
      <c r="G88" s="1">
        <f>IF(C88&lt;(0.5*MAX($C$78:C88)),0,C88)</f>
        <v>10000</v>
      </c>
      <c r="I88" s="1">
        <f t="shared" si="13"/>
        <v>10000</v>
      </c>
    </row>
    <row r="89" spans="2:17" hidden="1" x14ac:dyDescent="0.25">
      <c r="B89" s="1">
        <v>12</v>
      </c>
      <c r="C89" s="1">
        <f t="shared" si="11"/>
        <v>10000</v>
      </c>
      <c r="D89" s="1">
        <f t="shared" si="12"/>
        <v>20000</v>
      </c>
      <c r="G89" s="1">
        <f>IF(C89&lt;(0.5*MAX($C$78:C89)),0,C89)</f>
        <v>10000</v>
      </c>
      <c r="I89" s="1">
        <f t="shared" si="13"/>
        <v>10000</v>
      </c>
    </row>
    <row r="90" spans="2:17" hidden="1" x14ac:dyDescent="0.25"/>
    <row r="91" spans="2:17" hidden="1" x14ac:dyDescent="0.25">
      <c r="C91" s="1" t="s">
        <v>5</v>
      </c>
      <c r="D91" s="1">
        <f>SUM(D78:D89)</f>
        <v>240000</v>
      </c>
    </row>
    <row r="92" spans="2:17" hidden="1" x14ac:dyDescent="0.25">
      <c r="C92" s="1" t="s">
        <v>6</v>
      </c>
      <c r="D92" s="1">
        <f>MIN(G78:G89)</f>
        <v>10000</v>
      </c>
    </row>
    <row r="93" spans="2:17" hidden="1" x14ac:dyDescent="0.25">
      <c r="C93" s="1" t="s">
        <v>7</v>
      </c>
      <c r="D93" s="1">
        <f>D91/12</f>
        <v>20000</v>
      </c>
    </row>
    <row r="94" spans="2:17" ht="15.75" hidden="1" thickBot="1" x14ac:dyDescent="0.3"/>
    <row r="95" spans="2:17" ht="16.5" hidden="1" thickBot="1" x14ac:dyDescent="0.3">
      <c r="C95" s="86" t="s">
        <v>30</v>
      </c>
      <c r="D95" s="87"/>
      <c r="E95" s="87"/>
      <c r="F95" s="87"/>
      <c r="G95" s="87"/>
      <c r="H95" s="87"/>
      <c r="I95" s="87"/>
      <c r="J95" s="87"/>
      <c r="K95" s="87"/>
      <c r="L95" s="87"/>
      <c r="M95" s="87"/>
      <c r="N95" s="88"/>
    </row>
    <row r="96" spans="2:17" ht="45" hidden="1" x14ac:dyDescent="0.25">
      <c r="B96" s="18" t="s">
        <v>33</v>
      </c>
      <c r="C96" s="18" t="s">
        <v>21</v>
      </c>
      <c r="D96" s="18" t="s">
        <v>22</v>
      </c>
      <c r="E96" s="18" t="s">
        <v>29</v>
      </c>
      <c r="F96" s="18" t="s">
        <v>23</v>
      </c>
      <c r="G96" s="18" t="s">
        <v>31</v>
      </c>
      <c r="H96" s="18" t="s">
        <v>98</v>
      </c>
      <c r="I96" s="18" t="s">
        <v>99</v>
      </c>
      <c r="J96" s="18" t="s">
        <v>28</v>
      </c>
      <c r="K96" s="18" t="s">
        <v>61</v>
      </c>
      <c r="L96" s="18" t="s">
        <v>59</v>
      </c>
      <c r="M96" s="18" t="s">
        <v>20</v>
      </c>
      <c r="N96" s="18" t="s">
        <v>24</v>
      </c>
      <c r="O96" s="18" t="s">
        <v>25</v>
      </c>
      <c r="P96" s="18" t="s">
        <v>26</v>
      </c>
      <c r="Q96" s="18" t="s">
        <v>27</v>
      </c>
    </row>
    <row r="97" spans="2:17" hidden="1" x14ac:dyDescent="0.25">
      <c r="B97" s="19" t="s">
        <v>34</v>
      </c>
      <c r="C97" s="19">
        <v>12</v>
      </c>
      <c r="D97" s="59">
        <v>10000</v>
      </c>
      <c r="E97" s="61">
        <f t="shared" ref="E97:E108" si="14">D97*C97</f>
        <v>120000</v>
      </c>
      <c r="F97" s="60">
        <v>120000</v>
      </c>
      <c r="G97" s="19">
        <f>F97+E97</f>
        <v>240000</v>
      </c>
      <c r="H97" s="19">
        <v>2400</v>
      </c>
      <c r="I97" s="19">
        <f t="shared" ref="I97:I107" si="15">L97*5</f>
        <v>60</v>
      </c>
      <c r="J97" s="62">
        <v>144000</v>
      </c>
      <c r="K97" s="19">
        <v>20000</v>
      </c>
      <c r="L97" s="19">
        <v>12</v>
      </c>
      <c r="M97" s="62">
        <f t="shared" ref="M97:M108" si="16">K97*L97</f>
        <v>240000</v>
      </c>
      <c r="N97" s="63">
        <f t="shared" ref="N97:N108" si="17">M97+J97</f>
        <v>384000</v>
      </c>
      <c r="O97" s="63">
        <f t="shared" ref="O97:O108" si="18">N97-E97</f>
        <v>264000</v>
      </c>
      <c r="P97" s="20">
        <f t="shared" ref="P97:P108" si="19">N97/E97</f>
        <v>3.2</v>
      </c>
      <c r="Q97" s="20">
        <f t="shared" ref="Q97:Q108" si="20">P97-1</f>
        <v>2.2000000000000002</v>
      </c>
    </row>
    <row r="98" spans="2:17" hidden="1" x14ac:dyDescent="0.25">
      <c r="B98" s="19" t="s">
        <v>42</v>
      </c>
      <c r="C98" s="19">
        <v>11</v>
      </c>
      <c r="D98" s="59">
        <v>10000</v>
      </c>
      <c r="E98" s="61">
        <f t="shared" si="14"/>
        <v>110000</v>
      </c>
      <c r="F98" s="60">
        <v>110000</v>
      </c>
      <c r="G98" s="19">
        <f t="shared" ref="G98:G122" si="21">F98+E98</f>
        <v>220000</v>
      </c>
      <c r="H98" s="19">
        <v>2400</v>
      </c>
      <c r="I98" s="19">
        <f t="shared" si="15"/>
        <v>55</v>
      </c>
      <c r="J98" s="62">
        <v>132000</v>
      </c>
      <c r="K98" s="19">
        <v>18333.330000000002</v>
      </c>
      <c r="L98" s="19">
        <v>11</v>
      </c>
      <c r="M98" s="62">
        <f t="shared" si="16"/>
        <v>201666.63</v>
      </c>
      <c r="N98" s="63">
        <f t="shared" si="17"/>
        <v>333666.63</v>
      </c>
      <c r="O98" s="63">
        <f t="shared" si="18"/>
        <v>223666.63</v>
      </c>
      <c r="P98" s="20">
        <f t="shared" si="19"/>
        <v>3.0333329999999998</v>
      </c>
      <c r="Q98" s="20">
        <f t="shared" si="20"/>
        <v>2.0333329999999998</v>
      </c>
    </row>
    <row r="99" spans="2:17" hidden="1" x14ac:dyDescent="0.25">
      <c r="B99" s="19" t="s">
        <v>41</v>
      </c>
      <c r="C99" s="19">
        <v>10</v>
      </c>
      <c r="D99" s="59">
        <v>10000</v>
      </c>
      <c r="E99" s="61">
        <f t="shared" si="14"/>
        <v>100000</v>
      </c>
      <c r="F99" s="60">
        <v>100000</v>
      </c>
      <c r="G99" s="19">
        <f t="shared" si="21"/>
        <v>200000</v>
      </c>
      <c r="H99" s="19">
        <v>2400</v>
      </c>
      <c r="I99" s="19">
        <f t="shared" si="15"/>
        <v>50</v>
      </c>
      <c r="J99" s="62">
        <v>120000</v>
      </c>
      <c r="K99" s="19">
        <v>16666.669999999998</v>
      </c>
      <c r="L99" s="19">
        <v>10</v>
      </c>
      <c r="M99" s="62">
        <f t="shared" si="16"/>
        <v>166666.69999999998</v>
      </c>
      <c r="N99" s="63">
        <f t="shared" si="17"/>
        <v>286666.69999999995</v>
      </c>
      <c r="O99" s="63">
        <f t="shared" si="18"/>
        <v>186666.69999999995</v>
      </c>
      <c r="P99" s="20">
        <f t="shared" si="19"/>
        <v>2.8666669999999996</v>
      </c>
      <c r="Q99" s="20">
        <f t="shared" si="20"/>
        <v>1.8666669999999996</v>
      </c>
    </row>
    <row r="100" spans="2:17" hidden="1" x14ac:dyDescent="0.25">
      <c r="B100" s="19" t="s">
        <v>40</v>
      </c>
      <c r="C100" s="19">
        <v>9</v>
      </c>
      <c r="D100" s="59">
        <v>10000</v>
      </c>
      <c r="E100" s="61">
        <f t="shared" si="14"/>
        <v>90000</v>
      </c>
      <c r="F100" s="60">
        <v>90000</v>
      </c>
      <c r="G100" s="19">
        <f t="shared" si="21"/>
        <v>180000</v>
      </c>
      <c r="H100" s="19">
        <v>2400</v>
      </c>
      <c r="I100" s="19">
        <f t="shared" si="15"/>
        <v>45</v>
      </c>
      <c r="J100" s="62">
        <v>108000</v>
      </c>
      <c r="K100" s="19">
        <v>15000</v>
      </c>
      <c r="L100" s="19">
        <v>9</v>
      </c>
      <c r="M100" s="62">
        <f t="shared" si="16"/>
        <v>135000</v>
      </c>
      <c r="N100" s="63">
        <f t="shared" si="17"/>
        <v>243000</v>
      </c>
      <c r="O100" s="63">
        <f t="shared" si="18"/>
        <v>153000</v>
      </c>
      <c r="P100" s="20">
        <f t="shared" si="19"/>
        <v>2.7</v>
      </c>
      <c r="Q100" s="20">
        <f t="shared" si="20"/>
        <v>1.7000000000000002</v>
      </c>
    </row>
    <row r="101" spans="2:17" hidden="1" x14ac:dyDescent="0.25">
      <c r="B101" s="19" t="s">
        <v>39</v>
      </c>
      <c r="C101" s="19">
        <v>8</v>
      </c>
      <c r="D101" s="59">
        <v>10000</v>
      </c>
      <c r="E101" s="61">
        <f t="shared" si="14"/>
        <v>80000</v>
      </c>
      <c r="F101" s="60">
        <v>80000</v>
      </c>
      <c r="G101" s="19">
        <f t="shared" si="21"/>
        <v>160000</v>
      </c>
      <c r="H101" s="19">
        <v>2400</v>
      </c>
      <c r="I101" s="19">
        <f t="shared" si="15"/>
        <v>40</v>
      </c>
      <c r="J101" s="62">
        <v>96000</v>
      </c>
      <c r="K101" s="19">
        <v>13333.33</v>
      </c>
      <c r="L101" s="19">
        <v>8</v>
      </c>
      <c r="M101" s="62">
        <f t="shared" si="16"/>
        <v>106666.64</v>
      </c>
      <c r="N101" s="63">
        <f t="shared" si="17"/>
        <v>202666.64</v>
      </c>
      <c r="O101" s="63">
        <f t="shared" si="18"/>
        <v>122666.64000000001</v>
      </c>
      <c r="P101" s="20">
        <f t="shared" si="19"/>
        <v>2.5333330000000003</v>
      </c>
      <c r="Q101" s="20">
        <f t="shared" si="20"/>
        <v>1.5333330000000003</v>
      </c>
    </row>
    <row r="102" spans="2:17" hidden="1" x14ac:dyDescent="0.25">
      <c r="B102" s="19" t="s">
        <v>38</v>
      </c>
      <c r="C102" s="19">
        <v>7</v>
      </c>
      <c r="D102" s="59">
        <v>10000</v>
      </c>
      <c r="E102" s="61">
        <f t="shared" si="14"/>
        <v>70000</v>
      </c>
      <c r="F102" s="60">
        <v>70000</v>
      </c>
      <c r="G102" s="19">
        <f t="shared" si="21"/>
        <v>140000</v>
      </c>
      <c r="H102" s="19">
        <v>2400</v>
      </c>
      <c r="I102" s="19">
        <f t="shared" si="15"/>
        <v>35</v>
      </c>
      <c r="J102" s="62">
        <v>84000</v>
      </c>
      <c r="K102" s="19">
        <v>11666.67</v>
      </c>
      <c r="L102" s="19">
        <v>7</v>
      </c>
      <c r="M102" s="62">
        <f t="shared" si="16"/>
        <v>81666.69</v>
      </c>
      <c r="N102" s="63">
        <f t="shared" si="17"/>
        <v>165666.69</v>
      </c>
      <c r="O102" s="63">
        <f t="shared" si="18"/>
        <v>95666.69</v>
      </c>
      <c r="P102" s="20">
        <f t="shared" si="19"/>
        <v>2.3666670000000001</v>
      </c>
      <c r="Q102" s="20">
        <f t="shared" si="20"/>
        <v>1.3666670000000001</v>
      </c>
    </row>
    <row r="103" spans="2:17" hidden="1" x14ac:dyDescent="0.25">
      <c r="B103" s="19" t="s">
        <v>37</v>
      </c>
      <c r="C103" s="19">
        <v>6</v>
      </c>
      <c r="D103" s="59">
        <v>10000</v>
      </c>
      <c r="E103" s="61">
        <f t="shared" si="14"/>
        <v>60000</v>
      </c>
      <c r="F103" s="60">
        <v>60000</v>
      </c>
      <c r="G103" s="19">
        <f t="shared" si="21"/>
        <v>120000</v>
      </c>
      <c r="H103" s="19">
        <v>2400</v>
      </c>
      <c r="I103" s="19">
        <f t="shared" si="15"/>
        <v>30</v>
      </c>
      <c r="J103" s="62">
        <v>72000</v>
      </c>
      <c r="K103" s="19">
        <v>10000</v>
      </c>
      <c r="L103" s="19">
        <v>6</v>
      </c>
      <c r="M103" s="62">
        <f t="shared" si="16"/>
        <v>60000</v>
      </c>
      <c r="N103" s="63">
        <f t="shared" si="17"/>
        <v>132000</v>
      </c>
      <c r="O103" s="63">
        <f t="shared" si="18"/>
        <v>72000</v>
      </c>
      <c r="P103" s="20">
        <f t="shared" si="19"/>
        <v>2.2000000000000002</v>
      </c>
      <c r="Q103" s="20">
        <f t="shared" si="20"/>
        <v>1.2000000000000002</v>
      </c>
    </row>
    <row r="104" spans="2:17" hidden="1" x14ac:dyDescent="0.25">
      <c r="B104" s="19" t="s">
        <v>36</v>
      </c>
      <c r="C104" s="19">
        <v>5</v>
      </c>
      <c r="D104" s="59">
        <v>10000</v>
      </c>
      <c r="E104" s="61">
        <f t="shared" si="14"/>
        <v>50000</v>
      </c>
      <c r="F104" s="60">
        <v>50000</v>
      </c>
      <c r="G104" s="19">
        <f t="shared" si="21"/>
        <v>100000</v>
      </c>
      <c r="H104" s="19">
        <v>2400</v>
      </c>
      <c r="I104" s="19">
        <f t="shared" si="15"/>
        <v>25</v>
      </c>
      <c r="J104" s="62">
        <v>60000</v>
      </c>
      <c r="K104" s="19">
        <v>8333.33</v>
      </c>
      <c r="L104" s="19">
        <v>5</v>
      </c>
      <c r="M104" s="62">
        <f t="shared" si="16"/>
        <v>41666.65</v>
      </c>
      <c r="N104" s="63">
        <f t="shared" si="17"/>
        <v>101666.65</v>
      </c>
      <c r="O104" s="63">
        <f t="shared" si="18"/>
        <v>51666.649999999994</v>
      </c>
      <c r="P104" s="20">
        <f t="shared" si="19"/>
        <v>2.0333329999999998</v>
      </c>
      <c r="Q104" s="20">
        <f t="shared" si="20"/>
        <v>1.0333329999999998</v>
      </c>
    </row>
    <row r="105" spans="2:17" hidden="1" x14ac:dyDescent="0.25">
      <c r="B105" s="19" t="s">
        <v>35</v>
      </c>
      <c r="C105" s="19">
        <v>4</v>
      </c>
      <c r="D105" s="59">
        <v>10000</v>
      </c>
      <c r="E105" s="61">
        <f t="shared" si="14"/>
        <v>40000</v>
      </c>
      <c r="F105" s="60">
        <v>40000</v>
      </c>
      <c r="G105" s="19">
        <f t="shared" si="21"/>
        <v>80000</v>
      </c>
      <c r="H105" s="19">
        <v>2400</v>
      </c>
      <c r="I105" s="19">
        <f t="shared" si="15"/>
        <v>20</v>
      </c>
      <c r="J105" s="62">
        <v>48000</v>
      </c>
      <c r="K105" s="19">
        <v>6666.67</v>
      </c>
      <c r="L105" s="19">
        <v>4</v>
      </c>
      <c r="M105" s="62">
        <f t="shared" si="16"/>
        <v>26666.68</v>
      </c>
      <c r="N105" s="63">
        <f t="shared" si="17"/>
        <v>74666.679999999993</v>
      </c>
      <c r="O105" s="63">
        <f t="shared" si="18"/>
        <v>34666.679999999993</v>
      </c>
      <c r="P105" s="20">
        <f t="shared" si="19"/>
        <v>1.8666669999999999</v>
      </c>
      <c r="Q105" s="20">
        <f t="shared" si="20"/>
        <v>0.86666699999999985</v>
      </c>
    </row>
    <row r="106" spans="2:17" hidden="1" x14ac:dyDescent="0.25">
      <c r="B106" s="19" t="s">
        <v>43</v>
      </c>
      <c r="C106" s="19">
        <v>3</v>
      </c>
      <c r="D106" s="59">
        <v>10000</v>
      </c>
      <c r="E106" s="61">
        <f t="shared" si="14"/>
        <v>30000</v>
      </c>
      <c r="F106" s="60">
        <v>30000</v>
      </c>
      <c r="G106" s="19">
        <f t="shared" si="21"/>
        <v>60000</v>
      </c>
      <c r="H106" s="19">
        <v>2400</v>
      </c>
      <c r="I106" s="19">
        <f t="shared" si="15"/>
        <v>15</v>
      </c>
      <c r="J106" s="62">
        <v>36000</v>
      </c>
      <c r="K106" s="19">
        <v>5000</v>
      </c>
      <c r="L106" s="19">
        <v>3</v>
      </c>
      <c r="M106" s="62">
        <f t="shared" si="16"/>
        <v>15000</v>
      </c>
      <c r="N106" s="63">
        <f t="shared" si="17"/>
        <v>51000</v>
      </c>
      <c r="O106" s="63">
        <f t="shared" si="18"/>
        <v>21000</v>
      </c>
      <c r="P106" s="20">
        <f t="shared" si="19"/>
        <v>1.7</v>
      </c>
      <c r="Q106" s="20">
        <f t="shared" si="20"/>
        <v>0.7</v>
      </c>
    </row>
    <row r="107" spans="2:17" hidden="1" x14ac:dyDescent="0.25">
      <c r="B107" s="19" t="s">
        <v>44</v>
      </c>
      <c r="C107" s="19">
        <v>2</v>
      </c>
      <c r="D107" s="59">
        <v>10000</v>
      </c>
      <c r="E107" s="61">
        <f t="shared" si="14"/>
        <v>20000</v>
      </c>
      <c r="F107" s="60">
        <v>20000</v>
      </c>
      <c r="G107" s="19">
        <f t="shared" si="21"/>
        <v>40000</v>
      </c>
      <c r="H107" s="19">
        <v>2400</v>
      </c>
      <c r="I107" s="19">
        <f t="shared" si="15"/>
        <v>10</v>
      </c>
      <c r="J107" s="62">
        <v>24000</v>
      </c>
      <c r="K107" s="19">
        <v>3333.33</v>
      </c>
      <c r="L107" s="19">
        <v>2</v>
      </c>
      <c r="M107" s="62">
        <f t="shared" si="16"/>
        <v>6666.66</v>
      </c>
      <c r="N107" s="63">
        <f t="shared" si="17"/>
        <v>30666.66</v>
      </c>
      <c r="O107" s="63">
        <f t="shared" si="18"/>
        <v>10666.66</v>
      </c>
      <c r="P107" s="20">
        <f t="shared" si="19"/>
        <v>1.5333330000000001</v>
      </c>
      <c r="Q107" s="20">
        <f t="shared" si="20"/>
        <v>0.53333300000000006</v>
      </c>
    </row>
    <row r="108" spans="2:17" ht="15.75" hidden="1" thickBot="1" x14ac:dyDescent="0.3">
      <c r="B108" s="19" t="s">
        <v>45</v>
      </c>
      <c r="C108" s="19">
        <v>1</v>
      </c>
      <c r="D108" s="59">
        <v>10000</v>
      </c>
      <c r="E108" s="61">
        <f t="shared" si="14"/>
        <v>10000</v>
      </c>
      <c r="F108" s="60">
        <v>10000</v>
      </c>
      <c r="G108" s="19">
        <f t="shared" si="21"/>
        <v>20000</v>
      </c>
      <c r="H108" s="19">
        <v>2400</v>
      </c>
      <c r="I108" s="19">
        <f>L108*5</f>
        <v>5</v>
      </c>
      <c r="J108" s="62">
        <v>12000</v>
      </c>
      <c r="K108" s="19">
        <v>1666.67</v>
      </c>
      <c r="L108" s="19">
        <v>1</v>
      </c>
      <c r="M108" s="62">
        <f t="shared" si="16"/>
        <v>1666.67</v>
      </c>
      <c r="N108" s="63">
        <f t="shared" si="17"/>
        <v>13666.67</v>
      </c>
      <c r="O108" s="63">
        <f t="shared" si="18"/>
        <v>3666.67</v>
      </c>
      <c r="P108" s="20">
        <f t="shared" si="19"/>
        <v>1.3666670000000001</v>
      </c>
      <c r="Q108" s="20">
        <f t="shared" si="20"/>
        <v>0.36666700000000008</v>
      </c>
    </row>
    <row r="109" spans="2:17" ht="16.5" hidden="1" thickBot="1" x14ac:dyDescent="0.3">
      <c r="B109" s="21"/>
      <c r="C109" s="86" t="s">
        <v>60</v>
      </c>
      <c r="D109" s="87"/>
      <c r="E109" s="87"/>
      <c r="F109" s="87"/>
      <c r="G109" s="87"/>
      <c r="H109" s="87"/>
      <c r="I109" s="87"/>
      <c r="J109" s="87"/>
      <c r="K109" s="87"/>
      <c r="L109" s="87"/>
      <c r="M109" s="87"/>
      <c r="N109" s="88"/>
    </row>
    <row r="110" spans="2:17" ht="60" hidden="1" x14ac:dyDescent="0.25">
      <c r="B110" s="18" t="s">
        <v>33</v>
      </c>
      <c r="C110" s="18" t="s">
        <v>21</v>
      </c>
      <c r="D110" s="18" t="s">
        <v>22</v>
      </c>
      <c r="E110" s="18" t="s">
        <v>29</v>
      </c>
      <c r="F110" s="18" t="s">
        <v>23</v>
      </c>
      <c r="G110" s="18" t="s">
        <v>31</v>
      </c>
      <c r="H110" s="18" t="s">
        <v>28</v>
      </c>
      <c r="I110" s="18" t="s">
        <v>58</v>
      </c>
      <c r="J110" s="18" t="s">
        <v>59</v>
      </c>
      <c r="K110" s="18" t="s">
        <v>20</v>
      </c>
      <c r="L110" s="18" t="s">
        <v>24</v>
      </c>
      <c r="M110" s="18" t="s">
        <v>25</v>
      </c>
      <c r="N110" s="18" t="s">
        <v>26</v>
      </c>
      <c r="O110" s="18" t="s">
        <v>27</v>
      </c>
    </row>
    <row r="111" spans="2:17" hidden="1" x14ac:dyDescent="0.25">
      <c r="B111" s="19" t="s">
        <v>46</v>
      </c>
      <c r="C111" s="19">
        <v>12</v>
      </c>
      <c r="D111" s="19">
        <v>5000</v>
      </c>
      <c r="E111" s="19">
        <f t="shared" ref="E111:E122" si="22">D111*C111</f>
        <v>60000</v>
      </c>
      <c r="F111" s="19">
        <v>60000</v>
      </c>
      <c r="G111" s="19">
        <f t="shared" si="21"/>
        <v>120000</v>
      </c>
      <c r="H111" s="19">
        <v>72000</v>
      </c>
      <c r="I111" s="19">
        <v>10000</v>
      </c>
      <c r="J111" s="19">
        <v>0</v>
      </c>
      <c r="K111" s="19">
        <f t="shared" ref="K111:K122" si="23">I111*J111</f>
        <v>0</v>
      </c>
      <c r="L111" s="19">
        <f t="shared" ref="L111:L122" si="24">K111+H111</f>
        <v>72000</v>
      </c>
      <c r="M111" s="19">
        <f t="shared" ref="M111:M122" si="25">L111-E111</f>
        <v>12000</v>
      </c>
      <c r="N111" s="20">
        <f t="shared" ref="N111:N122" si="26">L111/E111</f>
        <v>1.2</v>
      </c>
      <c r="O111" s="20">
        <f t="shared" ref="O111:O122" si="27">N111-1</f>
        <v>0.19999999999999996</v>
      </c>
    </row>
    <row r="112" spans="2:17" hidden="1" x14ac:dyDescent="0.25">
      <c r="B112" s="19" t="s">
        <v>47</v>
      </c>
      <c r="C112" s="19">
        <v>11</v>
      </c>
      <c r="D112" s="19">
        <v>5000</v>
      </c>
      <c r="E112" s="19">
        <f t="shared" si="22"/>
        <v>55000</v>
      </c>
      <c r="F112" s="19">
        <v>55000</v>
      </c>
      <c r="G112" s="19">
        <f t="shared" si="21"/>
        <v>110000</v>
      </c>
      <c r="H112" s="19">
        <v>66000</v>
      </c>
      <c r="I112" s="19">
        <v>9166.67</v>
      </c>
      <c r="J112" s="19">
        <v>0</v>
      </c>
      <c r="K112" s="19">
        <f t="shared" si="23"/>
        <v>0</v>
      </c>
      <c r="L112" s="19">
        <f t="shared" si="24"/>
        <v>66000</v>
      </c>
      <c r="M112" s="19">
        <f t="shared" si="25"/>
        <v>11000</v>
      </c>
      <c r="N112" s="20">
        <f t="shared" si="26"/>
        <v>1.2</v>
      </c>
      <c r="O112" s="20">
        <f t="shared" si="27"/>
        <v>0.19999999999999996</v>
      </c>
    </row>
    <row r="113" spans="2:15" hidden="1" x14ac:dyDescent="0.25">
      <c r="B113" s="19" t="s">
        <v>48</v>
      </c>
      <c r="C113" s="19">
        <v>10</v>
      </c>
      <c r="D113" s="19">
        <v>5000</v>
      </c>
      <c r="E113" s="19">
        <f t="shared" si="22"/>
        <v>50000</v>
      </c>
      <c r="F113" s="19">
        <v>50000</v>
      </c>
      <c r="G113" s="19">
        <f t="shared" si="21"/>
        <v>100000</v>
      </c>
      <c r="H113" s="19">
        <v>60000</v>
      </c>
      <c r="I113" s="19">
        <v>8333.33</v>
      </c>
      <c r="J113" s="19">
        <v>0</v>
      </c>
      <c r="K113" s="19">
        <f t="shared" si="23"/>
        <v>0</v>
      </c>
      <c r="L113" s="19">
        <f t="shared" si="24"/>
        <v>60000</v>
      </c>
      <c r="M113" s="19">
        <f t="shared" si="25"/>
        <v>10000</v>
      </c>
      <c r="N113" s="20">
        <f t="shared" si="26"/>
        <v>1.2</v>
      </c>
      <c r="O113" s="20">
        <f t="shared" si="27"/>
        <v>0.19999999999999996</v>
      </c>
    </row>
    <row r="114" spans="2:15" hidden="1" x14ac:dyDescent="0.25">
      <c r="B114" s="19" t="s">
        <v>49</v>
      </c>
      <c r="C114" s="19">
        <v>9</v>
      </c>
      <c r="D114" s="19">
        <v>5000</v>
      </c>
      <c r="E114" s="19">
        <f t="shared" si="22"/>
        <v>45000</v>
      </c>
      <c r="F114" s="19">
        <v>45000</v>
      </c>
      <c r="G114" s="19">
        <f t="shared" si="21"/>
        <v>90000</v>
      </c>
      <c r="H114" s="19">
        <v>54000</v>
      </c>
      <c r="I114" s="19">
        <v>7500</v>
      </c>
      <c r="J114" s="19">
        <v>0</v>
      </c>
      <c r="K114" s="19">
        <f t="shared" si="23"/>
        <v>0</v>
      </c>
      <c r="L114" s="19">
        <f t="shared" si="24"/>
        <v>54000</v>
      </c>
      <c r="M114" s="19">
        <f t="shared" si="25"/>
        <v>9000</v>
      </c>
      <c r="N114" s="20">
        <f t="shared" si="26"/>
        <v>1.2</v>
      </c>
      <c r="O114" s="20">
        <f t="shared" si="27"/>
        <v>0.19999999999999996</v>
      </c>
    </row>
    <row r="115" spans="2:15" hidden="1" x14ac:dyDescent="0.25">
      <c r="B115" s="19" t="s">
        <v>50</v>
      </c>
      <c r="C115" s="19">
        <v>8</v>
      </c>
      <c r="D115" s="19">
        <v>5000</v>
      </c>
      <c r="E115" s="19">
        <f t="shared" si="22"/>
        <v>40000</v>
      </c>
      <c r="F115" s="19">
        <v>40000</v>
      </c>
      <c r="G115" s="19">
        <f t="shared" si="21"/>
        <v>80000</v>
      </c>
      <c r="H115" s="19">
        <v>48000</v>
      </c>
      <c r="I115" s="19">
        <v>6666.67</v>
      </c>
      <c r="J115" s="19">
        <v>0</v>
      </c>
      <c r="K115" s="19">
        <f t="shared" si="23"/>
        <v>0</v>
      </c>
      <c r="L115" s="19">
        <f t="shared" si="24"/>
        <v>48000</v>
      </c>
      <c r="M115" s="19">
        <f t="shared" si="25"/>
        <v>8000</v>
      </c>
      <c r="N115" s="20">
        <f t="shared" si="26"/>
        <v>1.2</v>
      </c>
      <c r="O115" s="20">
        <f t="shared" si="27"/>
        <v>0.19999999999999996</v>
      </c>
    </row>
    <row r="116" spans="2:15" hidden="1" x14ac:dyDescent="0.25">
      <c r="B116" s="19" t="s">
        <v>51</v>
      </c>
      <c r="C116" s="19">
        <v>7</v>
      </c>
      <c r="D116" s="19">
        <v>5000</v>
      </c>
      <c r="E116" s="19">
        <f t="shared" si="22"/>
        <v>35000</v>
      </c>
      <c r="F116" s="19">
        <v>35000</v>
      </c>
      <c r="G116" s="19">
        <f t="shared" si="21"/>
        <v>70000</v>
      </c>
      <c r="H116" s="19">
        <v>42000</v>
      </c>
      <c r="I116" s="19">
        <v>5833.33</v>
      </c>
      <c r="J116" s="19">
        <v>0</v>
      </c>
      <c r="K116" s="19">
        <f t="shared" si="23"/>
        <v>0</v>
      </c>
      <c r="L116" s="19">
        <f t="shared" si="24"/>
        <v>42000</v>
      </c>
      <c r="M116" s="19">
        <f t="shared" si="25"/>
        <v>7000</v>
      </c>
      <c r="N116" s="20">
        <f t="shared" si="26"/>
        <v>1.2</v>
      </c>
      <c r="O116" s="20">
        <f t="shared" si="27"/>
        <v>0.19999999999999996</v>
      </c>
    </row>
    <row r="117" spans="2:15" hidden="1" x14ac:dyDescent="0.25">
      <c r="B117" s="19" t="s">
        <v>52</v>
      </c>
      <c r="C117" s="19">
        <v>6</v>
      </c>
      <c r="D117" s="19">
        <v>5000</v>
      </c>
      <c r="E117" s="19">
        <f t="shared" si="22"/>
        <v>30000</v>
      </c>
      <c r="F117" s="19">
        <v>30000</v>
      </c>
      <c r="G117" s="19">
        <f t="shared" si="21"/>
        <v>60000</v>
      </c>
      <c r="H117" s="19">
        <v>36000</v>
      </c>
      <c r="I117" s="19">
        <v>5000</v>
      </c>
      <c r="J117" s="19">
        <v>0</v>
      </c>
      <c r="K117" s="19">
        <f t="shared" si="23"/>
        <v>0</v>
      </c>
      <c r="L117" s="19">
        <f t="shared" si="24"/>
        <v>36000</v>
      </c>
      <c r="M117" s="19">
        <f t="shared" si="25"/>
        <v>6000</v>
      </c>
      <c r="N117" s="20">
        <f t="shared" si="26"/>
        <v>1.2</v>
      </c>
      <c r="O117" s="20">
        <f t="shared" si="27"/>
        <v>0.19999999999999996</v>
      </c>
    </row>
    <row r="118" spans="2:15" hidden="1" x14ac:dyDescent="0.25">
      <c r="B118" s="19" t="s">
        <v>53</v>
      </c>
      <c r="C118" s="19">
        <v>5</v>
      </c>
      <c r="D118" s="19">
        <v>5000</v>
      </c>
      <c r="E118" s="19">
        <f t="shared" si="22"/>
        <v>25000</v>
      </c>
      <c r="F118" s="19">
        <v>25000</v>
      </c>
      <c r="G118" s="19">
        <f t="shared" si="21"/>
        <v>50000</v>
      </c>
      <c r="H118" s="19">
        <v>30000</v>
      </c>
      <c r="I118" s="19">
        <v>4166.66</v>
      </c>
      <c r="J118" s="19">
        <v>0</v>
      </c>
      <c r="K118" s="19">
        <f t="shared" si="23"/>
        <v>0</v>
      </c>
      <c r="L118" s="19">
        <f t="shared" si="24"/>
        <v>30000</v>
      </c>
      <c r="M118" s="19">
        <f t="shared" si="25"/>
        <v>5000</v>
      </c>
      <c r="N118" s="20">
        <f t="shared" si="26"/>
        <v>1.2</v>
      </c>
      <c r="O118" s="20">
        <f t="shared" si="27"/>
        <v>0.19999999999999996</v>
      </c>
    </row>
    <row r="119" spans="2:15" hidden="1" x14ac:dyDescent="0.25">
      <c r="B119" s="19" t="s">
        <v>54</v>
      </c>
      <c r="C119" s="19">
        <v>4</v>
      </c>
      <c r="D119" s="19">
        <v>5000</v>
      </c>
      <c r="E119" s="19">
        <f t="shared" si="22"/>
        <v>20000</v>
      </c>
      <c r="F119" s="19">
        <v>20000</v>
      </c>
      <c r="G119" s="19">
        <f t="shared" si="21"/>
        <v>40000</v>
      </c>
      <c r="H119" s="19">
        <v>24000</v>
      </c>
      <c r="I119" s="19">
        <v>3333.33</v>
      </c>
      <c r="J119" s="19">
        <v>0</v>
      </c>
      <c r="K119" s="19">
        <f t="shared" si="23"/>
        <v>0</v>
      </c>
      <c r="L119" s="19">
        <f t="shared" si="24"/>
        <v>24000</v>
      </c>
      <c r="M119" s="19">
        <f t="shared" si="25"/>
        <v>4000</v>
      </c>
      <c r="N119" s="20">
        <f t="shared" si="26"/>
        <v>1.2</v>
      </c>
      <c r="O119" s="20">
        <f t="shared" si="27"/>
        <v>0.19999999999999996</v>
      </c>
    </row>
    <row r="120" spans="2:15" hidden="1" x14ac:dyDescent="0.25">
      <c r="B120" s="19" t="s">
        <v>55</v>
      </c>
      <c r="C120" s="19">
        <v>3</v>
      </c>
      <c r="D120" s="19">
        <v>5000</v>
      </c>
      <c r="E120" s="19">
        <f t="shared" si="22"/>
        <v>15000</v>
      </c>
      <c r="F120" s="19">
        <v>15000</v>
      </c>
      <c r="G120" s="19">
        <f t="shared" si="21"/>
        <v>30000</v>
      </c>
      <c r="H120" s="19">
        <v>18000</v>
      </c>
      <c r="I120" s="19">
        <v>2500</v>
      </c>
      <c r="J120" s="19">
        <v>0</v>
      </c>
      <c r="K120" s="19">
        <f t="shared" si="23"/>
        <v>0</v>
      </c>
      <c r="L120" s="19">
        <f t="shared" si="24"/>
        <v>18000</v>
      </c>
      <c r="M120" s="19">
        <f t="shared" si="25"/>
        <v>3000</v>
      </c>
      <c r="N120" s="20">
        <f t="shared" si="26"/>
        <v>1.2</v>
      </c>
      <c r="O120" s="20">
        <f t="shared" si="27"/>
        <v>0.19999999999999996</v>
      </c>
    </row>
    <row r="121" spans="2:15" hidden="1" x14ac:dyDescent="0.25">
      <c r="B121" s="19" t="s">
        <v>56</v>
      </c>
      <c r="C121" s="19">
        <v>2</v>
      </c>
      <c r="D121" s="19">
        <v>5000</v>
      </c>
      <c r="E121" s="19">
        <f t="shared" si="22"/>
        <v>10000</v>
      </c>
      <c r="F121" s="19">
        <v>10000</v>
      </c>
      <c r="G121" s="19">
        <f t="shared" si="21"/>
        <v>20000</v>
      </c>
      <c r="H121" s="19">
        <v>12000</v>
      </c>
      <c r="I121" s="19">
        <v>1666.67</v>
      </c>
      <c r="J121" s="19">
        <v>0</v>
      </c>
      <c r="K121" s="19">
        <f t="shared" si="23"/>
        <v>0</v>
      </c>
      <c r="L121" s="19">
        <f t="shared" si="24"/>
        <v>12000</v>
      </c>
      <c r="M121" s="19">
        <f t="shared" si="25"/>
        <v>2000</v>
      </c>
      <c r="N121" s="20">
        <f t="shared" si="26"/>
        <v>1.2</v>
      </c>
      <c r="O121" s="20">
        <f t="shared" si="27"/>
        <v>0.19999999999999996</v>
      </c>
    </row>
    <row r="122" spans="2:15" hidden="1" x14ac:dyDescent="0.25">
      <c r="B122" s="19" t="s">
        <v>57</v>
      </c>
      <c r="C122" s="19">
        <v>1</v>
      </c>
      <c r="D122" s="19">
        <v>5000</v>
      </c>
      <c r="E122" s="19">
        <f t="shared" si="22"/>
        <v>5000</v>
      </c>
      <c r="F122" s="19">
        <v>5000</v>
      </c>
      <c r="G122" s="19">
        <f t="shared" si="21"/>
        <v>10000</v>
      </c>
      <c r="H122" s="19">
        <v>6000</v>
      </c>
      <c r="I122" s="19">
        <v>833.33</v>
      </c>
      <c r="J122" s="19">
        <v>0</v>
      </c>
      <c r="K122" s="19">
        <f t="shared" si="23"/>
        <v>0</v>
      </c>
      <c r="L122" s="19">
        <f t="shared" si="24"/>
        <v>6000</v>
      </c>
      <c r="M122" s="19">
        <f t="shared" si="25"/>
        <v>1000</v>
      </c>
      <c r="N122" s="20">
        <f t="shared" si="26"/>
        <v>1.2</v>
      </c>
      <c r="O122" s="20">
        <f t="shared" si="27"/>
        <v>0.19999999999999996</v>
      </c>
    </row>
    <row r="123" spans="2:15" hidden="1" x14ac:dyDescent="0.25"/>
    <row r="124" spans="2:15" hidden="1" x14ac:dyDescent="0.25"/>
  </sheetData>
  <sheetProtection algorithmName="SHA-512" hashValue="J17nbMb1hNhB1W4xlBPjnlMdBPseeSOQ4U4it9mlC6guo9t6sMeQACrkEejCqP/tTKuAs7ol+fmt80C26gtjTw==" saltValue="3hSx3JJOG7VMEdJ4FVP/SA==" spinCount="100000" sheet="1"/>
  <mergeCells count="14">
    <mergeCell ref="K2:M2"/>
    <mergeCell ref="N2:O2"/>
    <mergeCell ref="C109:N109"/>
    <mergeCell ref="J6:L6"/>
    <mergeCell ref="J7:L7"/>
    <mergeCell ref="J8:L8"/>
    <mergeCell ref="J9:L9"/>
    <mergeCell ref="J10:L10"/>
    <mergeCell ref="J11:L11"/>
    <mergeCell ref="J12:L12"/>
    <mergeCell ref="K36:M36"/>
    <mergeCell ref="N36:O36"/>
    <mergeCell ref="J13:L13"/>
    <mergeCell ref="C95:N95"/>
  </mergeCells>
  <phoneticPr fontId="7" type="noConversion"/>
  <hyperlinks>
    <hyperlink ref="N2" location="TSGAP!A1" display="TSGAP" xr:uid="{27F5A464-2C30-4F49-87FA-27124B1567AA}"/>
    <hyperlink ref="N2:O2" location="'USER GUIDE'!D2" display="USER GUIDE" xr:uid="{A350C3DB-0F46-4F14-858C-0C45E4E1B291}"/>
    <hyperlink ref="N36" location="TSGAP!A1" display="TSGAP" xr:uid="{AF3AFCBB-2935-447D-9B3C-992B10FD569C}"/>
    <hyperlink ref="N36:O36" location="'PET Calculator'!D2" display="TOP" xr:uid="{1D49B7C5-4F48-48CF-A9E4-97C8DEEDB19D}"/>
  </hyperlinks>
  <pageMargins left="0.7" right="0.7" top="0.75" bottom="0.75" header="0.3" footer="0.3"/>
  <pageSetup paperSize="9" orientation="portrait" r:id="rId1"/>
  <ignoredErrors>
    <ignoredError sqref="C7:C19" unlockedFormula="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GUIDE</vt:lpstr>
      <vt:lpstr>PET Calculator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Kavish Jhaveri</dc:creator>
  <cp:lastModifiedBy>Kavish Jhaveri</cp:lastModifiedBy>
  <dcterms:created xsi:type="dcterms:W3CDTF">2019-12-27T11:24:08Z</dcterms:created>
  <dcterms:modified xsi:type="dcterms:W3CDTF">2020-01-09T16:57:52Z</dcterms:modified>
</cp:coreProperties>
</file>