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E:\Era swap\"/>
    </mc:Choice>
  </mc:AlternateContent>
  <xr:revisionPtr revIDLastSave="0" documentId="8_{F5487131-8582-4C18-8B7B-F0C36FD83FF8}" xr6:coauthVersionLast="45" xr6:coauthVersionMax="45" xr10:uidLastSave="{00000000-0000-0000-0000-000000000000}"/>
  <bookViews>
    <workbookView xWindow="-120" yWindow="-120" windowWidth="20730" windowHeight="11160" tabRatio="568" xr2:uid="{00000000-000D-0000-FFFF-FFFF00000000}"/>
  </bookViews>
  <sheets>
    <sheet name="USER GUIDE" sheetId="9" r:id="rId1"/>
    <sheet name="TSGAP % slabs" sheetId="1" state="hidden" r:id="rId2"/>
    <sheet name="GOAL Approach" sheetId="11" r:id="rId3"/>
    <sheet name="TSGAP" sheetId="14" r:id="rId4"/>
    <sheet name="TSGAP compounded" sheetId="6" state="hidden" r:id="rId5"/>
    <sheet name="TimeAlly - TSGAP" sheetId="15" r:id="rId6"/>
    <sheet name="TimeAlly + TSGAP compounded" sheetId="13" state="hidden" r:id="rId7"/>
    <sheet name="TSGAP - Top up" sheetId="7" state="hidden" r:id="rId8"/>
    <sheet name="Calculated ES Dayswapper" sheetId="8" state="hidden" r:id="rId9"/>
    <sheet name="TimeAlly + TSGAP" sheetId="12" state="hidden" r:id="rId10"/>
    <sheet name="Day Swappers Calculation" sheetId="10" r:id="rId11"/>
  </sheets>
  <calcPr calcId="18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8" i="15" l="1"/>
  <c r="C5" i="15"/>
  <c r="C4" i="13"/>
  <c r="C3" i="13"/>
  <c r="L71" i="15"/>
  <c r="BE69" i="15"/>
  <c r="BB69" i="15"/>
  <c r="AY69" i="15"/>
  <c r="AV69" i="15"/>
  <c r="AS69" i="15"/>
  <c r="AP69" i="15"/>
  <c r="AM69" i="15"/>
  <c r="AJ69" i="15"/>
  <c r="AG69" i="15"/>
  <c r="AD69" i="15"/>
  <c r="BF69" i="15" s="1"/>
  <c r="AA69" i="15"/>
  <c r="BC69" i="15" s="1"/>
  <c r="X69" i="15"/>
  <c r="AZ69" i="15" s="1"/>
  <c r="U69" i="15"/>
  <c r="AW69" i="15" s="1"/>
  <c r="R69" i="15"/>
  <c r="AT69" i="15" s="1"/>
  <c r="O69" i="15"/>
  <c r="AQ69" i="15" s="1"/>
  <c r="L69" i="15"/>
  <c r="AN69" i="15" s="1"/>
  <c r="I69" i="15"/>
  <c r="AK69" i="15" s="1"/>
  <c r="F69" i="15"/>
  <c r="AH69" i="15" s="1"/>
  <c r="BE68" i="15"/>
  <c r="BB68" i="15"/>
  <c r="AY68" i="15"/>
  <c r="AV68" i="15"/>
  <c r="AS68" i="15"/>
  <c r="AP68" i="15"/>
  <c r="AM68" i="15"/>
  <c r="AJ68" i="15"/>
  <c r="AG68" i="15"/>
  <c r="AD68" i="15"/>
  <c r="BF68" i="15" s="1"/>
  <c r="AA68" i="15"/>
  <c r="BC68" i="15" s="1"/>
  <c r="X68" i="15"/>
  <c r="AZ68" i="15" s="1"/>
  <c r="U68" i="15"/>
  <c r="AW68" i="15" s="1"/>
  <c r="R68" i="15"/>
  <c r="AT68" i="15" s="1"/>
  <c r="O68" i="15"/>
  <c r="AQ68" i="15" s="1"/>
  <c r="L68" i="15"/>
  <c r="AN68" i="15" s="1"/>
  <c r="I68" i="15"/>
  <c r="AK68" i="15" s="1"/>
  <c r="F68" i="15"/>
  <c r="AH68" i="15" s="1"/>
  <c r="BE67" i="15"/>
  <c r="BB67" i="15"/>
  <c r="AY67" i="15"/>
  <c r="AV67" i="15"/>
  <c r="AS67" i="15"/>
  <c r="AP67" i="15"/>
  <c r="AM67" i="15"/>
  <c r="AJ67" i="15"/>
  <c r="AG67" i="15"/>
  <c r="AD67" i="15"/>
  <c r="BF67" i="15" s="1"/>
  <c r="AA67" i="15"/>
  <c r="X67" i="15"/>
  <c r="AZ67" i="15" s="1"/>
  <c r="U67" i="15"/>
  <c r="AW67" i="15" s="1"/>
  <c r="R67" i="15"/>
  <c r="AT67" i="15" s="1"/>
  <c r="O67" i="15"/>
  <c r="L67" i="15"/>
  <c r="AN67" i="15" s="1"/>
  <c r="I67" i="15"/>
  <c r="AK67" i="15" s="1"/>
  <c r="F67" i="15"/>
  <c r="AH67" i="15" s="1"/>
  <c r="BE66" i="15"/>
  <c r="BB66" i="15"/>
  <c r="AY66" i="15"/>
  <c r="AV66" i="15"/>
  <c r="AS66" i="15"/>
  <c r="AP66" i="15"/>
  <c r="AM66" i="15"/>
  <c r="AJ66" i="15"/>
  <c r="AG66" i="15"/>
  <c r="AD66" i="15"/>
  <c r="BF66" i="15" s="1"/>
  <c r="AA66" i="15"/>
  <c r="BC66" i="15" s="1"/>
  <c r="X66" i="15"/>
  <c r="AZ66" i="15" s="1"/>
  <c r="U66" i="15"/>
  <c r="AW66" i="15" s="1"/>
  <c r="R66" i="15"/>
  <c r="AT66" i="15" s="1"/>
  <c r="O66" i="15"/>
  <c r="AQ66" i="15" s="1"/>
  <c r="L66" i="15"/>
  <c r="AN66" i="15" s="1"/>
  <c r="I66" i="15"/>
  <c r="AK66" i="15" s="1"/>
  <c r="F66" i="15"/>
  <c r="AH66" i="15" s="1"/>
  <c r="BE65" i="15"/>
  <c r="BB65" i="15"/>
  <c r="AY65" i="15"/>
  <c r="AV65" i="15"/>
  <c r="AS65" i="15"/>
  <c r="AP65" i="15"/>
  <c r="AM65" i="15"/>
  <c r="AJ65" i="15"/>
  <c r="AG65" i="15"/>
  <c r="AD65" i="15"/>
  <c r="BF65" i="15" s="1"/>
  <c r="AA65" i="15"/>
  <c r="BC65" i="15" s="1"/>
  <c r="X65" i="15"/>
  <c r="AZ65" i="15" s="1"/>
  <c r="U65" i="15"/>
  <c r="AW65" i="15" s="1"/>
  <c r="R65" i="15"/>
  <c r="AT65" i="15" s="1"/>
  <c r="O65" i="15"/>
  <c r="AQ65" i="15" s="1"/>
  <c r="L65" i="15"/>
  <c r="AN65" i="15" s="1"/>
  <c r="I65" i="15"/>
  <c r="F65" i="15"/>
  <c r="AH65" i="15" s="1"/>
  <c r="BE64" i="15"/>
  <c r="BB64" i="15"/>
  <c r="AY64" i="15"/>
  <c r="AV64" i="15"/>
  <c r="AS64" i="15"/>
  <c r="AP64" i="15"/>
  <c r="AM64" i="15"/>
  <c r="AJ64" i="15"/>
  <c r="AG64" i="15"/>
  <c r="AD64" i="15"/>
  <c r="BF64" i="15" s="1"/>
  <c r="AA64" i="15"/>
  <c r="BC64" i="15" s="1"/>
  <c r="X64" i="15"/>
  <c r="AZ64" i="15" s="1"/>
  <c r="U64" i="15"/>
  <c r="AW64" i="15" s="1"/>
  <c r="R64" i="15"/>
  <c r="AT64" i="15" s="1"/>
  <c r="O64" i="15"/>
  <c r="AQ64" i="15" s="1"/>
  <c r="L64" i="15"/>
  <c r="AN64" i="15" s="1"/>
  <c r="I64" i="15"/>
  <c r="AK64" i="15" s="1"/>
  <c r="F64" i="15"/>
  <c r="AH64" i="15" s="1"/>
  <c r="BE63" i="15"/>
  <c r="BB63" i="15"/>
  <c r="AY63" i="15"/>
  <c r="AV63" i="15"/>
  <c r="AS63" i="15"/>
  <c r="AP63" i="15"/>
  <c r="AM63" i="15"/>
  <c r="AJ63" i="15"/>
  <c r="AG63" i="15"/>
  <c r="AD63" i="15"/>
  <c r="BF63" i="15" s="1"/>
  <c r="AA63" i="15"/>
  <c r="X63" i="15"/>
  <c r="AZ63" i="15" s="1"/>
  <c r="U63" i="15"/>
  <c r="AW63" i="15" s="1"/>
  <c r="R63" i="15"/>
  <c r="AT63" i="15" s="1"/>
  <c r="O63" i="15"/>
  <c r="L63" i="15"/>
  <c r="AN63" i="15" s="1"/>
  <c r="I63" i="15"/>
  <c r="AK63" i="15" s="1"/>
  <c r="F63" i="15"/>
  <c r="AH63" i="15" s="1"/>
  <c r="BE62" i="15"/>
  <c r="BB62" i="15"/>
  <c r="AY62" i="15"/>
  <c r="AV62" i="15"/>
  <c r="AS62" i="15"/>
  <c r="AP62" i="15"/>
  <c r="AM62" i="15"/>
  <c r="AJ62" i="15"/>
  <c r="AG62" i="15"/>
  <c r="AD62" i="15"/>
  <c r="BF62" i="15" s="1"/>
  <c r="AA62" i="15"/>
  <c r="BC62" i="15" s="1"/>
  <c r="X62" i="15"/>
  <c r="AZ62" i="15" s="1"/>
  <c r="U62" i="15"/>
  <c r="AW62" i="15" s="1"/>
  <c r="R62" i="15"/>
  <c r="AT62" i="15" s="1"/>
  <c r="O62" i="15"/>
  <c r="AQ62" i="15" s="1"/>
  <c r="L62" i="15"/>
  <c r="AN62" i="15" s="1"/>
  <c r="I62" i="15"/>
  <c r="AK62" i="15" s="1"/>
  <c r="F62" i="15"/>
  <c r="AH62" i="15" s="1"/>
  <c r="BE61" i="15"/>
  <c r="BB61" i="15"/>
  <c r="AY61" i="15"/>
  <c r="AV61" i="15"/>
  <c r="AS61" i="15"/>
  <c r="AP61" i="15"/>
  <c r="AM61" i="15"/>
  <c r="AJ61" i="15"/>
  <c r="AG61" i="15"/>
  <c r="AD61" i="15"/>
  <c r="BF61" i="15" s="1"/>
  <c r="AA61" i="15"/>
  <c r="BC61" i="15" s="1"/>
  <c r="X61" i="15"/>
  <c r="AZ61" i="15" s="1"/>
  <c r="U61" i="15"/>
  <c r="AW61" i="15" s="1"/>
  <c r="R61" i="15"/>
  <c r="AT61" i="15" s="1"/>
  <c r="O61" i="15"/>
  <c r="AQ61" i="15" s="1"/>
  <c r="L61" i="15"/>
  <c r="AN61" i="15" s="1"/>
  <c r="I61" i="15"/>
  <c r="AK61" i="15" s="1"/>
  <c r="F61" i="15"/>
  <c r="AH61" i="15" s="1"/>
  <c r="BE60" i="15"/>
  <c r="BB60" i="15"/>
  <c r="AY60" i="15"/>
  <c r="AV60" i="15"/>
  <c r="AS60" i="15"/>
  <c r="AP60" i="15"/>
  <c r="AM60" i="15"/>
  <c r="AJ60" i="15"/>
  <c r="AG60" i="15"/>
  <c r="AD60" i="15"/>
  <c r="BF60" i="15" s="1"/>
  <c r="AA60" i="15"/>
  <c r="BC60" i="15" s="1"/>
  <c r="X60" i="15"/>
  <c r="AZ60" i="15" s="1"/>
  <c r="U60" i="15"/>
  <c r="AW60" i="15" s="1"/>
  <c r="R60" i="15"/>
  <c r="AT60" i="15" s="1"/>
  <c r="O60" i="15"/>
  <c r="AQ60" i="15" s="1"/>
  <c r="L60" i="15"/>
  <c r="AN60" i="15" s="1"/>
  <c r="I60" i="15"/>
  <c r="AK60" i="15" s="1"/>
  <c r="F60" i="15"/>
  <c r="AH60" i="15" s="1"/>
  <c r="BE59" i="15"/>
  <c r="BB59" i="15"/>
  <c r="AY59" i="15"/>
  <c r="AV59" i="15"/>
  <c r="AS59" i="15"/>
  <c r="AP59" i="15"/>
  <c r="AM59" i="15"/>
  <c r="AJ59" i="15"/>
  <c r="AG59" i="15"/>
  <c r="AD59" i="15"/>
  <c r="BF59" i="15" s="1"/>
  <c r="AA59" i="15"/>
  <c r="BC59" i="15" s="1"/>
  <c r="X59" i="15"/>
  <c r="AZ59" i="15" s="1"/>
  <c r="U59" i="15"/>
  <c r="AW59" i="15" s="1"/>
  <c r="R59" i="15"/>
  <c r="AT59" i="15" s="1"/>
  <c r="O59" i="15"/>
  <c r="AQ59" i="15" s="1"/>
  <c r="L59" i="15"/>
  <c r="AN59" i="15" s="1"/>
  <c r="I59" i="15"/>
  <c r="AK59" i="15" s="1"/>
  <c r="F59" i="15"/>
  <c r="AH59" i="15" s="1"/>
  <c r="BE58" i="15"/>
  <c r="BB58" i="15"/>
  <c r="AY58" i="15"/>
  <c r="AV58" i="15"/>
  <c r="AS58" i="15"/>
  <c r="AP58" i="15"/>
  <c r="AM58" i="15"/>
  <c r="AJ58" i="15"/>
  <c r="AG58" i="15"/>
  <c r="AD58" i="15"/>
  <c r="BF58" i="15" s="1"/>
  <c r="AA58" i="15"/>
  <c r="BC58" i="15" s="1"/>
  <c r="X58" i="15"/>
  <c r="Y43" i="15" s="1"/>
  <c r="U58" i="15"/>
  <c r="AW58" i="15" s="1"/>
  <c r="R58" i="15"/>
  <c r="AT58" i="15" s="1"/>
  <c r="O58" i="15"/>
  <c r="AQ58" i="15" s="1"/>
  <c r="L58" i="15"/>
  <c r="AN58" i="15" s="1"/>
  <c r="I58" i="15"/>
  <c r="AK58" i="15" s="1"/>
  <c r="F58" i="15"/>
  <c r="AH58" i="15" s="1"/>
  <c r="C53" i="15"/>
  <c r="D28" i="13" s="1"/>
  <c r="C52" i="15"/>
  <c r="D27" i="13" s="1"/>
  <c r="C51" i="15"/>
  <c r="D26" i="13" s="1"/>
  <c r="C50" i="15"/>
  <c r="D25" i="13" s="1"/>
  <c r="C49" i="15"/>
  <c r="D24" i="13" s="1"/>
  <c r="C48" i="15"/>
  <c r="D23" i="13" s="1"/>
  <c r="C47" i="15"/>
  <c r="D22" i="13" s="1"/>
  <c r="C46" i="15"/>
  <c r="D21" i="13" s="1"/>
  <c r="C45" i="15"/>
  <c r="D20" i="13" s="1"/>
  <c r="C44" i="15"/>
  <c r="D19" i="13" s="1"/>
  <c r="C43" i="15"/>
  <c r="D18" i="13" s="1"/>
  <c r="C42" i="15"/>
  <c r="D17" i="13" s="1"/>
  <c r="C6" i="15"/>
  <c r="C53" i="14"/>
  <c r="C52" i="14"/>
  <c r="C51" i="14"/>
  <c r="C50" i="14"/>
  <c r="C49" i="14"/>
  <c r="C48" i="14"/>
  <c r="C47" i="14"/>
  <c r="C46" i="14"/>
  <c r="C45" i="14"/>
  <c r="C44" i="14"/>
  <c r="C43" i="14"/>
  <c r="C42" i="14"/>
  <c r="L71" i="14"/>
  <c r="C6" i="6"/>
  <c r="C3" i="6"/>
  <c r="C4" i="14"/>
  <c r="AJ58" i="14"/>
  <c r="AM58" i="14"/>
  <c r="AP58" i="14"/>
  <c r="AS58" i="14"/>
  <c r="AV58" i="14"/>
  <c r="AY58" i="14"/>
  <c r="BB58" i="14"/>
  <c r="BE58" i="14"/>
  <c r="AJ59" i="14"/>
  <c r="AM59" i="14"/>
  <c r="AP59" i="14"/>
  <c r="AS59" i="14"/>
  <c r="AV59" i="14"/>
  <c r="AY59" i="14"/>
  <c r="BB59" i="14"/>
  <c r="BE59" i="14"/>
  <c r="AJ60" i="14"/>
  <c r="AM60" i="14"/>
  <c r="AP60" i="14"/>
  <c r="AS60" i="14"/>
  <c r="AV60" i="14"/>
  <c r="AY60" i="14"/>
  <c r="BB60" i="14"/>
  <c r="BE60" i="14"/>
  <c r="AJ61" i="14"/>
  <c r="AM61" i="14"/>
  <c r="AP61" i="14"/>
  <c r="AS61" i="14"/>
  <c r="AV61" i="14"/>
  <c r="AY61" i="14"/>
  <c r="BB61" i="14"/>
  <c r="BE61" i="14"/>
  <c r="AJ62" i="14"/>
  <c r="AM62" i="14"/>
  <c r="AP62" i="14"/>
  <c r="AS62" i="14"/>
  <c r="AV62" i="14"/>
  <c r="AY62" i="14"/>
  <c r="BB62" i="14"/>
  <c r="BE62" i="14"/>
  <c r="AJ63" i="14"/>
  <c r="AM63" i="14"/>
  <c r="AP63" i="14"/>
  <c r="AS63" i="14"/>
  <c r="AV63" i="14"/>
  <c r="AY63" i="14"/>
  <c r="BB63" i="14"/>
  <c r="BE63" i="14"/>
  <c r="AJ64" i="14"/>
  <c r="AM64" i="14"/>
  <c r="AP64" i="14"/>
  <c r="AS64" i="14"/>
  <c r="AV64" i="14"/>
  <c r="AY64" i="14"/>
  <c r="BB64" i="14"/>
  <c r="BE64" i="14"/>
  <c r="AJ65" i="14"/>
  <c r="AM65" i="14"/>
  <c r="AP65" i="14"/>
  <c r="AS65" i="14"/>
  <c r="AV65" i="14"/>
  <c r="AY65" i="14"/>
  <c r="BB65" i="14"/>
  <c r="BE65" i="14"/>
  <c r="AJ66" i="14"/>
  <c r="AM66" i="14"/>
  <c r="AP66" i="14"/>
  <c r="AS66" i="14"/>
  <c r="AV66" i="14"/>
  <c r="AY66" i="14"/>
  <c r="BB66" i="14"/>
  <c r="BE66" i="14"/>
  <c r="AJ67" i="14"/>
  <c r="AM67" i="14"/>
  <c r="AP67" i="14"/>
  <c r="AS67" i="14"/>
  <c r="AV67" i="14"/>
  <c r="AY67" i="14"/>
  <c r="BB67" i="14"/>
  <c r="BE67" i="14"/>
  <c r="AJ68" i="14"/>
  <c r="AM68" i="14"/>
  <c r="AP68" i="14"/>
  <c r="AS68" i="14"/>
  <c r="AV68" i="14"/>
  <c r="AY68" i="14"/>
  <c r="BB68" i="14"/>
  <c r="BE68" i="14"/>
  <c r="AJ69" i="14"/>
  <c r="AM69" i="14"/>
  <c r="AP69" i="14"/>
  <c r="AS69" i="14"/>
  <c r="AV69" i="14"/>
  <c r="AY69" i="14"/>
  <c r="BB69" i="14"/>
  <c r="BE69" i="14"/>
  <c r="F50" i="15" l="1"/>
  <c r="F42" i="15"/>
  <c r="F56" i="15" s="1"/>
  <c r="P43" i="15"/>
  <c r="F44" i="15"/>
  <c r="I44" i="15" s="1"/>
  <c r="L44" i="15" s="1"/>
  <c r="O44" i="15" s="1"/>
  <c r="R44" i="15" s="1"/>
  <c r="U44" i="15" s="1"/>
  <c r="X44" i="15" s="1"/>
  <c r="AA44" i="15" s="1"/>
  <c r="AD44" i="15" s="1"/>
  <c r="F52" i="15"/>
  <c r="I52" i="15" s="1"/>
  <c r="L52" i="15" s="1"/>
  <c r="F43" i="15"/>
  <c r="I43" i="15" s="1"/>
  <c r="L43" i="15" s="1"/>
  <c r="O43" i="15" s="1"/>
  <c r="R43" i="15" s="1"/>
  <c r="U43" i="15" s="1"/>
  <c r="X43" i="15" s="1"/>
  <c r="AA43" i="15" s="1"/>
  <c r="AD43" i="15" s="1"/>
  <c r="I50" i="15"/>
  <c r="L50" i="15" s="1"/>
  <c r="O50" i="15" s="1"/>
  <c r="R50" i="15" s="1"/>
  <c r="U50" i="15" s="1"/>
  <c r="X50" i="15" s="1"/>
  <c r="AA50" i="15" s="1"/>
  <c r="AD50" i="15" s="1"/>
  <c r="L73" i="15"/>
  <c r="AZ58" i="15"/>
  <c r="V43" i="15"/>
  <c r="J43" i="15"/>
  <c r="M43" i="15"/>
  <c r="AB43" i="15"/>
  <c r="I42" i="15"/>
  <c r="G43" i="15"/>
  <c r="S43" i="15"/>
  <c r="AE43" i="15"/>
  <c r="F48" i="15"/>
  <c r="I48" i="15" s="1"/>
  <c r="L48" i="15" s="1"/>
  <c r="O48" i="15" s="1"/>
  <c r="R48" i="15" s="1"/>
  <c r="U48" i="15" s="1"/>
  <c r="X48" i="15" s="1"/>
  <c r="AA48" i="15" s="1"/>
  <c r="AD48" i="15" s="1"/>
  <c r="F46" i="15"/>
  <c r="I46" i="15" s="1"/>
  <c r="L46" i="15" s="1"/>
  <c r="O46" i="15" s="1"/>
  <c r="R46" i="15" s="1"/>
  <c r="U46" i="15" s="1"/>
  <c r="X46" i="15" s="1"/>
  <c r="AA46" i="15" s="1"/>
  <c r="AD46" i="15" s="1"/>
  <c r="O52" i="15"/>
  <c r="R52" i="15" s="1"/>
  <c r="U52" i="15" s="1"/>
  <c r="X52" i="15" s="1"/>
  <c r="AA52" i="15" s="1"/>
  <c r="AD52" i="15" s="1"/>
  <c r="C56" i="15"/>
  <c r="C67" i="15" s="1"/>
  <c r="AE67" i="15" s="1"/>
  <c r="AQ67" i="15"/>
  <c r="BC67" i="15"/>
  <c r="C76" i="15"/>
  <c r="C54" i="15"/>
  <c r="F19" i="15" s="1"/>
  <c r="F45" i="15"/>
  <c r="I45" i="15" s="1"/>
  <c r="L45" i="15" s="1"/>
  <c r="O45" i="15" s="1"/>
  <c r="R45" i="15" s="1"/>
  <c r="U45" i="15" s="1"/>
  <c r="X45" i="15" s="1"/>
  <c r="AA45" i="15" s="1"/>
  <c r="AD45" i="15" s="1"/>
  <c r="F47" i="15"/>
  <c r="I47" i="15" s="1"/>
  <c r="L47" i="15" s="1"/>
  <c r="O47" i="15" s="1"/>
  <c r="R47" i="15" s="1"/>
  <c r="U47" i="15" s="1"/>
  <c r="X47" i="15" s="1"/>
  <c r="AA47" i="15" s="1"/>
  <c r="AD47" i="15" s="1"/>
  <c r="F49" i="15"/>
  <c r="I49" i="15" s="1"/>
  <c r="L49" i="15" s="1"/>
  <c r="O49" i="15" s="1"/>
  <c r="R49" i="15" s="1"/>
  <c r="U49" i="15" s="1"/>
  <c r="X49" i="15" s="1"/>
  <c r="AA49" i="15" s="1"/>
  <c r="AD49" i="15" s="1"/>
  <c r="F51" i="15"/>
  <c r="I51" i="15" s="1"/>
  <c r="L51" i="15" s="1"/>
  <c r="O51" i="15" s="1"/>
  <c r="R51" i="15" s="1"/>
  <c r="U51" i="15" s="1"/>
  <c r="X51" i="15" s="1"/>
  <c r="AA51" i="15" s="1"/>
  <c r="AD51" i="15" s="1"/>
  <c r="AG51" i="15" s="1"/>
  <c r="AJ51" i="15" s="1"/>
  <c r="AM51" i="15" s="1"/>
  <c r="AP51" i="15" s="1"/>
  <c r="AS51" i="15" s="1"/>
  <c r="AV51" i="15" s="1"/>
  <c r="AY51" i="15" s="1"/>
  <c r="BB51" i="15" s="1"/>
  <c r="F53" i="15"/>
  <c r="I53" i="15" s="1"/>
  <c r="L53" i="15" s="1"/>
  <c r="O53" i="15" s="1"/>
  <c r="R53" i="15" s="1"/>
  <c r="U53" i="15" s="1"/>
  <c r="X53" i="15" s="1"/>
  <c r="AA53" i="15" s="1"/>
  <c r="AD53" i="15" s="1"/>
  <c r="AQ63" i="15"/>
  <c r="BC63" i="15"/>
  <c r="AK65" i="15"/>
  <c r="F43" i="14"/>
  <c r="F44" i="14"/>
  <c r="F42" i="14"/>
  <c r="C12" i="11"/>
  <c r="D14" i="13"/>
  <c r="H34" i="12"/>
  <c r="H33" i="12"/>
  <c r="H32" i="12"/>
  <c r="H31" i="12"/>
  <c r="H30" i="12"/>
  <c r="H29" i="12"/>
  <c r="H28" i="12"/>
  <c r="H27" i="12"/>
  <c r="H26" i="12"/>
  <c r="H25" i="12"/>
  <c r="H24" i="12"/>
  <c r="H23" i="12"/>
  <c r="M6" i="12"/>
  <c r="M5" i="12"/>
  <c r="M7" i="12"/>
  <c r="K47" i="12"/>
  <c r="D20" i="12"/>
  <c r="C6" i="11"/>
  <c r="K27" i="10"/>
  <c r="K28" i="10"/>
  <c r="K29" i="10"/>
  <c r="K30" i="10"/>
  <c r="K31" i="10"/>
  <c r="K26" i="10"/>
  <c r="I30" i="10"/>
  <c r="I29" i="10"/>
  <c r="I28" i="10"/>
  <c r="I27" i="10"/>
  <c r="I26" i="10"/>
  <c r="I14" i="10"/>
  <c r="I13" i="10"/>
  <c r="H14" i="10"/>
  <c r="H13" i="10"/>
  <c r="J14" i="10"/>
  <c r="J13" i="10"/>
  <c r="J12" i="10"/>
  <c r="H12" i="10"/>
  <c r="D49" i="13"/>
  <c r="C5" i="13"/>
  <c r="C6" i="13" s="1"/>
  <c r="C5" i="12"/>
  <c r="G37" i="12" s="1"/>
  <c r="E45" i="13"/>
  <c r="BF44" i="13"/>
  <c r="BC44" i="13"/>
  <c r="AZ44" i="13"/>
  <c r="AW44" i="13"/>
  <c r="AT44" i="13"/>
  <c r="AQ44" i="13"/>
  <c r="AN44" i="13"/>
  <c r="AK44" i="13"/>
  <c r="AH44" i="13"/>
  <c r="AE44" i="13"/>
  <c r="BG44" i="13" s="1"/>
  <c r="AB44" i="13"/>
  <c r="BD44" i="13" s="1"/>
  <c r="Y44" i="13"/>
  <c r="BA44" i="13" s="1"/>
  <c r="V44" i="13"/>
  <c r="AX44" i="13" s="1"/>
  <c r="S44" i="13"/>
  <c r="AU44" i="13" s="1"/>
  <c r="P44" i="13"/>
  <c r="AR44" i="13" s="1"/>
  <c r="BF43" i="13"/>
  <c r="BC43" i="13"/>
  <c r="AZ43" i="13"/>
  <c r="AW43" i="13"/>
  <c r="AT43" i="13"/>
  <c r="AQ43" i="13"/>
  <c r="AN43" i="13"/>
  <c r="AK43" i="13"/>
  <c r="AH43" i="13"/>
  <c r="AE43" i="13"/>
  <c r="AB43" i="13"/>
  <c r="BD43" i="13" s="1"/>
  <c r="Y43" i="13"/>
  <c r="V43" i="13"/>
  <c r="S43" i="13"/>
  <c r="P43" i="13"/>
  <c r="AR43" i="13" s="1"/>
  <c r="BF42" i="13"/>
  <c r="BC42" i="13"/>
  <c r="AZ42" i="13"/>
  <c r="AW42" i="13"/>
  <c r="AT42" i="13"/>
  <c r="AQ42" i="13"/>
  <c r="AN42" i="13"/>
  <c r="AK42" i="13"/>
  <c r="AH42" i="13"/>
  <c r="AE42" i="13"/>
  <c r="BG42" i="13" s="1"/>
  <c r="AB42" i="13"/>
  <c r="BD42" i="13" s="1"/>
  <c r="Y42" i="13"/>
  <c r="BA42" i="13" s="1"/>
  <c r="V42" i="13"/>
  <c r="AX42" i="13" s="1"/>
  <c r="S42" i="13"/>
  <c r="AU42" i="13" s="1"/>
  <c r="P42" i="13"/>
  <c r="AR42" i="13" s="1"/>
  <c r="BF41" i="13"/>
  <c r="BC41" i="13"/>
  <c r="AZ41" i="13"/>
  <c r="AW41" i="13"/>
  <c r="AT41" i="13"/>
  <c r="AQ41" i="13"/>
  <c r="AN41" i="13"/>
  <c r="AK41" i="13"/>
  <c r="AH41" i="13"/>
  <c r="AE41" i="13"/>
  <c r="BG41" i="13" s="1"/>
  <c r="AB41" i="13"/>
  <c r="BD41" i="13" s="1"/>
  <c r="Y41" i="13"/>
  <c r="V41" i="13"/>
  <c r="AX41" i="13" s="1"/>
  <c r="S41" i="13"/>
  <c r="AU41" i="13" s="1"/>
  <c r="P41" i="13"/>
  <c r="AR41" i="13" s="1"/>
  <c r="BF40" i="13"/>
  <c r="BC40" i="13"/>
  <c r="AZ40" i="13"/>
  <c r="AW40" i="13"/>
  <c r="AT40" i="13"/>
  <c r="AQ40" i="13"/>
  <c r="AN40" i="13"/>
  <c r="AK40" i="13"/>
  <c r="AH40" i="13"/>
  <c r="AE40" i="13"/>
  <c r="BG40" i="13" s="1"/>
  <c r="AB40" i="13"/>
  <c r="BD40" i="13" s="1"/>
  <c r="Y40" i="13"/>
  <c r="BA40" i="13" s="1"/>
  <c r="V40" i="13"/>
  <c r="S40" i="13"/>
  <c r="P40" i="13"/>
  <c r="AR40" i="13" s="1"/>
  <c r="BF39" i="13"/>
  <c r="BC39" i="13"/>
  <c r="AZ39" i="13"/>
  <c r="AW39" i="13"/>
  <c r="AT39" i="13"/>
  <c r="AQ39" i="13"/>
  <c r="AN39" i="13"/>
  <c r="AK39" i="13"/>
  <c r="AH39" i="13"/>
  <c r="AE39" i="13"/>
  <c r="AB39" i="13"/>
  <c r="BD39" i="13" s="1"/>
  <c r="Y39" i="13"/>
  <c r="BA39" i="13" s="1"/>
  <c r="V39" i="13"/>
  <c r="AX39" i="13" s="1"/>
  <c r="S39" i="13"/>
  <c r="P39" i="13"/>
  <c r="AR39" i="13" s="1"/>
  <c r="BF38" i="13"/>
  <c r="BC38" i="13"/>
  <c r="AZ38" i="13"/>
  <c r="AW38" i="13"/>
  <c r="AT38" i="13"/>
  <c r="AQ38" i="13"/>
  <c r="AN38" i="13"/>
  <c r="AK38" i="13"/>
  <c r="AH38" i="13"/>
  <c r="AE38" i="13"/>
  <c r="BG38" i="13" s="1"/>
  <c r="AB38" i="13"/>
  <c r="BD38" i="13" s="1"/>
  <c r="Y38" i="13"/>
  <c r="BA38" i="13" s="1"/>
  <c r="V38" i="13"/>
  <c r="AX38" i="13" s="1"/>
  <c r="S38" i="13"/>
  <c r="AU38" i="13" s="1"/>
  <c r="P38" i="13"/>
  <c r="AR38" i="13" s="1"/>
  <c r="BF37" i="13"/>
  <c r="BC37" i="13"/>
  <c r="AZ37" i="13"/>
  <c r="AW37" i="13"/>
  <c r="AT37" i="13"/>
  <c r="AQ37" i="13"/>
  <c r="AN37" i="13"/>
  <c r="AK37" i="13"/>
  <c r="AH37" i="13"/>
  <c r="AE37" i="13"/>
  <c r="AB37" i="13"/>
  <c r="BD37" i="13" s="1"/>
  <c r="Y37" i="13"/>
  <c r="BA37" i="13" s="1"/>
  <c r="V37" i="13"/>
  <c r="AX37" i="13" s="1"/>
  <c r="S37" i="13"/>
  <c r="P37" i="13"/>
  <c r="AR37" i="13" s="1"/>
  <c r="BF36" i="13"/>
  <c r="BC36" i="13"/>
  <c r="AZ36" i="13"/>
  <c r="AW36" i="13"/>
  <c r="AT36" i="13"/>
  <c r="AQ36" i="13"/>
  <c r="AN36" i="13"/>
  <c r="AK36" i="13"/>
  <c r="AH36" i="13"/>
  <c r="AE36" i="13"/>
  <c r="BG36" i="13" s="1"/>
  <c r="AB36" i="13"/>
  <c r="Y36" i="13"/>
  <c r="BA36" i="13" s="1"/>
  <c r="V36" i="13"/>
  <c r="AX36" i="13" s="1"/>
  <c r="S36" i="13"/>
  <c r="P36" i="13"/>
  <c r="BF35" i="13"/>
  <c r="BC35" i="13"/>
  <c r="AZ35" i="13"/>
  <c r="AW35" i="13"/>
  <c r="AT35" i="13"/>
  <c r="AQ35" i="13"/>
  <c r="AN35" i="13"/>
  <c r="AK35" i="13"/>
  <c r="AH35" i="13"/>
  <c r="AE35" i="13"/>
  <c r="BG35" i="13" s="1"/>
  <c r="AB35" i="13"/>
  <c r="BD35" i="13" s="1"/>
  <c r="Y35" i="13"/>
  <c r="BA35" i="13" s="1"/>
  <c r="V35" i="13"/>
  <c r="AX35" i="13" s="1"/>
  <c r="S35" i="13"/>
  <c r="AU35" i="13" s="1"/>
  <c r="P35" i="13"/>
  <c r="AR35" i="13" s="1"/>
  <c r="BF34" i="13"/>
  <c r="BC34" i="13"/>
  <c r="AZ34" i="13"/>
  <c r="AW34" i="13"/>
  <c r="AT34" i="13"/>
  <c r="AQ34" i="13"/>
  <c r="AN34" i="13"/>
  <c r="AK34" i="13"/>
  <c r="AH34" i="13"/>
  <c r="AE34" i="13"/>
  <c r="BG34" i="13" s="1"/>
  <c r="AB34" i="13"/>
  <c r="Y34" i="13"/>
  <c r="BA34" i="13" s="1"/>
  <c r="V34" i="13"/>
  <c r="AX34" i="13" s="1"/>
  <c r="S34" i="13"/>
  <c r="AU34" i="13" s="1"/>
  <c r="P34" i="13"/>
  <c r="AR34" i="13" s="1"/>
  <c r="BF33" i="13"/>
  <c r="BC33" i="13"/>
  <c r="AZ33" i="13"/>
  <c r="AW33" i="13"/>
  <c r="AT33" i="13"/>
  <c r="AQ33" i="13"/>
  <c r="AN33" i="13"/>
  <c r="AK33" i="13"/>
  <c r="AH33" i="13"/>
  <c r="AE33" i="13"/>
  <c r="BG33" i="13" s="1"/>
  <c r="AB33" i="13"/>
  <c r="BD33" i="13" s="1"/>
  <c r="Y33" i="13"/>
  <c r="BA33" i="13" s="1"/>
  <c r="V33" i="13"/>
  <c r="AX33" i="13" s="1"/>
  <c r="S33" i="13"/>
  <c r="AU33" i="13" s="1"/>
  <c r="P33" i="13"/>
  <c r="AR33" i="13" s="1"/>
  <c r="G28" i="13"/>
  <c r="G27" i="13"/>
  <c r="G26" i="13"/>
  <c r="G25" i="13"/>
  <c r="G24" i="13"/>
  <c r="G23" i="13"/>
  <c r="G22" i="13"/>
  <c r="G21" i="13"/>
  <c r="G20" i="13"/>
  <c r="G19" i="13"/>
  <c r="G18" i="13"/>
  <c r="D31" i="13"/>
  <c r="M37" i="12"/>
  <c r="D34" i="12"/>
  <c r="D33" i="12"/>
  <c r="D32" i="12"/>
  <c r="D31" i="12"/>
  <c r="D30" i="12"/>
  <c r="D29" i="12"/>
  <c r="D28" i="12"/>
  <c r="D27" i="12"/>
  <c r="D26" i="12"/>
  <c r="D25" i="12"/>
  <c r="D24" i="12"/>
  <c r="D23" i="12"/>
  <c r="C6" i="12"/>
  <c r="M34" i="12" s="1"/>
  <c r="BF43" i="6"/>
  <c r="BF42" i="6"/>
  <c r="BF41" i="6"/>
  <c r="BF40" i="6"/>
  <c r="BF39" i="6"/>
  <c r="BF38" i="6"/>
  <c r="BF37" i="6"/>
  <c r="BF36" i="6"/>
  <c r="BF35" i="6"/>
  <c r="BF34" i="6"/>
  <c r="BF33" i="6"/>
  <c r="BF32" i="6"/>
  <c r="BC43" i="6"/>
  <c r="BC42" i="6"/>
  <c r="BC41" i="6"/>
  <c r="BC40" i="6"/>
  <c r="BC39" i="6"/>
  <c r="BC38" i="6"/>
  <c r="BC37" i="6"/>
  <c r="BC36" i="6"/>
  <c r="BC35" i="6"/>
  <c r="BC34" i="6"/>
  <c r="BC33" i="6"/>
  <c r="BC32" i="6"/>
  <c r="AZ43" i="6"/>
  <c r="AZ42" i="6"/>
  <c r="AZ41" i="6"/>
  <c r="AZ40" i="6"/>
  <c r="AZ39" i="6"/>
  <c r="AZ38" i="6"/>
  <c r="AZ37" i="6"/>
  <c r="AZ36" i="6"/>
  <c r="AZ35" i="6"/>
  <c r="AZ34" i="6"/>
  <c r="AZ33" i="6"/>
  <c r="AZ32" i="6"/>
  <c r="AW43" i="6"/>
  <c r="AW42" i="6"/>
  <c r="AW41" i="6"/>
  <c r="AW40" i="6"/>
  <c r="AW39" i="6"/>
  <c r="AW38" i="6"/>
  <c r="AW37" i="6"/>
  <c r="AW36" i="6"/>
  <c r="AW35" i="6"/>
  <c r="AW34" i="6"/>
  <c r="AW33" i="6"/>
  <c r="AW32" i="6"/>
  <c r="AT43" i="6"/>
  <c r="AT42" i="6"/>
  <c r="AT41" i="6"/>
  <c r="AT40" i="6"/>
  <c r="AT39" i="6"/>
  <c r="AT38" i="6"/>
  <c r="AT37" i="6"/>
  <c r="AT36" i="6"/>
  <c r="AT35" i="6"/>
  <c r="AT34" i="6"/>
  <c r="AT33" i="6"/>
  <c r="AT32" i="6"/>
  <c r="AQ43" i="6"/>
  <c r="AQ42" i="6"/>
  <c r="AQ41" i="6"/>
  <c r="AQ40" i="6"/>
  <c r="AQ39" i="6"/>
  <c r="AQ38" i="6"/>
  <c r="AQ37" i="6"/>
  <c r="AQ36" i="6"/>
  <c r="AQ35" i="6"/>
  <c r="AQ34" i="6"/>
  <c r="AQ33" i="6"/>
  <c r="AQ32" i="6"/>
  <c r="AN43" i="6"/>
  <c r="AN42" i="6"/>
  <c r="AN41" i="6"/>
  <c r="AN40" i="6"/>
  <c r="AN39" i="6"/>
  <c r="AN38" i="6"/>
  <c r="AN37" i="6"/>
  <c r="AN36" i="6"/>
  <c r="AN35" i="6"/>
  <c r="AN34" i="6"/>
  <c r="AN33" i="6"/>
  <c r="AN32" i="6"/>
  <c r="AK43" i="6"/>
  <c r="AK42" i="6"/>
  <c r="AK41" i="6"/>
  <c r="AK40" i="6"/>
  <c r="AK39" i="6"/>
  <c r="AK38" i="6"/>
  <c r="AK37" i="6"/>
  <c r="AK36" i="6"/>
  <c r="AK35" i="6"/>
  <c r="AK34" i="6"/>
  <c r="AK33" i="6"/>
  <c r="AK32" i="6"/>
  <c r="BE51" i="15" l="1"/>
  <c r="C60" i="15"/>
  <c r="AE60" i="15" s="1"/>
  <c r="AG44" i="15" s="1"/>
  <c r="AJ44" i="15" s="1"/>
  <c r="AM44" i="15" s="1"/>
  <c r="AP44" i="15" s="1"/>
  <c r="AS44" i="15" s="1"/>
  <c r="AV44" i="15" s="1"/>
  <c r="AY44" i="15" s="1"/>
  <c r="BB44" i="15" s="1"/>
  <c r="BE44" i="15" s="1"/>
  <c r="C64" i="15"/>
  <c r="AE64" i="15" s="1"/>
  <c r="AG48" i="15" s="1"/>
  <c r="AJ48" i="15" s="1"/>
  <c r="AM48" i="15" s="1"/>
  <c r="AP48" i="15" s="1"/>
  <c r="AS48" i="15" s="1"/>
  <c r="AV48" i="15" s="1"/>
  <c r="AY48" i="15" s="1"/>
  <c r="BB48" i="15" s="1"/>
  <c r="BE48" i="15" s="1"/>
  <c r="C63" i="15"/>
  <c r="AE63" i="15" s="1"/>
  <c r="AG47" i="15" s="1"/>
  <c r="AJ47" i="15" s="1"/>
  <c r="AM47" i="15" s="1"/>
  <c r="AP47" i="15" s="1"/>
  <c r="AS47" i="15" s="1"/>
  <c r="AV47" i="15" s="1"/>
  <c r="AY47" i="15" s="1"/>
  <c r="BB47" i="15" s="1"/>
  <c r="BE47" i="15" s="1"/>
  <c r="G80" i="15"/>
  <c r="G83" i="15"/>
  <c r="C69" i="15"/>
  <c r="AE69" i="15" s="1"/>
  <c r="AG53" i="15" s="1"/>
  <c r="AJ53" i="15" s="1"/>
  <c r="AM53" i="15" s="1"/>
  <c r="AP53" i="15" s="1"/>
  <c r="AS53" i="15" s="1"/>
  <c r="AV53" i="15" s="1"/>
  <c r="AY53" i="15" s="1"/>
  <c r="BB53" i="15" s="1"/>
  <c r="BE53" i="15" s="1"/>
  <c r="C61" i="15"/>
  <c r="AE61" i="15" s="1"/>
  <c r="AG45" i="15" s="1"/>
  <c r="AJ45" i="15" s="1"/>
  <c r="AM45" i="15" s="1"/>
  <c r="AP45" i="15" s="1"/>
  <c r="AS45" i="15" s="1"/>
  <c r="AV45" i="15" s="1"/>
  <c r="AY45" i="15" s="1"/>
  <c r="BB45" i="15" s="1"/>
  <c r="BE45" i="15" s="1"/>
  <c r="C66" i="15"/>
  <c r="AE66" i="15" s="1"/>
  <c r="AG50" i="15" s="1"/>
  <c r="AJ50" i="15" s="1"/>
  <c r="AM50" i="15" s="1"/>
  <c r="AP50" i="15" s="1"/>
  <c r="AS50" i="15" s="1"/>
  <c r="AV50" i="15" s="1"/>
  <c r="AY50" i="15" s="1"/>
  <c r="BB50" i="15" s="1"/>
  <c r="BE50" i="15" s="1"/>
  <c r="I56" i="15"/>
  <c r="L42" i="15"/>
  <c r="I54" i="15"/>
  <c r="C15" i="15"/>
  <c r="C59" i="15"/>
  <c r="AE59" i="15" s="1"/>
  <c r="AG43" i="15" s="1"/>
  <c r="AJ43" i="15" s="1"/>
  <c r="AM43" i="15" s="1"/>
  <c r="AP43" i="15" s="1"/>
  <c r="AS43" i="15" s="1"/>
  <c r="AV43" i="15" s="1"/>
  <c r="AY43" i="15" s="1"/>
  <c r="BB43" i="15" s="1"/>
  <c r="BE43" i="15" s="1"/>
  <c r="C14" i="15"/>
  <c r="C58" i="15"/>
  <c r="C68" i="15"/>
  <c r="AE68" i="15" s="1"/>
  <c r="AG52" i="15" s="1"/>
  <c r="AJ52" i="15" s="1"/>
  <c r="AM52" i="15" s="1"/>
  <c r="AP52" i="15" s="1"/>
  <c r="AS52" i="15" s="1"/>
  <c r="AV52" i="15" s="1"/>
  <c r="AY52" i="15" s="1"/>
  <c r="BB52" i="15" s="1"/>
  <c r="BE52" i="15" s="1"/>
  <c r="C65" i="15"/>
  <c r="AE65" i="15" s="1"/>
  <c r="AG49" i="15" s="1"/>
  <c r="AJ49" i="15" s="1"/>
  <c r="AM49" i="15" s="1"/>
  <c r="AP49" i="15" s="1"/>
  <c r="AS49" i="15" s="1"/>
  <c r="AV49" i="15" s="1"/>
  <c r="AY49" i="15" s="1"/>
  <c r="BB49" i="15" s="1"/>
  <c r="BE49" i="15" s="1"/>
  <c r="F54" i="15"/>
  <c r="C62" i="15"/>
  <c r="AE62" i="15" s="1"/>
  <c r="AG46" i="15" s="1"/>
  <c r="AJ46" i="15" s="1"/>
  <c r="AM46" i="15" s="1"/>
  <c r="AP46" i="15" s="1"/>
  <c r="AS46" i="15" s="1"/>
  <c r="AV46" i="15" s="1"/>
  <c r="AY46" i="15" s="1"/>
  <c r="BB46" i="15" s="1"/>
  <c r="BE46" i="15" s="1"/>
  <c r="G17" i="13"/>
  <c r="H50" i="13" s="1"/>
  <c r="T18" i="13"/>
  <c r="Z18" i="13"/>
  <c r="W18" i="13"/>
  <c r="AF18" i="13"/>
  <c r="Q18" i="13"/>
  <c r="AC18" i="13"/>
  <c r="D41" i="13"/>
  <c r="D38" i="13"/>
  <c r="D34" i="13"/>
  <c r="D37" i="13"/>
  <c r="AU40" i="13"/>
  <c r="D40" i="13"/>
  <c r="AX43" i="13"/>
  <c r="AR36" i="13"/>
  <c r="BD36" i="13"/>
  <c r="AU39" i="13"/>
  <c r="BG39" i="13"/>
  <c r="BA43" i="13"/>
  <c r="D29" i="13"/>
  <c r="D46" i="13"/>
  <c r="D33" i="13"/>
  <c r="E33" i="13" s="1"/>
  <c r="G31" i="13" s="1"/>
  <c r="D43" i="13"/>
  <c r="BG37" i="13"/>
  <c r="D44" i="13"/>
  <c r="BD34" i="13"/>
  <c r="D36" i="13"/>
  <c r="AU36" i="13"/>
  <c r="AU37" i="13"/>
  <c r="AX40" i="13"/>
  <c r="D35" i="13"/>
  <c r="D39" i="13"/>
  <c r="BA41" i="13"/>
  <c r="D42" i="13"/>
  <c r="AU43" i="13"/>
  <c r="BG43" i="13"/>
  <c r="M39" i="12"/>
  <c r="S27" i="12"/>
  <c r="Y23" i="12"/>
  <c r="J25" i="12"/>
  <c r="Y26" i="12"/>
  <c r="AB29" i="12"/>
  <c r="AB33" i="12"/>
  <c r="J23" i="12"/>
  <c r="Y24" i="12"/>
  <c r="S25" i="12"/>
  <c r="AB27" i="12"/>
  <c r="V27" i="12"/>
  <c r="Y30" i="12"/>
  <c r="Y34" i="12"/>
  <c r="M23" i="12"/>
  <c r="AB25" i="12"/>
  <c r="V25" i="12"/>
  <c r="G27" i="12"/>
  <c r="AE27" i="12"/>
  <c r="AB31" i="12"/>
  <c r="V23" i="12"/>
  <c r="G25" i="12"/>
  <c r="AE25" i="12"/>
  <c r="J27" i="12"/>
  <c r="Y28" i="12"/>
  <c r="Y32" i="12"/>
  <c r="AB24" i="12"/>
  <c r="P26" i="12"/>
  <c r="P28" i="12"/>
  <c r="AB28" i="12"/>
  <c r="J29" i="12"/>
  <c r="V29" i="12"/>
  <c r="P30" i="12"/>
  <c r="AB30" i="12"/>
  <c r="J31" i="12"/>
  <c r="V31" i="12"/>
  <c r="P32" i="12"/>
  <c r="AB32" i="12"/>
  <c r="J33" i="12"/>
  <c r="V33" i="12"/>
  <c r="P34" i="12"/>
  <c r="AB34" i="12"/>
  <c r="D37" i="12"/>
  <c r="E37" i="12" s="1"/>
  <c r="P23" i="12"/>
  <c r="AB23" i="12"/>
  <c r="G24" i="12"/>
  <c r="S24" i="12"/>
  <c r="AE24" i="12"/>
  <c r="M25" i="12"/>
  <c r="Y25" i="12"/>
  <c r="G26" i="12"/>
  <c r="S26" i="12"/>
  <c r="AE26" i="12"/>
  <c r="M27" i="12"/>
  <c r="Y27" i="12"/>
  <c r="G28" i="12"/>
  <c r="S28" i="12"/>
  <c r="AE28" i="12"/>
  <c r="M29" i="12"/>
  <c r="Y29" i="12"/>
  <c r="G30" i="12"/>
  <c r="S30" i="12"/>
  <c r="AE30" i="12"/>
  <c r="M31" i="12"/>
  <c r="Y31" i="12"/>
  <c r="G32" i="12"/>
  <c r="S32" i="12"/>
  <c r="AE32" i="12"/>
  <c r="M33" i="12"/>
  <c r="Y33" i="12"/>
  <c r="G34" i="12"/>
  <c r="S34" i="12"/>
  <c r="AE34" i="12"/>
  <c r="P24" i="12"/>
  <c r="AB26" i="12"/>
  <c r="G23" i="12"/>
  <c r="S23" i="12"/>
  <c r="AE23" i="12"/>
  <c r="J24" i="12"/>
  <c r="V24" i="12"/>
  <c r="P25" i="12"/>
  <c r="J26" i="12"/>
  <c r="V26" i="12"/>
  <c r="P27" i="12"/>
  <c r="J28" i="12"/>
  <c r="V28" i="12"/>
  <c r="P29" i="12"/>
  <c r="J30" i="12"/>
  <c r="V30" i="12"/>
  <c r="P31" i="12"/>
  <c r="J32" i="12"/>
  <c r="V32" i="12"/>
  <c r="P33" i="12"/>
  <c r="J34" i="12"/>
  <c r="V34" i="12"/>
  <c r="D35" i="12"/>
  <c r="M24" i="12"/>
  <c r="M26" i="12"/>
  <c r="M28" i="12"/>
  <c r="G29" i="12"/>
  <c r="S29" i="12"/>
  <c r="AE29" i="12"/>
  <c r="M30" i="12"/>
  <c r="G31" i="12"/>
  <c r="S31" i="12"/>
  <c r="AE31" i="12"/>
  <c r="M32" i="12"/>
  <c r="G33" i="12"/>
  <c r="S33" i="12"/>
  <c r="AE33" i="12"/>
  <c r="D25" i="7"/>
  <c r="D26" i="7"/>
  <c r="D27" i="7"/>
  <c r="D28" i="7"/>
  <c r="D29" i="7"/>
  <c r="D30" i="7"/>
  <c r="D31" i="7"/>
  <c r="D32" i="7"/>
  <c r="D33" i="7"/>
  <c r="D34" i="7"/>
  <c r="D35" i="7"/>
  <c r="D24" i="7"/>
  <c r="M38" i="7"/>
  <c r="F76" i="15" l="1"/>
  <c r="G82" i="15" s="1"/>
  <c r="G84" i="15" s="1"/>
  <c r="AE58" i="15"/>
  <c r="D43" i="15"/>
  <c r="G81" i="15" s="1"/>
  <c r="C16" i="15"/>
  <c r="L56" i="15"/>
  <c r="O42" i="15"/>
  <c r="L54" i="15"/>
  <c r="G44" i="13"/>
  <c r="AF42" i="13"/>
  <c r="E42" i="13"/>
  <c r="AF39" i="13"/>
  <c r="E39" i="13"/>
  <c r="AF40" i="13"/>
  <c r="E40" i="13"/>
  <c r="AF38" i="13"/>
  <c r="E38" i="13"/>
  <c r="G35" i="13"/>
  <c r="AF35" i="13"/>
  <c r="E35" i="13"/>
  <c r="AF36" i="13"/>
  <c r="E36" i="13"/>
  <c r="AF43" i="13"/>
  <c r="E43" i="13"/>
  <c r="AF41" i="13"/>
  <c r="E41" i="13"/>
  <c r="G37" i="13"/>
  <c r="G41" i="13"/>
  <c r="G38" i="13"/>
  <c r="G36" i="13"/>
  <c r="G43" i="13"/>
  <c r="G42" i="13"/>
  <c r="AF37" i="13"/>
  <c r="E37" i="13"/>
  <c r="G33" i="13"/>
  <c r="G39" i="13"/>
  <c r="AF44" i="13"/>
  <c r="E44" i="13"/>
  <c r="AF34" i="13"/>
  <c r="E34" i="13"/>
  <c r="G40" i="13"/>
  <c r="G34" i="13"/>
  <c r="AF33" i="13"/>
  <c r="E18" i="13"/>
  <c r="K79" i="13" s="1"/>
  <c r="G29" i="13"/>
  <c r="K78" i="13"/>
  <c r="K81" i="13"/>
  <c r="M14" i="13"/>
  <c r="L39" i="15" s="1"/>
  <c r="M35" i="12"/>
  <c r="Y35" i="12"/>
  <c r="V35" i="12"/>
  <c r="J35" i="12"/>
  <c r="S35" i="12"/>
  <c r="K43" i="12"/>
  <c r="L3" i="12" s="1"/>
  <c r="M20" i="12"/>
  <c r="V20" i="12"/>
  <c r="AE20" i="12"/>
  <c r="G35" i="12"/>
  <c r="P35" i="12"/>
  <c r="AE35" i="12"/>
  <c r="AB35" i="12"/>
  <c r="M40" i="7"/>
  <c r="I16" i="11"/>
  <c r="J16" i="11"/>
  <c r="I17" i="11"/>
  <c r="J17" i="11"/>
  <c r="I18" i="11"/>
  <c r="J18" i="11"/>
  <c r="I19" i="11"/>
  <c r="J15" i="11"/>
  <c r="C17" i="11" s="1"/>
  <c r="C18" i="11" s="1"/>
  <c r="I15" i="11"/>
  <c r="J6" i="11"/>
  <c r="J7" i="11"/>
  <c r="J8" i="11"/>
  <c r="J5" i="11"/>
  <c r="I5" i="11"/>
  <c r="I6" i="11"/>
  <c r="I7" i="11"/>
  <c r="I8" i="11"/>
  <c r="I9" i="11"/>
  <c r="C21" i="10"/>
  <c r="C22" i="10"/>
  <c r="C31" i="10"/>
  <c r="D30" i="10"/>
  <c r="D29" i="10"/>
  <c r="D28" i="10"/>
  <c r="D27" i="10"/>
  <c r="D26" i="10"/>
  <c r="C17" i="10"/>
  <c r="D13" i="10"/>
  <c r="F13" i="10" s="1"/>
  <c r="D14" i="10"/>
  <c r="F14" i="10" s="1"/>
  <c r="D15" i="10"/>
  <c r="D16" i="10"/>
  <c r="D12" i="10"/>
  <c r="C5" i="10"/>
  <c r="C4" i="10"/>
  <c r="B4" i="8"/>
  <c r="H9" i="8" s="1"/>
  <c r="C4" i="7"/>
  <c r="G25" i="7" s="1"/>
  <c r="C4" i="6"/>
  <c r="H23" i="8"/>
  <c r="C20" i="8"/>
  <c r="E20" i="8" s="1"/>
  <c r="C19" i="8"/>
  <c r="D19" i="8" s="1"/>
  <c r="C18" i="8"/>
  <c r="E18" i="8" s="1"/>
  <c r="C17" i="8"/>
  <c r="D17" i="8" s="1"/>
  <c r="C16" i="8"/>
  <c r="E16" i="8" s="1"/>
  <c r="C15" i="8"/>
  <c r="D15" i="8" s="1"/>
  <c r="C14" i="8"/>
  <c r="E14" i="8" s="1"/>
  <c r="C13" i="8"/>
  <c r="D13" i="8" s="1"/>
  <c r="C12" i="8"/>
  <c r="E12" i="8" s="1"/>
  <c r="C11" i="8"/>
  <c r="D11" i="8" s="1"/>
  <c r="C10" i="8"/>
  <c r="C9" i="8"/>
  <c r="D9" i="8" s="1"/>
  <c r="G38" i="7"/>
  <c r="C17" i="15" l="1"/>
  <c r="O54" i="15"/>
  <c r="R42" i="15"/>
  <c r="O56" i="15"/>
  <c r="F15" i="10"/>
  <c r="I15" i="10"/>
  <c r="H15" i="10"/>
  <c r="H16" i="10"/>
  <c r="I16" i="10"/>
  <c r="I12" i="10"/>
  <c r="J21" i="13"/>
  <c r="AI33" i="13"/>
  <c r="AI38" i="13"/>
  <c r="AI43" i="13"/>
  <c r="H18" i="13"/>
  <c r="J17" i="13"/>
  <c r="H51" i="13" s="1"/>
  <c r="P14" i="13"/>
  <c r="O39" i="15" s="1"/>
  <c r="G46" i="13"/>
  <c r="K80" i="13" s="1"/>
  <c r="K82" i="13" s="1"/>
  <c r="AI40" i="13"/>
  <c r="J24" i="13"/>
  <c r="D39" i="12"/>
  <c r="E24" i="12"/>
  <c r="K44" i="12" s="1"/>
  <c r="L4" i="12" s="1"/>
  <c r="K46" i="12"/>
  <c r="C7" i="11"/>
  <c r="C8" i="11" s="1"/>
  <c r="C9" i="11" s="1"/>
  <c r="C19" i="11"/>
  <c r="C20" i="11" s="1"/>
  <c r="G15" i="10"/>
  <c r="G27" i="10"/>
  <c r="G30" i="10"/>
  <c r="G29" i="10"/>
  <c r="G28" i="10"/>
  <c r="G26" i="10"/>
  <c r="H31" i="10"/>
  <c r="J29" i="10"/>
  <c r="J28" i="10"/>
  <c r="J27" i="10"/>
  <c r="D31" i="10"/>
  <c r="J26" i="10"/>
  <c r="J30" i="10"/>
  <c r="G16" i="10"/>
  <c r="F16" i="10"/>
  <c r="J16" i="10" s="1"/>
  <c r="G12" i="10"/>
  <c r="K12" i="10" s="1"/>
  <c r="G13" i="10"/>
  <c r="F12" i="10"/>
  <c r="D17" i="10"/>
  <c r="G14" i="10"/>
  <c r="K14" i="10" s="1"/>
  <c r="E9" i="8"/>
  <c r="C23" i="8"/>
  <c r="F23" i="8" s="1"/>
  <c r="AV20" i="8"/>
  <c r="AB20" i="8"/>
  <c r="H20" i="8"/>
  <c r="AL19" i="8"/>
  <c r="R19" i="8"/>
  <c r="AV18" i="8"/>
  <c r="AB18" i="8"/>
  <c r="H18" i="8"/>
  <c r="AL17" i="8"/>
  <c r="R17" i="8"/>
  <c r="AV16" i="8"/>
  <c r="AB16" i="8"/>
  <c r="H16" i="8"/>
  <c r="AL15" i="8"/>
  <c r="R15" i="8"/>
  <c r="AV14" i="8"/>
  <c r="AB14" i="8"/>
  <c r="H14" i="8"/>
  <c r="AL13" i="8"/>
  <c r="R13" i="8"/>
  <c r="AV12" i="8"/>
  <c r="AB12" i="8"/>
  <c r="H12" i="8"/>
  <c r="AL11" i="8"/>
  <c r="R11" i="8"/>
  <c r="AG9" i="8"/>
  <c r="M9" i="8"/>
  <c r="AG20" i="8"/>
  <c r="M20" i="8"/>
  <c r="AG18" i="8"/>
  <c r="M18" i="8"/>
  <c r="AG16" i="8"/>
  <c r="M16" i="8"/>
  <c r="AG14" i="8"/>
  <c r="M14" i="8"/>
  <c r="AG12" i="8"/>
  <c r="M12" i="8"/>
  <c r="AL9" i="8"/>
  <c r="R9" i="8"/>
  <c r="V25" i="7"/>
  <c r="J25" i="7"/>
  <c r="AE24" i="7"/>
  <c r="S24" i="7"/>
  <c r="G24" i="7"/>
  <c r="S34" i="7"/>
  <c r="G34" i="7"/>
  <c r="V24" i="7"/>
  <c r="J24" i="7"/>
  <c r="V34" i="7"/>
  <c r="J34" i="7"/>
  <c r="V32" i="7"/>
  <c r="J32" i="7"/>
  <c r="V30" i="7"/>
  <c r="J30" i="7"/>
  <c r="V28" i="7"/>
  <c r="J28" i="7"/>
  <c r="V26" i="7"/>
  <c r="J26" i="7"/>
  <c r="AB25" i="7"/>
  <c r="P25" i="7"/>
  <c r="Y24" i="7"/>
  <c r="M24" i="7"/>
  <c r="AE27" i="7"/>
  <c r="AE31" i="7"/>
  <c r="AG17" i="8"/>
  <c r="Y26" i="7"/>
  <c r="Y30" i="7"/>
  <c r="Y34" i="7"/>
  <c r="AV10" i="8"/>
  <c r="AG11" i="8"/>
  <c r="AG15" i="8"/>
  <c r="AE25" i="7"/>
  <c r="AE29" i="7"/>
  <c r="AE33" i="7"/>
  <c r="AQ12" i="8"/>
  <c r="AQ14" i="8"/>
  <c r="AQ16" i="8"/>
  <c r="AQ18" i="8"/>
  <c r="AQ20" i="8"/>
  <c r="AE35" i="7"/>
  <c r="AG13" i="8"/>
  <c r="AG19" i="8"/>
  <c r="AB24" i="7"/>
  <c r="Y28" i="7"/>
  <c r="Y32" i="7"/>
  <c r="P27" i="7"/>
  <c r="AB27" i="7"/>
  <c r="P29" i="7"/>
  <c r="AB29" i="7"/>
  <c r="P31" i="7"/>
  <c r="AB31" i="7"/>
  <c r="P33" i="7"/>
  <c r="AB33" i="7"/>
  <c r="P35" i="7"/>
  <c r="AB35" i="7"/>
  <c r="D38" i="7"/>
  <c r="M10" i="8"/>
  <c r="AG10" i="8"/>
  <c r="W11" i="8"/>
  <c r="AQ11" i="8"/>
  <c r="W13" i="8"/>
  <c r="AQ13" i="8"/>
  <c r="W15" i="8"/>
  <c r="AQ15" i="8"/>
  <c r="W17" i="8"/>
  <c r="AQ17" i="8"/>
  <c r="W19" i="8"/>
  <c r="AQ19" i="8"/>
  <c r="C21" i="8"/>
  <c r="M25" i="7"/>
  <c r="Y25" i="7"/>
  <c r="G26" i="7"/>
  <c r="S26" i="7"/>
  <c r="AE26" i="7"/>
  <c r="M27" i="7"/>
  <c r="Y27" i="7"/>
  <c r="G28" i="7"/>
  <c r="S28" i="7"/>
  <c r="AE28" i="7"/>
  <c r="M29" i="7"/>
  <c r="Y29" i="7"/>
  <c r="G30" i="7"/>
  <c r="S30" i="7"/>
  <c r="AE30" i="7"/>
  <c r="M31" i="7"/>
  <c r="Y31" i="7"/>
  <c r="G32" i="7"/>
  <c r="S32" i="7"/>
  <c r="AE32" i="7"/>
  <c r="M33" i="7"/>
  <c r="Y33" i="7"/>
  <c r="AE34" i="7"/>
  <c r="M35" i="7"/>
  <c r="Y35" i="7"/>
  <c r="W9" i="8"/>
  <c r="AQ9" i="8"/>
  <c r="E10" i="8"/>
  <c r="R10" i="8"/>
  <c r="AL10" i="8"/>
  <c r="H11" i="8"/>
  <c r="AB11" i="8"/>
  <c r="AV11" i="8"/>
  <c r="D12" i="8"/>
  <c r="R12" i="8"/>
  <c r="AL12" i="8"/>
  <c r="H13" i="8"/>
  <c r="AB13" i="8"/>
  <c r="AV13" i="8"/>
  <c r="D14" i="8"/>
  <c r="R14" i="8"/>
  <c r="AL14" i="8"/>
  <c r="H15" i="8"/>
  <c r="AB15" i="8"/>
  <c r="AV15" i="8"/>
  <c r="D16" i="8"/>
  <c r="R16" i="8"/>
  <c r="AL16" i="8"/>
  <c r="H17" i="8"/>
  <c r="AB17" i="8"/>
  <c r="AV17" i="8"/>
  <c r="D18" i="8"/>
  <c r="R18" i="8"/>
  <c r="AL18" i="8"/>
  <c r="H19" i="8"/>
  <c r="AB19" i="8"/>
  <c r="AV19" i="8"/>
  <c r="D20" i="8"/>
  <c r="R20" i="8"/>
  <c r="AL20" i="8"/>
  <c r="P26" i="7"/>
  <c r="AB26" i="7"/>
  <c r="J27" i="7"/>
  <c r="V27" i="7"/>
  <c r="P28" i="7"/>
  <c r="AB28" i="7"/>
  <c r="J29" i="7"/>
  <c r="V29" i="7"/>
  <c r="P30" i="7"/>
  <c r="AB30" i="7"/>
  <c r="J31" i="7"/>
  <c r="V31" i="7"/>
  <c r="P32" i="7"/>
  <c r="AB32" i="7"/>
  <c r="J33" i="7"/>
  <c r="V33" i="7"/>
  <c r="P34" i="7"/>
  <c r="AB34" i="7"/>
  <c r="J35" i="7"/>
  <c r="V35" i="7"/>
  <c r="D36" i="7"/>
  <c r="M21" i="7" s="1"/>
  <c r="AB9" i="8"/>
  <c r="AV9" i="8"/>
  <c r="D10" i="8"/>
  <c r="W10" i="8"/>
  <c r="AQ10" i="8"/>
  <c r="E11" i="8"/>
  <c r="M11" i="8"/>
  <c r="W12" i="8"/>
  <c r="E13" i="8"/>
  <c r="M13" i="8"/>
  <c r="W14" i="8"/>
  <c r="E15" i="8"/>
  <c r="M15" i="8"/>
  <c r="W16" i="8"/>
  <c r="E17" i="8"/>
  <c r="M17" i="8"/>
  <c r="W18" i="8"/>
  <c r="E19" i="8"/>
  <c r="M19" i="8"/>
  <c r="W20" i="8"/>
  <c r="P24" i="7"/>
  <c r="S25" i="7"/>
  <c r="M26" i="7"/>
  <c r="G27" i="7"/>
  <c r="S27" i="7"/>
  <c r="M28" i="7"/>
  <c r="G29" i="7"/>
  <c r="S29" i="7"/>
  <c r="M30" i="7"/>
  <c r="G31" i="7"/>
  <c r="S31" i="7"/>
  <c r="M32" i="7"/>
  <c r="G33" i="7"/>
  <c r="S33" i="7"/>
  <c r="M34" i="7"/>
  <c r="G35" i="7"/>
  <c r="S35" i="7"/>
  <c r="H10" i="8"/>
  <c r="AB10" i="8"/>
  <c r="C18" i="15" l="1"/>
  <c r="R54" i="15"/>
  <c r="R56" i="15"/>
  <c r="U42" i="15"/>
  <c r="C10" i="11"/>
  <c r="J15" i="10"/>
  <c r="K16" i="10"/>
  <c r="K15" i="10"/>
  <c r="K13" i="10"/>
  <c r="Y14" i="13"/>
  <c r="J22" i="13"/>
  <c r="AI37" i="13"/>
  <c r="J27" i="13"/>
  <c r="AI39" i="13"/>
  <c r="J23" i="13"/>
  <c r="AI44" i="13"/>
  <c r="J28" i="13"/>
  <c r="AI35" i="13"/>
  <c r="J19" i="13"/>
  <c r="J31" i="13"/>
  <c r="AI41" i="13"/>
  <c r="J25" i="13"/>
  <c r="J20" i="13"/>
  <c r="AI36" i="13"/>
  <c r="AI42" i="13"/>
  <c r="J26" i="13"/>
  <c r="J18" i="13"/>
  <c r="AI34" i="13"/>
  <c r="L6" i="12"/>
  <c r="K45" i="12"/>
  <c r="L5" i="12" s="1"/>
  <c r="G39" i="12"/>
  <c r="C11" i="11"/>
  <c r="I17" i="10"/>
  <c r="H17" i="10"/>
  <c r="I31" i="10"/>
  <c r="G31" i="10"/>
  <c r="F31" i="10"/>
  <c r="J31" i="10"/>
  <c r="G17" i="10"/>
  <c r="F17" i="10"/>
  <c r="AE21" i="7"/>
  <c r="V21" i="7"/>
  <c r="D21" i="8"/>
  <c r="E23" i="8"/>
  <c r="D36" i="8" s="1"/>
  <c r="V36" i="7"/>
  <c r="S36" i="7"/>
  <c r="J36" i="7"/>
  <c r="P36" i="7"/>
  <c r="Y36" i="7"/>
  <c r="G36" i="7"/>
  <c r="E25" i="7" s="1"/>
  <c r="AB36" i="7"/>
  <c r="M36" i="7"/>
  <c r="AE36" i="7"/>
  <c r="N19" i="8"/>
  <c r="O19" i="8"/>
  <c r="X14" i="8"/>
  <c r="Y14" i="8"/>
  <c r="N11" i="8"/>
  <c r="O11" i="8"/>
  <c r="K44" i="7"/>
  <c r="L3" i="7" s="1"/>
  <c r="AX19" i="8"/>
  <c r="AW19" i="8"/>
  <c r="T18" i="8"/>
  <c r="S18" i="8"/>
  <c r="J17" i="8"/>
  <c r="I17" i="8"/>
  <c r="AX15" i="8"/>
  <c r="AW15" i="8"/>
  <c r="T14" i="8"/>
  <c r="S14" i="8"/>
  <c r="J13" i="8"/>
  <c r="I13" i="8"/>
  <c r="AX11" i="8"/>
  <c r="AW11" i="8"/>
  <c r="T10" i="8"/>
  <c r="S10" i="8"/>
  <c r="AR19" i="8"/>
  <c r="AS19" i="8"/>
  <c r="AR15" i="8"/>
  <c r="AS15" i="8"/>
  <c r="AR11" i="8"/>
  <c r="AS11" i="8"/>
  <c r="E38" i="7"/>
  <c r="AR16" i="8"/>
  <c r="AS16" i="8"/>
  <c r="AH15" i="8"/>
  <c r="AI15" i="8"/>
  <c r="N12" i="8"/>
  <c r="O12" i="8"/>
  <c r="N16" i="8"/>
  <c r="O16" i="8"/>
  <c r="N20" i="8"/>
  <c r="O20" i="8"/>
  <c r="S11" i="8"/>
  <c r="T11" i="8"/>
  <c r="AW12" i="8"/>
  <c r="AX12" i="8"/>
  <c r="AC14" i="8"/>
  <c r="AD14" i="8"/>
  <c r="I16" i="8"/>
  <c r="J16" i="8"/>
  <c r="AM17" i="8"/>
  <c r="AN17" i="8"/>
  <c r="S19" i="8"/>
  <c r="T19" i="8"/>
  <c r="AW20" i="8"/>
  <c r="AX20" i="8"/>
  <c r="I10" i="8"/>
  <c r="J10" i="8"/>
  <c r="X20" i="8"/>
  <c r="Y20" i="8"/>
  <c r="N17" i="8"/>
  <c r="O17" i="8"/>
  <c r="X12" i="8"/>
  <c r="Y12" i="8"/>
  <c r="X10" i="8"/>
  <c r="Y10" i="8"/>
  <c r="H21" i="8"/>
  <c r="I9" i="8"/>
  <c r="J9" i="8"/>
  <c r="AN18" i="8"/>
  <c r="AM18" i="8"/>
  <c r="AD17" i="8"/>
  <c r="AC17" i="8"/>
  <c r="AN14" i="8"/>
  <c r="AM14" i="8"/>
  <c r="AD13" i="8"/>
  <c r="AC13" i="8"/>
  <c r="AN10" i="8"/>
  <c r="AM10" i="8"/>
  <c r="Y9" i="8"/>
  <c r="W21" i="8"/>
  <c r="X9" i="8"/>
  <c r="J32" i="8"/>
  <c r="J29" i="8"/>
  <c r="R6" i="8"/>
  <c r="X17" i="8"/>
  <c r="Y17" i="8"/>
  <c r="X13" i="8"/>
  <c r="Y13" i="8"/>
  <c r="N10" i="8"/>
  <c r="O10" i="8"/>
  <c r="AR18" i="8"/>
  <c r="AS18" i="8"/>
  <c r="AL21" i="8"/>
  <c r="AM9" i="8"/>
  <c r="AN9" i="8"/>
  <c r="AH14" i="8"/>
  <c r="AI14" i="8"/>
  <c r="AH18" i="8"/>
  <c r="AI18" i="8"/>
  <c r="AG21" i="8"/>
  <c r="AV6" i="8" s="1"/>
  <c r="AH9" i="8"/>
  <c r="AI9" i="8"/>
  <c r="AC12" i="8"/>
  <c r="AD12" i="8"/>
  <c r="I14" i="8"/>
  <c r="J14" i="8"/>
  <c r="AM15" i="8"/>
  <c r="AN15" i="8"/>
  <c r="S17" i="8"/>
  <c r="T17" i="8"/>
  <c r="AW18" i="8"/>
  <c r="AX18" i="8"/>
  <c r="AC20" i="8"/>
  <c r="AD20" i="8"/>
  <c r="D23" i="8"/>
  <c r="B36" i="8" s="1"/>
  <c r="E21" i="8"/>
  <c r="X18" i="8"/>
  <c r="Y18" i="8"/>
  <c r="N15" i="8"/>
  <c r="O15" i="8"/>
  <c r="AR10" i="8"/>
  <c r="AS10" i="8"/>
  <c r="AB21" i="8"/>
  <c r="AC9" i="8"/>
  <c r="AD9" i="8"/>
  <c r="T20" i="8"/>
  <c r="S20" i="8"/>
  <c r="J19" i="8"/>
  <c r="I19" i="8"/>
  <c r="AX17" i="8"/>
  <c r="AW17" i="8"/>
  <c r="T16" i="8"/>
  <c r="S16" i="8"/>
  <c r="J15" i="8"/>
  <c r="I15" i="8"/>
  <c r="AX13" i="8"/>
  <c r="AW13" i="8"/>
  <c r="T12" i="8"/>
  <c r="S12" i="8"/>
  <c r="J11" i="8"/>
  <c r="I11" i="8"/>
  <c r="AS9" i="8"/>
  <c r="AQ21" i="8"/>
  <c r="AR9" i="8"/>
  <c r="AR17" i="8"/>
  <c r="AS17" i="8"/>
  <c r="AR13" i="8"/>
  <c r="AS13" i="8"/>
  <c r="AH10" i="8"/>
  <c r="AI10" i="8"/>
  <c r="AH13" i="8"/>
  <c r="AI13" i="8"/>
  <c r="AR20" i="8"/>
  <c r="AS20" i="8"/>
  <c r="AR12" i="8"/>
  <c r="AS12" i="8"/>
  <c r="R21" i="8"/>
  <c r="AG6" i="8" s="1"/>
  <c r="S9" i="8"/>
  <c r="T9" i="8"/>
  <c r="N14" i="8"/>
  <c r="O14" i="8"/>
  <c r="N18" i="8"/>
  <c r="O18" i="8"/>
  <c r="M21" i="8"/>
  <c r="N9" i="8"/>
  <c r="O9" i="8"/>
  <c r="I12" i="8"/>
  <c r="J12" i="8"/>
  <c r="AM13" i="8"/>
  <c r="AN13" i="8"/>
  <c r="S15" i="8"/>
  <c r="T15" i="8"/>
  <c r="AW16" i="8"/>
  <c r="AX16" i="8"/>
  <c r="AC18" i="8"/>
  <c r="AD18" i="8"/>
  <c r="I20" i="8"/>
  <c r="J20" i="8"/>
  <c r="AC10" i="8"/>
  <c r="AD10" i="8"/>
  <c r="X16" i="8"/>
  <c r="Y16" i="8"/>
  <c r="N13" i="8"/>
  <c r="O13" i="8"/>
  <c r="AV21" i="8"/>
  <c r="AW9" i="8"/>
  <c r="AX9" i="8"/>
  <c r="AN20" i="8"/>
  <c r="AM20" i="8"/>
  <c r="AD19" i="8"/>
  <c r="AC19" i="8"/>
  <c r="AN16" i="8"/>
  <c r="AM16" i="8"/>
  <c r="AD15" i="8"/>
  <c r="AC15" i="8"/>
  <c r="AN12" i="8"/>
  <c r="AM12" i="8"/>
  <c r="AD11" i="8"/>
  <c r="AC11" i="8"/>
  <c r="X19" i="8"/>
  <c r="Y19" i="8"/>
  <c r="X15" i="8"/>
  <c r="Y15" i="8"/>
  <c r="X11" i="8"/>
  <c r="Y11" i="8"/>
  <c r="AH19" i="8"/>
  <c r="AI19" i="8"/>
  <c r="AR14" i="8"/>
  <c r="AS14" i="8"/>
  <c r="AH11" i="8"/>
  <c r="AI11" i="8"/>
  <c r="AW10" i="8"/>
  <c r="AX10" i="8"/>
  <c r="AH17" i="8"/>
  <c r="AI17" i="8"/>
  <c r="AH12" i="8"/>
  <c r="AI12" i="8"/>
  <c r="AH16" i="8"/>
  <c r="AI16" i="8"/>
  <c r="AH20" i="8"/>
  <c r="AI20" i="8"/>
  <c r="AM11" i="8"/>
  <c r="AN11" i="8"/>
  <c r="S13" i="8"/>
  <c r="T13" i="8"/>
  <c r="AW14" i="8"/>
  <c r="AX14" i="8"/>
  <c r="AC16" i="8"/>
  <c r="AD16" i="8"/>
  <c r="I18" i="8"/>
  <c r="J18" i="8"/>
  <c r="AM19" i="8"/>
  <c r="AN19" i="8"/>
  <c r="AH14" i="13" l="1"/>
  <c r="X39" i="15"/>
  <c r="C19" i="15"/>
  <c r="U56" i="15"/>
  <c r="U54" i="15"/>
  <c r="X42" i="15"/>
  <c r="J17" i="10"/>
  <c r="J37" i="13"/>
  <c r="AL37" i="13" s="1"/>
  <c r="J41" i="13"/>
  <c r="AL41" i="13" s="1"/>
  <c r="J33" i="13"/>
  <c r="J34" i="13"/>
  <c r="J40" i="13"/>
  <c r="J35" i="13"/>
  <c r="J43" i="13"/>
  <c r="J39" i="13"/>
  <c r="J38" i="13"/>
  <c r="J42" i="13"/>
  <c r="J36" i="13"/>
  <c r="J29" i="13"/>
  <c r="J44" i="13"/>
  <c r="D40" i="7"/>
  <c r="K32" i="10"/>
  <c r="K47" i="7"/>
  <c r="K17" i="10"/>
  <c r="AR21" i="8"/>
  <c r="AH21" i="8"/>
  <c r="AC21" i="8"/>
  <c r="N21" i="8"/>
  <c r="AD21" i="8"/>
  <c r="AI21" i="8"/>
  <c r="AM21" i="8"/>
  <c r="Y21" i="8"/>
  <c r="I21" i="8"/>
  <c r="AW21" i="8"/>
  <c r="O21" i="8"/>
  <c r="S21" i="8"/>
  <c r="AS21" i="8"/>
  <c r="AN21" i="8"/>
  <c r="J21" i="8"/>
  <c r="C25" i="8"/>
  <c r="H25" i="8" s="1"/>
  <c r="AX21" i="8"/>
  <c r="T21" i="8"/>
  <c r="X21" i="8"/>
  <c r="AQ14" i="13" l="1"/>
  <c r="AG39" i="15"/>
  <c r="AA42" i="15"/>
  <c r="X54" i="15"/>
  <c r="X56" i="15"/>
  <c r="C20" i="15"/>
  <c r="L7" i="12"/>
  <c r="K18" i="10"/>
  <c r="M21" i="13"/>
  <c r="S14" i="13"/>
  <c r="R39" i="15" s="1"/>
  <c r="M25" i="13"/>
  <c r="M28" i="13"/>
  <c r="AL44" i="13"/>
  <c r="M22" i="13"/>
  <c r="AL38" i="13"/>
  <c r="M24" i="13"/>
  <c r="AL40" i="13"/>
  <c r="M26" i="13"/>
  <c r="AL42" i="13"/>
  <c r="AL35" i="13"/>
  <c r="M19" i="13"/>
  <c r="M23" i="13"/>
  <c r="AL39" i="13"/>
  <c r="AL34" i="13"/>
  <c r="M18" i="13"/>
  <c r="AL36" i="13"/>
  <c r="M20" i="13"/>
  <c r="AL43" i="13"/>
  <c r="M27" i="13"/>
  <c r="AL33" i="13"/>
  <c r="M17" i="13"/>
  <c r="H52" i="13" s="1"/>
  <c r="K18" i="13"/>
  <c r="G40" i="7"/>
  <c r="L6" i="7"/>
  <c r="M6" i="7" s="1"/>
  <c r="K45" i="7"/>
  <c r="E25" i="8"/>
  <c r="D37" i="8" s="1"/>
  <c r="D38" i="8" s="1"/>
  <c r="J31" i="8"/>
  <c r="J33" i="8" s="1"/>
  <c r="F10" i="8"/>
  <c r="J30" i="8" s="1"/>
  <c r="D25" i="8"/>
  <c r="B37" i="8" s="1"/>
  <c r="B38" i="8" s="1"/>
  <c r="K46" i="7"/>
  <c r="L5" i="7" s="1"/>
  <c r="M5" i="7" s="1"/>
  <c r="C21" i="15" l="1"/>
  <c r="AZ14" i="13"/>
  <c r="AY39" i="15" s="1"/>
  <c r="AP39" i="15"/>
  <c r="AA54" i="15"/>
  <c r="AA56" i="15"/>
  <c r="AD42" i="15"/>
  <c r="AB14" i="13"/>
  <c r="M31" i="13"/>
  <c r="M29" i="13"/>
  <c r="D50" i="13" s="1"/>
  <c r="K48" i="7"/>
  <c r="L7" i="7" s="1"/>
  <c r="M7" i="7" s="1"/>
  <c r="L4" i="7"/>
  <c r="AK14" i="13" l="1"/>
  <c r="AA39" i="15"/>
  <c r="AD54" i="15"/>
  <c r="F21" i="15" s="1"/>
  <c r="AD56" i="15"/>
  <c r="AG42" i="15"/>
  <c r="C22" i="15"/>
  <c r="M37" i="13"/>
  <c r="P21" i="13" s="1"/>
  <c r="S21" i="13" s="1"/>
  <c r="V21" i="13" s="1"/>
  <c r="Y21" i="13" s="1"/>
  <c r="AB21" i="13" s="1"/>
  <c r="AE21" i="13" s="1"/>
  <c r="AH21" i="13" s="1"/>
  <c r="AK21" i="13" s="1"/>
  <c r="AN21" i="13" s="1"/>
  <c r="V14" i="13"/>
  <c r="U39" i="15" s="1"/>
  <c r="M43" i="13"/>
  <c r="M42" i="13"/>
  <c r="M36" i="13"/>
  <c r="M40" i="13"/>
  <c r="M38" i="13"/>
  <c r="M39" i="13"/>
  <c r="M41" i="13"/>
  <c r="M33" i="13"/>
  <c r="M44" i="13"/>
  <c r="M34" i="13"/>
  <c r="M35" i="13"/>
  <c r="AT14" i="13" l="1"/>
  <c r="AJ39" i="15"/>
  <c r="AG56" i="15"/>
  <c r="AJ42" i="15"/>
  <c r="AG54" i="15"/>
  <c r="G21" i="15"/>
  <c r="AO37" i="13"/>
  <c r="AQ21" i="13" s="1"/>
  <c r="AT21" i="13" s="1"/>
  <c r="AW21" i="13" s="1"/>
  <c r="AZ21" i="13" s="1"/>
  <c r="BC21" i="13" s="1"/>
  <c r="BF21" i="13" s="1"/>
  <c r="AE14" i="13"/>
  <c r="AO38" i="13"/>
  <c r="P22" i="13"/>
  <c r="S22" i="13" s="1"/>
  <c r="V22" i="13" s="1"/>
  <c r="Y22" i="13" s="1"/>
  <c r="AB22" i="13" s="1"/>
  <c r="AE22" i="13" s="1"/>
  <c r="AH22" i="13" s="1"/>
  <c r="AK22" i="13" s="1"/>
  <c r="AN22" i="13" s="1"/>
  <c r="AO33" i="13"/>
  <c r="N18" i="13"/>
  <c r="P17" i="13"/>
  <c r="H53" i="13" s="1"/>
  <c r="AO40" i="13"/>
  <c r="P24" i="13"/>
  <c r="S24" i="13" s="1"/>
  <c r="V24" i="13" s="1"/>
  <c r="Y24" i="13" s="1"/>
  <c r="AB24" i="13" s="1"/>
  <c r="AE24" i="13" s="1"/>
  <c r="AH24" i="13" s="1"/>
  <c r="AK24" i="13" s="1"/>
  <c r="AN24" i="13" s="1"/>
  <c r="AO35" i="13"/>
  <c r="P19" i="13"/>
  <c r="S19" i="13" s="1"/>
  <c r="V19" i="13" s="1"/>
  <c r="Y19" i="13" s="1"/>
  <c r="AB19" i="13" s="1"/>
  <c r="AE19" i="13" s="1"/>
  <c r="AH19" i="13" s="1"/>
  <c r="AK19" i="13" s="1"/>
  <c r="AN19" i="13" s="1"/>
  <c r="AO41" i="13"/>
  <c r="P25" i="13"/>
  <c r="S25" i="13" s="1"/>
  <c r="V25" i="13" s="1"/>
  <c r="Y25" i="13" s="1"/>
  <c r="AB25" i="13" s="1"/>
  <c r="AE25" i="13" s="1"/>
  <c r="AH25" i="13" s="1"/>
  <c r="AK25" i="13" s="1"/>
  <c r="AN25" i="13" s="1"/>
  <c r="AO36" i="13"/>
  <c r="P20" i="13"/>
  <c r="S20" i="13" s="1"/>
  <c r="V20" i="13" s="1"/>
  <c r="Y20" i="13" s="1"/>
  <c r="AB20" i="13" s="1"/>
  <c r="AE20" i="13" s="1"/>
  <c r="AH20" i="13" s="1"/>
  <c r="AK20" i="13" s="1"/>
  <c r="AN20" i="13" s="1"/>
  <c r="AO34" i="13"/>
  <c r="P18" i="13"/>
  <c r="S18" i="13" s="1"/>
  <c r="V18" i="13" s="1"/>
  <c r="Y18" i="13" s="1"/>
  <c r="AB18" i="13" s="1"/>
  <c r="AE18" i="13" s="1"/>
  <c r="AH18" i="13" s="1"/>
  <c r="AK18" i="13" s="1"/>
  <c r="AN18" i="13" s="1"/>
  <c r="AO39" i="13"/>
  <c r="P23" i="13"/>
  <c r="S23" i="13" s="1"/>
  <c r="V23" i="13" s="1"/>
  <c r="Y23" i="13" s="1"/>
  <c r="AB23" i="13" s="1"/>
  <c r="AE23" i="13" s="1"/>
  <c r="AH23" i="13" s="1"/>
  <c r="AK23" i="13" s="1"/>
  <c r="AN23" i="13" s="1"/>
  <c r="AO42" i="13"/>
  <c r="P26" i="13"/>
  <c r="S26" i="13" s="1"/>
  <c r="V26" i="13" s="1"/>
  <c r="Y26" i="13" s="1"/>
  <c r="AB26" i="13" s="1"/>
  <c r="AE26" i="13" s="1"/>
  <c r="AH26" i="13" s="1"/>
  <c r="AK26" i="13" s="1"/>
  <c r="AN26" i="13" s="1"/>
  <c r="AO43" i="13"/>
  <c r="P27" i="13"/>
  <c r="S27" i="13" s="1"/>
  <c r="V27" i="13" s="1"/>
  <c r="Y27" i="13" s="1"/>
  <c r="AB27" i="13" s="1"/>
  <c r="AE27" i="13" s="1"/>
  <c r="AH27" i="13" s="1"/>
  <c r="AK27" i="13" s="1"/>
  <c r="AN27" i="13" s="1"/>
  <c r="AO44" i="13"/>
  <c r="P28" i="13"/>
  <c r="AN14" i="13" l="1"/>
  <c r="AD39" i="15"/>
  <c r="BC14" i="13"/>
  <c r="BB39" i="15" s="1"/>
  <c r="AS39" i="15"/>
  <c r="AQ26" i="13"/>
  <c r="AT26" i="13" s="1"/>
  <c r="AW26" i="13" s="1"/>
  <c r="AZ26" i="13" s="1"/>
  <c r="BC26" i="13" s="1"/>
  <c r="BF26" i="13" s="1"/>
  <c r="AJ56" i="15"/>
  <c r="AM42" i="15"/>
  <c r="AJ54" i="15"/>
  <c r="D53" i="13"/>
  <c r="S28" i="13"/>
  <c r="V28" i="13" s="1"/>
  <c r="Y28" i="13" s="1"/>
  <c r="AB28" i="13" s="1"/>
  <c r="AE28" i="13" s="1"/>
  <c r="AH28" i="13" s="1"/>
  <c r="AK28" i="13" s="1"/>
  <c r="AN28" i="13" s="1"/>
  <c r="AQ28" i="13" s="1"/>
  <c r="AT28" i="13" s="1"/>
  <c r="AW28" i="13" s="1"/>
  <c r="AZ28" i="13" s="1"/>
  <c r="BC28" i="13" s="1"/>
  <c r="BF28" i="13" s="1"/>
  <c r="AQ22" i="13"/>
  <c r="AT22" i="13" s="1"/>
  <c r="AW22" i="13" s="1"/>
  <c r="AZ22" i="13" s="1"/>
  <c r="BC22" i="13" s="1"/>
  <c r="BF22" i="13" s="1"/>
  <c r="AQ27" i="13"/>
  <c r="AT27" i="13" s="1"/>
  <c r="AW27" i="13" s="1"/>
  <c r="AZ27" i="13" s="1"/>
  <c r="BC27" i="13" s="1"/>
  <c r="BF27" i="13" s="1"/>
  <c r="AQ23" i="13"/>
  <c r="AT23" i="13" s="1"/>
  <c r="AW23" i="13" s="1"/>
  <c r="AZ23" i="13" s="1"/>
  <c r="BC23" i="13" s="1"/>
  <c r="BF23" i="13" s="1"/>
  <c r="AQ18" i="13"/>
  <c r="AT18" i="13" s="1"/>
  <c r="AW18" i="13" s="1"/>
  <c r="AZ18" i="13" s="1"/>
  <c r="BC18" i="13" s="1"/>
  <c r="BF18" i="13" s="1"/>
  <c r="AQ20" i="13"/>
  <c r="AT20" i="13" s="1"/>
  <c r="AW20" i="13" s="1"/>
  <c r="AZ20" i="13" s="1"/>
  <c r="BC20" i="13" s="1"/>
  <c r="BF20" i="13" s="1"/>
  <c r="AQ19" i="13"/>
  <c r="AT19" i="13" s="1"/>
  <c r="AW19" i="13" s="1"/>
  <c r="AZ19" i="13" s="1"/>
  <c r="BC19" i="13" s="1"/>
  <c r="BF19" i="13" s="1"/>
  <c r="AQ25" i="13"/>
  <c r="AT25" i="13" s="1"/>
  <c r="AW25" i="13" s="1"/>
  <c r="AZ25" i="13" s="1"/>
  <c r="BC25" i="13" s="1"/>
  <c r="BF25" i="13" s="1"/>
  <c r="AQ24" i="13"/>
  <c r="AT24" i="13" s="1"/>
  <c r="AW24" i="13" s="1"/>
  <c r="AZ24" i="13" s="1"/>
  <c r="BC24" i="13" s="1"/>
  <c r="BF24" i="13" s="1"/>
  <c r="P31" i="13"/>
  <c r="P29" i="13"/>
  <c r="S17" i="13"/>
  <c r="AW14" i="13" l="1"/>
  <c r="AV39" i="15" s="1"/>
  <c r="AM39" i="15"/>
  <c r="AM54" i="15"/>
  <c r="AP42" i="15"/>
  <c r="AM56" i="15"/>
  <c r="H54" i="13"/>
  <c r="E53" i="13"/>
  <c r="V17" i="13"/>
  <c r="S31" i="13"/>
  <c r="H55" i="13" s="1"/>
  <c r="S29" i="13"/>
  <c r="AP54" i="15" l="1"/>
  <c r="AP56" i="15"/>
  <c r="AS42" i="15"/>
  <c r="V31" i="13"/>
  <c r="V29" i="13"/>
  <c r="BF14" i="13" s="1"/>
  <c r="Y17" i="13"/>
  <c r="D56" i="13" l="1"/>
  <c r="E56" i="13" s="1"/>
  <c r="BE39" i="15"/>
  <c r="AS56" i="15"/>
  <c r="AS54" i="15"/>
  <c r="AV42" i="15"/>
  <c r="Y29" i="13"/>
  <c r="Y31" i="13"/>
  <c r="AB17" i="13"/>
  <c r="AY42" i="15" l="1"/>
  <c r="AV54" i="15"/>
  <c r="AV56" i="15"/>
  <c r="AE17" i="13"/>
  <c r="AB29" i="13"/>
  <c r="AB31" i="13"/>
  <c r="AY54" i="15" l="1"/>
  <c r="AY56" i="15"/>
  <c r="BB42" i="15"/>
  <c r="AE29" i="13"/>
  <c r="D52" i="13" s="1"/>
  <c r="AH17" i="13"/>
  <c r="AE31" i="13"/>
  <c r="BB54" i="15" l="1"/>
  <c r="BB56" i="15"/>
  <c r="BE42" i="15"/>
  <c r="E52" i="13"/>
  <c r="D54" i="13"/>
  <c r="E54" i="13" s="1"/>
  <c r="AH29" i="13"/>
  <c r="AK17" i="13"/>
  <c r="AH31" i="13"/>
  <c r="BE56" i="15" l="1"/>
  <c r="BE54" i="15"/>
  <c r="F26" i="15" s="1"/>
  <c r="AN17" i="13"/>
  <c r="AK31" i="13"/>
  <c r="AK29" i="13"/>
  <c r="C31" i="15" l="1"/>
  <c r="C25" i="15"/>
  <c r="C30" i="15"/>
  <c r="C29" i="15"/>
  <c r="C23" i="15"/>
  <c r="C24" i="15"/>
  <c r="C26" i="15"/>
  <c r="C28" i="15"/>
  <c r="C27" i="15"/>
  <c r="G26" i="15"/>
  <c r="AN31" i="13"/>
  <c r="AQ17" i="13"/>
  <c r="AN29" i="13"/>
  <c r="AQ29" i="13" l="1"/>
  <c r="AT17" i="13"/>
  <c r="AQ31" i="13"/>
  <c r="AW17" i="13" l="1"/>
  <c r="AT29" i="13"/>
  <c r="AT31" i="13"/>
  <c r="AZ17" i="13" l="1"/>
  <c r="AW31" i="13"/>
  <c r="AW29" i="13"/>
  <c r="AZ29" i="13" l="1"/>
  <c r="AZ31" i="13"/>
  <c r="BC17" i="13"/>
  <c r="BC29" i="13" l="1"/>
  <c r="BF17" i="13"/>
  <c r="BC31" i="13"/>
  <c r="BF29" i="13" l="1"/>
  <c r="D57" i="13" s="1"/>
  <c r="BF31" i="13"/>
  <c r="E57" i="13" l="1"/>
  <c r="D58" i="13"/>
  <c r="E58" i="13" s="1"/>
  <c r="H65" i="13"/>
  <c r="H67" i="13"/>
  <c r="H64" i="13"/>
  <c r="H57" i="13"/>
  <c r="H63" i="13"/>
  <c r="H66" i="13"/>
  <c r="H58" i="13"/>
  <c r="H56" i="13"/>
  <c r="H60" i="13"/>
  <c r="H61" i="13"/>
  <c r="H62" i="13"/>
  <c r="H59" i="13"/>
  <c r="L73" i="14" l="1"/>
  <c r="C76" i="14"/>
  <c r="C56" i="14"/>
  <c r="C66" i="14" s="1"/>
  <c r="AE66" i="14" s="1"/>
  <c r="C54" i="14"/>
  <c r="G80" i="14" s="1"/>
  <c r="F51" i="14"/>
  <c r="F47" i="14"/>
  <c r="F48" i="14"/>
  <c r="F53" i="14"/>
  <c r="F49" i="14"/>
  <c r="F50" i="14"/>
  <c r="F45" i="14"/>
  <c r="F52" i="14"/>
  <c r="D17" i="6"/>
  <c r="G17" i="6" s="1"/>
  <c r="D18" i="6"/>
  <c r="D23" i="6"/>
  <c r="G23" i="6" s="1"/>
  <c r="D27" i="6"/>
  <c r="G27" i="6" s="1"/>
  <c r="D24" i="6"/>
  <c r="G24" i="6" s="1"/>
  <c r="D21" i="6"/>
  <c r="D20" i="6"/>
  <c r="G20" i="6" s="1"/>
  <c r="D25" i="6"/>
  <c r="D19" i="6"/>
  <c r="G19" i="6" s="1"/>
  <c r="D26" i="6"/>
  <c r="D22" i="6"/>
  <c r="G22" i="6" s="1"/>
  <c r="F46" i="14"/>
  <c r="D16" i="6"/>
  <c r="C67" i="14" l="1"/>
  <c r="AE67" i="14" s="1"/>
  <c r="C60" i="14"/>
  <c r="AE60" i="14" s="1"/>
  <c r="C58" i="14"/>
  <c r="C65" i="14"/>
  <c r="AE65" i="14" s="1"/>
  <c r="C62" i="14"/>
  <c r="AE62" i="14" s="1"/>
  <c r="D30" i="6"/>
  <c r="D35" i="6" s="1"/>
  <c r="AF35" i="6" s="1"/>
  <c r="G16" i="6"/>
  <c r="G30" i="6" s="1"/>
  <c r="G43" i="6" s="1"/>
  <c r="C68" i="14"/>
  <c r="AE68" i="14" s="1"/>
  <c r="C59" i="14"/>
  <c r="AE59" i="14" s="1"/>
  <c r="G26" i="6"/>
  <c r="F54" i="14"/>
  <c r="G25" i="6"/>
  <c r="F56" i="14"/>
  <c r="D28" i="6"/>
  <c r="D45" i="6"/>
  <c r="G21" i="6"/>
  <c r="G18" i="6"/>
  <c r="G83" i="14"/>
  <c r="F18" i="14"/>
  <c r="C64" i="14"/>
  <c r="AE64" i="14" s="1"/>
  <c r="C63" i="14"/>
  <c r="AE63" i="14" s="1"/>
  <c r="C61" i="14"/>
  <c r="AE61" i="14" s="1"/>
  <c r="C69" i="14"/>
  <c r="AE69" i="14" s="1"/>
  <c r="D33" i="6" l="1"/>
  <c r="AF33" i="6" s="1"/>
  <c r="D43" i="6"/>
  <c r="AF43" i="6" s="1"/>
  <c r="D38" i="6"/>
  <c r="AF38" i="6" s="1"/>
  <c r="D34" i="6"/>
  <c r="AF34" i="6" s="1"/>
  <c r="H50" i="6"/>
  <c r="G33" i="6"/>
  <c r="AI33" i="6" s="1"/>
  <c r="D41" i="6"/>
  <c r="AF41" i="6" s="1"/>
  <c r="G37" i="6"/>
  <c r="J21" i="6" s="1"/>
  <c r="D42" i="6"/>
  <c r="AF42" i="6" s="1"/>
  <c r="D40" i="6"/>
  <c r="AF40" i="6" s="1"/>
  <c r="G34" i="6"/>
  <c r="J18" i="6" s="1"/>
  <c r="G40" i="6"/>
  <c r="AI40" i="6" s="1"/>
  <c r="D37" i="6"/>
  <c r="AF37" i="6" s="1"/>
  <c r="G39" i="6"/>
  <c r="AI39" i="6" s="1"/>
  <c r="D43" i="14"/>
  <c r="G81" i="14" s="1"/>
  <c r="AE58" i="14"/>
  <c r="D39" i="6"/>
  <c r="AF39" i="6" s="1"/>
  <c r="D36" i="6"/>
  <c r="AF36" i="6" s="1"/>
  <c r="D32" i="6"/>
  <c r="F63" i="14"/>
  <c r="F69" i="14"/>
  <c r="F65" i="14"/>
  <c r="F67" i="14"/>
  <c r="F64" i="14"/>
  <c r="F66" i="14"/>
  <c r="F62" i="14"/>
  <c r="F59" i="14"/>
  <c r="AI37" i="6"/>
  <c r="F76" i="14"/>
  <c r="G82" i="14" s="1"/>
  <c r="G84" i="14" s="1"/>
  <c r="AI43" i="6"/>
  <c r="J27" i="6"/>
  <c r="G28" i="6"/>
  <c r="G41" i="6"/>
  <c r="F68" i="14"/>
  <c r="G42" i="6"/>
  <c r="D49" i="6"/>
  <c r="K78" i="6"/>
  <c r="M13" i="6"/>
  <c r="K75" i="6"/>
  <c r="F58" i="14"/>
  <c r="I42" i="14" s="1"/>
  <c r="F60" i="14"/>
  <c r="F61" i="14"/>
  <c r="G36" i="6"/>
  <c r="G35" i="6"/>
  <c r="G32" i="6"/>
  <c r="G38" i="6"/>
  <c r="J17" i="6" l="1"/>
  <c r="J24" i="6"/>
  <c r="J23" i="6"/>
  <c r="AI34" i="6"/>
  <c r="AF32" i="6"/>
  <c r="E17" i="6"/>
  <c r="K76" i="6" s="1"/>
  <c r="AI38" i="6"/>
  <c r="J22" i="6"/>
  <c r="AI41" i="6"/>
  <c r="J25" i="6"/>
  <c r="AH62" i="14"/>
  <c r="I46" i="14"/>
  <c r="G45" i="6"/>
  <c r="K77" i="6" s="1"/>
  <c r="K79" i="6" s="1"/>
  <c r="P13" i="6"/>
  <c r="AH63" i="14"/>
  <c r="I47" i="14"/>
  <c r="L39" i="14"/>
  <c r="H17" i="6"/>
  <c r="AI32" i="6"/>
  <c r="J16" i="6"/>
  <c r="AI35" i="6"/>
  <c r="J19" i="6"/>
  <c r="G43" i="14"/>
  <c r="AH58" i="14"/>
  <c r="AI36" i="6"/>
  <c r="J20" i="6"/>
  <c r="I48" i="14"/>
  <c r="AH64" i="14"/>
  <c r="AH69" i="14"/>
  <c r="I53" i="14"/>
  <c r="AH61" i="14"/>
  <c r="I45" i="14"/>
  <c r="I44" i="14"/>
  <c r="AH60" i="14"/>
  <c r="AI42" i="6"/>
  <c r="J26" i="6"/>
  <c r="I43" i="14"/>
  <c r="AH59" i="14"/>
  <c r="I51" i="14"/>
  <c r="AH67" i="14"/>
  <c r="AH68" i="14"/>
  <c r="I52" i="14"/>
  <c r="I50" i="14"/>
  <c r="AH66" i="14"/>
  <c r="AH65" i="14"/>
  <c r="I49" i="14"/>
  <c r="J28" i="6" l="1"/>
  <c r="J30" i="6"/>
  <c r="J35" i="6" s="1"/>
  <c r="H51" i="6"/>
  <c r="O39" i="14"/>
  <c r="I56" i="14"/>
  <c r="I59" i="14" s="1"/>
  <c r="I54" i="14"/>
  <c r="C14" i="14"/>
  <c r="J42" i="6" l="1"/>
  <c r="M26" i="6" s="1"/>
  <c r="J41" i="6"/>
  <c r="AL41" i="6" s="1"/>
  <c r="J36" i="6"/>
  <c r="AL36" i="6" s="1"/>
  <c r="I67" i="14"/>
  <c r="AK67" i="14" s="1"/>
  <c r="I61" i="14"/>
  <c r="L45" i="14" s="1"/>
  <c r="I58" i="14"/>
  <c r="J43" i="14" s="1"/>
  <c r="J38" i="6"/>
  <c r="AL38" i="6" s="1"/>
  <c r="I68" i="14"/>
  <c r="AK68" i="14" s="1"/>
  <c r="I62" i="14"/>
  <c r="L46" i="14" s="1"/>
  <c r="I69" i="14"/>
  <c r="AK69" i="14" s="1"/>
  <c r="I63" i="14"/>
  <c r="L47" i="14" s="1"/>
  <c r="J32" i="6"/>
  <c r="M16" i="6" s="1"/>
  <c r="H52" i="6" s="1"/>
  <c r="M19" i="6"/>
  <c r="AL35" i="6"/>
  <c r="AK59" i="14"/>
  <c r="L43" i="14"/>
  <c r="AK62" i="14"/>
  <c r="S13" i="6"/>
  <c r="I66" i="14"/>
  <c r="I60" i="14"/>
  <c r="I65" i="14"/>
  <c r="J40" i="6"/>
  <c r="J39" i="6"/>
  <c r="J34" i="6"/>
  <c r="J43" i="6"/>
  <c r="J37" i="6"/>
  <c r="J33" i="6"/>
  <c r="I64" i="14"/>
  <c r="AK58" i="14" l="1"/>
  <c r="M25" i="6"/>
  <c r="AL42" i="6"/>
  <c r="M20" i="6"/>
  <c r="L51" i="14"/>
  <c r="AL32" i="6"/>
  <c r="AK61" i="14"/>
  <c r="L53" i="14"/>
  <c r="L42" i="14"/>
  <c r="C15" i="14" s="1"/>
  <c r="M22" i="6"/>
  <c r="AK63" i="14"/>
  <c r="K17" i="6"/>
  <c r="L52" i="14"/>
  <c r="AL37" i="6"/>
  <c r="M21" i="6"/>
  <c r="AL40" i="6"/>
  <c r="M24" i="6"/>
  <c r="AL43" i="6"/>
  <c r="M27" i="6"/>
  <c r="AK64" i="14"/>
  <c r="L48" i="14"/>
  <c r="AL34" i="6"/>
  <c r="M18" i="6"/>
  <c r="AK60" i="14"/>
  <c r="L44" i="14"/>
  <c r="R39" i="14"/>
  <c r="AK66" i="14"/>
  <c r="L50" i="14"/>
  <c r="L49" i="14"/>
  <c r="AK65" i="14"/>
  <c r="AL33" i="6"/>
  <c r="M17" i="6"/>
  <c r="AL39" i="6"/>
  <c r="M23" i="6"/>
  <c r="M30" i="6"/>
  <c r="M42" i="6" s="1"/>
  <c r="L56" i="14" l="1"/>
  <c r="L59" i="14" s="1"/>
  <c r="O43" i="14" s="1"/>
  <c r="M32" i="6"/>
  <c r="AO32" i="6" s="1"/>
  <c r="M35" i="6"/>
  <c r="AO35" i="6" s="1"/>
  <c r="M40" i="6"/>
  <c r="AO40" i="6" s="1"/>
  <c r="M38" i="6"/>
  <c r="AO38" i="6" s="1"/>
  <c r="M41" i="6"/>
  <c r="AO41" i="6" s="1"/>
  <c r="M43" i="6"/>
  <c r="AO43" i="6" s="1"/>
  <c r="M39" i="6"/>
  <c r="P23" i="6" s="1"/>
  <c r="M33" i="6"/>
  <c r="M36" i="6"/>
  <c r="M37" i="6"/>
  <c r="M28" i="6"/>
  <c r="L54" i="14"/>
  <c r="AO42" i="6"/>
  <c r="P26" i="6"/>
  <c r="M34" i="6"/>
  <c r="L61" i="14" l="1"/>
  <c r="O45" i="14" s="1"/>
  <c r="L58" i="14"/>
  <c r="O42" i="14" s="1"/>
  <c r="L68" i="14"/>
  <c r="O52" i="14" s="1"/>
  <c r="AN59" i="14"/>
  <c r="L60" i="14"/>
  <c r="O44" i="14" s="1"/>
  <c r="C16" i="14"/>
  <c r="L69" i="14"/>
  <c r="O53" i="14" s="1"/>
  <c r="L64" i="14"/>
  <c r="AN64" i="14" s="1"/>
  <c r="L62" i="14"/>
  <c r="AN62" i="14" s="1"/>
  <c r="L65" i="14"/>
  <c r="P24" i="6"/>
  <c r="L66" i="14"/>
  <c r="P19" i="6"/>
  <c r="M43" i="14"/>
  <c r="L67" i="14"/>
  <c r="AN67" i="14" s="1"/>
  <c r="L63" i="14"/>
  <c r="N17" i="6"/>
  <c r="P22" i="6"/>
  <c r="P16" i="6"/>
  <c r="P30" i="6" s="1"/>
  <c r="P42" i="6" s="1"/>
  <c r="AO39" i="6"/>
  <c r="P25" i="6"/>
  <c r="AN58" i="14"/>
  <c r="P27" i="6"/>
  <c r="AO36" i="6"/>
  <c r="P20" i="6"/>
  <c r="P18" i="6"/>
  <c r="AO34" i="6"/>
  <c r="AN61" i="14"/>
  <c r="V13" i="6"/>
  <c r="AO37" i="6"/>
  <c r="P21" i="6"/>
  <c r="AO33" i="6"/>
  <c r="P17" i="6"/>
  <c r="O56" i="14"/>
  <c r="O60" i="14" s="1"/>
  <c r="AN68" i="14" l="1"/>
  <c r="AN69" i="14"/>
  <c r="H53" i="6"/>
  <c r="AN60" i="14"/>
  <c r="AR42" i="6"/>
  <c r="S26" i="6"/>
  <c r="AQ60" i="14"/>
  <c r="R44" i="14"/>
  <c r="O69" i="14"/>
  <c r="AQ69" i="14" s="1"/>
  <c r="O68" i="14"/>
  <c r="AQ68" i="14" s="1"/>
  <c r="P36" i="6"/>
  <c r="AR36" i="6" s="1"/>
  <c r="P38" i="6"/>
  <c r="AR38" i="6" s="1"/>
  <c r="P40" i="6"/>
  <c r="AR40" i="6" s="1"/>
  <c r="P33" i="6"/>
  <c r="AR33" i="6" s="1"/>
  <c r="P37" i="6"/>
  <c r="AR37" i="6" s="1"/>
  <c r="P43" i="6"/>
  <c r="AR43" i="6" s="1"/>
  <c r="P32" i="6"/>
  <c r="O59" i="14"/>
  <c r="P39" i="6"/>
  <c r="O61" i="14"/>
  <c r="AQ61" i="14" s="1"/>
  <c r="P41" i="6"/>
  <c r="AR41" i="6" s="1"/>
  <c r="O51" i="14"/>
  <c r="O48" i="14"/>
  <c r="P35" i="6"/>
  <c r="AR35" i="6" s="1"/>
  <c r="P34" i="6"/>
  <c r="AR34" i="6" s="1"/>
  <c r="O58" i="14"/>
  <c r="O46" i="14"/>
  <c r="AN65" i="14"/>
  <c r="O49" i="14"/>
  <c r="O50" i="14"/>
  <c r="AN66" i="14"/>
  <c r="O47" i="14"/>
  <c r="AN63" i="14"/>
  <c r="U39" i="14"/>
  <c r="P28" i="6"/>
  <c r="R53" i="14" l="1"/>
  <c r="R52" i="14"/>
  <c r="S20" i="6"/>
  <c r="O54" i="14"/>
  <c r="O66" i="14"/>
  <c r="AQ66" i="14" s="1"/>
  <c r="P43" i="14"/>
  <c r="AQ58" i="14"/>
  <c r="R42" i="14"/>
  <c r="S19" i="6"/>
  <c r="S25" i="6"/>
  <c r="AQ59" i="14"/>
  <c r="R43" i="14"/>
  <c r="S27" i="6"/>
  <c r="S17" i="6"/>
  <c r="S22" i="6"/>
  <c r="O65" i="14"/>
  <c r="AQ65" i="14" s="1"/>
  <c r="O63" i="14"/>
  <c r="AQ63" i="14" s="1"/>
  <c r="O64" i="14"/>
  <c r="AQ64" i="14" s="1"/>
  <c r="AR32" i="6"/>
  <c r="Q17" i="6"/>
  <c r="S16" i="6"/>
  <c r="Y13" i="6"/>
  <c r="S18" i="6"/>
  <c r="O67" i="14"/>
  <c r="AQ67" i="14" s="1"/>
  <c r="R45" i="14"/>
  <c r="S21" i="6"/>
  <c r="S24" i="6"/>
  <c r="O62" i="14"/>
  <c r="AQ62" i="14" s="1"/>
  <c r="AR39" i="6"/>
  <c r="S23" i="6"/>
  <c r="X39" i="14" l="1"/>
  <c r="R46" i="14"/>
  <c r="S28" i="6"/>
  <c r="H54" i="6"/>
  <c r="S30" i="6"/>
  <c r="S32" i="6" s="1"/>
  <c r="R48" i="14"/>
  <c r="R49" i="14"/>
  <c r="S33" i="6"/>
  <c r="AU33" i="6" s="1"/>
  <c r="S35" i="6"/>
  <c r="AU35" i="6" s="1"/>
  <c r="R51" i="14"/>
  <c r="R47" i="14"/>
  <c r="C17" i="14"/>
  <c r="R56" i="14"/>
  <c r="R61" i="14" s="1"/>
  <c r="R50" i="14"/>
  <c r="S37" i="6"/>
  <c r="AU37" i="6" s="1"/>
  <c r="S43" i="6" l="1"/>
  <c r="V17" i="6"/>
  <c r="S40" i="6"/>
  <c r="S38" i="6"/>
  <c r="AU38" i="6" s="1"/>
  <c r="S41" i="6"/>
  <c r="AU41" i="6" s="1"/>
  <c r="V19" i="6"/>
  <c r="V21" i="6"/>
  <c r="AT61" i="14"/>
  <c r="U45" i="14"/>
  <c r="R58" i="14"/>
  <c r="R64" i="14"/>
  <c r="AT64" i="14" s="1"/>
  <c r="AU32" i="6"/>
  <c r="T17" i="6"/>
  <c r="V16" i="6"/>
  <c r="R66" i="14"/>
  <c r="AT66" i="14" s="1"/>
  <c r="R59" i="14"/>
  <c r="S36" i="6"/>
  <c r="S42" i="6"/>
  <c r="H55" i="6"/>
  <c r="S34" i="6"/>
  <c r="R68" i="14"/>
  <c r="R60" i="14"/>
  <c r="R69" i="14"/>
  <c r="R63" i="14"/>
  <c r="AT63" i="14" s="1"/>
  <c r="R54" i="14"/>
  <c r="R65" i="14"/>
  <c r="AT65" i="14" s="1"/>
  <c r="AB13" i="6"/>
  <c r="S39" i="6"/>
  <c r="R62" i="14"/>
  <c r="R67" i="14"/>
  <c r="AT67" i="14" s="1"/>
  <c r="AA39" i="14" l="1"/>
  <c r="V25" i="6"/>
  <c r="V22" i="6"/>
  <c r="AU40" i="6"/>
  <c r="V24" i="6"/>
  <c r="AU43" i="6"/>
  <c r="V27" i="6"/>
  <c r="U48" i="14"/>
  <c r="U47" i="14"/>
  <c r="AT68" i="14"/>
  <c r="U52" i="14"/>
  <c r="V30" i="6"/>
  <c r="V32" i="6" s="1"/>
  <c r="U51" i="14"/>
  <c r="AT69" i="14"/>
  <c r="U53" i="14"/>
  <c r="AU34" i="6"/>
  <c r="V18" i="6"/>
  <c r="AT59" i="14"/>
  <c r="U43" i="14"/>
  <c r="S43" i="14"/>
  <c r="AT58" i="14"/>
  <c r="U42" i="14"/>
  <c r="AT62" i="14"/>
  <c r="U46" i="14"/>
  <c r="AT60" i="14"/>
  <c r="U44" i="14"/>
  <c r="AU39" i="6"/>
  <c r="V23" i="6"/>
  <c r="U49" i="14"/>
  <c r="AU42" i="6"/>
  <c r="V26" i="6"/>
  <c r="U50" i="14"/>
  <c r="AU36" i="6"/>
  <c r="V20" i="6"/>
  <c r="V28" i="6" l="1"/>
  <c r="AX32" i="6"/>
  <c r="W17" i="6"/>
  <c r="Y16" i="6"/>
  <c r="AE13" i="6"/>
  <c r="F22" i="15" s="1"/>
  <c r="V36" i="6"/>
  <c r="AX36" i="6" s="1"/>
  <c r="V39" i="6"/>
  <c r="AX39" i="6" s="1"/>
  <c r="U56" i="14"/>
  <c r="U69" i="14" s="1"/>
  <c r="U54" i="14"/>
  <c r="C18" i="14"/>
  <c r="V42" i="6"/>
  <c r="AX42" i="6" s="1"/>
  <c r="V34" i="6"/>
  <c r="AX34" i="6" s="1"/>
  <c r="U67" i="14"/>
  <c r="AW67" i="14" s="1"/>
  <c r="U68" i="14"/>
  <c r="AW68" i="14" s="1"/>
  <c r="U59" i="14"/>
  <c r="AW59" i="14" s="1"/>
  <c r="U60" i="14"/>
  <c r="AW60" i="14" s="1"/>
  <c r="U62" i="14"/>
  <c r="AW62" i="14" s="1"/>
  <c r="V35" i="6"/>
  <c r="V40" i="6"/>
  <c r="V33" i="6"/>
  <c r="V37" i="6"/>
  <c r="V38" i="6"/>
  <c r="V41" i="6"/>
  <c r="V43" i="6"/>
  <c r="G22" i="15" l="1"/>
  <c r="F23" i="15"/>
  <c r="G23" i="15" s="1"/>
  <c r="U66" i="14"/>
  <c r="AW66" i="14" s="1"/>
  <c r="AW69" i="14"/>
  <c r="X53" i="14"/>
  <c r="AX41" i="6"/>
  <c r="Y25" i="6"/>
  <c r="AX40" i="6"/>
  <c r="Y24" i="6"/>
  <c r="U65" i="14"/>
  <c r="AX38" i="6"/>
  <c r="Y22" i="6"/>
  <c r="AX35" i="6"/>
  <c r="Y19" i="6"/>
  <c r="X44" i="14"/>
  <c r="X52" i="14"/>
  <c r="Y18" i="6"/>
  <c r="Y23" i="6"/>
  <c r="Y20" i="6"/>
  <c r="AX37" i="6"/>
  <c r="Y21" i="6"/>
  <c r="U61" i="14"/>
  <c r="U64" i="14"/>
  <c r="U63" i="14"/>
  <c r="Y30" i="6"/>
  <c r="Y32" i="6" s="1"/>
  <c r="AX43" i="6"/>
  <c r="Y27" i="6"/>
  <c r="AX33" i="6"/>
  <c r="Y17" i="6"/>
  <c r="X46" i="14"/>
  <c r="X43" i="14"/>
  <c r="X51" i="14"/>
  <c r="Y26" i="6"/>
  <c r="U58" i="14"/>
  <c r="X50" i="14"/>
  <c r="D53" i="6"/>
  <c r="AD39" i="14"/>
  <c r="F22" i="14" s="1"/>
  <c r="G22" i="14" l="1"/>
  <c r="Y42" i="6"/>
  <c r="BA42" i="6" s="1"/>
  <c r="Y33" i="6"/>
  <c r="BA33" i="6" s="1"/>
  <c r="Y28" i="6"/>
  <c r="E53" i="6"/>
  <c r="AW61" i="14"/>
  <c r="X45" i="14"/>
  <c r="Y36" i="6"/>
  <c r="BA36" i="6" s="1"/>
  <c r="Y41" i="6"/>
  <c r="BA41" i="6" s="1"/>
  <c r="Y43" i="6"/>
  <c r="BA43" i="6" s="1"/>
  <c r="BA32" i="6"/>
  <c r="Z17" i="6"/>
  <c r="AB16" i="6"/>
  <c r="Y39" i="6"/>
  <c r="BA39" i="6" s="1"/>
  <c r="Y35" i="6"/>
  <c r="BA35" i="6" s="1"/>
  <c r="AW65" i="14"/>
  <c r="X49" i="14"/>
  <c r="V43" i="14"/>
  <c r="AW58" i="14"/>
  <c r="X42" i="14"/>
  <c r="AW63" i="14"/>
  <c r="X47" i="14"/>
  <c r="Y37" i="6"/>
  <c r="BA37" i="6" s="1"/>
  <c r="Y34" i="6"/>
  <c r="BA34" i="6" s="1"/>
  <c r="Y40" i="6"/>
  <c r="BA40" i="6" s="1"/>
  <c r="AW64" i="14"/>
  <c r="X48" i="14"/>
  <c r="Y38" i="6"/>
  <c r="BA38" i="6" s="1"/>
  <c r="AB23" i="6" l="1"/>
  <c r="AB17" i="6"/>
  <c r="AB19" i="6"/>
  <c r="AB26" i="6"/>
  <c r="AH13" i="6"/>
  <c r="AB24" i="6"/>
  <c r="AB21" i="6"/>
  <c r="X56" i="14"/>
  <c r="X63" i="14" s="1"/>
  <c r="AZ63" i="14" s="1"/>
  <c r="X54" i="14"/>
  <c r="C19" i="14"/>
  <c r="AB22" i="6"/>
  <c r="AB18" i="6"/>
  <c r="AB30" i="6"/>
  <c r="AB33" i="6" s="1"/>
  <c r="AB27" i="6"/>
  <c r="AB25" i="6"/>
  <c r="AB20" i="6"/>
  <c r="AB28" i="6" l="1"/>
  <c r="AK13" i="6" s="1"/>
  <c r="X61" i="14"/>
  <c r="X58" i="14"/>
  <c r="Y43" i="14" s="1"/>
  <c r="AA47" i="14"/>
  <c r="BD33" i="6"/>
  <c r="AE17" i="6"/>
  <c r="AB36" i="6"/>
  <c r="BD36" i="6" s="1"/>
  <c r="AB41" i="6"/>
  <c r="BD41" i="6" s="1"/>
  <c r="AB32" i="6"/>
  <c r="AB40" i="6"/>
  <c r="BD40" i="6" s="1"/>
  <c r="AG39" i="14"/>
  <c r="AB43" i="6"/>
  <c r="BD43" i="6" s="1"/>
  <c r="AB34" i="6"/>
  <c r="BD34" i="6" s="1"/>
  <c r="AB39" i="6"/>
  <c r="X66" i="14"/>
  <c r="X68" i="14"/>
  <c r="X67" i="14"/>
  <c r="X69" i="14"/>
  <c r="X60" i="14"/>
  <c r="X59" i="14"/>
  <c r="X62" i="14"/>
  <c r="X65" i="14"/>
  <c r="AB42" i="6"/>
  <c r="AB35" i="6"/>
  <c r="AB38" i="6"/>
  <c r="BD38" i="6" s="1"/>
  <c r="AB37" i="6"/>
  <c r="BD37" i="6" s="1"/>
  <c r="X64" i="14"/>
  <c r="AJ39" i="14" l="1"/>
  <c r="AZ58" i="14"/>
  <c r="AA42" i="14"/>
  <c r="AE22" i="6"/>
  <c r="AE20" i="6"/>
  <c r="AZ61" i="14"/>
  <c r="AA45" i="14"/>
  <c r="AE25" i="6"/>
  <c r="AZ64" i="14"/>
  <c r="AA48" i="14"/>
  <c r="AA56" i="14"/>
  <c r="AZ67" i="14"/>
  <c r="AA51" i="14"/>
  <c r="AE21" i="6"/>
  <c r="BD35" i="6"/>
  <c r="AE19" i="6"/>
  <c r="AZ59" i="14"/>
  <c r="AA43" i="14"/>
  <c r="AZ68" i="14"/>
  <c r="AA52" i="14"/>
  <c r="AE18" i="6"/>
  <c r="BD42" i="6"/>
  <c r="AE26" i="6"/>
  <c r="AZ66" i="14"/>
  <c r="AA50" i="14"/>
  <c r="BD32" i="6"/>
  <c r="AC17" i="6"/>
  <c r="AE16" i="6"/>
  <c r="AZ60" i="14"/>
  <c r="AA44" i="14"/>
  <c r="AZ65" i="14"/>
  <c r="AA49" i="14"/>
  <c r="AZ69" i="14"/>
  <c r="AA53" i="14"/>
  <c r="BD39" i="6"/>
  <c r="AE23" i="6"/>
  <c r="AE27" i="6"/>
  <c r="AE24" i="6"/>
  <c r="AZ62" i="14"/>
  <c r="AA46" i="14"/>
  <c r="AA62" i="14" l="1"/>
  <c r="BC62" i="14" s="1"/>
  <c r="AA69" i="14"/>
  <c r="BC69" i="14" s="1"/>
  <c r="AA60" i="14"/>
  <c r="BC60" i="14" s="1"/>
  <c r="AE28" i="6"/>
  <c r="AE30" i="6"/>
  <c r="AE40" i="6" s="1"/>
  <c r="AA68" i="14"/>
  <c r="BC68" i="14" s="1"/>
  <c r="AE35" i="6"/>
  <c r="BG35" i="6" s="1"/>
  <c r="AA61" i="14"/>
  <c r="AA63" i="14"/>
  <c r="AA58" i="14"/>
  <c r="AA65" i="14"/>
  <c r="BC65" i="14" s="1"/>
  <c r="AA59" i="14"/>
  <c r="BC59" i="14" s="1"/>
  <c r="AE37" i="6"/>
  <c r="BG37" i="6" s="1"/>
  <c r="AA64" i="14"/>
  <c r="BC64" i="14" s="1"/>
  <c r="AA66" i="14"/>
  <c r="BC66" i="14" s="1"/>
  <c r="AE34" i="6"/>
  <c r="BG34" i="6" s="1"/>
  <c r="AA67" i="14"/>
  <c r="BC67" i="14" s="1"/>
  <c r="AA54" i="14"/>
  <c r="AD48" i="14" l="1"/>
  <c r="AH18" i="6"/>
  <c r="AE43" i="6"/>
  <c r="BG43" i="6" s="1"/>
  <c r="AD43" i="14"/>
  <c r="AD52" i="14"/>
  <c r="AD44" i="14"/>
  <c r="BG40" i="6"/>
  <c r="AH24" i="6"/>
  <c r="AE39" i="6"/>
  <c r="BC61" i="14"/>
  <c r="AD45" i="14"/>
  <c r="AE36" i="6"/>
  <c r="AE33" i="6"/>
  <c r="AE41" i="6"/>
  <c r="AE38" i="6"/>
  <c r="AH19" i="6"/>
  <c r="AN13" i="6"/>
  <c r="AB43" i="14"/>
  <c r="BC58" i="14"/>
  <c r="AD42" i="14"/>
  <c r="AD51" i="14"/>
  <c r="AD50" i="14"/>
  <c r="AH21" i="6"/>
  <c r="AD49" i="14"/>
  <c r="AE42" i="6"/>
  <c r="BC63" i="14"/>
  <c r="AD47" i="14"/>
  <c r="AE32" i="6"/>
  <c r="AD53" i="14"/>
  <c r="AD46" i="14"/>
  <c r="AH27" i="6" l="1"/>
  <c r="BG32" i="6"/>
  <c r="AF17" i="6"/>
  <c r="AH16" i="6"/>
  <c r="AD56" i="14"/>
  <c r="AD62" i="14" s="1"/>
  <c r="AD54" i="14"/>
  <c r="BG36" i="6"/>
  <c r="AH20" i="6"/>
  <c r="BG38" i="6"/>
  <c r="AH22" i="6"/>
  <c r="BG39" i="6"/>
  <c r="AH23" i="6"/>
  <c r="BG42" i="6"/>
  <c r="AH26" i="6"/>
  <c r="BG41" i="6"/>
  <c r="AH25" i="6"/>
  <c r="AM39" i="14"/>
  <c r="BG33" i="6"/>
  <c r="AH17" i="6"/>
  <c r="AD61" i="14" l="1"/>
  <c r="AD66" i="14"/>
  <c r="BF66" i="14" s="1"/>
  <c r="BF62" i="14"/>
  <c r="AG46" i="14"/>
  <c r="AD67" i="14"/>
  <c r="AD69" i="14"/>
  <c r="AD64" i="14"/>
  <c r="AD60" i="14"/>
  <c r="AD68" i="14"/>
  <c r="AD59" i="14"/>
  <c r="AH28" i="6"/>
  <c r="AH30" i="6"/>
  <c r="AD63" i="14"/>
  <c r="AD58" i="14"/>
  <c r="AD65" i="14"/>
  <c r="H59" i="6"/>
  <c r="H56" i="6"/>
  <c r="H58" i="6"/>
  <c r="H57" i="6"/>
  <c r="C20" i="14"/>
  <c r="C21" i="14"/>
  <c r="AG50" i="14" l="1"/>
  <c r="AH34" i="6"/>
  <c r="AK18" i="6" s="1"/>
  <c r="AN18" i="6" s="1"/>
  <c r="AQ18" i="6" s="1"/>
  <c r="AT18" i="6" s="1"/>
  <c r="AW18" i="6" s="1"/>
  <c r="AZ18" i="6" s="1"/>
  <c r="BC18" i="6" s="1"/>
  <c r="BF18" i="6" s="1"/>
  <c r="AH35" i="6"/>
  <c r="AK19" i="6" s="1"/>
  <c r="AN19" i="6" s="1"/>
  <c r="AQ19" i="6" s="1"/>
  <c r="AT19" i="6" s="1"/>
  <c r="AW19" i="6" s="1"/>
  <c r="AZ19" i="6" s="1"/>
  <c r="BC19" i="6" s="1"/>
  <c r="BF19" i="6" s="1"/>
  <c r="AH40" i="6"/>
  <c r="AK24" i="6" s="1"/>
  <c r="AN24" i="6" s="1"/>
  <c r="AQ24" i="6" s="1"/>
  <c r="AT24" i="6" s="1"/>
  <c r="AW24" i="6" s="1"/>
  <c r="AZ24" i="6" s="1"/>
  <c r="BC24" i="6" s="1"/>
  <c r="BF24" i="6" s="1"/>
  <c r="AH43" i="6"/>
  <c r="AK27" i="6" s="1"/>
  <c r="AN27" i="6" s="1"/>
  <c r="AQ27" i="6" s="1"/>
  <c r="AT27" i="6" s="1"/>
  <c r="AW27" i="6" s="1"/>
  <c r="AZ27" i="6" s="1"/>
  <c r="BC27" i="6" s="1"/>
  <c r="BF27" i="6" s="1"/>
  <c r="AH37" i="6"/>
  <c r="AK21" i="6" s="1"/>
  <c r="AN21" i="6" s="1"/>
  <c r="AQ21" i="6" s="1"/>
  <c r="AT21" i="6" s="1"/>
  <c r="AW21" i="6" s="1"/>
  <c r="AZ21" i="6" s="1"/>
  <c r="BC21" i="6" s="1"/>
  <c r="BF21" i="6" s="1"/>
  <c r="AH36" i="6"/>
  <c r="AK20" i="6" s="1"/>
  <c r="AN20" i="6" s="1"/>
  <c r="AQ20" i="6" s="1"/>
  <c r="AT20" i="6" s="1"/>
  <c r="AW20" i="6" s="1"/>
  <c r="AZ20" i="6" s="1"/>
  <c r="BC20" i="6" s="1"/>
  <c r="BF20" i="6" s="1"/>
  <c r="AH33" i="6"/>
  <c r="AK17" i="6" s="1"/>
  <c r="AN17" i="6" s="1"/>
  <c r="AQ17" i="6" s="1"/>
  <c r="AT17" i="6" s="1"/>
  <c r="AW17" i="6" s="1"/>
  <c r="AZ17" i="6" s="1"/>
  <c r="BC17" i="6" s="1"/>
  <c r="BF17" i="6" s="1"/>
  <c r="AH41" i="6"/>
  <c r="AK25" i="6" s="1"/>
  <c r="AN25" i="6" s="1"/>
  <c r="AQ25" i="6" s="1"/>
  <c r="AT25" i="6" s="1"/>
  <c r="AW25" i="6" s="1"/>
  <c r="AZ25" i="6" s="1"/>
  <c r="BC25" i="6" s="1"/>
  <c r="BF25" i="6" s="1"/>
  <c r="BF61" i="14"/>
  <c r="AG45" i="14"/>
  <c r="AQ13" i="6"/>
  <c r="D52" i="6"/>
  <c r="D50" i="6"/>
  <c r="AH42" i="6"/>
  <c r="AK26" i="6" s="1"/>
  <c r="AN26" i="6" s="1"/>
  <c r="AQ26" i="6" s="1"/>
  <c r="AT26" i="6" s="1"/>
  <c r="AW26" i="6" s="1"/>
  <c r="AZ26" i="6" s="1"/>
  <c r="BC26" i="6" s="1"/>
  <c r="BF26" i="6" s="1"/>
  <c r="AH39" i="6"/>
  <c r="AK23" i="6" s="1"/>
  <c r="AN23" i="6" s="1"/>
  <c r="AQ23" i="6" s="1"/>
  <c r="AT23" i="6" s="1"/>
  <c r="AW23" i="6" s="1"/>
  <c r="AZ23" i="6" s="1"/>
  <c r="BC23" i="6" s="1"/>
  <c r="BF23" i="6" s="1"/>
  <c r="AH32" i="6"/>
  <c r="AK16" i="6" s="1"/>
  <c r="H60" i="6" s="1"/>
  <c r="AH38" i="6"/>
  <c r="AK22" i="6" s="1"/>
  <c r="AN22" i="6" s="1"/>
  <c r="AQ22" i="6" s="1"/>
  <c r="AT22" i="6" s="1"/>
  <c r="AW22" i="6" s="1"/>
  <c r="AZ22" i="6" s="1"/>
  <c r="BC22" i="6" s="1"/>
  <c r="BF22" i="6" s="1"/>
  <c r="BF60" i="14"/>
  <c r="AG44" i="14"/>
  <c r="BF69" i="14"/>
  <c r="AG53" i="14"/>
  <c r="AE43" i="14"/>
  <c r="BF58" i="14"/>
  <c r="AG42" i="14"/>
  <c r="BF64" i="14"/>
  <c r="AG48" i="14"/>
  <c r="BF67" i="14"/>
  <c r="AG51" i="14"/>
  <c r="BF63" i="14"/>
  <c r="AG47" i="14"/>
  <c r="BF59" i="14"/>
  <c r="AG43" i="14"/>
  <c r="BF65" i="14"/>
  <c r="AG49" i="14"/>
  <c r="BF68" i="14"/>
  <c r="AG52" i="14"/>
  <c r="AP39" i="14" l="1"/>
  <c r="AN16" i="6"/>
  <c r="AN28" i="6" s="1"/>
  <c r="AW13" i="6" s="1"/>
  <c r="AK28" i="6"/>
  <c r="AT13" i="6" s="1"/>
  <c r="E52" i="6"/>
  <c r="D54" i="6"/>
  <c r="E54" i="6" s="1"/>
  <c r="AK30" i="6"/>
  <c r="AG56" i="14"/>
  <c r="AG61" i="14" s="1"/>
  <c r="AJ45" i="14" s="1"/>
  <c r="AM45" i="14" s="1"/>
  <c r="AP45" i="14" s="1"/>
  <c r="AS45" i="14" s="1"/>
  <c r="AV45" i="14" s="1"/>
  <c r="AY45" i="14" s="1"/>
  <c r="BB45" i="14" s="1"/>
  <c r="BE45" i="14" s="1"/>
  <c r="AG54" i="14"/>
  <c r="C22" i="14"/>
  <c r="AN30" i="6" l="1"/>
  <c r="AQ16" i="6"/>
  <c r="AQ30" i="6" s="1"/>
  <c r="AS39" i="14"/>
  <c r="H61" i="6"/>
  <c r="AG63" i="14"/>
  <c r="AJ47" i="14" s="1"/>
  <c r="AM47" i="14" s="1"/>
  <c r="AP47" i="14" s="1"/>
  <c r="AS47" i="14" s="1"/>
  <c r="AV47" i="14" s="1"/>
  <c r="AY47" i="14" s="1"/>
  <c r="BB47" i="14" s="1"/>
  <c r="BE47" i="14" s="1"/>
  <c r="AG64" i="14"/>
  <c r="AJ48" i="14" s="1"/>
  <c r="AM48" i="14" s="1"/>
  <c r="AP48" i="14" s="1"/>
  <c r="AS48" i="14" s="1"/>
  <c r="AV48" i="14" s="1"/>
  <c r="AY48" i="14" s="1"/>
  <c r="BB48" i="14" s="1"/>
  <c r="BE48" i="14" s="1"/>
  <c r="AG69" i="14"/>
  <c r="AJ53" i="14" s="1"/>
  <c r="AM53" i="14" s="1"/>
  <c r="AP53" i="14" s="1"/>
  <c r="AS53" i="14" s="1"/>
  <c r="AV53" i="14" s="1"/>
  <c r="AY53" i="14" s="1"/>
  <c r="BB53" i="14" s="1"/>
  <c r="BE53" i="14" s="1"/>
  <c r="AG59" i="14"/>
  <c r="AJ43" i="14" s="1"/>
  <c r="AM43" i="14" s="1"/>
  <c r="AP43" i="14" s="1"/>
  <c r="AS43" i="14" s="1"/>
  <c r="AV43" i="14" s="1"/>
  <c r="AY43" i="14" s="1"/>
  <c r="BB43" i="14" s="1"/>
  <c r="BE43" i="14" s="1"/>
  <c r="AG58" i="14"/>
  <c r="AJ42" i="14" s="1"/>
  <c r="AJ56" i="14" s="1"/>
  <c r="AG68" i="14"/>
  <c r="AJ52" i="14" s="1"/>
  <c r="AM52" i="14" s="1"/>
  <c r="AP52" i="14" s="1"/>
  <c r="AS52" i="14" s="1"/>
  <c r="AV52" i="14" s="1"/>
  <c r="AY52" i="14" s="1"/>
  <c r="BB52" i="14" s="1"/>
  <c r="BE52" i="14" s="1"/>
  <c r="AG60" i="14"/>
  <c r="AJ44" i="14" s="1"/>
  <c r="AM44" i="14" s="1"/>
  <c r="AP44" i="14" s="1"/>
  <c r="AS44" i="14" s="1"/>
  <c r="AV44" i="14" s="1"/>
  <c r="AY44" i="14" s="1"/>
  <c r="BB44" i="14" s="1"/>
  <c r="BE44" i="14" s="1"/>
  <c r="AG66" i="14"/>
  <c r="AJ50" i="14" s="1"/>
  <c r="AM50" i="14" s="1"/>
  <c r="AP50" i="14" s="1"/>
  <c r="AS50" i="14" s="1"/>
  <c r="AV50" i="14" s="1"/>
  <c r="AY50" i="14" s="1"/>
  <c r="BB50" i="14" s="1"/>
  <c r="BE50" i="14" s="1"/>
  <c r="AG62" i="14"/>
  <c r="AJ46" i="14" s="1"/>
  <c r="AM46" i="14" s="1"/>
  <c r="AP46" i="14" s="1"/>
  <c r="AS46" i="14" s="1"/>
  <c r="AV46" i="14" s="1"/>
  <c r="AY46" i="14" s="1"/>
  <c r="BB46" i="14" s="1"/>
  <c r="BE46" i="14" s="1"/>
  <c r="F19" i="14"/>
  <c r="F21" i="14"/>
  <c r="AG67" i="14"/>
  <c r="AJ51" i="14" s="1"/>
  <c r="AM51" i="14" s="1"/>
  <c r="AP51" i="14" s="1"/>
  <c r="AS51" i="14" s="1"/>
  <c r="AV51" i="14" s="1"/>
  <c r="AY51" i="14" s="1"/>
  <c r="BB51" i="14" s="1"/>
  <c r="BE51" i="14" s="1"/>
  <c r="AG65" i="14"/>
  <c r="AJ49" i="14" s="1"/>
  <c r="AM49" i="14" s="1"/>
  <c r="AP49" i="14" s="1"/>
  <c r="AS49" i="14" s="1"/>
  <c r="AV49" i="14" s="1"/>
  <c r="AY49" i="14" s="1"/>
  <c r="BB49" i="14" s="1"/>
  <c r="BE49" i="14" s="1"/>
  <c r="AQ28" i="6"/>
  <c r="AZ13" i="6" s="1"/>
  <c r="AT16" i="6"/>
  <c r="AV39" i="14"/>
  <c r="H62" i="6" l="1"/>
  <c r="C23" i="14"/>
  <c r="AM42" i="14"/>
  <c r="AM54" i="14" s="1"/>
  <c r="AY39" i="14"/>
  <c r="AJ54" i="14"/>
  <c r="G21" i="14"/>
  <c r="F23" i="14"/>
  <c r="G23" i="14" s="1"/>
  <c r="AT28" i="6"/>
  <c r="BC13" i="6" s="1"/>
  <c r="AT30" i="6"/>
  <c r="AW16" i="6"/>
  <c r="H63" i="6"/>
  <c r="AP42" i="14" l="1"/>
  <c r="AM56" i="14"/>
  <c r="C24" i="14"/>
  <c r="BB39" i="14"/>
  <c r="H64" i="6"/>
  <c r="C25" i="14"/>
  <c r="AZ16" i="6"/>
  <c r="AW28" i="6"/>
  <c r="BF13" i="6" s="1"/>
  <c r="F25" i="15" s="1"/>
  <c r="AW30" i="6"/>
  <c r="AS42" i="14"/>
  <c r="AP56" i="14"/>
  <c r="AP54" i="14"/>
  <c r="G25" i="15" l="1"/>
  <c r="F27" i="15"/>
  <c r="G27" i="15" s="1"/>
  <c r="BE39" i="14"/>
  <c r="D56" i="6"/>
  <c r="E56" i="6" s="1"/>
  <c r="C26" i="14"/>
  <c r="H65" i="6"/>
  <c r="BC16" i="6"/>
  <c r="AZ30" i="6"/>
  <c r="AZ28" i="6"/>
  <c r="AS54" i="14"/>
  <c r="AV42" i="14"/>
  <c r="AS56" i="14"/>
  <c r="C27" i="14" s="1"/>
  <c r="F25" i="14" l="1"/>
  <c r="G25" i="14" s="1"/>
  <c r="BC28" i="6"/>
  <c r="BC30" i="6"/>
  <c r="BF16" i="6"/>
  <c r="H66" i="6"/>
  <c r="AV56" i="14"/>
  <c r="C28" i="14" s="1"/>
  <c r="C13" i="14" s="1"/>
  <c r="AV54" i="14"/>
  <c r="AY42" i="14"/>
  <c r="BB42" i="14" l="1"/>
  <c r="AY54" i="14"/>
  <c r="AY56" i="14"/>
  <c r="BF30" i="6"/>
  <c r="H67" i="6" s="1"/>
  <c r="BF28" i="6"/>
  <c r="D57" i="6" s="1"/>
  <c r="E57" i="6" l="1"/>
  <c r="D58" i="6"/>
  <c r="E58" i="6" s="1"/>
  <c r="BE42" i="14"/>
  <c r="BB54" i="14"/>
  <c r="BB56" i="14"/>
  <c r="BE54" i="14" l="1"/>
  <c r="F26" i="14" s="1"/>
  <c r="BE56" i="14"/>
  <c r="F27" i="14" l="1"/>
  <c r="G27" i="14" s="1"/>
  <c r="G26" i="14"/>
  <c r="C29" i="14"/>
  <c r="C30" i="14"/>
</calcChain>
</file>

<file path=xl/sharedStrings.xml><?xml version="1.0" encoding="utf-8"?>
<sst xmlns="http://schemas.openxmlformats.org/spreadsheetml/2006/main" count="1261" uniqueCount="207">
  <si>
    <t>NA</t>
  </si>
  <si>
    <t>Year 1 - Accumulation Year</t>
  </si>
  <si>
    <t>Deopisted in Stakers Bucket in Advance by Smart Contract</t>
  </si>
  <si>
    <t>Annuity Year 1</t>
  </si>
  <si>
    <t>Annuity Year 2</t>
  </si>
  <si>
    <t>Annuity Year 3</t>
  </si>
  <si>
    <t>Annuity Year 4</t>
  </si>
  <si>
    <t>Annuity Year 5</t>
  </si>
  <si>
    <t>Annuity Year 6</t>
  </si>
  <si>
    <t>Annuity Year 7</t>
  </si>
  <si>
    <t>Annuity Year 8</t>
  </si>
  <si>
    <t>Annuity Year 9</t>
  </si>
  <si>
    <t>Months</t>
  </si>
  <si>
    <t>ES Staked</t>
  </si>
  <si>
    <t>Month</t>
  </si>
  <si>
    <t>Month 1</t>
  </si>
  <si>
    <t>Month 2</t>
  </si>
  <si>
    <t>Month 3</t>
  </si>
  <si>
    <t>Month 4</t>
  </si>
  <si>
    <t>Month 5</t>
  </si>
  <si>
    <t>Month 6</t>
  </si>
  <si>
    <t>Month 7</t>
  </si>
  <si>
    <t>Month 8</t>
  </si>
  <si>
    <t>Month 9</t>
  </si>
  <si>
    <t>Month 10</t>
  </si>
  <si>
    <t>Month 11</t>
  </si>
  <si>
    <t>Month 12</t>
  </si>
  <si>
    <t>Total Accumulated (ES) 1 Year</t>
  </si>
  <si>
    <t>Total ES Gained in 9 Annuity Years</t>
  </si>
  <si>
    <t>Incoming</t>
  </si>
  <si>
    <t xml:space="preserve">Booster Bonus (ES) </t>
  </si>
  <si>
    <t xml:space="preserve">Total (ES) </t>
  </si>
  <si>
    <t>TSGAP Smart Contract Guaranteed benifit Summary (ES guaranteed as per smart contract)</t>
  </si>
  <si>
    <t>ES</t>
  </si>
  <si>
    <t>Total TSGAP Staked</t>
  </si>
  <si>
    <t>Deposited in Bucket</t>
  </si>
  <si>
    <r>
      <rPr>
        <sz val="11"/>
        <color rgb="FF000000"/>
        <rFont val="Calibri"/>
        <family val="2"/>
        <charset val="1"/>
      </rPr>
      <t>Total Accumulated in advance at the beginning of 1</t>
    </r>
    <r>
      <rPr>
        <vertAlign val="superscript"/>
        <sz val="11"/>
        <color rgb="FF000000"/>
        <rFont val="Calibri"/>
        <family val="2"/>
        <charset val="1"/>
      </rPr>
      <t>st</t>
    </r>
    <r>
      <rPr>
        <sz val="11"/>
        <color rgb="FF000000"/>
        <rFont val="Calibri"/>
        <family val="2"/>
        <charset val="1"/>
      </rPr>
      <t xml:space="preserve"> Annuity year</t>
    </r>
  </si>
  <si>
    <t>Guaranteed Annuity in ES</t>
  </si>
  <si>
    <t>Total ES gained in 9 Annuity years</t>
  </si>
  <si>
    <t>Assured Return of stakes ES</t>
  </si>
  <si>
    <t>Total Booster Bonus</t>
  </si>
  <si>
    <t>Total Benifits to the Staker in ES on maturity</t>
  </si>
  <si>
    <t>Important Smart Contract Conditions for Stakers</t>
  </si>
  <si>
    <t xml:space="preserve">SIP Starts with Minimum 100 ES and above ( Please refer to TSGAP SIP &amp; Annuity Chart in ES) </t>
  </si>
  <si>
    <t xml:space="preserve">Grace Period:  </t>
  </si>
  <si>
    <t xml:space="preserve">Once you have deposited ES in TSGAP for first month accumulation, your window to deposit 2nd Month accumulation will open for 30Days 10 hours. If SIP not deposited within 30 days 10hours as per the due then there is grace of 10 days to deposit the SIP. After Grace period the Staker will not be allowed to deposit for the respective month . The opportunity to deposit ES for the respective month will be lost forever. If failed then there will be no payout for the month. The window will open now for the new deposit . </t>
  </si>
  <si>
    <t>The Grace period to deposit monthly accumulation is 10 Days. If staked SIP in Grace period then there will 1% deduction from first Booster bonus</t>
  </si>
  <si>
    <t>If defaulted to stake min SIP as per plan chosen then there will be 2% deduction from first Booster bonus</t>
  </si>
  <si>
    <t>That is, TSGAP SIP 1000 ES for 12 months scenario =&gt; if Staker defaults to stake for 2 months then it will 2months X 2 % = 4% ES will be deducted from first Booster bonus. The total Annuity returns 9 years &amp; Boosters benefits in SIP 1000 will be 33600 ES (280%) - 4 % ES = 32256 ES (276%) returns which he/she will get in 9 years due to default of SIP for 2 months.</t>
  </si>
  <si>
    <t xml:space="preserve">That is,TSGAP SIP 1000 ES for 12 months scenario =&gt; if Staker defaults to stake for 10 months then it will 10 months X 2% = 20% ES will be deducted from first Booster bonus. The total Annuity returns 9 years &amp; Boosters benefits in SIP 1000 will be 33600 ES (280%)- 20 % ES = 26880 ES (260% )returns which he/she will get in 9 years due to default of SIP for 10 months. </t>
  </si>
  <si>
    <t xml:space="preserve">TOP up: </t>
  </si>
  <si>
    <t>If one tries to deposit 11 months SIP in one go than the purpose of doing SIP which is entering market at different months &amp; ES rate will not be achieved. If one deposits more than SIP commitment than additional ES deposited will be counted as TOP Up.</t>
  </si>
  <si>
    <t>Additional TOP up will be applicable only as per the plan chosen at the time of contract acceptance by the staker as per TSGAP SIP &amp; Annuity Chart</t>
  </si>
  <si>
    <t xml:space="preserve">Nominee: </t>
  </si>
  <si>
    <t>Any number of nominees can be added by the staker. A nominee who gets the benefit of the plan in case, the staker doesn’t withdraw benefit continuously for 12 months. If the staker doesn`t withdraw benefits till 1 year, then nominee can withdraw these benefits ( in case there is no appointee selected). Any Nominee can also deposit SIP on behalf of the staker</t>
  </si>
  <si>
    <t xml:space="preserve">Appointee: </t>
  </si>
  <si>
    <t xml:space="preserve">Appointee is the custodian who can facilitate preponment of benefits to the nominee. </t>
  </si>
  <si>
    <t>Any number of appointees can be added. With the approval of min 51% appointee, the appointee can prepone the benefits for the nominee in case the staker doesn’t withdraw benefits continuously for 6 months. The appointee can vote any anytime. If staker doesn`t withdraw benefits up to 6 months then with the consensus of appointees, nominees could be able to withdraw before the 1-year waiting period criteria.</t>
  </si>
  <si>
    <t xml:space="preserve">The duration of the month is 30 days 10 hours from the first staking day &amp; time. </t>
  </si>
  <si>
    <t>Enter Payment Status</t>
  </si>
  <si>
    <t>Paid in Time</t>
  </si>
  <si>
    <t>Paid in Grace</t>
  </si>
  <si>
    <t>yes</t>
  </si>
  <si>
    <t>no</t>
  </si>
  <si>
    <t>Count of Grace</t>
  </si>
  <si>
    <t>Count of Unpaid</t>
  </si>
  <si>
    <t>Direct Bounty (ES)</t>
  </si>
  <si>
    <t>Bouty as per Day Swapper Tree (ES)</t>
  </si>
  <si>
    <t>Direct Bounty (Introducer) in ES</t>
  </si>
  <si>
    <t>Bounty as per Day Swappers Tree in ES</t>
  </si>
  <si>
    <t>Day Swappers Reward Criteria</t>
  </si>
  <si>
    <t>Rewards on Monthly ES Stacked for 1 Year</t>
  </si>
  <si>
    <t>Annuity for 9 Years</t>
  </si>
  <si>
    <t>Total Day Swappers Earnings in 9 Years</t>
  </si>
  <si>
    <t xml:space="preserve">Enter SIP Commitment </t>
  </si>
  <si>
    <t>Monthly Staked (ES)</t>
  </si>
  <si>
    <t>Guranteed Annuity reward (ES)</t>
  </si>
  <si>
    <t>Monthly Annuity %</t>
  </si>
  <si>
    <t>Digital Assets are extremely high-risk, speculative products. You should be aware of the risks involved and fully consider before participating in Digital assets whether it’s appropriate for you. You should only participate if you are an experienced investor with sophisticated knowledge of financial markets and you fully understand the risks associated with Digital assets. We strongly advise you to take independent professional advice before making any investment or participating in any way.</t>
  </si>
  <si>
    <t>You should also check what rules and protections apply to your respective jurisdictions before investing or participating in any way. The Creators &amp; community will not compensate you for any losses from trading, investment or participating in any way.</t>
  </si>
  <si>
    <t>USER GUIDE</t>
  </si>
  <si>
    <t>Editable Cells</t>
  </si>
  <si>
    <t>Annuity Returns Per month (% in ES)</t>
  </si>
  <si>
    <t>TSGAP SIP staked Monthly Minimum Limit (12 months) in ES</t>
  </si>
  <si>
    <t>TSGAP SIP staked Monthly Maximum Limit (12 Months) in ES</t>
  </si>
  <si>
    <t>TSGAP SIP Plans for Era Swap Community *</t>
  </si>
  <si>
    <t>Stakers Benefit</t>
  </si>
  <si>
    <t>Day swappers Benefit</t>
  </si>
  <si>
    <t>Enter Day Swapper Belt</t>
  </si>
  <si>
    <t>Yellow</t>
  </si>
  <si>
    <t>Orange</t>
  </si>
  <si>
    <t>Green</t>
  </si>
  <si>
    <t>Blue</t>
  </si>
  <si>
    <t>Brown</t>
  </si>
  <si>
    <t>Red</t>
  </si>
  <si>
    <t>Black</t>
  </si>
  <si>
    <t>Minimum Refferals</t>
  </si>
  <si>
    <t>Maximum Refferals</t>
  </si>
  <si>
    <t>Day Swapper Belt</t>
  </si>
  <si>
    <t>DaySwapper Level</t>
  </si>
  <si>
    <t>% of DaySwapper Pool</t>
  </si>
  <si>
    <t>Direct Referals Stakers</t>
  </si>
  <si>
    <t>Total</t>
  </si>
  <si>
    <t>White</t>
  </si>
  <si>
    <t>Indirect Referals Stakers</t>
  </si>
  <si>
    <t>Total Benefit on Maturity</t>
  </si>
  <si>
    <t>TSGAP Output Returns as Guarenteed</t>
  </si>
  <si>
    <t>% in ES</t>
  </si>
  <si>
    <t>-</t>
  </si>
  <si>
    <t>Day Swappers Calculation</t>
  </si>
  <si>
    <t>Enter montly SIP GOAL in ES</t>
  </si>
  <si>
    <t>Monthly Annuity % Suggested</t>
  </si>
  <si>
    <t>GOAL Approach</t>
  </si>
  <si>
    <t>Amount Requested to be staked monthly in ES</t>
  </si>
  <si>
    <t>GRAND TOTAL (ES)</t>
  </si>
  <si>
    <t>DownLine Belt</t>
  </si>
  <si>
    <t>DownLine Level</t>
  </si>
  <si>
    <t>DownLine Pool %</t>
  </si>
  <si>
    <t>Reward per month (ES)</t>
  </si>
  <si>
    <t>Failed Payment</t>
  </si>
  <si>
    <t>Payment Status</t>
  </si>
  <si>
    <t>Top Up (Amount in ES)</t>
  </si>
  <si>
    <t>* Not Applicable for SIP Commitment below 100 ES</t>
  </si>
  <si>
    <t>* Maximum Annuity Returns 24%</t>
  </si>
  <si>
    <t>Back to User Guide</t>
  </si>
  <si>
    <t>Sheets accesible by click</t>
  </si>
  <si>
    <t>Sheets Description</t>
  </si>
  <si>
    <t>Restaking Years</t>
  </si>
  <si>
    <t>Annuity Plan</t>
  </si>
  <si>
    <t>Annuity Year 10</t>
  </si>
  <si>
    <t>Annuity Year 11</t>
  </si>
  <si>
    <t>Annuity Year 12</t>
  </si>
  <si>
    <t>Annuity Year 13</t>
  </si>
  <si>
    <t>Annuity Year 14</t>
  </si>
  <si>
    <t>Annuity Year 15</t>
  </si>
  <si>
    <t>Annuity Year 16</t>
  </si>
  <si>
    <t>Annuity Year 17</t>
  </si>
  <si>
    <t>Annuity Year 18</t>
  </si>
  <si>
    <t>Additional deposited in Stakers Bucket in Advance by Smart Contract</t>
  </si>
  <si>
    <t>Enter maturity SIP GOAL after 9 years in ES</t>
  </si>
  <si>
    <r>
      <t>Total Accumulated in advance at the beginning of 1</t>
    </r>
    <r>
      <rPr>
        <vertAlign val="superscript"/>
        <sz val="10"/>
        <color rgb="FF000000"/>
        <rFont val="Calibri"/>
        <family val="2"/>
      </rPr>
      <t>st</t>
    </r>
    <r>
      <rPr>
        <sz val="10"/>
        <color rgb="FF000000"/>
        <rFont val="Calibri"/>
        <family val="2"/>
      </rPr>
      <t xml:space="preserve"> Annuity year</t>
    </r>
  </si>
  <si>
    <t xml:space="preserve">Enter TimeAlly Commitment </t>
  </si>
  <si>
    <t>Gross Benefit at 9 years Maturity (ES)</t>
  </si>
  <si>
    <t>Staked in TimeAlly</t>
  </si>
  <si>
    <t>Total Annuity Benifits till 9 years (ES)</t>
  </si>
  <si>
    <t>Total Booster Bonus Benifits till 9th year (ES)</t>
  </si>
  <si>
    <t>Gross Benefits untill 9th year (ES)</t>
  </si>
  <si>
    <t>Montly Annuity</t>
  </si>
  <si>
    <t>Year</t>
  </si>
  <si>
    <t>Amount in ES</t>
  </si>
  <si>
    <t>Total Staked Amount including Re-staking (ES)</t>
  </si>
  <si>
    <t>Total intial staking (ES)</t>
  </si>
  <si>
    <t>Staked Amount (ES)</t>
  </si>
  <si>
    <t>At 9 years (ES)</t>
  </si>
  <si>
    <t>At Maturity (ES)</t>
  </si>
  <si>
    <t>Total Booster Bonus (ES)</t>
  </si>
  <si>
    <t>Annuity Benefit till Restake completion (ES)</t>
  </si>
  <si>
    <t>Gross Benefit (ES)</t>
  </si>
  <si>
    <t>Plans (years)</t>
  </si>
  <si>
    <t>TimeAlly + TSGAP</t>
  </si>
  <si>
    <t>Annuity for each year</t>
  </si>
  <si>
    <t>TSGAP Plans (ES)</t>
  </si>
  <si>
    <t>Rewards on Monthly ES Stacked for 1st Accumulation Year</t>
  </si>
  <si>
    <t>*Please Enter your Inputs in cells higlighted in green and only numbers no text</t>
  </si>
  <si>
    <t>Maturity Benifits For 9 Years (ES)</t>
  </si>
  <si>
    <t>**Includes Booster Bonus</t>
  </si>
  <si>
    <t>Gross Benefit at Maturity (ES) **</t>
  </si>
  <si>
    <t>Annuity Desired per month (ES)</t>
  </si>
  <si>
    <t>How much time you want your GOAL in? (Months)***</t>
  </si>
  <si>
    <t>TimeAlly Plan (years)</t>
  </si>
  <si>
    <t>Required Staking For Your GOAL</t>
  </si>
  <si>
    <t>Staked in TimeAlly**</t>
  </si>
  <si>
    <t>**Your staking is returned at end of 1 year</t>
  </si>
  <si>
    <t xml:space="preserve">TimeAlly Maturity (ES) </t>
  </si>
  <si>
    <t>Released Restaked Reward (ES)</t>
  </si>
  <si>
    <t>***Please note the first 12 months will kept for staking</t>
  </si>
  <si>
    <t>Maturity is 9 years after completion of accumulation</t>
  </si>
  <si>
    <t>TSGAP Monthly Annuity %</t>
  </si>
  <si>
    <t>At Maturity (ES)**</t>
  </si>
  <si>
    <t>TSGAP</t>
  </si>
  <si>
    <t>**Maturity is 9 years after completion of entire accumulation</t>
  </si>
  <si>
    <t>TSGAP Benefit Calculations</t>
  </si>
  <si>
    <t>TimeAlly + TSGAP Benefit Calculations</t>
  </si>
  <si>
    <t>Direct &amp; Indirect Fee structure for DaySwappers (TSGAP only)</t>
  </si>
  <si>
    <r>
      <t>Statutory Warning</t>
    </r>
    <r>
      <rPr>
        <sz val="10"/>
        <color rgb="FFFF0000"/>
        <rFont val="Calibri"/>
        <family val="2"/>
      </rPr>
      <t xml:space="preserve"> </t>
    </r>
  </si>
  <si>
    <t>Annuity Returns Per Month (% in ES)</t>
  </si>
  <si>
    <t>TSGAP SIP Staked Monthly Minimum Limit (12 months) in ES</t>
  </si>
  <si>
    <t>TSGAP SIP Staked Monthly Maximum Limit (12 Months) in ES</t>
  </si>
  <si>
    <t>Please Enter Your Inputs in Cells Higlighted in Green &amp; Only numbers No Text</t>
  </si>
  <si>
    <t>What is your long term GOAL in ES?</t>
  </si>
  <si>
    <t>TSGAP SIP Monthly in ES for 12 months</t>
  </si>
  <si>
    <t>Annuity Gained Per Month (ES)</t>
  </si>
  <si>
    <t>Annuity Gained Each Year (ES)</t>
  </si>
  <si>
    <t>Benefit at Your Desired Period</t>
  </si>
  <si>
    <t>Top-Up (Amount in ES)</t>
  </si>
  <si>
    <t>Total Intial Staking (ES)</t>
  </si>
  <si>
    <t>Total Staked Amount Including Re-staking (ES)</t>
  </si>
  <si>
    <t>Gross Benefits Untill 9th Year (ES)</t>
  </si>
  <si>
    <t>Annuity Benefit till Restake Completion (ES)</t>
  </si>
  <si>
    <t>Guranteed Annuity Reward (ES)</t>
  </si>
  <si>
    <t>Total Intial staking (ES)</t>
  </si>
  <si>
    <t>Enter No. of Direct Refferal Stakers</t>
  </si>
  <si>
    <t>Total Amount (ES)</t>
  </si>
  <si>
    <t>Enter No. of Indirect Refferal Stakers</t>
  </si>
  <si>
    <t>Annuity for Each Year</t>
  </si>
  <si>
    <t>That is, TSGAP SIP 1000 ES for 12 months scenario =&gt; if Staker defaults to stake for 2 months then it will 2months X 2 % = 4% ES will be deducted from first Booster bonus. The total Annuity returns 9 years &amp; Boosters benefits in SIP 1000  will be ES 28000(280%)  -  1.33 % ES from first booster bonus = 27866.67 ES (278.67%) returns  which he/she will get in 9  years due to default of SIP for 2 months.</t>
  </si>
  <si>
    <t xml:space="preserve">That is,TSGAP SIP 1000 ES for 12 months scenario =&gt; if Staker defaults to stake for 10 months then it will 10 months X 2% = 20% ES will be deducted from first Booster bonus. The total Annuity returns  9 years &amp; Boosters benefits  in SIP 1000 will be 5600 ES (280%)- 6.67% ES  from first booster bonus= 5466.67 ES (273.33% )returns which he/she will get  in 9 years due to default of SIP for 10 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</si>
</sst>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TRUE&quot;;&quot;TRUE&quot;;&quot;FALSE&quot;"/>
    <numFmt numFmtId="167" formatCode="0.000%"/>
  </numFmts>
  <fonts count="29" x14ac:knownFonts="1">
    <font>
      <sz val="11"/>
      <color rgb="FF000000"/>
      <name val="Calibri"/>
      <family val="2"/>
      <charset val="1"/>
    </font>
    <font>
      <b/>
      <sz val="11"/>
      <color rgb="FF000000"/>
      <name val="Calibri"/>
      <family val="2"/>
      <charset val="1"/>
    </font>
    <font>
      <b/>
      <sz val="9"/>
      <color rgb="FF000000"/>
      <name val="Calibri"/>
      <family val="2"/>
      <charset val="1"/>
    </font>
    <font>
      <sz val="9"/>
      <color rgb="FF000000"/>
      <name val="Calibri"/>
      <family val="2"/>
      <charset val="1"/>
    </font>
    <font>
      <b/>
      <sz val="8"/>
      <color rgb="FF000000"/>
      <name val="Calibri"/>
      <family val="2"/>
      <charset val="1"/>
    </font>
    <font>
      <b/>
      <sz val="9"/>
      <color rgb="FFFFFFFF"/>
      <name val="Calibri"/>
      <family val="2"/>
      <charset val="1"/>
    </font>
    <font>
      <b/>
      <sz val="10"/>
      <color rgb="FFFFFFFF"/>
      <name val="Calibri"/>
      <family val="2"/>
      <charset val="1"/>
    </font>
    <font>
      <b/>
      <sz val="12"/>
      <color rgb="FF000000"/>
      <name val="Calibri"/>
      <family val="2"/>
      <charset val="1"/>
    </font>
    <font>
      <vertAlign val="superscript"/>
      <sz val="11"/>
      <color rgb="FF000000"/>
      <name val="Calibri"/>
      <family val="2"/>
      <charset val="1"/>
    </font>
    <font>
      <b/>
      <sz val="11"/>
      <color rgb="FFFFFFFF"/>
      <name val="Calibri"/>
      <family val="2"/>
      <charset val="1"/>
    </font>
    <font>
      <b/>
      <sz val="11"/>
      <name val="Calibri"/>
      <family val="2"/>
      <charset val="1"/>
    </font>
    <font>
      <sz val="11"/>
      <color rgb="FF000000"/>
      <name val="Calibri"/>
      <family val="2"/>
      <charset val="1"/>
    </font>
    <font>
      <b/>
      <sz val="11"/>
      <color rgb="FF000000"/>
      <name val="Calibri"/>
      <family val="2"/>
    </font>
    <font>
      <sz val="16"/>
      <color rgb="FF000000"/>
      <name val="Calibri"/>
      <family val="2"/>
    </font>
    <font>
      <sz val="9"/>
      <color rgb="FF000000"/>
      <name val="Calibri"/>
      <family val="2"/>
    </font>
    <font>
      <b/>
      <sz val="11"/>
      <color theme="0"/>
      <name val="Calibri"/>
      <family val="2"/>
    </font>
    <font>
      <b/>
      <sz val="11"/>
      <color theme="0"/>
      <name val="Calibri"/>
      <family val="2"/>
      <charset val="1"/>
    </font>
    <font>
      <sz val="8"/>
      <name val="Calibri"/>
      <family val="2"/>
      <charset val="1"/>
    </font>
    <font>
      <u/>
      <sz val="11"/>
      <color theme="10"/>
      <name val="Calibri"/>
      <family val="2"/>
      <charset val="1"/>
    </font>
    <font>
      <sz val="10"/>
      <color rgb="FF000000"/>
      <name val="Calibri"/>
      <family val="2"/>
    </font>
    <font>
      <b/>
      <sz val="10"/>
      <color rgb="FF000000"/>
      <name val="Calibri"/>
      <family val="2"/>
    </font>
    <font>
      <b/>
      <sz val="10"/>
      <color theme="0"/>
      <name val="Calibri"/>
      <family val="2"/>
    </font>
    <font>
      <b/>
      <sz val="10"/>
      <color rgb="FFFFFFFF"/>
      <name val="Calibri"/>
      <family val="2"/>
    </font>
    <font>
      <vertAlign val="superscript"/>
      <sz val="10"/>
      <color rgb="FF000000"/>
      <name val="Calibri"/>
      <family val="2"/>
    </font>
    <font>
      <u/>
      <sz val="10"/>
      <color theme="10"/>
      <name val="Calibri"/>
      <family val="2"/>
    </font>
    <font>
      <sz val="10"/>
      <color theme="0"/>
      <name val="Calibri"/>
      <family val="2"/>
    </font>
    <font>
      <b/>
      <sz val="10"/>
      <color theme="3" tint="-0.249977111117893"/>
      <name val="Calibri"/>
      <family val="2"/>
    </font>
    <font>
      <b/>
      <u/>
      <sz val="10"/>
      <color rgb="FFFF0000"/>
      <name val="Calibri"/>
      <family val="2"/>
    </font>
    <font>
      <sz val="10"/>
      <color rgb="FFFF0000"/>
      <name val="Calibri"/>
      <family val="2"/>
    </font>
  </fonts>
  <fills count="22">
    <fill>
      <patternFill patternType="none"/>
    </fill>
    <fill>
      <patternFill patternType="gray125"/>
    </fill>
    <fill>
      <patternFill patternType="solid">
        <fgColor rgb="FF95B3D7"/>
        <bgColor rgb="FF9999FF"/>
      </patternFill>
    </fill>
    <fill>
      <patternFill patternType="solid">
        <fgColor rgb="FFFFFF00"/>
        <bgColor rgb="FFFFFF00"/>
      </patternFill>
    </fill>
    <fill>
      <patternFill patternType="solid">
        <fgColor rgb="FFB9CDE5"/>
        <bgColor rgb="FFD9D9D9"/>
      </patternFill>
    </fill>
    <fill>
      <patternFill patternType="solid">
        <fgColor rgb="FF00B0F0"/>
        <bgColor rgb="FF33CCCC"/>
      </patternFill>
    </fill>
    <fill>
      <patternFill patternType="solid">
        <fgColor rgb="FFEBF1DE"/>
        <bgColor rgb="FFFFE5CA"/>
      </patternFill>
    </fill>
    <fill>
      <patternFill patternType="solid">
        <fgColor rgb="FFD9D9D9"/>
        <bgColor rgb="FFB9CDE5"/>
      </patternFill>
    </fill>
    <fill>
      <patternFill patternType="solid">
        <fgColor rgb="FF002060"/>
        <bgColor rgb="FF000080"/>
      </patternFill>
    </fill>
    <fill>
      <patternFill patternType="solid">
        <fgColor rgb="FF0066B3"/>
        <bgColor rgb="FF008080"/>
      </patternFill>
    </fill>
    <fill>
      <patternFill patternType="solid">
        <fgColor rgb="FF21409A"/>
        <bgColor rgb="FF0066B3"/>
      </patternFill>
    </fill>
    <fill>
      <patternFill patternType="solid">
        <fgColor theme="3"/>
        <bgColor indexed="64"/>
      </patternFill>
    </fill>
    <fill>
      <patternFill patternType="solid">
        <fgColor rgb="FF92D050"/>
        <bgColor rgb="FFEBF1DE"/>
      </patternFill>
    </fill>
    <fill>
      <patternFill patternType="solid">
        <fgColor rgb="FF92D050"/>
        <bgColor indexed="64"/>
      </patternFill>
    </fill>
    <fill>
      <patternFill patternType="solid">
        <fgColor theme="3"/>
        <bgColor rgb="FFEBF1DE"/>
      </patternFill>
    </fill>
    <fill>
      <patternFill patternType="solid">
        <fgColor theme="3" tint="0.79998168889431442"/>
        <bgColor rgb="FFFFFF00"/>
      </patternFill>
    </fill>
    <fill>
      <patternFill patternType="solid">
        <fgColor theme="0" tint="-0.499984740745262"/>
        <bgColor rgb="FFB9CDE5"/>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0"/>
        <bgColor rgb="FFEBF1DE"/>
      </patternFill>
    </fill>
    <fill>
      <patternFill patternType="solid">
        <fgColor rgb="FFFFFF00"/>
        <bgColor indexed="64"/>
      </patternFill>
    </fill>
  </fills>
  <borders count="41">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medium">
        <color auto="1"/>
      </top>
      <bottom/>
      <diagonal/>
    </border>
    <border>
      <left style="thin">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indexed="64"/>
      </left>
      <right style="medium">
        <color indexed="64"/>
      </right>
      <top style="thin">
        <color auto="1"/>
      </top>
      <bottom style="medium">
        <color indexed="64"/>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medium">
        <color auto="1"/>
      </top>
      <bottom style="thin">
        <color indexed="64"/>
      </bottom>
      <diagonal/>
    </border>
    <border>
      <left/>
      <right style="thin">
        <color indexed="64"/>
      </right>
      <top style="medium">
        <color auto="1"/>
      </top>
      <bottom style="thin">
        <color indexed="64"/>
      </bottom>
      <diagonal/>
    </border>
    <border>
      <left/>
      <right style="thin">
        <color auto="1"/>
      </right>
      <top/>
      <bottom style="medium">
        <color indexed="64"/>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s>
  <cellStyleXfs count="3">
    <xf numFmtId="0" fontId="0" fillId="0" borderId="0"/>
    <xf numFmtId="9" fontId="11" fillId="0" borderId="0" applyBorder="0" applyProtection="0"/>
    <xf numFmtId="0" fontId="18" fillId="0" borderId="0" applyNumberFormat="0" applyFill="0" applyBorder="0" applyAlignment="0" applyProtection="0"/>
  </cellStyleXfs>
  <cellXfs count="401">
    <xf numFmtId="0" fontId="0" fillId="0" borderId="0" xfId="0"/>
    <xf numFmtId="0" fontId="2" fillId="3" borderId="1" xfId="0" applyFont="1" applyFill="1" applyBorder="1" applyAlignment="1">
      <alignment horizontal="center" vertical="center" wrapText="1"/>
    </xf>
    <xf numFmtId="9" fontId="2" fillId="0" borderId="1" xfId="0" applyNumberFormat="1" applyFont="1" applyBorder="1" applyAlignment="1">
      <alignment horizontal="center"/>
    </xf>
    <xf numFmtId="1" fontId="2" fillId="0" borderId="1" xfId="0" applyNumberFormat="1" applyFont="1" applyBorder="1" applyAlignment="1">
      <alignment horizontal="center"/>
    </xf>
    <xf numFmtId="0" fontId="0" fillId="0" borderId="0" xfId="0" applyBorder="1"/>
    <xf numFmtId="0" fontId="13" fillId="0" borderId="0" xfId="0" applyFont="1" applyAlignment="1">
      <alignment wrapText="1"/>
    </xf>
    <xf numFmtId="0" fontId="14" fillId="0" borderId="0" xfId="0" applyFont="1"/>
    <xf numFmtId="0" fontId="14" fillId="0" borderId="0" xfId="0" applyFont="1" applyAlignment="1">
      <alignment wrapText="1"/>
    </xf>
    <xf numFmtId="0" fontId="14" fillId="0" borderId="0" xfId="0" applyFont="1" applyBorder="1"/>
    <xf numFmtId="0" fontId="14" fillId="0" borderId="0" xfId="0" applyFont="1" applyBorder="1" applyAlignment="1">
      <alignment vertical="top" wrapText="1"/>
    </xf>
    <xf numFmtId="0" fontId="14" fillId="0" borderId="0" xfId="0" applyFont="1" applyBorder="1" applyAlignment="1">
      <alignment wrapText="1"/>
    </xf>
    <xf numFmtId="0" fontId="19" fillId="0" borderId="0" xfId="0" applyFont="1"/>
    <xf numFmtId="0" fontId="20" fillId="12" borderId="15" xfId="0" applyFont="1" applyFill="1" applyBorder="1" applyAlignment="1" applyProtection="1">
      <alignment horizontal="center"/>
      <protection locked="0"/>
    </xf>
    <xf numFmtId="0" fontId="20" fillId="0" borderId="0" xfId="0" applyFont="1" applyBorder="1" applyAlignment="1" applyProtection="1">
      <alignment horizontal="center" vertical="center"/>
    </xf>
    <xf numFmtId="0" fontId="20" fillId="0" borderId="0" xfId="0" applyFont="1" applyBorder="1" applyAlignment="1" applyProtection="1">
      <alignment horizontal="center"/>
    </xf>
    <xf numFmtId="9" fontId="20" fillId="0" borderId="0" xfId="1" applyFont="1" applyBorder="1" applyProtection="1"/>
    <xf numFmtId="0" fontId="20" fillId="0" borderId="1" xfId="0" applyFont="1" applyBorder="1" applyAlignment="1">
      <alignment horizontal="center"/>
    </xf>
    <xf numFmtId="1" fontId="19" fillId="0" borderId="0" xfId="1" applyNumberFormat="1" applyFont="1" applyBorder="1" applyAlignment="1" applyProtection="1">
      <alignment horizontal="center"/>
    </xf>
    <xf numFmtId="0" fontId="19" fillId="0" borderId="1" xfId="0" applyFont="1" applyBorder="1" applyAlignment="1">
      <alignment horizontal="center"/>
    </xf>
    <xf numFmtId="0" fontId="22" fillId="9" borderId="1" xfId="0" applyFont="1" applyFill="1" applyBorder="1" applyAlignment="1">
      <alignment horizontal="center" vertical="center" wrapText="1"/>
    </xf>
    <xf numFmtId="0" fontId="19" fillId="0" borderId="1" xfId="0" applyFont="1" applyBorder="1"/>
    <xf numFmtId="0" fontId="19" fillId="0" borderId="6" xfId="0" applyFont="1" applyBorder="1"/>
    <xf numFmtId="0" fontId="19" fillId="0" borderId="7" xfId="0" applyFont="1" applyBorder="1"/>
    <xf numFmtId="0" fontId="19" fillId="0" borderId="8" xfId="0" applyFont="1" applyBorder="1"/>
    <xf numFmtId="0" fontId="1" fillId="2" borderId="1" xfId="0" applyFont="1" applyFill="1" applyBorder="1" applyAlignment="1">
      <alignment horizontal="center" vertical="center"/>
    </xf>
    <xf numFmtId="0" fontId="19" fillId="0" borderId="5" xfId="0" applyFont="1" applyBorder="1"/>
    <xf numFmtId="0" fontId="21" fillId="11" borderId="12" xfId="0" applyFont="1" applyFill="1" applyBorder="1"/>
    <xf numFmtId="0" fontId="19" fillId="0" borderId="11" xfId="0" applyFont="1" applyBorder="1" applyAlignment="1">
      <alignment horizontal="left" vertical="center" wrapText="1"/>
    </xf>
    <xf numFmtId="0" fontId="19" fillId="0" borderId="30" xfId="0" applyFont="1" applyBorder="1" applyAlignment="1">
      <alignment horizontal="left" vertical="center" wrapText="1"/>
    </xf>
    <xf numFmtId="0" fontId="19" fillId="0" borderId="13" xfId="0" applyFont="1" applyBorder="1" applyAlignment="1">
      <alignment horizontal="left" vertical="center" wrapText="1"/>
    </xf>
    <xf numFmtId="0" fontId="21" fillId="11" borderId="16" xfId="0" applyFont="1" applyFill="1" applyBorder="1" applyAlignment="1">
      <alignment horizontal="center"/>
    </xf>
    <xf numFmtId="0" fontId="19" fillId="0" borderId="32" xfId="0" applyFont="1" applyBorder="1"/>
    <xf numFmtId="0" fontId="19" fillId="13" borderId="33" xfId="0" applyFont="1" applyFill="1" applyBorder="1" applyAlignment="1" applyProtection="1">
      <alignment horizontal="center" vertical="center"/>
      <protection locked="0"/>
    </xf>
    <xf numFmtId="0" fontId="20" fillId="0" borderId="0" xfId="0" applyFont="1" applyBorder="1" applyProtection="1"/>
    <xf numFmtId="9" fontId="19" fillId="0" borderId="34" xfId="1" applyFont="1" applyBorder="1"/>
    <xf numFmtId="0" fontId="20" fillId="0" borderId="1" xfId="0" applyFont="1" applyBorder="1" applyAlignment="1" applyProtection="1">
      <alignment horizontal="center"/>
    </xf>
    <xf numFmtId="0" fontId="21" fillId="11" borderId="12" xfId="0" applyFont="1" applyFill="1" applyBorder="1" applyAlignment="1">
      <alignment horizontal="center" vertical="center" wrapText="1"/>
    </xf>
    <xf numFmtId="0" fontId="21" fillId="11" borderId="4" xfId="0" applyFont="1" applyFill="1" applyBorder="1" applyAlignment="1">
      <alignment horizontal="center" vertical="center" wrapText="1"/>
    </xf>
    <xf numFmtId="0" fontId="21" fillId="11" borderId="14" xfId="0" applyFont="1" applyFill="1" applyBorder="1" applyAlignment="1">
      <alignment horizontal="center" vertical="center" wrapText="1"/>
    </xf>
    <xf numFmtId="0" fontId="19" fillId="18" borderId="17" xfId="0" applyFont="1" applyFill="1" applyBorder="1"/>
    <xf numFmtId="0" fontId="19" fillId="0" borderId="5" xfId="0" applyFont="1" applyBorder="1" applyAlignment="1">
      <alignment horizontal="center" vertical="center" wrapText="1"/>
    </xf>
    <xf numFmtId="0" fontId="21" fillId="11" borderId="18" xfId="0" applyFont="1" applyFill="1" applyBorder="1" applyAlignment="1">
      <alignment horizontal="center" vertical="center"/>
    </xf>
    <xf numFmtId="0" fontId="21" fillId="11" borderId="19" xfId="0" applyFont="1" applyFill="1" applyBorder="1" applyAlignment="1">
      <alignment horizontal="center" vertical="center" wrapText="1"/>
    </xf>
    <xf numFmtId="0" fontId="21" fillId="11" borderId="20" xfId="0" applyFont="1" applyFill="1" applyBorder="1" applyAlignment="1">
      <alignment horizontal="center" vertical="center" wrapText="1"/>
    </xf>
    <xf numFmtId="1" fontId="20" fillId="0" borderId="5" xfId="0" applyNumberFormat="1" applyFont="1" applyBorder="1" applyAlignment="1">
      <alignment horizontal="center"/>
    </xf>
    <xf numFmtId="0" fontId="19" fillId="13" borderId="5" xfId="0" applyFont="1" applyFill="1" applyBorder="1" applyAlignment="1" applyProtection="1">
      <alignment horizontal="center"/>
      <protection locked="0"/>
    </xf>
    <xf numFmtId="0" fontId="19" fillId="0" borderId="5" xfId="0" applyFont="1" applyBorder="1" applyAlignment="1">
      <alignment horizontal="center"/>
    </xf>
    <xf numFmtId="0" fontId="19" fillId="0" borderId="1" xfId="0" applyFont="1" applyBorder="1" applyAlignment="1">
      <alignment horizontal="center" vertical="center" wrapText="1"/>
    </xf>
    <xf numFmtId="1" fontId="20" fillId="0" borderId="1" xfId="0" applyNumberFormat="1" applyFont="1" applyBorder="1" applyAlignment="1">
      <alignment horizontal="center"/>
    </xf>
    <xf numFmtId="0" fontId="19" fillId="13" borderId="1" xfId="0" applyFont="1" applyFill="1" applyBorder="1" applyAlignment="1" applyProtection="1">
      <alignment horizontal="center"/>
      <protection locked="0"/>
    </xf>
    <xf numFmtId="0" fontId="20" fillId="0" borderId="17" xfId="0" applyFont="1" applyBorder="1" applyAlignment="1">
      <alignment horizontal="center"/>
    </xf>
    <xf numFmtId="0" fontId="21" fillId="11" borderId="14" xfId="0" applyFont="1" applyFill="1" applyBorder="1" applyAlignment="1">
      <alignment horizontal="center" vertical="center" wrapText="1"/>
    </xf>
    <xf numFmtId="0" fontId="19" fillId="18" borderId="1" xfId="0" applyFont="1" applyFill="1" applyBorder="1" applyAlignment="1">
      <alignment horizontal="center"/>
    </xf>
    <xf numFmtId="0" fontId="19" fillId="13" borderId="1" xfId="0" applyFont="1" applyFill="1" applyBorder="1" applyAlignment="1" applyProtection="1">
      <alignment horizontal="center" vertical="center"/>
      <protection locked="0"/>
    </xf>
    <xf numFmtId="9" fontId="19" fillId="0" borderId="1" xfId="1" applyFont="1" applyBorder="1"/>
    <xf numFmtId="0" fontId="19" fillId="0" borderId="0" xfId="0" applyFont="1" applyProtection="1"/>
    <xf numFmtId="0" fontId="19" fillId="0" borderId="0" xfId="0" applyFont="1" applyAlignment="1" applyProtection="1">
      <alignment horizontal="center"/>
    </xf>
    <xf numFmtId="0" fontId="20" fillId="0" borderId="0" xfId="0" applyFont="1" applyAlignment="1" applyProtection="1">
      <alignment horizontal="center"/>
    </xf>
    <xf numFmtId="0" fontId="20" fillId="0" borderId="0" xfId="0" applyFont="1" applyProtection="1"/>
    <xf numFmtId="0" fontId="21" fillId="14" borderId="16" xfId="0" applyFont="1" applyFill="1" applyBorder="1" applyAlignment="1" applyProtection="1">
      <alignment horizontal="center"/>
    </xf>
    <xf numFmtId="0" fontId="21" fillId="14" borderId="12" xfId="0" applyFont="1" applyFill="1" applyBorder="1" applyAlignment="1" applyProtection="1"/>
    <xf numFmtId="0" fontId="21" fillId="14" borderId="4" xfId="0" applyFont="1" applyFill="1" applyBorder="1" applyAlignment="1" applyProtection="1"/>
    <xf numFmtId="0" fontId="21" fillId="14" borderId="14" xfId="0" applyFont="1" applyFill="1" applyBorder="1" applyAlignment="1" applyProtection="1"/>
    <xf numFmtId="0" fontId="20" fillId="0" borderId="11" xfId="0" applyFont="1" applyBorder="1" applyProtection="1"/>
    <xf numFmtId="0" fontId="20" fillId="12" borderId="2" xfId="0" applyFont="1" applyFill="1" applyBorder="1" applyAlignment="1" applyProtection="1">
      <alignment horizontal="center"/>
      <protection locked="0"/>
    </xf>
    <xf numFmtId="0" fontId="20" fillId="0" borderId="5" xfId="0" applyFont="1" applyBorder="1" applyAlignment="1" applyProtection="1">
      <alignment horizontal="center"/>
    </xf>
    <xf numFmtId="2" fontId="19" fillId="0" borderId="1" xfId="0" applyNumberFormat="1" applyFont="1" applyBorder="1" applyAlignment="1" applyProtection="1">
      <alignment horizontal="center"/>
    </xf>
    <xf numFmtId="0" fontId="19" fillId="0" borderId="1" xfId="0" applyFont="1" applyBorder="1" applyAlignment="1" applyProtection="1">
      <alignment horizontal="center"/>
    </xf>
    <xf numFmtId="0" fontId="20" fillId="12" borderId="5" xfId="0" applyFont="1" applyFill="1" applyBorder="1" applyAlignment="1" applyProtection="1">
      <alignment horizontal="center"/>
    </xf>
    <xf numFmtId="164" fontId="20" fillId="13" borderId="1" xfId="0" applyNumberFormat="1" applyFont="1" applyFill="1" applyBorder="1" applyAlignment="1" applyProtection="1">
      <alignment horizontal="center"/>
      <protection locked="0"/>
    </xf>
    <xf numFmtId="1" fontId="20" fillId="13" borderId="1" xfId="0" applyNumberFormat="1" applyFont="1" applyFill="1" applyBorder="1" applyAlignment="1" applyProtection="1">
      <alignment horizontal="center"/>
      <protection locked="0"/>
    </xf>
    <xf numFmtId="0" fontId="19" fillId="0" borderId="1" xfId="0" applyFont="1" applyBorder="1" applyAlignment="1" applyProtection="1">
      <alignment horizontal="center" vertical="center"/>
    </xf>
    <xf numFmtId="2" fontId="20" fillId="20" borderId="5" xfId="0" applyNumberFormat="1" applyFont="1" applyFill="1" applyBorder="1" applyAlignment="1" applyProtection="1">
      <alignment horizontal="center"/>
    </xf>
    <xf numFmtId="0" fontId="20" fillId="0" borderId="1" xfId="0" applyFont="1" applyBorder="1" applyProtection="1"/>
    <xf numFmtId="9" fontId="20" fillId="0" borderId="5" xfId="0" applyNumberFormat="1" applyFont="1" applyBorder="1" applyAlignment="1" applyProtection="1">
      <alignment horizontal="center"/>
    </xf>
    <xf numFmtId="0" fontId="19" fillId="0" borderId="17" xfId="0" applyFont="1" applyBorder="1" applyAlignment="1" applyProtection="1">
      <alignment horizontal="center" vertical="center"/>
    </xf>
    <xf numFmtId="9" fontId="20" fillId="0" borderId="0" xfId="0" applyNumberFormat="1" applyFont="1" applyBorder="1" applyProtection="1"/>
    <xf numFmtId="0" fontId="20" fillId="3" borderId="2" xfId="0" applyFont="1" applyFill="1" applyBorder="1" applyAlignment="1" applyProtection="1">
      <alignment horizontal="center" vertical="center" wrapText="1"/>
    </xf>
    <xf numFmtId="0" fontId="20" fillId="3" borderId="14" xfId="0" applyFont="1" applyFill="1" applyBorder="1" applyAlignment="1" applyProtection="1">
      <alignment horizontal="center" vertical="center" wrapText="1"/>
    </xf>
    <xf numFmtId="0" fontId="20" fillId="3" borderId="14" xfId="0" applyFont="1" applyFill="1" applyBorder="1" applyAlignment="1" applyProtection="1">
      <alignment horizontal="center" wrapText="1"/>
    </xf>
    <xf numFmtId="0" fontId="20" fillId="4" borderId="3" xfId="0" applyFont="1" applyFill="1" applyBorder="1" applyAlignment="1" applyProtection="1">
      <alignment horizontal="center" vertical="center" wrapText="1"/>
    </xf>
    <xf numFmtId="0" fontId="20" fillId="4" borderId="1" xfId="0" applyFont="1" applyFill="1" applyBorder="1" applyAlignment="1" applyProtection="1">
      <alignment horizontal="center" vertical="center" wrapText="1"/>
    </xf>
    <xf numFmtId="0" fontId="20" fillId="4" borderId="5"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 xfId="0" applyFont="1" applyFill="1" applyBorder="1" applyAlignment="1" applyProtection="1">
      <alignment horizontal="center" vertical="center"/>
    </xf>
    <xf numFmtId="0" fontId="20" fillId="6" borderId="1" xfId="0" applyFont="1" applyFill="1" applyBorder="1" applyAlignment="1" applyProtection="1">
      <alignment horizontal="center" vertical="center" wrapText="1"/>
    </xf>
    <xf numFmtId="0" fontId="19" fillId="0" borderId="0" xfId="0" applyFont="1" applyAlignment="1" applyProtection="1">
      <alignment vertical="center"/>
    </xf>
    <xf numFmtId="0" fontId="20" fillId="0" borderId="6" xfId="0" applyFont="1" applyBorder="1" applyAlignment="1" applyProtection="1">
      <alignment horizontal="center" vertical="center"/>
    </xf>
    <xf numFmtId="2" fontId="19" fillId="0" borderId="1" xfId="0" applyNumberFormat="1" applyFont="1" applyBorder="1" applyAlignment="1" applyProtection="1">
      <alignment horizontal="center" vertical="center"/>
    </xf>
    <xf numFmtId="0" fontId="20" fillId="0" borderId="13" xfId="0" applyFont="1" applyBorder="1" applyAlignment="1" applyProtection="1">
      <alignment horizontal="center" vertical="center"/>
    </xf>
    <xf numFmtId="0" fontId="20" fillId="0" borderId="1" xfId="0" applyFont="1" applyBorder="1" applyAlignment="1" applyProtection="1">
      <alignment horizontal="center" vertical="center"/>
    </xf>
    <xf numFmtId="0" fontId="19" fillId="0" borderId="1" xfId="0" applyFont="1" applyBorder="1" applyAlignment="1" applyProtection="1">
      <alignment horizontal="center" vertical="center"/>
    </xf>
    <xf numFmtId="0" fontId="20" fillId="0" borderId="6" xfId="0" applyFont="1" applyBorder="1" applyAlignment="1" applyProtection="1">
      <alignment horizontal="center"/>
    </xf>
    <xf numFmtId="0" fontId="20" fillId="3" borderId="31" xfId="0" applyFont="1" applyFill="1" applyBorder="1" applyAlignment="1" applyProtection="1">
      <alignment horizontal="center" vertical="center" wrapText="1"/>
    </xf>
    <xf numFmtId="0" fontId="20" fillId="0" borderId="13" xfId="0" applyFont="1" applyBorder="1" applyAlignment="1" applyProtection="1">
      <alignment horizontal="center"/>
    </xf>
    <xf numFmtId="0" fontId="20" fillId="3" borderId="1" xfId="0" applyFont="1" applyFill="1" applyBorder="1" applyAlignment="1" applyProtection="1">
      <alignment horizontal="center"/>
    </xf>
    <xf numFmtId="0" fontId="22" fillId="8" borderId="1" xfId="0" applyFont="1" applyFill="1" applyBorder="1" applyAlignment="1" applyProtection="1">
      <alignment vertical="center" wrapText="1"/>
    </xf>
    <xf numFmtId="0" fontId="22" fillId="8" borderId="1" xfId="0" applyFont="1" applyFill="1" applyBorder="1" applyAlignment="1" applyProtection="1">
      <alignment horizontal="center" vertical="center"/>
    </xf>
    <xf numFmtId="2" fontId="19" fillId="0" borderId="0" xfId="0" applyNumberFormat="1" applyFont="1" applyProtection="1"/>
    <xf numFmtId="0" fontId="20" fillId="0" borderId="0" xfId="0" applyFont="1" applyAlignment="1" applyProtection="1">
      <alignment horizontal="center" wrapText="1"/>
    </xf>
    <xf numFmtId="0" fontId="20" fillId="0" borderId="1" xfId="0" applyFont="1" applyBorder="1" applyAlignment="1" applyProtection="1">
      <alignment horizontal="center" vertical="center"/>
    </xf>
    <xf numFmtId="0" fontId="19" fillId="0" borderId="1" xfId="0" applyFont="1" applyBorder="1" applyAlignment="1" applyProtection="1">
      <alignment horizontal="left" vertical="center"/>
    </xf>
    <xf numFmtId="0" fontId="19" fillId="0" borderId="17" xfId="0" applyFont="1" applyBorder="1" applyAlignment="1" applyProtection="1">
      <alignment horizontal="left" vertical="center"/>
    </xf>
    <xf numFmtId="0" fontId="19" fillId="0" borderId="17" xfId="0" applyFont="1" applyBorder="1" applyAlignment="1" applyProtection="1">
      <alignment horizontal="center"/>
    </xf>
    <xf numFmtId="0" fontId="22" fillId="9" borderId="1" xfId="0" applyFont="1" applyFill="1" applyBorder="1" applyAlignment="1" applyProtection="1">
      <alignment horizontal="center" vertical="center" wrapText="1"/>
    </xf>
    <xf numFmtId="0" fontId="19" fillId="0" borderId="1" xfId="0" applyFont="1" applyBorder="1" applyAlignment="1" applyProtection="1">
      <alignment horizontal="left" vertical="center" wrapText="1"/>
    </xf>
    <xf numFmtId="0" fontId="19" fillId="0" borderId="0" xfId="0" applyFont="1" applyBorder="1" applyProtection="1"/>
    <xf numFmtId="0" fontId="20" fillId="0" borderId="8" xfId="0" applyFont="1" applyBorder="1" applyAlignment="1" applyProtection="1">
      <alignment horizontal="center"/>
    </xf>
    <xf numFmtId="0" fontId="20" fillId="20" borderId="5" xfId="0" applyFont="1" applyFill="1" applyBorder="1" applyAlignment="1" applyProtection="1">
      <alignment horizontal="center"/>
    </xf>
    <xf numFmtId="1" fontId="20" fillId="0" borderId="1" xfId="0" applyNumberFormat="1" applyFont="1" applyBorder="1" applyAlignment="1" applyProtection="1">
      <alignment horizontal="center"/>
    </xf>
    <xf numFmtId="9" fontId="20" fillId="0" borderId="1" xfId="0" applyNumberFormat="1" applyFont="1" applyBorder="1" applyAlignment="1" applyProtection="1">
      <alignment horizontal="center"/>
    </xf>
    <xf numFmtId="2" fontId="19" fillId="0" borderId="5" xfId="1" applyNumberFormat="1" applyFont="1" applyBorder="1" applyAlignment="1" applyProtection="1">
      <alignment horizontal="center"/>
    </xf>
    <xf numFmtId="0" fontId="19" fillId="0" borderId="1" xfId="0" applyFont="1" applyBorder="1" applyProtection="1"/>
    <xf numFmtId="9" fontId="19" fillId="0" borderId="5" xfId="1" applyFont="1" applyBorder="1" applyAlignment="1" applyProtection="1">
      <alignment horizontal="center"/>
    </xf>
    <xf numFmtId="0" fontId="20" fillId="19" borderId="17" xfId="0" applyFont="1" applyFill="1" applyBorder="1" applyProtection="1"/>
    <xf numFmtId="0" fontId="20" fillId="19" borderId="17" xfId="0" applyFont="1" applyFill="1" applyBorder="1" applyAlignment="1" applyProtection="1">
      <alignment horizontal="center"/>
    </xf>
    <xf numFmtId="1" fontId="20" fillId="0" borderId="0" xfId="0" applyNumberFormat="1" applyFont="1" applyBorder="1" applyAlignment="1" applyProtection="1">
      <alignment horizontal="center"/>
    </xf>
    <xf numFmtId="9" fontId="20" fillId="0" borderId="0" xfId="0" applyNumberFormat="1" applyFont="1" applyBorder="1" applyAlignment="1" applyProtection="1">
      <alignment horizontal="center"/>
    </xf>
    <xf numFmtId="0" fontId="19" fillId="0" borderId="1" xfId="0" applyFont="1" applyFill="1" applyBorder="1" applyProtection="1"/>
    <xf numFmtId="0" fontId="20" fillId="0" borderId="1" xfId="0" applyFont="1" applyFill="1" applyBorder="1" applyProtection="1"/>
    <xf numFmtId="2" fontId="20" fillId="0" borderId="1" xfId="0" applyNumberFormat="1" applyFont="1" applyBorder="1" applyAlignment="1" applyProtection="1">
      <alignment horizontal="center"/>
    </xf>
    <xf numFmtId="0" fontId="19" fillId="0" borderId="17" xfId="0" applyFont="1" applyFill="1" applyBorder="1" applyProtection="1"/>
    <xf numFmtId="0" fontId="20" fillId="15" borderId="0" xfId="0" applyFont="1" applyFill="1" applyBorder="1" applyAlignment="1">
      <alignment horizontal="left" vertical="center"/>
    </xf>
    <xf numFmtId="0" fontId="21" fillId="11" borderId="12" xfId="0" applyFont="1" applyFill="1" applyBorder="1" applyAlignment="1">
      <alignment horizontal="left"/>
    </xf>
    <xf numFmtId="0" fontId="25" fillId="11" borderId="14" xfId="0" applyFont="1" applyFill="1" applyBorder="1" applyAlignment="1">
      <alignment horizontal="left"/>
    </xf>
    <xf numFmtId="0" fontId="20" fillId="2" borderId="1" xfId="0" applyFont="1" applyFill="1" applyBorder="1" applyAlignment="1">
      <alignment horizontal="center" vertical="center"/>
    </xf>
    <xf numFmtId="0" fontId="19" fillId="0" borderId="5" xfId="0" applyFont="1" applyBorder="1" applyAlignment="1">
      <alignment horizontal="center" vertical="center"/>
    </xf>
    <xf numFmtId="0" fontId="20" fillId="13" borderId="5" xfId="0" applyFont="1" applyFill="1" applyBorder="1" applyAlignment="1">
      <alignment horizontal="center" vertical="center" wrapText="1"/>
    </xf>
    <xf numFmtId="0" fontId="20" fillId="3" borderId="1" xfId="0" applyFont="1" applyFill="1" applyBorder="1" applyAlignment="1">
      <alignment horizontal="center" vertical="center" wrapText="1"/>
    </xf>
    <xf numFmtId="9" fontId="20" fillId="0" borderId="1" xfId="0" applyNumberFormat="1" applyFont="1" applyBorder="1" applyAlignment="1">
      <alignment horizontal="center"/>
    </xf>
    <xf numFmtId="0" fontId="21" fillId="19" borderId="12" xfId="0" applyFont="1" applyFill="1" applyBorder="1" applyAlignment="1">
      <alignment horizontal="center"/>
    </xf>
    <xf numFmtId="0" fontId="21" fillId="19" borderId="20" xfId="0" applyFont="1" applyFill="1" applyBorder="1" applyAlignment="1">
      <alignment horizontal="center"/>
    </xf>
    <xf numFmtId="0" fontId="26" fillId="13" borderId="1" xfId="0" applyFont="1" applyFill="1" applyBorder="1"/>
    <xf numFmtId="0" fontId="22" fillId="9" borderId="11" xfId="0" applyFont="1" applyFill="1" applyBorder="1" applyAlignment="1">
      <alignment horizontal="center" vertical="center" wrapText="1"/>
    </xf>
    <xf numFmtId="0" fontId="22" fillId="9" borderId="30" xfId="0" applyFont="1" applyFill="1" applyBorder="1" applyAlignment="1">
      <alignment horizontal="center" vertical="center" wrapText="1"/>
    </xf>
    <xf numFmtId="0" fontId="22" fillId="9" borderId="13" xfId="0" applyFont="1" applyFill="1" applyBorder="1" applyAlignment="1">
      <alignment horizontal="center" vertical="center" wrapText="1"/>
    </xf>
    <xf numFmtId="0" fontId="20" fillId="0" borderId="11" xfId="0" applyFont="1" applyBorder="1" applyAlignment="1">
      <alignment horizontal="left" vertical="center" wrapText="1"/>
    </xf>
    <xf numFmtId="0" fontId="20" fillId="0" borderId="30" xfId="0" applyFont="1" applyBorder="1" applyAlignment="1">
      <alignment horizontal="left" vertical="center" wrapText="1"/>
    </xf>
    <xf numFmtId="0" fontId="20" fillId="0" borderId="13" xfId="0" applyFont="1" applyBorder="1" applyAlignment="1">
      <alignment horizontal="left" vertical="center" wrapText="1"/>
    </xf>
    <xf numFmtId="0" fontId="27" fillId="0" borderId="21" xfId="0" applyFont="1" applyBorder="1" applyAlignment="1">
      <alignment horizontal="left" readingOrder="1"/>
    </xf>
    <xf numFmtId="0" fontId="19" fillId="0" borderId="9" xfId="0" applyFont="1" applyBorder="1"/>
    <xf numFmtId="0" fontId="19" fillId="0" borderId="22" xfId="0" applyFont="1" applyBorder="1"/>
    <xf numFmtId="0" fontId="19" fillId="0" borderId="23" xfId="0" applyFont="1" applyBorder="1" applyAlignment="1">
      <alignment horizontal="left" vertical="top" wrapText="1"/>
    </xf>
    <xf numFmtId="0" fontId="19" fillId="0" borderId="0" xfId="0" applyFont="1" applyBorder="1" applyAlignment="1">
      <alignment horizontal="left" vertical="top" wrapText="1"/>
    </xf>
    <xf numFmtId="0" fontId="19" fillId="0" borderId="24" xfId="0" applyFont="1" applyBorder="1" applyAlignment="1">
      <alignment horizontal="left" vertical="top" wrapText="1"/>
    </xf>
    <xf numFmtId="0" fontId="19" fillId="0" borderId="25" xfId="0" applyFont="1" applyBorder="1" applyAlignment="1">
      <alignment horizontal="left" vertical="top" wrapText="1"/>
    </xf>
    <xf numFmtId="0" fontId="19" fillId="0" borderId="26" xfId="0" applyFont="1" applyBorder="1" applyAlignment="1">
      <alignment horizontal="left" vertical="top" wrapText="1"/>
    </xf>
    <xf numFmtId="0" fontId="19" fillId="0" borderId="27" xfId="0" applyFont="1" applyBorder="1" applyAlignment="1">
      <alignment horizontal="left" vertical="top" wrapText="1"/>
    </xf>
    <xf numFmtId="0" fontId="20" fillId="12" borderId="2" xfId="0" applyFont="1" applyFill="1" applyBorder="1" applyAlignment="1" applyProtection="1">
      <alignment horizontal="center"/>
    </xf>
    <xf numFmtId="0" fontId="20" fillId="0" borderId="18" xfId="0" applyFont="1" applyBorder="1" applyProtection="1"/>
    <xf numFmtId="1" fontId="20" fillId="13" borderId="20" xfId="0" applyNumberFormat="1" applyFont="1" applyFill="1" applyBorder="1" applyAlignment="1" applyProtection="1">
      <alignment horizontal="center"/>
    </xf>
    <xf numFmtId="0" fontId="21" fillId="11" borderId="12" xfId="0" applyFont="1" applyFill="1" applyBorder="1" applyProtection="1"/>
    <xf numFmtId="0" fontId="21" fillId="11" borderId="14" xfId="0" applyFont="1" applyFill="1" applyBorder="1" applyProtection="1"/>
    <xf numFmtId="0" fontId="21" fillId="11" borderId="21" xfId="0" applyFont="1" applyFill="1" applyBorder="1" applyProtection="1"/>
    <xf numFmtId="0" fontId="21" fillId="11" borderId="9" xfId="0" applyFont="1" applyFill="1" applyBorder="1" applyProtection="1"/>
    <xf numFmtId="0" fontId="21" fillId="11" borderId="22" xfId="0" applyFont="1" applyFill="1" applyBorder="1" applyProtection="1"/>
    <xf numFmtId="0" fontId="19" fillId="0" borderId="6" xfId="0" applyFont="1" applyBorder="1" applyProtection="1"/>
    <xf numFmtId="0" fontId="19" fillId="0" borderId="7" xfId="0" applyFont="1" applyBorder="1" applyAlignment="1" applyProtection="1">
      <alignment horizontal="center"/>
    </xf>
    <xf numFmtId="0" fontId="21" fillId="11" borderId="23" xfId="0" applyFont="1" applyFill="1" applyBorder="1" applyProtection="1"/>
    <xf numFmtId="0" fontId="21" fillId="11" borderId="0" xfId="0" applyFont="1" applyFill="1" applyBorder="1" applyAlignment="1" applyProtection="1">
      <alignment horizontal="center"/>
    </xf>
    <xf numFmtId="0" fontId="21" fillId="11" borderId="24" xfId="0" applyFont="1" applyFill="1" applyBorder="1" applyAlignment="1" applyProtection="1">
      <alignment horizontal="center"/>
    </xf>
    <xf numFmtId="9" fontId="19" fillId="0" borderId="7" xfId="1" applyFont="1" applyBorder="1" applyAlignment="1" applyProtection="1">
      <alignment horizontal="center"/>
    </xf>
    <xf numFmtId="0" fontId="19" fillId="0" borderId="8" xfId="0" applyFont="1" applyBorder="1" applyProtection="1"/>
    <xf numFmtId="2" fontId="19" fillId="0" borderId="35" xfId="0" applyNumberFormat="1" applyFont="1" applyBorder="1" applyAlignment="1" applyProtection="1">
      <alignment horizontal="center"/>
    </xf>
    <xf numFmtId="9" fontId="19" fillId="0" borderId="34" xfId="1" applyFont="1" applyBorder="1" applyAlignment="1" applyProtection="1">
      <alignment horizontal="center"/>
    </xf>
    <xf numFmtId="2" fontId="20" fillId="3" borderId="14" xfId="0" applyNumberFormat="1" applyFont="1" applyFill="1" applyBorder="1" applyAlignment="1" applyProtection="1">
      <alignment horizontal="center" wrapText="1"/>
    </xf>
    <xf numFmtId="0" fontId="20" fillId="4" borderId="39" xfId="0" applyFont="1" applyFill="1" applyBorder="1" applyAlignment="1" applyProtection="1">
      <alignment horizontal="center" vertical="center" wrapText="1"/>
    </xf>
    <xf numFmtId="0" fontId="20" fillId="4" borderId="40" xfId="0" applyFont="1" applyFill="1" applyBorder="1" applyAlignment="1" applyProtection="1">
      <alignment horizontal="center" vertical="center" wrapText="1"/>
    </xf>
    <xf numFmtId="0" fontId="20" fillId="4" borderId="11" xfId="0" applyFont="1" applyFill="1" applyBorder="1" applyAlignment="1" applyProtection="1">
      <alignment horizontal="center" vertical="center" wrapText="1"/>
    </xf>
    <xf numFmtId="0" fontId="20" fillId="4" borderId="13" xfId="0" applyFont="1" applyFill="1" applyBorder="1" applyAlignment="1" applyProtection="1">
      <alignment horizontal="center" vertical="center" wrapText="1"/>
    </xf>
    <xf numFmtId="0" fontId="20" fillId="4" borderId="11" xfId="0" applyFont="1" applyFill="1" applyBorder="1" applyAlignment="1" applyProtection="1">
      <alignment horizontal="center" vertical="center" wrapText="1"/>
    </xf>
    <xf numFmtId="0" fontId="20" fillId="4" borderId="13" xfId="0" applyFont="1" applyFill="1" applyBorder="1" applyAlignment="1" applyProtection="1">
      <alignment horizontal="center" vertical="center" wrapText="1"/>
    </xf>
    <xf numFmtId="0" fontId="20" fillId="4" borderId="36" xfId="0" applyFont="1" applyFill="1" applyBorder="1" applyAlignment="1" applyProtection="1">
      <alignment horizontal="center" vertical="center" wrapText="1"/>
    </xf>
    <xf numFmtId="0" fontId="20" fillId="4" borderId="37" xfId="0" applyFont="1" applyFill="1" applyBorder="1" applyAlignment="1" applyProtection="1">
      <alignment horizontal="center" vertical="center" wrapText="1"/>
    </xf>
    <xf numFmtId="0" fontId="20" fillId="4" borderId="1" xfId="0" applyFont="1" applyFill="1" applyBorder="1" applyAlignment="1" applyProtection="1">
      <alignment horizontal="center" vertical="center" wrapText="1"/>
    </xf>
    <xf numFmtId="0" fontId="20" fillId="4" borderId="5" xfId="0" applyFont="1" applyFill="1" applyBorder="1" applyAlignment="1" applyProtection="1">
      <alignment horizontal="center" vertical="center" wrapText="1"/>
    </xf>
    <xf numFmtId="0" fontId="20" fillId="5" borderId="4" xfId="0" applyFont="1" applyFill="1" applyBorder="1" applyAlignment="1" applyProtection="1">
      <alignment horizontal="center" vertical="center" wrapText="1"/>
    </xf>
    <xf numFmtId="2" fontId="20" fillId="0" borderId="7" xfId="0" applyNumberFormat="1" applyFont="1" applyBorder="1" applyAlignment="1" applyProtection="1">
      <alignment horizontal="center" vertical="center"/>
    </xf>
    <xf numFmtId="9" fontId="19" fillId="0" borderId="0" xfId="1" applyFont="1" applyProtection="1"/>
    <xf numFmtId="0" fontId="20" fillId="0" borderId="0" xfId="0" applyFont="1" applyFill="1" applyBorder="1" applyAlignment="1" applyProtection="1">
      <alignment horizontal="center" vertical="center"/>
    </xf>
    <xf numFmtId="2" fontId="19" fillId="0" borderId="0" xfId="0" applyNumberFormat="1" applyFont="1" applyAlignment="1" applyProtection="1">
      <alignment horizontal="center"/>
    </xf>
    <xf numFmtId="0" fontId="22" fillId="9" borderId="25" xfId="0" applyFont="1" applyFill="1" applyBorder="1" applyAlignment="1" applyProtection="1">
      <alignment horizontal="center" vertical="center"/>
    </xf>
    <xf numFmtId="0" fontId="22" fillId="9" borderId="26" xfId="0" applyFont="1" applyFill="1" applyBorder="1" applyAlignment="1" applyProtection="1">
      <alignment horizontal="center" vertical="center"/>
    </xf>
    <xf numFmtId="0" fontId="22" fillId="9" borderId="38" xfId="0" applyFont="1" applyFill="1" applyBorder="1" applyAlignment="1" applyProtection="1">
      <alignment horizontal="center" vertical="center"/>
    </xf>
    <xf numFmtId="0" fontId="22" fillId="9" borderId="20" xfId="0" applyFont="1" applyFill="1" applyBorder="1" applyAlignment="1" applyProtection="1">
      <alignment horizontal="center"/>
    </xf>
    <xf numFmtId="0" fontId="19" fillId="0" borderId="0" xfId="0" applyFont="1" applyBorder="1" applyAlignment="1" applyProtection="1">
      <alignment horizontal="center"/>
    </xf>
    <xf numFmtId="9" fontId="19" fillId="0" borderId="0" xfId="0" applyNumberFormat="1" applyFont="1" applyBorder="1" applyAlignment="1" applyProtection="1">
      <alignment horizontal="center"/>
    </xf>
    <xf numFmtId="1" fontId="20" fillId="13" borderId="20" xfId="0" applyNumberFormat="1" applyFont="1" applyFill="1" applyBorder="1" applyAlignment="1" applyProtection="1">
      <alignment horizontal="center"/>
      <protection locked="0"/>
    </xf>
    <xf numFmtId="0" fontId="20" fillId="12" borderId="5" xfId="0" applyFont="1" applyFill="1" applyBorder="1" applyAlignment="1" applyProtection="1">
      <alignment horizontal="center"/>
      <protection locked="0"/>
    </xf>
    <xf numFmtId="0" fontId="20" fillId="12" borderId="15" xfId="0" applyFont="1" applyFill="1" applyBorder="1" applyAlignment="1" applyProtection="1">
      <alignment horizontal="center"/>
    </xf>
    <xf numFmtId="0" fontId="20" fillId="15" borderId="0" xfId="0" applyFont="1" applyFill="1" applyBorder="1" applyAlignment="1" applyProtection="1">
      <alignment horizontal="left" vertical="center"/>
    </xf>
    <xf numFmtId="0" fontId="26" fillId="13" borderId="1" xfId="0" applyFont="1" applyFill="1" applyBorder="1" applyAlignment="1">
      <alignment horizontal="center"/>
    </xf>
    <xf numFmtId="167" fontId="19" fillId="0" borderId="34" xfId="1" applyNumberFormat="1" applyFont="1" applyBorder="1" applyAlignment="1" applyProtection="1">
      <alignment horizontal="center"/>
    </xf>
    <xf numFmtId="0" fontId="20" fillId="0" borderId="12" xfId="0" applyFont="1" applyBorder="1" applyProtection="1"/>
    <xf numFmtId="1" fontId="20" fillId="3" borderId="14" xfId="0" applyNumberFormat="1" applyFont="1" applyFill="1" applyBorder="1" applyAlignment="1" applyProtection="1">
      <alignment horizontal="center" wrapText="1"/>
    </xf>
    <xf numFmtId="0" fontId="20" fillId="5" borderId="4" xfId="0" applyFont="1" applyFill="1" applyBorder="1" applyAlignment="1" applyProtection="1">
      <alignment horizontal="center" vertical="center" wrapText="1"/>
    </xf>
    <xf numFmtId="0" fontId="20" fillId="0" borderId="0" xfId="0" applyFont="1" applyAlignment="1" applyProtection="1">
      <alignment horizontal="right"/>
    </xf>
    <xf numFmtId="1" fontId="19" fillId="0" borderId="0" xfId="0" applyNumberFormat="1" applyFont="1" applyProtection="1"/>
    <xf numFmtId="2" fontId="19" fillId="0" borderId="1" xfId="0" applyNumberFormat="1" applyFont="1" applyBorder="1" applyProtection="1"/>
    <xf numFmtId="0" fontId="19" fillId="0" borderId="7" xfId="0" applyFont="1" applyBorder="1" applyProtection="1"/>
    <xf numFmtId="0" fontId="21" fillId="11" borderId="0" xfId="0" applyFont="1" applyFill="1" applyBorder="1" applyProtection="1"/>
    <xf numFmtId="0" fontId="21" fillId="11" borderId="24" xfId="0" applyFont="1" applyFill="1" applyBorder="1" applyProtection="1"/>
    <xf numFmtId="9" fontId="19" fillId="0" borderId="7" xfId="1" applyFont="1" applyBorder="1" applyProtection="1"/>
    <xf numFmtId="2" fontId="19" fillId="0" borderId="35" xfId="0" applyNumberFormat="1" applyFont="1" applyBorder="1" applyProtection="1"/>
    <xf numFmtId="9" fontId="19" fillId="0" borderId="34" xfId="1" applyFont="1" applyBorder="1" applyProtection="1"/>
    <xf numFmtId="0" fontId="22" fillId="9" borderId="18" xfId="0" applyFont="1" applyFill="1" applyBorder="1" applyAlignment="1" applyProtection="1">
      <alignment horizontal="center" vertical="center"/>
    </xf>
    <xf numFmtId="0" fontId="22" fillId="9" borderId="19" xfId="0" applyFont="1" applyFill="1" applyBorder="1" applyAlignment="1" applyProtection="1">
      <alignment horizontal="center" vertical="center"/>
    </xf>
    <xf numFmtId="0" fontId="22" fillId="9" borderId="19" xfId="0" applyFont="1" applyFill="1" applyBorder="1" applyAlignment="1" applyProtection="1">
      <alignment horizontal="center"/>
    </xf>
    <xf numFmtId="0" fontId="19" fillId="0" borderId="0" xfId="0" applyFont="1" applyProtection="1">
      <protection hidden="1"/>
    </xf>
    <xf numFmtId="0" fontId="19" fillId="0" borderId="0" xfId="0" applyFont="1" applyAlignment="1" applyProtection="1">
      <alignment horizontal="center"/>
      <protection hidden="1"/>
    </xf>
    <xf numFmtId="0" fontId="20" fillId="0" borderId="0" xfId="0" applyFont="1" applyAlignment="1" applyProtection="1">
      <alignment horizontal="center"/>
      <protection hidden="1"/>
    </xf>
    <xf numFmtId="0" fontId="20" fillId="0" borderId="0" xfId="0" applyFont="1" applyProtection="1">
      <protection hidden="1"/>
    </xf>
    <xf numFmtId="0" fontId="19" fillId="0" borderId="0" xfId="0" applyFont="1" applyBorder="1" applyProtection="1">
      <protection hidden="1"/>
    </xf>
    <xf numFmtId="0" fontId="21" fillId="14" borderId="16" xfId="0" applyFont="1" applyFill="1" applyBorder="1" applyAlignment="1" applyProtection="1">
      <alignment horizontal="center"/>
      <protection hidden="1"/>
    </xf>
    <xf numFmtId="0" fontId="20" fillId="0" borderId="11" xfId="0" applyFont="1" applyBorder="1" applyProtection="1">
      <protection hidden="1"/>
    </xf>
    <xf numFmtId="0" fontId="20" fillId="12" borderId="15" xfId="0" applyFont="1" applyFill="1" applyBorder="1" applyAlignment="1" applyProtection="1">
      <alignment horizontal="center"/>
      <protection hidden="1"/>
    </xf>
    <xf numFmtId="0" fontId="20" fillId="0" borderId="1" xfId="0" applyFont="1" applyBorder="1" applyProtection="1">
      <protection hidden="1"/>
    </xf>
    <xf numFmtId="9" fontId="20" fillId="0" borderId="5" xfId="0" applyNumberFormat="1" applyFont="1" applyBorder="1" applyAlignment="1" applyProtection="1">
      <alignment horizontal="center"/>
      <protection hidden="1"/>
    </xf>
    <xf numFmtId="0" fontId="20" fillId="0" borderId="0" xfId="0" applyFont="1" applyBorder="1" applyProtection="1">
      <protection hidden="1"/>
    </xf>
    <xf numFmtId="9" fontId="20" fillId="0" borderId="0" xfId="0" applyNumberFormat="1" applyFont="1" applyBorder="1" applyProtection="1">
      <protection hidden="1"/>
    </xf>
    <xf numFmtId="0" fontId="20" fillId="0" borderId="18" xfId="0" applyFont="1" applyBorder="1" applyProtection="1">
      <protection hidden="1"/>
    </xf>
    <xf numFmtId="1" fontId="20" fillId="13" borderId="20" xfId="0" applyNumberFormat="1" applyFont="1" applyFill="1" applyBorder="1" applyAlignment="1" applyProtection="1">
      <alignment horizontal="center"/>
      <protection hidden="1"/>
    </xf>
    <xf numFmtId="0" fontId="20" fillId="0" borderId="0" xfId="0" applyFont="1" applyBorder="1" applyAlignment="1" applyProtection="1">
      <alignment horizontal="center" vertical="center"/>
      <protection hidden="1"/>
    </xf>
    <xf numFmtId="0" fontId="20" fillId="0" borderId="0" xfId="0" applyFont="1" applyBorder="1" applyAlignment="1" applyProtection="1">
      <alignment horizontal="center"/>
      <protection hidden="1"/>
    </xf>
    <xf numFmtId="9" fontId="20" fillId="0" borderId="0" xfId="1" applyFont="1" applyBorder="1" applyProtection="1">
      <protection hidden="1"/>
    </xf>
    <xf numFmtId="0" fontId="20" fillId="3" borderId="2" xfId="0" applyFont="1" applyFill="1" applyBorder="1" applyAlignment="1" applyProtection="1">
      <alignment horizontal="center" vertical="center" wrapText="1"/>
      <protection hidden="1"/>
    </xf>
    <xf numFmtId="0" fontId="20" fillId="3" borderId="14" xfId="0" applyFont="1" applyFill="1" applyBorder="1" applyAlignment="1" applyProtection="1">
      <alignment horizontal="center" wrapText="1"/>
      <protection hidden="1"/>
    </xf>
    <xf numFmtId="1" fontId="20" fillId="3" borderId="14" xfId="0" applyNumberFormat="1" applyFont="1" applyFill="1" applyBorder="1" applyAlignment="1" applyProtection="1">
      <alignment horizontal="center" wrapText="1"/>
      <protection hidden="1"/>
    </xf>
    <xf numFmtId="0" fontId="20" fillId="4" borderId="3" xfId="0" applyFont="1" applyFill="1" applyBorder="1" applyAlignment="1" applyProtection="1">
      <alignment horizontal="center" vertical="center" wrapText="1"/>
      <protection hidden="1"/>
    </xf>
    <xf numFmtId="0" fontId="20" fillId="5" borderId="4" xfId="0" applyFont="1" applyFill="1" applyBorder="1" applyAlignment="1" applyProtection="1">
      <alignment horizontal="center" vertical="center" wrapText="1"/>
      <protection hidden="1"/>
    </xf>
    <xf numFmtId="0" fontId="20" fillId="4" borderId="11" xfId="0" applyFont="1" applyFill="1" applyBorder="1" applyAlignment="1" applyProtection="1">
      <alignment horizontal="center" vertical="center" wrapText="1"/>
      <protection hidden="1"/>
    </xf>
    <xf numFmtId="0" fontId="20" fillId="4" borderId="13" xfId="0" applyFont="1" applyFill="1" applyBorder="1" applyAlignment="1" applyProtection="1">
      <alignment horizontal="center" vertical="center" wrapText="1"/>
      <protection hidden="1"/>
    </xf>
    <xf numFmtId="0" fontId="20" fillId="4" borderId="5" xfId="0" applyFont="1" applyFill="1" applyBorder="1" applyAlignment="1" applyProtection="1">
      <alignment horizontal="center" vertical="center" wrapText="1"/>
      <protection hidden="1"/>
    </xf>
    <xf numFmtId="0" fontId="20" fillId="4" borderId="1" xfId="0" applyFont="1" applyFill="1" applyBorder="1" applyAlignment="1" applyProtection="1">
      <alignment horizontal="center" vertical="center" wrapText="1"/>
      <protection hidden="1"/>
    </xf>
    <xf numFmtId="0" fontId="20" fillId="6" borderId="6" xfId="0" applyFont="1" applyFill="1" applyBorder="1" applyAlignment="1" applyProtection="1">
      <alignment horizontal="center" vertical="center"/>
      <protection hidden="1"/>
    </xf>
    <xf numFmtId="0" fontId="20" fillId="6" borderId="7" xfId="0" applyFont="1" applyFill="1" applyBorder="1" applyAlignment="1" applyProtection="1">
      <alignment horizontal="center" vertical="center"/>
      <protection hidden="1"/>
    </xf>
    <xf numFmtId="0" fontId="20" fillId="6" borderId="1" xfId="0" applyFont="1" applyFill="1" applyBorder="1" applyAlignment="1" applyProtection="1">
      <alignment horizontal="center" vertical="center"/>
      <protection hidden="1"/>
    </xf>
    <xf numFmtId="0" fontId="20" fillId="6" borderId="1" xfId="0" applyFont="1" applyFill="1" applyBorder="1" applyAlignment="1" applyProtection="1">
      <alignment horizontal="center" vertical="center" wrapText="1"/>
      <protection hidden="1"/>
    </xf>
    <xf numFmtId="0" fontId="20" fillId="0" borderId="6" xfId="0" applyFont="1" applyBorder="1" applyAlignment="1" applyProtection="1">
      <alignment horizontal="center" vertical="center"/>
      <protection hidden="1"/>
    </xf>
    <xf numFmtId="0" fontId="20" fillId="0" borderId="7" xfId="0" applyFont="1" applyBorder="1" applyAlignment="1" applyProtection="1">
      <alignment horizontal="center" vertical="center"/>
      <protection hidden="1"/>
    </xf>
    <xf numFmtId="0" fontId="20" fillId="0" borderId="13" xfId="0" applyFont="1" applyBorder="1" applyAlignment="1" applyProtection="1">
      <alignment horizontal="center" vertical="center"/>
      <protection hidden="1"/>
    </xf>
    <xf numFmtId="0" fontId="20" fillId="0" borderId="1" xfId="0" applyFont="1" applyBorder="1" applyAlignment="1" applyProtection="1">
      <alignment horizontal="center" vertical="center"/>
      <protection hidden="1"/>
    </xf>
    <xf numFmtId="2" fontId="20" fillId="0" borderId="7" xfId="0" applyNumberFormat="1" applyFont="1" applyBorder="1" applyAlignment="1" applyProtection="1">
      <alignment horizontal="center" vertical="center"/>
      <protection hidden="1"/>
    </xf>
    <xf numFmtId="2" fontId="19" fillId="0" borderId="1" xfId="0" applyNumberFormat="1" applyFont="1" applyBorder="1" applyAlignment="1" applyProtection="1">
      <alignment horizontal="center" vertical="center"/>
      <protection hidden="1"/>
    </xf>
    <xf numFmtId="0" fontId="20" fillId="0" borderId="6" xfId="0" applyFont="1" applyBorder="1" applyAlignment="1" applyProtection="1">
      <alignment horizontal="center"/>
      <protection hidden="1"/>
    </xf>
    <xf numFmtId="0" fontId="20" fillId="3" borderId="31" xfId="0" applyFont="1" applyFill="1" applyBorder="1" applyAlignment="1" applyProtection="1">
      <alignment horizontal="center" vertical="center" wrapText="1"/>
      <protection hidden="1"/>
    </xf>
    <xf numFmtId="0" fontId="20" fillId="0" borderId="13" xfId="0" applyFont="1" applyBorder="1" applyAlignment="1" applyProtection="1">
      <alignment horizontal="center"/>
      <protection hidden="1"/>
    </xf>
    <xf numFmtId="0" fontId="20" fillId="0" borderId="1" xfId="0" applyFont="1" applyBorder="1" applyAlignment="1" applyProtection="1">
      <alignment horizontal="center"/>
      <protection hidden="1"/>
    </xf>
    <xf numFmtId="0" fontId="20" fillId="0" borderId="5" xfId="0" applyFont="1" applyBorder="1" applyAlignment="1" applyProtection="1">
      <alignment horizontal="center"/>
      <protection hidden="1"/>
    </xf>
    <xf numFmtId="0" fontId="19" fillId="0" borderId="0" xfId="0" applyFont="1" applyAlignment="1" applyProtection="1">
      <alignment vertical="center"/>
      <protection hidden="1"/>
    </xf>
    <xf numFmtId="0" fontId="20" fillId="0" borderId="8" xfId="0" applyFont="1" applyBorder="1" applyAlignment="1" applyProtection="1">
      <alignment horizontal="center"/>
      <protection hidden="1"/>
    </xf>
    <xf numFmtId="0" fontId="20" fillId="3" borderId="1" xfId="0" applyFont="1" applyFill="1" applyBorder="1" applyAlignment="1" applyProtection="1">
      <alignment horizontal="center"/>
      <protection hidden="1"/>
    </xf>
    <xf numFmtId="9" fontId="19" fillId="0" borderId="0" xfId="1" applyFont="1" applyProtection="1">
      <protection hidden="1"/>
    </xf>
    <xf numFmtId="2" fontId="19" fillId="0" borderId="0" xfId="0" applyNumberFormat="1" applyFont="1" applyProtection="1">
      <protection hidden="1"/>
    </xf>
    <xf numFmtId="0" fontId="20" fillId="0" borderId="0" xfId="0" applyFont="1" applyFill="1" applyBorder="1" applyAlignment="1" applyProtection="1">
      <alignment horizontal="center" vertical="center"/>
      <protection hidden="1"/>
    </xf>
    <xf numFmtId="0" fontId="20" fillId="0" borderId="0" xfId="0" applyFont="1" applyAlignment="1" applyProtection="1">
      <alignment horizontal="right"/>
      <protection hidden="1"/>
    </xf>
    <xf numFmtId="1" fontId="19" fillId="0" borderId="0" xfId="1" applyNumberFormat="1" applyFont="1" applyBorder="1" applyAlignment="1" applyProtection="1">
      <alignment horizontal="center"/>
      <protection hidden="1"/>
    </xf>
    <xf numFmtId="0" fontId="22" fillId="8" borderId="1" xfId="0" applyFont="1" applyFill="1" applyBorder="1" applyAlignment="1" applyProtection="1">
      <alignment vertical="center" wrapText="1"/>
      <protection hidden="1"/>
    </xf>
    <xf numFmtId="0" fontId="22" fillId="8" borderId="1" xfId="0" applyFont="1" applyFill="1" applyBorder="1" applyAlignment="1" applyProtection="1">
      <alignment horizontal="center" vertical="center"/>
      <protection hidden="1"/>
    </xf>
    <xf numFmtId="0" fontId="21" fillId="11" borderId="21" xfId="0" applyFont="1" applyFill="1" applyBorder="1" applyProtection="1">
      <protection hidden="1"/>
    </xf>
    <xf numFmtId="0" fontId="21" fillId="11" borderId="9" xfId="0" applyFont="1" applyFill="1" applyBorder="1" applyProtection="1">
      <protection hidden="1"/>
    </xf>
    <xf numFmtId="0" fontId="21" fillId="11" borderId="22" xfId="0" applyFont="1" applyFill="1" applyBorder="1" applyProtection="1">
      <protection hidden="1"/>
    </xf>
    <xf numFmtId="0" fontId="19" fillId="0" borderId="1" xfId="0" applyFont="1" applyBorder="1" applyProtection="1">
      <protection hidden="1"/>
    </xf>
    <xf numFmtId="0" fontId="19" fillId="0" borderId="6" xfId="0" applyFont="1" applyBorder="1" applyProtection="1">
      <protection hidden="1"/>
    </xf>
    <xf numFmtId="2" fontId="19" fillId="0" borderId="1" xfId="0" applyNumberFormat="1" applyFont="1" applyBorder="1" applyProtection="1">
      <protection hidden="1"/>
    </xf>
    <xf numFmtId="0" fontId="19" fillId="0" borderId="7" xfId="0" applyFont="1" applyBorder="1" applyProtection="1">
      <protection hidden="1"/>
    </xf>
    <xf numFmtId="0" fontId="21" fillId="11" borderId="23" xfId="0" applyFont="1" applyFill="1" applyBorder="1" applyProtection="1">
      <protection hidden="1"/>
    </xf>
    <xf numFmtId="0" fontId="21" fillId="11" borderId="0" xfId="0" applyFont="1" applyFill="1" applyBorder="1" applyProtection="1">
      <protection hidden="1"/>
    </xf>
    <xf numFmtId="0" fontId="21" fillId="11" borderId="24" xfId="0" applyFont="1" applyFill="1" applyBorder="1" applyProtection="1">
      <protection hidden="1"/>
    </xf>
    <xf numFmtId="9" fontId="19" fillId="0" borderId="7" xfId="1" applyFont="1" applyBorder="1" applyProtection="1">
      <protection hidden="1"/>
    </xf>
    <xf numFmtId="0" fontId="19" fillId="0" borderId="8" xfId="0" applyFont="1" applyBorder="1" applyProtection="1">
      <protection hidden="1"/>
    </xf>
    <xf numFmtId="2" fontId="19" fillId="0" borderId="35" xfId="0" applyNumberFormat="1" applyFont="1" applyBorder="1" applyProtection="1">
      <protection hidden="1"/>
    </xf>
    <xf numFmtId="9" fontId="19" fillId="0" borderId="34" xfId="1" applyFont="1" applyBorder="1" applyProtection="1">
      <protection hidden="1"/>
    </xf>
    <xf numFmtId="0" fontId="20" fillId="0" borderId="1"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1" xfId="0" applyFont="1" applyBorder="1" applyAlignment="1" applyProtection="1">
      <alignment horizontal="left" vertical="center"/>
      <protection hidden="1"/>
    </xf>
    <xf numFmtId="0" fontId="19" fillId="0" borderId="1" xfId="0" applyFont="1" applyBorder="1" applyAlignment="1" applyProtection="1">
      <alignment horizontal="center"/>
      <protection hidden="1"/>
    </xf>
    <xf numFmtId="0" fontId="19" fillId="0" borderId="17" xfId="0" applyFont="1" applyBorder="1" applyAlignment="1" applyProtection="1">
      <alignment horizontal="center" vertical="center"/>
      <protection hidden="1"/>
    </xf>
    <xf numFmtId="0" fontId="19" fillId="0" borderId="17" xfId="0" applyFont="1" applyBorder="1" applyAlignment="1" applyProtection="1">
      <alignment horizontal="left" vertical="center"/>
      <protection hidden="1"/>
    </xf>
    <xf numFmtId="0" fontId="19" fillId="0" borderId="17" xfId="0" applyFont="1" applyBorder="1" applyAlignment="1" applyProtection="1">
      <alignment horizontal="center"/>
      <protection hidden="1"/>
    </xf>
    <xf numFmtId="0" fontId="22" fillId="9" borderId="18" xfId="0" applyFont="1" applyFill="1" applyBorder="1" applyAlignment="1" applyProtection="1">
      <alignment horizontal="center" vertical="center"/>
      <protection hidden="1"/>
    </xf>
    <xf numFmtId="0" fontId="22" fillId="9" borderId="19" xfId="0" applyFont="1" applyFill="1" applyBorder="1" applyAlignment="1" applyProtection="1">
      <alignment horizontal="center" vertical="center"/>
      <protection hidden="1"/>
    </xf>
    <xf numFmtId="0" fontId="22" fillId="9" borderId="19" xfId="0" applyFont="1" applyFill="1" applyBorder="1" applyAlignment="1" applyProtection="1">
      <alignment horizontal="center"/>
      <protection hidden="1"/>
    </xf>
    <xf numFmtId="0" fontId="19" fillId="0" borderId="0" xfId="0" applyFont="1" applyBorder="1" applyAlignment="1" applyProtection="1">
      <alignment horizontal="center"/>
      <protection hidden="1"/>
    </xf>
    <xf numFmtId="9" fontId="19" fillId="0" borderId="0" xfId="0" applyNumberFormat="1" applyFont="1" applyBorder="1" applyAlignment="1" applyProtection="1">
      <alignment horizontal="center"/>
      <protection hidden="1"/>
    </xf>
    <xf numFmtId="0" fontId="22" fillId="9" borderId="1" xfId="0" applyFont="1" applyFill="1" applyBorder="1" applyAlignment="1" applyProtection="1">
      <alignment horizontal="center" vertical="center" wrapText="1"/>
      <protection hidden="1"/>
    </xf>
    <xf numFmtId="0" fontId="19" fillId="0" borderId="1" xfId="0" applyFont="1" applyBorder="1" applyAlignment="1" applyProtection="1">
      <alignment horizontal="left" vertical="center" wrapText="1"/>
      <protection hidden="1"/>
    </xf>
    <xf numFmtId="0" fontId="0" fillId="0" borderId="0" xfId="0" applyProtection="1">
      <protection hidden="1"/>
    </xf>
    <xf numFmtId="0" fontId="3" fillId="0" borderId="0" xfId="0" applyFont="1" applyProtection="1">
      <protection hidden="1"/>
    </xf>
    <xf numFmtId="0" fontId="3" fillId="0" borderId="0" xfId="0" applyFont="1" applyAlignment="1" applyProtection="1">
      <alignment horizontal="center"/>
      <protection hidden="1"/>
    </xf>
    <xf numFmtId="0" fontId="2" fillId="0" borderId="0" xfId="0" applyFont="1" applyAlignment="1" applyProtection="1">
      <alignment horizontal="center"/>
      <protection hidden="1"/>
    </xf>
    <xf numFmtId="0" fontId="2" fillId="0" borderId="0" xfId="0" applyFont="1" applyProtection="1">
      <protection hidden="1"/>
    </xf>
    <xf numFmtId="0" fontId="0" fillId="0" borderId="0" xfId="0" applyBorder="1" applyProtection="1">
      <protection hidden="1"/>
    </xf>
    <xf numFmtId="0" fontId="15" fillId="14" borderId="16" xfId="0" applyFont="1" applyFill="1" applyBorder="1" applyAlignment="1" applyProtection="1">
      <alignment horizontal="center"/>
      <protection hidden="1"/>
    </xf>
    <xf numFmtId="0" fontId="1" fillId="0" borderId="11" xfId="0" applyFont="1" applyBorder="1" applyProtection="1">
      <protection hidden="1"/>
    </xf>
    <xf numFmtId="0" fontId="12" fillId="12" borderId="15" xfId="0" applyFont="1" applyFill="1" applyBorder="1" applyAlignment="1" applyProtection="1">
      <alignment horizontal="center"/>
      <protection hidden="1"/>
    </xf>
    <xf numFmtId="0" fontId="7" fillId="0" borderId="1" xfId="0" applyFont="1" applyBorder="1" applyProtection="1">
      <protection hidden="1"/>
    </xf>
    <xf numFmtId="9" fontId="1" fillId="0" borderId="5" xfId="0" applyNumberFormat="1" applyFont="1" applyBorder="1" applyAlignment="1" applyProtection="1">
      <alignment horizontal="center"/>
      <protection hidden="1"/>
    </xf>
    <xf numFmtId="0" fontId="7" fillId="0" borderId="0" xfId="0" applyFont="1" applyBorder="1" applyProtection="1">
      <protection hidden="1"/>
    </xf>
    <xf numFmtId="9" fontId="1" fillId="0" borderId="0" xfId="0" applyNumberFormat="1" applyFont="1" applyBorder="1" applyProtection="1">
      <protection hidden="1"/>
    </xf>
    <xf numFmtId="0" fontId="4" fillId="3" borderId="2" xfId="0" applyFont="1" applyFill="1" applyBorder="1" applyAlignment="1" applyProtection="1">
      <alignment horizontal="center" vertical="center" wrapText="1"/>
      <protection hidden="1"/>
    </xf>
    <xf numFmtId="0" fontId="4" fillId="3" borderId="14" xfId="0" applyFont="1" applyFill="1" applyBorder="1" applyAlignment="1" applyProtection="1">
      <alignment horizontal="center" wrapText="1"/>
      <protection hidden="1"/>
    </xf>
    <xf numFmtId="0" fontId="2" fillId="4" borderId="3" xfId="0" applyFont="1" applyFill="1" applyBorder="1" applyAlignment="1" applyProtection="1">
      <alignment horizontal="center" vertical="center" wrapText="1"/>
      <protection hidden="1"/>
    </xf>
    <xf numFmtId="0" fontId="4" fillId="5" borderId="4" xfId="0" applyFont="1" applyFill="1" applyBorder="1" applyAlignment="1" applyProtection="1">
      <alignment horizontal="center" vertical="center" wrapText="1"/>
      <protection hidden="1"/>
    </xf>
    <xf numFmtId="0" fontId="2" fillId="4" borderId="1" xfId="0" applyFont="1" applyFill="1" applyBorder="1" applyAlignment="1" applyProtection="1">
      <alignment horizontal="center" vertical="center" wrapText="1"/>
      <protection hidden="1"/>
    </xf>
    <xf numFmtId="0" fontId="3" fillId="0" borderId="0" xfId="0" applyFont="1" applyAlignment="1" applyProtection="1">
      <alignment horizontal="center" vertical="center"/>
      <protection hidden="1"/>
    </xf>
    <xf numFmtId="0" fontId="0" fillId="0" borderId="0" xfId="0" applyAlignment="1" applyProtection="1">
      <alignment horizontal="center" vertical="center"/>
      <protection hidden="1"/>
    </xf>
    <xf numFmtId="0" fontId="2" fillId="6" borderId="6" xfId="0" applyFont="1" applyFill="1" applyBorder="1" applyAlignment="1" applyProtection="1">
      <alignment horizontal="center" vertical="center"/>
      <protection hidden="1"/>
    </xf>
    <xf numFmtId="0" fontId="2" fillId="6" borderId="7" xfId="0" applyFont="1" applyFill="1" applyBorder="1" applyAlignment="1" applyProtection="1">
      <alignment horizontal="center" vertical="center"/>
      <protection hidden="1"/>
    </xf>
    <xf numFmtId="0" fontId="2" fillId="6" borderId="7" xfId="0" applyFont="1" applyFill="1" applyBorder="1" applyAlignment="1" applyProtection="1">
      <alignment horizontal="center" vertical="center" wrapText="1"/>
      <protection hidden="1"/>
    </xf>
    <xf numFmtId="0" fontId="4" fillId="6" borderId="1" xfId="0" applyFont="1" applyFill="1" applyBorder="1" applyAlignment="1" applyProtection="1">
      <alignment horizontal="center" vertical="center"/>
      <protection hidden="1"/>
    </xf>
    <xf numFmtId="0" fontId="4" fillId="6" borderId="1" xfId="0" applyFont="1" applyFill="1" applyBorder="1" applyAlignment="1" applyProtection="1">
      <alignment horizontal="center" vertical="center" wrapText="1"/>
      <protection hidden="1"/>
    </xf>
    <xf numFmtId="0" fontId="3" fillId="0" borderId="0" xfId="0" applyFont="1" applyAlignment="1" applyProtection="1">
      <alignment vertical="center"/>
      <protection hidden="1"/>
    </xf>
    <xf numFmtId="0" fontId="0" fillId="0" borderId="0" xfId="0" applyAlignment="1" applyProtection="1">
      <alignment vertical="center"/>
      <protection hidden="1"/>
    </xf>
    <xf numFmtId="0" fontId="2" fillId="0" borderId="6" xfId="0" applyFont="1" applyBorder="1" applyAlignment="1" applyProtection="1">
      <alignment horizontal="center" vertical="center"/>
      <protection hidden="1"/>
    </xf>
    <xf numFmtId="0" fontId="2" fillId="0" borderId="7" xfId="0" applyFont="1" applyBorder="1" applyAlignment="1" applyProtection="1">
      <alignment horizontal="center" vertical="center"/>
      <protection hidden="1"/>
    </xf>
    <xf numFmtId="0" fontId="12" fillId="3" borderId="2" xfId="0" applyFont="1" applyFill="1" applyBorder="1" applyAlignment="1" applyProtection="1">
      <alignment horizontal="center" vertical="center" wrapText="1"/>
      <protection hidden="1"/>
    </xf>
    <xf numFmtId="0" fontId="4" fillId="0" borderId="1" xfId="0" applyFont="1" applyBorder="1" applyAlignment="1" applyProtection="1">
      <alignment horizontal="center" vertical="center"/>
      <protection hidden="1"/>
    </xf>
    <xf numFmtId="0" fontId="3" fillId="0" borderId="1" xfId="0" applyFont="1" applyBorder="1" applyAlignment="1" applyProtection="1">
      <alignment horizontal="center" vertical="center"/>
      <protection hidden="1"/>
    </xf>
    <xf numFmtId="0" fontId="2" fillId="0" borderId="1" xfId="0" applyFont="1" applyBorder="1" applyAlignment="1" applyProtection="1">
      <alignment horizontal="center" vertical="center"/>
      <protection hidden="1"/>
    </xf>
    <xf numFmtId="0" fontId="2" fillId="0" borderId="6" xfId="0" applyFont="1" applyBorder="1" applyAlignment="1" applyProtection="1">
      <alignment horizontal="center"/>
      <protection hidden="1"/>
    </xf>
    <xf numFmtId="0" fontId="12" fillId="3" borderId="31" xfId="0" applyFont="1" applyFill="1" applyBorder="1" applyAlignment="1" applyProtection="1">
      <alignment horizontal="center" vertical="center" wrapText="1"/>
      <protection hidden="1"/>
    </xf>
    <xf numFmtId="0" fontId="4" fillId="0" borderId="1" xfId="0" applyFont="1" applyBorder="1" applyAlignment="1" applyProtection="1">
      <alignment horizontal="center"/>
      <protection hidden="1"/>
    </xf>
    <xf numFmtId="0" fontId="3" fillId="0" borderId="1" xfId="0" applyFont="1" applyBorder="1" applyAlignment="1" applyProtection="1">
      <alignment horizontal="center"/>
      <protection hidden="1"/>
    </xf>
    <xf numFmtId="0" fontId="4" fillId="0" borderId="5" xfId="0" applyFont="1" applyBorder="1" applyAlignment="1" applyProtection="1">
      <alignment horizontal="center"/>
      <protection hidden="1"/>
    </xf>
    <xf numFmtId="0" fontId="2" fillId="0" borderId="1" xfId="0" applyFont="1" applyBorder="1" applyAlignment="1" applyProtection="1">
      <alignment horizontal="center"/>
      <protection hidden="1"/>
    </xf>
    <xf numFmtId="0" fontId="2" fillId="0" borderId="8" xfId="0" applyFont="1" applyBorder="1" applyAlignment="1" applyProtection="1">
      <alignment horizontal="center"/>
      <protection hidden="1"/>
    </xf>
    <xf numFmtId="0" fontId="4" fillId="3" borderId="1" xfId="0" applyFont="1" applyFill="1" applyBorder="1" applyAlignment="1" applyProtection="1">
      <alignment horizontal="center"/>
      <protection hidden="1"/>
    </xf>
    <xf numFmtId="0" fontId="2" fillId="3" borderId="1" xfId="0" applyFont="1" applyFill="1" applyBorder="1" applyAlignment="1" applyProtection="1">
      <alignment horizontal="center"/>
      <protection hidden="1"/>
    </xf>
    <xf numFmtId="0" fontId="2" fillId="16" borderId="1" xfId="0" applyFont="1" applyFill="1" applyBorder="1" applyAlignment="1" applyProtection="1">
      <alignment horizontal="center"/>
      <protection hidden="1"/>
    </xf>
    <xf numFmtId="0" fontId="2" fillId="7" borderId="1" xfId="0" applyFont="1" applyFill="1" applyBorder="1" applyAlignment="1" applyProtection="1">
      <alignment horizontal="center"/>
      <protection hidden="1"/>
    </xf>
    <xf numFmtId="0" fontId="5" fillId="8" borderId="1" xfId="0" applyFont="1" applyFill="1" applyBorder="1" applyAlignment="1" applyProtection="1">
      <alignment vertical="center" wrapText="1"/>
      <protection hidden="1"/>
    </xf>
    <xf numFmtId="0" fontId="6" fillId="8" borderId="1" xfId="0" applyFont="1" applyFill="1" applyBorder="1" applyAlignment="1" applyProtection="1">
      <alignment horizontal="center" vertical="center"/>
      <protection hidden="1"/>
    </xf>
    <xf numFmtId="2" fontId="3" fillId="0" borderId="0" xfId="0" applyNumberFormat="1" applyFont="1" applyProtection="1">
      <protection hidden="1"/>
    </xf>
    <xf numFmtId="9" fontId="3" fillId="0" borderId="0" xfId="1" applyFont="1" applyBorder="1" applyAlignment="1" applyProtection="1">
      <alignment horizontal="center"/>
      <protection hidden="1"/>
    </xf>
    <xf numFmtId="0" fontId="15" fillId="11" borderId="0" xfId="0" applyFont="1" applyFill="1" applyProtection="1">
      <protection hidden="1"/>
    </xf>
    <xf numFmtId="0" fontId="1" fillId="0" borderId="1" xfId="0" applyFont="1" applyBorder="1" applyAlignment="1" applyProtection="1">
      <alignment horizontal="center" vertical="center"/>
      <protection hidden="1"/>
    </xf>
    <xf numFmtId="0" fontId="1" fillId="0" borderId="1" xfId="0" applyFont="1" applyBorder="1" applyAlignment="1" applyProtection="1">
      <alignment horizontal="center"/>
      <protection hidden="1"/>
    </xf>
    <xf numFmtId="0" fontId="0" fillId="0" borderId="1" xfId="0" applyFont="1" applyBorder="1" applyAlignment="1" applyProtection="1">
      <alignment horizontal="center" vertical="center"/>
      <protection hidden="1"/>
    </xf>
    <xf numFmtId="0" fontId="0" fillId="0" borderId="1" xfId="0" applyBorder="1" applyAlignment="1" applyProtection="1">
      <alignment horizontal="center"/>
      <protection hidden="1"/>
    </xf>
    <xf numFmtId="9" fontId="11" fillId="0" borderId="0" xfId="1" applyProtection="1">
      <protection hidden="1"/>
    </xf>
    <xf numFmtId="0" fontId="0" fillId="0" borderId="17" xfId="0" applyFont="1" applyBorder="1" applyAlignment="1" applyProtection="1">
      <alignment horizontal="center" vertical="center"/>
      <protection hidden="1"/>
    </xf>
    <xf numFmtId="0" fontId="0" fillId="0" borderId="17" xfId="0" applyBorder="1" applyAlignment="1" applyProtection="1">
      <alignment horizontal="center"/>
      <protection hidden="1"/>
    </xf>
    <xf numFmtId="0" fontId="9" fillId="9" borderId="18" xfId="0" applyFont="1" applyFill="1" applyBorder="1" applyAlignment="1" applyProtection="1">
      <alignment horizontal="center" vertical="center"/>
      <protection hidden="1"/>
    </xf>
    <xf numFmtId="0" fontId="9" fillId="9" borderId="19" xfId="0" applyFont="1" applyFill="1" applyBorder="1" applyAlignment="1" applyProtection="1">
      <alignment horizontal="center" vertical="center"/>
      <protection hidden="1"/>
    </xf>
    <xf numFmtId="0" fontId="9" fillId="9" borderId="19" xfId="0" applyFont="1" applyFill="1" applyBorder="1" applyAlignment="1" applyProtection="1">
      <alignment horizontal="center"/>
      <protection hidden="1"/>
    </xf>
    <xf numFmtId="0" fontId="15" fillId="11" borderId="0" xfId="0" applyFont="1" applyFill="1" applyAlignment="1" applyProtection="1">
      <alignment vertical="center" wrapText="1"/>
      <protection hidden="1"/>
    </xf>
    <xf numFmtId="0" fontId="9" fillId="9" borderId="1" xfId="0" applyFont="1" applyFill="1" applyBorder="1" applyAlignment="1" applyProtection="1">
      <alignment horizontal="center" vertical="center" wrapText="1"/>
      <protection hidden="1"/>
    </xf>
    <xf numFmtId="0" fontId="16" fillId="11" borderId="1" xfId="0" applyFont="1" applyFill="1" applyBorder="1" applyAlignment="1" applyProtection="1">
      <alignment horizontal="center" vertical="center" wrapText="1"/>
      <protection hidden="1"/>
    </xf>
    <xf numFmtId="0" fontId="0" fillId="0" borderId="1" xfId="0" applyFont="1" applyBorder="1" applyAlignment="1" applyProtection="1">
      <alignment horizontal="center" vertical="center" wrapText="1"/>
      <protection hidden="1"/>
    </xf>
    <xf numFmtId="0" fontId="10" fillId="0" borderId="1" xfId="0" applyFont="1" applyBorder="1" applyAlignment="1" applyProtection="1">
      <alignment horizontal="center" vertical="center" wrapText="1"/>
      <protection hidden="1"/>
    </xf>
    <xf numFmtId="0" fontId="12" fillId="17" borderId="1" xfId="0" applyFont="1" applyFill="1" applyBorder="1" applyAlignment="1" applyProtection="1">
      <alignment horizontal="center" vertical="center" wrapText="1"/>
      <protection hidden="1"/>
    </xf>
    <xf numFmtId="0" fontId="10" fillId="17" borderId="1" xfId="0" applyFont="1" applyFill="1" applyBorder="1" applyAlignment="1" applyProtection="1">
      <alignment horizontal="center" vertical="center" wrapText="1"/>
      <protection hidden="1"/>
    </xf>
    <xf numFmtId="0" fontId="0" fillId="0" borderId="1" xfId="0" applyFont="1" applyBorder="1" applyAlignment="1" applyProtection="1">
      <alignment horizontal="left" vertical="center" wrapText="1"/>
      <protection hidden="1"/>
    </xf>
    <xf numFmtId="0" fontId="12" fillId="0" borderId="1" xfId="0" applyFont="1" applyBorder="1" applyAlignment="1" applyProtection="1">
      <alignment horizontal="left" vertical="center" wrapText="1"/>
      <protection hidden="1"/>
    </xf>
    <xf numFmtId="0" fontId="21" fillId="14" borderId="12" xfId="0" applyFont="1" applyFill="1" applyBorder="1" applyAlignment="1" applyProtection="1">
      <protection hidden="1"/>
    </xf>
    <xf numFmtId="0" fontId="21" fillId="14" borderId="4" xfId="0" applyFont="1" applyFill="1" applyBorder="1" applyAlignment="1" applyProtection="1">
      <protection hidden="1"/>
    </xf>
    <xf numFmtId="0" fontId="21" fillId="14" borderId="14" xfId="0" applyFont="1" applyFill="1" applyBorder="1" applyAlignment="1" applyProtection="1">
      <protection hidden="1"/>
    </xf>
    <xf numFmtId="0" fontId="21" fillId="11" borderId="11" xfId="0" applyFont="1" applyFill="1" applyBorder="1" applyAlignment="1" applyProtection="1">
      <alignment horizontal="left"/>
      <protection hidden="1"/>
    </xf>
    <xf numFmtId="0" fontId="25" fillId="11" borderId="30" xfId="0" applyFont="1" applyFill="1" applyBorder="1" applyAlignment="1" applyProtection="1">
      <alignment horizontal="center"/>
      <protection hidden="1"/>
    </xf>
    <xf numFmtId="0" fontId="25" fillId="11" borderId="1" xfId="0" applyFont="1" applyFill="1" applyBorder="1" applyProtection="1">
      <protection hidden="1"/>
    </xf>
    <xf numFmtId="0" fontId="21" fillId="11" borderId="13" xfId="0" applyFont="1" applyFill="1" applyBorder="1" applyAlignment="1" applyProtection="1">
      <alignment horizontal="center"/>
      <protection hidden="1"/>
    </xf>
    <xf numFmtId="0" fontId="25" fillId="11" borderId="1" xfId="0" applyFont="1" applyFill="1" applyBorder="1" applyAlignment="1" applyProtection="1">
      <alignment horizontal="center"/>
      <protection hidden="1"/>
    </xf>
    <xf numFmtId="0" fontId="19" fillId="0" borderId="5" xfId="0" applyFont="1" applyBorder="1" applyAlignment="1" applyProtection="1">
      <alignment horizontal="center" vertical="center"/>
      <protection hidden="1"/>
    </xf>
    <xf numFmtId="0" fontId="19" fillId="0" borderId="29" xfId="0" applyFont="1" applyBorder="1" applyAlignment="1" applyProtection="1">
      <alignment horizontal="center" vertical="center"/>
      <protection hidden="1"/>
    </xf>
    <xf numFmtId="164" fontId="20" fillId="13" borderId="1" xfId="0" applyNumberFormat="1" applyFont="1" applyFill="1" applyBorder="1" applyAlignment="1" applyProtection="1">
      <alignment horizontal="center"/>
      <protection hidden="1"/>
    </xf>
    <xf numFmtId="1" fontId="20" fillId="13" borderId="1" xfId="0" applyNumberFormat="1" applyFont="1" applyFill="1" applyBorder="1" applyAlignment="1" applyProtection="1">
      <alignment horizontal="center"/>
      <protection hidden="1"/>
    </xf>
    <xf numFmtId="0" fontId="19" fillId="0" borderId="11" xfId="0" applyFont="1" applyBorder="1" applyAlignment="1" applyProtection="1">
      <alignment horizontal="center" vertical="center"/>
      <protection hidden="1"/>
    </xf>
    <xf numFmtId="9" fontId="19" fillId="0" borderId="1" xfId="1" applyFont="1" applyBorder="1" applyProtection="1">
      <protection hidden="1"/>
    </xf>
    <xf numFmtId="0" fontId="19" fillId="0" borderId="28" xfId="0" applyFont="1" applyBorder="1" applyAlignment="1" applyProtection="1">
      <alignment horizontal="center" vertical="center"/>
      <protection hidden="1"/>
    </xf>
    <xf numFmtId="9" fontId="19" fillId="0" borderId="17" xfId="1" applyFont="1" applyBorder="1" applyProtection="1">
      <protection hidden="1"/>
    </xf>
    <xf numFmtId="0" fontId="20" fillId="0" borderId="18" xfId="0" applyFont="1" applyBorder="1" applyAlignment="1" applyProtection="1">
      <alignment horizontal="center" vertical="center"/>
      <protection hidden="1"/>
    </xf>
    <xf numFmtId="0" fontId="20" fillId="0" borderId="19" xfId="0" applyFont="1" applyBorder="1" applyAlignment="1" applyProtection="1">
      <alignment horizontal="center" vertical="center"/>
      <protection hidden="1"/>
    </xf>
    <xf numFmtId="0" fontId="20" fillId="0" borderId="10" xfId="0" applyFont="1" applyBorder="1" applyAlignment="1" applyProtection="1">
      <alignment horizontal="center" vertical="center"/>
      <protection hidden="1"/>
    </xf>
    <xf numFmtId="0" fontId="20" fillId="0" borderId="19" xfId="0" applyFont="1" applyBorder="1" applyAlignment="1" applyProtection="1">
      <alignment horizontal="center"/>
      <protection hidden="1"/>
    </xf>
    <xf numFmtId="9" fontId="20" fillId="0" borderId="20" xfId="1" applyFont="1" applyBorder="1" applyProtection="1">
      <protection hidden="1"/>
    </xf>
    <xf numFmtId="9" fontId="24" fillId="13" borderId="1" xfId="2" applyNumberFormat="1" applyFont="1" applyFill="1" applyBorder="1" applyAlignment="1" applyProtection="1">
      <alignment horizontal="center"/>
      <protection hidden="1"/>
    </xf>
    <xf numFmtId="0" fontId="19" fillId="0" borderId="0" xfId="0" applyFont="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20" fillId="7" borderId="1" xfId="0" applyFont="1" applyFill="1" applyBorder="1" applyAlignment="1" applyProtection="1">
      <alignment horizontal="center"/>
      <protection hidden="1"/>
    </xf>
    <xf numFmtId="0" fontId="20" fillId="0" borderId="0" xfId="0" applyFont="1" applyAlignment="1" applyProtection="1">
      <alignment horizontal="center" wrapText="1"/>
      <protection hidden="1"/>
    </xf>
    <xf numFmtId="9" fontId="19" fillId="0" borderId="0" xfId="1" applyFont="1" applyBorder="1" applyAlignment="1" applyProtection="1">
      <alignment horizontal="center"/>
      <protection hidden="1"/>
    </xf>
    <xf numFmtId="0" fontId="22" fillId="10" borderId="18" xfId="0" applyFont="1" applyFill="1" applyBorder="1" applyAlignment="1" applyProtection="1">
      <alignment horizontal="center" vertical="center"/>
      <protection hidden="1"/>
    </xf>
    <xf numFmtId="0" fontId="22" fillId="10" borderId="19" xfId="0" applyFont="1" applyFill="1" applyBorder="1" applyAlignment="1" applyProtection="1">
      <alignment horizontal="center" vertical="center"/>
      <protection hidden="1"/>
    </xf>
    <xf numFmtId="0" fontId="22" fillId="10" borderId="20" xfId="0" applyFont="1" applyFill="1" applyBorder="1" applyAlignment="1" applyProtection="1">
      <alignment horizontal="center"/>
      <protection hidden="1"/>
    </xf>
    <xf numFmtId="0" fontId="20" fillId="12" borderId="2" xfId="0" applyFont="1" applyFill="1" applyBorder="1" applyAlignment="1" applyProtection="1">
      <alignment horizontal="center"/>
      <protection hidden="1"/>
    </xf>
    <xf numFmtId="2" fontId="19" fillId="0" borderId="1" xfId="0" applyNumberFormat="1" applyFont="1" applyBorder="1" applyAlignment="1" applyProtection="1">
      <alignment horizontal="center"/>
      <protection hidden="1"/>
    </xf>
    <xf numFmtId="0" fontId="20" fillId="12" borderId="5" xfId="0" applyFont="1" applyFill="1" applyBorder="1" applyAlignment="1" applyProtection="1">
      <alignment horizontal="center"/>
      <protection hidden="1"/>
    </xf>
    <xf numFmtId="2" fontId="20" fillId="20" borderId="5" xfId="0" applyNumberFormat="1" applyFont="1" applyFill="1" applyBorder="1" applyAlignment="1" applyProtection="1">
      <alignment horizontal="center"/>
      <protection hidden="1"/>
    </xf>
    <xf numFmtId="2" fontId="19" fillId="0" borderId="17" xfId="0" applyNumberFormat="1" applyFont="1" applyBorder="1" applyAlignment="1" applyProtection="1">
      <alignment horizontal="center"/>
      <protection hidden="1"/>
    </xf>
    <xf numFmtId="2" fontId="20" fillId="0" borderId="19" xfId="0" applyNumberFormat="1" applyFont="1" applyBorder="1" applyAlignment="1" applyProtection="1">
      <alignment horizontal="center"/>
      <protection hidden="1"/>
    </xf>
    <xf numFmtId="0" fontId="20" fillId="3" borderId="14" xfId="0" applyFont="1" applyFill="1" applyBorder="1" applyAlignment="1" applyProtection="1">
      <alignment horizontal="center" vertical="center" wrapText="1"/>
      <protection hidden="1"/>
    </xf>
    <xf numFmtId="0" fontId="20" fillId="6" borderId="11" xfId="0" applyFont="1" applyFill="1" applyBorder="1" applyAlignment="1" applyProtection="1">
      <alignment horizontal="center" vertical="center" wrapText="1"/>
      <protection hidden="1"/>
    </xf>
    <xf numFmtId="0" fontId="20" fillId="3" borderId="1" xfId="0" applyFont="1" applyFill="1" applyBorder="1" applyAlignment="1" applyProtection="1">
      <alignment horizontal="center" vertical="center" wrapText="1"/>
      <protection hidden="1"/>
    </xf>
    <xf numFmtId="0" fontId="20" fillId="6" borderId="13" xfId="0" applyFont="1" applyFill="1" applyBorder="1" applyAlignment="1" applyProtection="1">
      <alignment horizontal="center" vertical="center"/>
      <protection hidden="1"/>
    </xf>
    <xf numFmtId="2" fontId="19" fillId="0" borderId="11" xfId="0" applyNumberFormat="1" applyFont="1" applyBorder="1" applyAlignment="1" applyProtection="1">
      <alignment horizontal="center" vertical="center"/>
      <protection hidden="1"/>
    </xf>
    <xf numFmtId="2" fontId="20" fillId="3" borderId="1" xfId="0" applyNumberFormat="1" applyFont="1" applyFill="1" applyBorder="1" applyAlignment="1" applyProtection="1">
      <alignment horizontal="center" vertical="center" wrapText="1"/>
      <protection hidden="1"/>
    </xf>
    <xf numFmtId="2" fontId="19" fillId="0" borderId="11" xfId="0" applyNumberFormat="1" applyFont="1" applyBorder="1" applyAlignment="1" applyProtection="1">
      <alignment horizontal="center"/>
      <protection hidden="1"/>
    </xf>
    <xf numFmtId="0" fontId="20" fillId="21" borderId="8" xfId="0" applyFont="1" applyFill="1" applyBorder="1" applyAlignment="1" applyProtection="1">
      <alignment horizontal="center"/>
      <protection hidden="1"/>
    </xf>
    <xf numFmtId="2" fontId="20" fillId="7" borderId="1" xfId="0" applyNumberFormat="1" applyFont="1" applyFill="1" applyBorder="1" applyAlignment="1" applyProtection="1">
      <alignment horizontal="center"/>
      <protection hidden="1"/>
    </xf>
  </cellXfs>
  <cellStyles count="3">
    <cellStyle name="Hyperlink" xfId="2" builtinId="8"/>
    <cellStyle name="Normal" xfId="0" builtinId="0"/>
    <cellStyle name="Percent" xfId="1" builtinId="5"/>
  </cellStyles>
  <dxfs count="50">
    <dxf>
      <font>
        <color rgb="FF9C0006"/>
      </font>
    </dxf>
    <dxf>
      <font>
        <color rgb="FF9C0006"/>
      </font>
    </dxf>
    <dxf>
      <font>
        <color rgb="FF9C0006"/>
      </font>
    </dxf>
    <dxf>
      <font>
        <color rgb="FF9C0006"/>
      </font>
    </dxf>
    <dxf>
      <font>
        <color rgb="FF9C0006"/>
      </font>
    </dxf>
    <dxf>
      <fill>
        <patternFill>
          <bgColor theme="9" tint="-0.24994659260841701"/>
        </patternFill>
      </fill>
    </dxf>
    <dxf>
      <font>
        <color rgb="FF9C0006"/>
      </font>
    </dxf>
    <dxf>
      <font>
        <color rgb="FF9C0006"/>
      </font>
    </dxf>
    <dxf>
      <font>
        <color auto="1"/>
      </font>
      <fill>
        <patternFill>
          <bgColor theme="9" tint="0.59996337778862885"/>
        </patternFill>
      </fill>
    </dxf>
    <dxf>
      <font>
        <color auto="1"/>
      </font>
      <fill>
        <patternFill>
          <bgColor theme="9" tint="-0.24994659260841701"/>
        </patternFill>
      </fill>
    </dxf>
    <dxf>
      <fill>
        <patternFill>
          <bgColor theme="9" tint="-0.24994659260841701"/>
        </patternFill>
      </fill>
    </dxf>
    <dxf>
      <font>
        <color auto="1"/>
      </font>
      <fill>
        <patternFill>
          <bgColor theme="9" tint="0.59996337778862885"/>
        </patternFill>
      </fill>
    </dxf>
    <dxf>
      <font>
        <color auto="1"/>
      </font>
      <fill>
        <patternFill>
          <bgColor theme="9" tint="-0.24994659260841701"/>
        </patternFill>
      </fill>
    </dxf>
    <dxf>
      <font>
        <color rgb="FF9C0006"/>
      </font>
    </dxf>
    <dxf>
      <font>
        <color rgb="FF9C0006"/>
      </font>
    </dxf>
    <dxf>
      <font>
        <color rgb="FF9C0006"/>
      </font>
    </dxf>
    <dxf>
      <fill>
        <patternFill>
          <bgColor theme="9" tint="-0.24994659260841701"/>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59996337778862885"/>
        </patternFill>
      </fill>
    </dxf>
    <dxf>
      <font>
        <color auto="1"/>
      </font>
      <fill>
        <patternFill>
          <bgColor theme="9" tint="-0.24994659260841701"/>
        </patternFill>
      </fill>
    </dxf>
    <dxf>
      <font>
        <color auto="1"/>
      </font>
      <fill>
        <patternFill>
          <bgColor theme="9" tint="-0.24994659260841701"/>
        </patternFill>
      </fill>
    </dxf>
    <dxf>
      <font>
        <color auto="1"/>
      </font>
      <fill>
        <patternFill>
          <bgColor theme="9" tint="-0.24994659260841701"/>
        </patternFill>
      </fill>
    </dxf>
    <dxf>
      <font>
        <color auto="1"/>
      </font>
      <fill>
        <patternFill>
          <bgColor theme="9" tint="-0.24994659260841701"/>
        </patternFill>
      </fill>
    </dxf>
    <dxf>
      <font>
        <color auto="1"/>
      </font>
      <fill>
        <patternFill>
          <bgColor theme="9" tint="-0.24994659260841701"/>
        </patternFill>
      </fill>
    </dxf>
    <dxf>
      <font>
        <color auto="1"/>
      </font>
      <fill>
        <patternFill>
          <bgColor theme="9" tint="-0.24994659260841701"/>
        </patternFill>
      </fill>
    </dxf>
    <dxf>
      <font>
        <color auto="1"/>
      </font>
      <fill>
        <patternFill>
          <bgColor theme="9" tint="-0.24994659260841701"/>
        </patternFill>
      </fill>
    </dxf>
    <dxf>
      <font>
        <color auto="1"/>
      </font>
      <fill>
        <patternFill>
          <bgColor theme="9" tint="-0.24994659260841701"/>
        </patternFill>
      </fill>
    </dxf>
    <dxf>
      <font>
        <color auto="1"/>
      </font>
      <fill>
        <patternFill>
          <bgColor theme="9" tint="-0.24994659260841701"/>
        </patternFill>
      </fill>
    </dxf>
    <dxf>
      <font>
        <color auto="1"/>
      </font>
      <fill>
        <patternFill>
          <bgColor theme="9" tint="-0.24994659260841701"/>
        </patternFill>
      </fill>
    </dxf>
    <dxf>
      <fill>
        <patternFill>
          <bgColor theme="9" tint="-0.24994659260841701"/>
        </patternFill>
      </fill>
    </dxf>
    <dxf>
      <font>
        <color rgb="FF9C0006"/>
      </font>
    </dxf>
    <dxf>
      <font>
        <color auto="1"/>
      </font>
      <fill>
        <patternFill>
          <bgColor theme="9" tint="0.59996337778862885"/>
        </patternFill>
      </fill>
    </dxf>
    <dxf>
      <font>
        <color auto="1"/>
      </font>
      <fill>
        <patternFill>
          <bgColor theme="9" tint="-0.24994659260841701"/>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CCFFFF"/>
      <rgbColor rgb="FF660066"/>
      <rgbColor rgb="FFFF8080"/>
      <rgbColor rgb="FF0066B3"/>
      <rgbColor rgb="FFB9CDE5"/>
      <rgbColor rgb="FF000080"/>
      <rgbColor rgb="FFFF00FF"/>
      <rgbColor rgb="FFFFFF00"/>
      <rgbColor rgb="FF00FFFF"/>
      <rgbColor rgb="FF800080"/>
      <rgbColor rgb="FF800000"/>
      <rgbColor rgb="FF008080"/>
      <rgbColor rgb="FF0000FF"/>
      <rgbColor rgb="FF00B0F0"/>
      <rgbColor rgb="FFCCFFFF"/>
      <rgbColor rgb="FFCCFFCC"/>
      <rgbColor rgb="FFFFFF99"/>
      <rgbColor rgb="FF95B3D7"/>
      <rgbColor rgb="FFFF99CC"/>
      <rgbColor rgb="FFCC99FF"/>
      <rgbColor rgb="FFFFE5CA"/>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21409A"/>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27360</xdr:colOff>
      <xdr:row>13</xdr:row>
      <xdr:rowOff>106560</xdr:rowOff>
    </xdr:from>
    <xdr:ext cx="127800" cy="157680"/>
    <xdr:sp macro="" textlink="">
      <xdr:nvSpPr>
        <xdr:cNvPr id="2" name="CustomShape 1">
          <a:extLst>
            <a:ext uri="{FF2B5EF4-FFF2-40B4-BE49-F238E27FC236}">
              <a16:creationId xmlns:a16="http://schemas.microsoft.com/office/drawing/2014/main" id="{32D5147B-F0ED-4EA9-97F0-0DC9515A8B98}"/>
            </a:ext>
          </a:extLst>
        </xdr:cNvPr>
        <xdr:cNvSpPr/>
      </xdr:nvSpPr>
      <xdr:spPr>
        <a:xfrm>
          <a:off x="1999035" y="3783210"/>
          <a:ext cx="127800" cy="1576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20</xdr:col>
      <xdr:colOff>123840</xdr:colOff>
      <xdr:row>36</xdr:row>
      <xdr:rowOff>28440</xdr:rowOff>
    </xdr:from>
    <xdr:to>
      <xdr:col>20</xdr:col>
      <xdr:colOff>307800</xdr:colOff>
      <xdr:row>37</xdr:row>
      <xdr:rowOff>8633</xdr:rowOff>
    </xdr:to>
    <xdr:sp macro="" textlink="">
      <xdr:nvSpPr>
        <xdr:cNvPr id="40" name="CustomShape 1">
          <a:extLst>
            <a:ext uri="{FF2B5EF4-FFF2-40B4-BE49-F238E27FC236}">
              <a16:creationId xmlns:a16="http://schemas.microsoft.com/office/drawing/2014/main" id="{00000000-0008-0000-0600-000028000000}"/>
            </a:ext>
          </a:extLst>
        </xdr:cNvPr>
        <xdr:cNvSpPr/>
      </xdr:nvSpPr>
      <xdr:spPr>
        <a:xfrm>
          <a:off x="18436320" y="6641640"/>
          <a:ext cx="183960" cy="1468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29</xdr:col>
      <xdr:colOff>192240</xdr:colOff>
      <xdr:row>36</xdr:row>
      <xdr:rowOff>18720</xdr:rowOff>
    </xdr:from>
    <xdr:to>
      <xdr:col>29</xdr:col>
      <xdr:colOff>378360</xdr:colOff>
      <xdr:row>37</xdr:row>
      <xdr:rowOff>8633</xdr:rowOff>
    </xdr:to>
    <xdr:sp macro="" textlink="">
      <xdr:nvSpPr>
        <xdr:cNvPr id="41" name="CustomShape 1">
          <a:extLst>
            <a:ext uri="{FF2B5EF4-FFF2-40B4-BE49-F238E27FC236}">
              <a16:creationId xmlns:a16="http://schemas.microsoft.com/office/drawing/2014/main" id="{00000000-0008-0000-0600-000029000000}"/>
            </a:ext>
          </a:extLst>
        </xdr:cNvPr>
        <xdr:cNvSpPr/>
      </xdr:nvSpPr>
      <xdr:spPr>
        <a:xfrm>
          <a:off x="25819920" y="6631920"/>
          <a:ext cx="186120" cy="15660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29</xdr:col>
      <xdr:colOff>23760</xdr:colOff>
      <xdr:row>20</xdr:row>
      <xdr:rowOff>93600</xdr:rowOff>
    </xdr:from>
    <xdr:to>
      <xdr:col>29</xdr:col>
      <xdr:colOff>151560</xdr:colOff>
      <xdr:row>20</xdr:row>
      <xdr:rowOff>255240</xdr:rowOff>
    </xdr:to>
    <xdr:sp macro="" textlink="">
      <xdr:nvSpPr>
        <xdr:cNvPr id="42" name="CustomShape 1">
          <a:extLst>
            <a:ext uri="{FF2B5EF4-FFF2-40B4-BE49-F238E27FC236}">
              <a16:creationId xmlns:a16="http://schemas.microsoft.com/office/drawing/2014/main" id="{00000000-0008-0000-0600-00002A000000}"/>
            </a:ext>
          </a:extLst>
        </xdr:cNvPr>
        <xdr:cNvSpPr/>
      </xdr:nvSpPr>
      <xdr:spPr>
        <a:xfrm>
          <a:off x="25651440" y="349200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101160</xdr:colOff>
      <xdr:row>36</xdr:row>
      <xdr:rowOff>35280</xdr:rowOff>
    </xdr:from>
    <xdr:to>
      <xdr:col>11</xdr:col>
      <xdr:colOff>285120</xdr:colOff>
      <xdr:row>37</xdr:row>
      <xdr:rowOff>8633</xdr:rowOff>
    </xdr:to>
    <xdr:sp macro="" textlink="">
      <xdr:nvSpPr>
        <xdr:cNvPr id="43" name="CustomShape 1">
          <a:extLst>
            <a:ext uri="{FF2B5EF4-FFF2-40B4-BE49-F238E27FC236}">
              <a16:creationId xmlns:a16="http://schemas.microsoft.com/office/drawing/2014/main" id="{00000000-0008-0000-0600-00002B000000}"/>
            </a:ext>
          </a:extLst>
        </xdr:cNvPr>
        <xdr:cNvSpPr/>
      </xdr:nvSpPr>
      <xdr:spPr>
        <a:xfrm>
          <a:off x="11029320" y="6648480"/>
          <a:ext cx="183960" cy="140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20</xdr:col>
      <xdr:colOff>30240</xdr:colOff>
      <xdr:row>20</xdr:row>
      <xdr:rowOff>100080</xdr:rowOff>
    </xdr:from>
    <xdr:to>
      <xdr:col>20</xdr:col>
      <xdr:colOff>158040</xdr:colOff>
      <xdr:row>20</xdr:row>
      <xdr:rowOff>261720</xdr:rowOff>
    </xdr:to>
    <xdr:sp macro="" textlink="">
      <xdr:nvSpPr>
        <xdr:cNvPr id="44" name="CustomShape 1">
          <a:extLst>
            <a:ext uri="{FF2B5EF4-FFF2-40B4-BE49-F238E27FC236}">
              <a16:creationId xmlns:a16="http://schemas.microsoft.com/office/drawing/2014/main" id="{00000000-0008-0000-0600-00002C000000}"/>
            </a:ext>
          </a:extLst>
        </xdr:cNvPr>
        <xdr:cNvSpPr/>
      </xdr:nvSpPr>
      <xdr:spPr>
        <a:xfrm>
          <a:off x="18342720" y="349848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27360</xdr:colOff>
      <xdr:row>20</xdr:row>
      <xdr:rowOff>106560</xdr:rowOff>
    </xdr:from>
    <xdr:to>
      <xdr:col>11</xdr:col>
      <xdr:colOff>155160</xdr:colOff>
      <xdr:row>20</xdr:row>
      <xdr:rowOff>264240</xdr:rowOff>
    </xdr:to>
    <xdr:sp macro="" textlink="">
      <xdr:nvSpPr>
        <xdr:cNvPr id="45" name="CustomShape 1">
          <a:extLst>
            <a:ext uri="{FF2B5EF4-FFF2-40B4-BE49-F238E27FC236}">
              <a16:creationId xmlns:a16="http://schemas.microsoft.com/office/drawing/2014/main" id="{00000000-0008-0000-0600-00002D000000}"/>
            </a:ext>
          </a:extLst>
        </xdr:cNvPr>
        <xdr:cNvSpPr/>
      </xdr:nvSpPr>
      <xdr:spPr>
        <a:xfrm>
          <a:off x="10955520" y="3504960"/>
          <a:ext cx="127800" cy="1576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124200</xdr:colOff>
      <xdr:row>19</xdr:row>
      <xdr:rowOff>30600</xdr:rowOff>
    </xdr:from>
    <xdr:to>
      <xdr:col>31</xdr:col>
      <xdr:colOff>308160</xdr:colOff>
      <xdr:row>20</xdr:row>
      <xdr:rowOff>16560</xdr:rowOff>
    </xdr:to>
    <xdr:sp macro="" textlink="">
      <xdr:nvSpPr>
        <xdr:cNvPr id="46" name="CustomShape 1">
          <a:extLst>
            <a:ext uri="{FF2B5EF4-FFF2-40B4-BE49-F238E27FC236}">
              <a16:creationId xmlns:a16="http://schemas.microsoft.com/office/drawing/2014/main" id="{00000000-0008-0000-0700-00002E000000}"/>
            </a:ext>
          </a:extLst>
        </xdr:cNvPr>
        <xdr:cNvSpPr/>
      </xdr:nvSpPr>
      <xdr:spPr>
        <a:xfrm>
          <a:off x="28873800" y="3945240"/>
          <a:ext cx="183960" cy="1612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46</xdr:col>
      <xdr:colOff>192600</xdr:colOff>
      <xdr:row>19</xdr:row>
      <xdr:rowOff>20880</xdr:rowOff>
    </xdr:from>
    <xdr:to>
      <xdr:col>46</xdr:col>
      <xdr:colOff>378720</xdr:colOff>
      <xdr:row>20</xdr:row>
      <xdr:rowOff>11520</xdr:rowOff>
    </xdr:to>
    <xdr:sp macro="" textlink="">
      <xdr:nvSpPr>
        <xdr:cNvPr id="47" name="CustomShape 1">
          <a:extLst>
            <a:ext uri="{FF2B5EF4-FFF2-40B4-BE49-F238E27FC236}">
              <a16:creationId xmlns:a16="http://schemas.microsoft.com/office/drawing/2014/main" id="{00000000-0008-0000-0700-00002F000000}"/>
            </a:ext>
          </a:extLst>
        </xdr:cNvPr>
        <xdr:cNvSpPr/>
      </xdr:nvSpPr>
      <xdr:spPr>
        <a:xfrm>
          <a:off x="41271840" y="3935520"/>
          <a:ext cx="186120" cy="16596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46</xdr:col>
      <xdr:colOff>24120</xdr:colOff>
      <xdr:row>3</xdr:row>
      <xdr:rowOff>93960</xdr:rowOff>
    </xdr:from>
    <xdr:to>
      <xdr:col>46</xdr:col>
      <xdr:colOff>151920</xdr:colOff>
      <xdr:row>3</xdr:row>
      <xdr:rowOff>190440</xdr:rowOff>
    </xdr:to>
    <xdr:sp macro="" textlink="">
      <xdr:nvSpPr>
        <xdr:cNvPr id="48" name="CustomShape 1">
          <a:extLst>
            <a:ext uri="{FF2B5EF4-FFF2-40B4-BE49-F238E27FC236}">
              <a16:creationId xmlns:a16="http://schemas.microsoft.com/office/drawing/2014/main" id="{00000000-0008-0000-0700-000030000000}"/>
            </a:ext>
          </a:extLst>
        </xdr:cNvPr>
        <xdr:cNvSpPr/>
      </xdr:nvSpPr>
      <xdr:spPr>
        <a:xfrm>
          <a:off x="41103360" y="634680"/>
          <a:ext cx="127800" cy="964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16</xdr:col>
      <xdr:colOff>101520</xdr:colOff>
      <xdr:row>19</xdr:row>
      <xdr:rowOff>37440</xdr:rowOff>
    </xdr:from>
    <xdr:to>
      <xdr:col>16</xdr:col>
      <xdr:colOff>285480</xdr:colOff>
      <xdr:row>20</xdr:row>
      <xdr:rowOff>23400</xdr:rowOff>
    </xdr:to>
    <xdr:sp macro="" textlink="">
      <xdr:nvSpPr>
        <xdr:cNvPr id="49" name="CustomShape 1">
          <a:extLst>
            <a:ext uri="{FF2B5EF4-FFF2-40B4-BE49-F238E27FC236}">
              <a16:creationId xmlns:a16="http://schemas.microsoft.com/office/drawing/2014/main" id="{00000000-0008-0000-0700-000031000000}"/>
            </a:ext>
          </a:extLst>
        </xdr:cNvPr>
        <xdr:cNvSpPr/>
      </xdr:nvSpPr>
      <xdr:spPr>
        <a:xfrm>
          <a:off x="16659000" y="3952080"/>
          <a:ext cx="183960" cy="1612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31</xdr:col>
      <xdr:colOff>30600</xdr:colOff>
      <xdr:row>3</xdr:row>
      <xdr:rowOff>100440</xdr:rowOff>
    </xdr:from>
    <xdr:to>
      <xdr:col>31</xdr:col>
      <xdr:colOff>158400</xdr:colOff>
      <xdr:row>3</xdr:row>
      <xdr:rowOff>190440</xdr:rowOff>
    </xdr:to>
    <xdr:sp macro="" textlink="">
      <xdr:nvSpPr>
        <xdr:cNvPr id="50" name="CustomShape 1">
          <a:extLst>
            <a:ext uri="{FF2B5EF4-FFF2-40B4-BE49-F238E27FC236}">
              <a16:creationId xmlns:a16="http://schemas.microsoft.com/office/drawing/2014/main" id="{00000000-0008-0000-0700-000032000000}"/>
            </a:ext>
          </a:extLst>
        </xdr:cNvPr>
        <xdr:cNvSpPr/>
      </xdr:nvSpPr>
      <xdr:spPr>
        <a:xfrm>
          <a:off x="28780200" y="641160"/>
          <a:ext cx="127800" cy="9000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16</xdr:col>
      <xdr:colOff>27720</xdr:colOff>
      <xdr:row>3</xdr:row>
      <xdr:rowOff>106920</xdr:rowOff>
    </xdr:from>
    <xdr:to>
      <xdr:col>16</xdr:col>
      <xdr:colOff>155520</xdr:colOff>
      <xdr:row>3</xdr:row>
      <xdr:rowOff>190440</xdr:rowOff>
    </xdr:to>
    <xdr:sp macro="" textlink="">
      <xdr:nvSpPr>
        <xdr:cNvPr id="51" name="CustomShape 1">
          <a:extLst>
            <a:ext uri="{FF2B5EF4-FFF2-40B4-BE49-F238E27FC236}">
              <a16:creationId xmlns:a16="http://schemas.microsoft.com/office/drawing/2014/main" id="{00000000-0008-0000-0700-000033000000}"/>
            </a:ext>
          </a:extLst>
        </xdr:cNvPr>
        <xdr:cNvSpPr/>
      </xdr:nvSpPr>
      <xdr:spPr>
        <a:xfrm>
          <a:off x="16585200" y="647640"/>
          <a:ext cx="127800" cy="8352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31</xdr:col>
      <xdr:colOff>124200</xdr:colOff>
      <xdr:row>21</xdr:row>
      <xdr:rowOff>28080</xdr:rowOff>
    </xdr:from>
    <xdr:to>
      <xdr:col>31</xdr:col>
      <xdr:colOff>308160</xdr:colOff>
      <xdr:row>21</xdr:row>
      <xdr:rowOff>174960</xdr:rowOff>
    </xdr:to>
    <xdr:sp macro="" textlink="">
      <xdr:nvSpPr>
        <xdr:cNvPr id="52" name="CustomShape 1">
          <a:extLst>
            <a:ext uri="{FF2B5EF4-FFF2-40B4-BE49-F238E27FC236}">
              <a16:creationId xmlns:a16="http://schemas.microsoft.com/office/drawing/2014/main" id="{00000000-0008-0000-0700-000034000000}"/>
            </a:ext>
          </a:extLst>
        </xdr:cNvPr>
        <xdr:cNvSpPr/>
      </xdr:nvSpPr>
      <xdr:spPr>
        <a:xfrm>
          <a:off x="28873800" y="4293360"/>
          <a:ext cx="183960" cy="1468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46</xdr:col>
      <xdr:colOff>192600</xdr:colOff>
      <xdr:row>21</xdr:row>
      <xdr:rowOff>18360</xdr:rowOff>
    </xdr:from>
    <xdr:to>
      <xdr:col>46</xdr:col>
      <xdr:colOff>378720</xdr:colOff>
      <xdr:row>21</xdr:row>
      <xdr:rowOff>174960</xdr:rowOff>
    </xdr:to>
    <xdr:sp macro="" textlink="">
      <xdr:nvSpPr>
        <xdr:cNvPr id="53" name="CustomShape 1">
          <a:extLst>
            <a:ext uri="{FF2B5EF4-FFF2-40B4-BE49-F238E27FC236}">
              <a16:creationId xmlns:a16="http://schemas.microsoft.com/office/drawing/2014/main" id="{00000000-0008-0000-0700-000035000000}"/>
            </a:ext>
          </a:extLst>
        </xdr:cNvPr>
        <xdr:cNvSpPr/>
      </xdr:nvSpPr>
      <xdr:spPr>
        <a:xfrm>
          <a:off x="41271840" y="4283640"/>
          <a:ext cx="186120" cy="15660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46</xdr:col>
      <xdr:colOff>24120</xdr:colOff>
      <xdr:row>5</xdr:row>
      <xdr:rowOff>93600</xdr:rowOff>
    </xdr:from>
    <xdr:to>
      <xdr:col>46</xdr:col>
      <xdr:colOff>151920</xdr:colOff>
      <xdr:row>5</xdr:row>
      <xdr:rowOff>255240</xdr:rowOff>
    </xdr:to>
    <xdr:sp macro="" textlink="">
      <xdr:nvSpPr>
        <xdr:cNvPr id="54" name="CustomShape 1">
          <a:extLst>
            <a:ext uri="{FF2B5EF4-FFF2-40B4-BE49-F238E27FC236}">
              <a16:creationId xmlns:a16="http://schemas.microsoft.com/office/drawing/2014/main" id="{00000000-0008-0000-0700-000036000000}"/>
            </a:ext>
          </a:extLst>
        </xdr:cNvPr>
        <xdr:cNvSpPr/>
      </xdr:nvSpPr>
      <xdr:spPr>
        <a:xfrm>
          <a:off x="41103360" y="101556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16</xdr:col>
      <xdr:colOff>101520</xdr:colOff>
      <xdr:row>21</xdr:row>
      <xdr:rowOff>34920</xdr:rowOff>
    </xdr:from>
    <xdr:to>
      <xdr:col>16</xdr:col>
      <xdr:colOff>285480</xdr:colOff>
      <xdr:row>21</xdr:row>
      <xdr:rowOff>174960</xdr:rowOff>
    </xdr:to>
    <xdr:sp macro="" textlink="">
      <xdr:nvSpPr>
        <xdr:cNvPr id="55" name="CustomShape 1">
          <a:extLst>
            <a:ext uri="{FF2B5EF4-FFF2-40B4-BE49-F238E27FC236}">
              <a16:creationId xmlns:a16="http://schemas.microsoft.com/office/drawing/2014/main" id="{00000000-0008-0000-0700-000037000000}"/>
            </a:ext>
          </a:extLst>
        </xdr:cNvPr>
        <xdr:cNvSpPr/>
      </xdr:nvSpPr>
      <xdr:spPr>
        <a:xfrm>
          <a:off x="16659000" y="4300200"/>
          <a:ext cx="183960" cy="140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31</xdr:col>
      <xdr:colOff>30600</xdr:colOff>
      <xdr:row>5</xdr:row>
      <xdr:rowOff>100080</xdr:rowOff>
    </xdr:from>
    <xdr:to>
      <xdr:col>31</xdr:col>
      <xdr:colOff>158400</xdr:colOff>
      <xdr:row>5</xdr:row>
      <xdr:rowOff>261720</xdr:rowOff>
    </xdr:to>
    <xdr:sp macro="" textlink="">
      <xdr:nvSpPr>
        <xdr:cNvPr id="56" name="CustomShape 1">
          <a:extLst>
            <a:ext uri="{FF2B5EF4-FFF2-40B4-BE49-F238E27FC236}">
              <a16:creationId xmlns:a16="http://schemas.microsoft.com/office/drawing/2014/main" id="{00000000-0008-0000-0700-000038000000}"/>
            </a:ext>
          </a:extLst>
        </xdr:cNvPr>
        <xdr:cNvSpPr/>
      </xdr:nvSpPr>
      <xdr:spPr>
        <a:xfrm>
          <a:off x="28780200" y="102204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16</xdr:col>
      <xdr:colOff>27720</xdr:colOff>
      <xdr:row>5</xdr:row>
      <xdr:rowOff>106560</xdr:rowOff>
    </xdr:from>
    <xdr:to>
      <xdr:col>16</xdr:col>
      <xdr:colOff>155520</xdr:colOff>
      <xdr:row>5</xdr:row>
      <xdr:rowOff>266040</xdr:rowOff>
    </xdr:to>
    <xdr:sp macro="" textlink="">
      <xdr:nvSpPr>
        <xdr:cNvPr id="57" name="CustomShape 1">
          <a:extLst>
            <a:ext uri="{FF2B5EF4-FFF2-40B4-BE49-F238E27FC236}">
              <a16:creationId xmlns:a16="http://schemas.microsoft.com/office/drawing/2014/main" id="{00000000-0008-0000-0700-000039000000}"/>
            </a:ext>
          </a:extLst>
        </xdr:cNvPr>
        <xdr:cNvSpPr/>
      </xdr:nvSpPr>
      <xdr:spPr>
        <a:xfrm>
          <a:off x="16585200" y="1028520"/>
          <a:ext cx="127800" cy="1594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123840</xdr:colOff>
      <xdr:row>35</xdr:row>
      <xdr:rowOff>28440</xdr:rowOff>
    </xdr:from>
    <xdr:to>
      <xdr:col>20</xdr:col>
      <xdr:colOff>307800</xdr:colOff>
      <xdr:row>40</xdr:row>
      <xdr:rowOff>146880</xdr:rowOff>
    </xdr:to>
    <xdr:sp macro="" textlink="">
      <xdr:nvSpPr>
        <xdr:cNvPr id="2" name="CustomShape 1">
          <a:extLst>
            <a:ext uri="{FF2B5EF4-FFF2-40B4-BE49-F238E27FC236}">
              <a16:creationId xmlns:a16="http://schemas.microsoft.com/office/drawing/2014/main" id="{726E68E4-F138-4484-A83E-F35D5CD84E4B}"/>
            </a:ext>
          </a:extLst>
        </xdr:cNvPr>
        <xdr:cNvSpPr/>
      </xdr:nvSpPr>
      <xdr:spPr>
        <a:xfrm>
          <a:off x="18145140" y="7239000"/>
          <a:ext cx="183960" cy="1468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29</xdr:col>
      <xdr:colOff>192240</xdr:colOff>
      <xdr:row>35</xdr:row>
      <xdr:rowOff>18720</xdr:rowOff>
    </xdr:from>
    <xdr:to>
      <xdr:col>29</xdr:col>
      <xdr:colOff>378360</xdr:colOff>
      <xdr:row>40</xdr:row>
      <xdr:rowOff>156600</xdr:rowOff>
    </xdr:to>
    <xdr:sp macro="" textlink="">
      <xdr:nvSpPr>
        <xdr:cNvPr id="3" name="CustomShape 1">
          <a:extLst>
            <a:ext uri="{FF2B5EF4-FFF2-40B4-BE49-F238E27FC236}">
              <a16:creationId xmlns:a16="http://schemas.microsoft.com/office/drawing/2014/main" id="{1712804C-5A91-4003-91A5-D99108445690}"/>
            </a:ext>
          </a:extLst>
        </xdr:cNvPr>
        <xdr:cNvSpPr/>
      </xdr:nvSpPr>
      <xdr:spPr>
        <a:xfrm>
          <a:off x="24490515" y="7239000"/>
          <a:ext cx="186120" cy="15660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29</xdr:col>
      <xdr:colOff>23760</xdr:colOff>
      <xdr:row>19</xdr:row>
      <xdr:rowOff>93600</xdr:rowOff>
    </xdr:from>
    <xdr:to>
      <xdr:col>29</xdr:col>
      <xdr:colOff>151560</xdr:colOff>
      <xdr:row>19</xdr:row>
      <xdr:rowOff>255240</xdr:rowOff>
    </xdr:to>
    <xdr:sp macro="" textlink="">
      <xdr:nvSpPr>
        <xdr:cNvPr id="4" name="CustomShape 1">
          <a:extLst>
            <a:ext uri="{FF2B5EF4-FFF2-40B4-BE49-F238E27FC236}">
              <a16:creationId xmlns:a16="http://schemas.microsoft.com/office/drawing/2014/main" id="{9D0D8CE2-6185-4A32-8F7F-1E575716B3AB}"/>
            </a:ext>
          </a:extLst>
        </xdr:cNvPr>
        <xdr:cNvSpPr/>
      </xdr:nvSpPr>
      <xdr:spPr>
        <a:xfrm>
          <a:off x="24322035" y="357975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101160</xdr:colOff>
      <xdr:row>35</xdr:row>
      <xdr:rowOff>35280</xdr:rowOff>
    </xdr:from>
    <xdr:to>
      <xdr:col>11</xdr:col>
      <xdr:colOff>285120</xdr:colOff>
      <xdr:row>40</xdr:row>
      <xdr:rowOff>140040</xdr:rowOff>
    </xdr:to>
    <xdr:sp macro="" textlink="">
      <xdr:nvSpPr>
        <xdr:cNvPr id="5" name="CustomShape 1">
          <a:extLst>
            <a:ext uri="{FF2B5EF4-FFF2-40B4-BE49-F238E27FC236}">
              <a16:creationId xmlns:a16="http://schemas.microsoft.com/office/drawing/2014/main" id="{D28CE98D-DCCE-4115-9504-41A3A058D9A8}"/>
            </a:ext>
          </a:extLst>
        </xdr:cNvPr>
        <xdr:cNvSpPr/>
      </xdr:nvSpPr>
      <xdr:spPr>
        <a:xfrm>
          <a:off x="11750235" y="7239000"/>
          <a:ext cx="183960" cy="1400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20</xdr:col>
      <xdr:colOff>30240</xdr:colOff>
      <xdr:row>19</xdr:row>
      <xdr:rowOff>100080</xdr:rowOff>
    </xdr:from>
    <xdr:to>
      <xdr:col>20</xdr:col>
      <xdr:colOff>158040</xdr:colOff>
      <xdr:row>19</xdr:row>
      <xdr:rowOff>261720</xdr:rowOff>
    </xdr:to>
    <xdr:sp macro="" textlink="">
      <xdr:nvSpPr>
        <xdr:cNvPr id="6" name="CustomShape 1">
          <a:extLst>
            <a:ext uri="{FF2B5EF4-FFF2-40B4-BE49-F238E27FC236}">
              <a16:creationId xmlns:a16="http://schemas.microsoft.com/office/drawing/2014/main" id="{CA1DCD00-88E6-4826-868C-D155B476624E}"/>
            </a:ext>
          </a:extLst>
        </xdr:cNvPr>
        <xdr:cNvSpPr/>
      </xdr:nvSpPr>
      <xdr:spPr>
        <a:xfrm>
          <a:off x="18051540" y="3586230"/>
          <a:ext cx="127800" cy="16164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twoCellAnchor editAs="oneCell">
    <xdr:from>
      <xdr:col>11</xdr:col>
      <xdr:colOff>27360</xdr:colOff>
      <xdr:row>19</xdr:row>
      <xdr:rowOff>106560</xdr:rowOff>
    </xdr:from>
    <xdr:to>
      <xdr:col>11</xdr:col>
      <xdr:colOff>155160</xdr:colOff>
      <xdr:row>19</xdr:row>
      <xdr:rowOff>264240</xdr:rowOff>
    </xdr:to>
    <xdr:sp macro="" textlink="">
      <xdr:nvSpPr>
        <xdr:cNvPr id="7" name="CustomShape 1">
          <a:extLst>
            <a:ext uri="{FF2B5EF4-FFF2-40B4-BE49-F238E27FC236}">
              <a16:creationId xmlns:a16="http://schemas.microsoft.com/office/drawing/2014/main" id="{AB7F5BB9-6550-4AF8-A514-B95E8711B190}"/>
            </a:ext>
          </a:extLst>
        </xdr:cNvPr>
        <xdr:cNvSpPr/>
      </xdr:nvSpPr>
      <xdr:spPr>
        <a:xfrm>
          <a:off x="11676435" y="3592710"/>
          <a:ext cx="127800" cy="1576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twoCellAnchor>
  <xdr:oneCellAnchor>
    <xdr:from>
      <xdr:col>2</xdr:col>
      <xdr:colOff>27360</xdr:colOff>
      <xdr:row>19</xdr:row>
      <xdr:rowOff>106560</xdr:rowOff>
    </xdr:from>
    <xdr:ext cx="127800" cy="157680"/>
    <xdr:sp macro="" textlink="">
      <xdr:nvSpPr>
        <xdr:cNvPr id="8" name="CustomShape 1">
          <a:extLst>
            <a:ext uri="{FF2B5EF4-FFF2-40B4-BE49-F238E27FC236}">
              <a16:creationId xmlns:a16="http://schemas.microsoft.com/office/drawing/2014/main" id="{DCE3927F-AA6F-45C2-8049-DBFBF5AB0920}"/>
            </a:ext>
          </a:extLst>
        </xdr:cNvPr>
        <xdr:cNvSpPr/>
      </xdr:nvSpPr>
      <xdr:spPr>
        <a:xfrm>
          <a:off x="12052673" y="3797498"/>
          <a:ext cx="127800" cy="157680"/>
        </a:xfrm>
        <a:prstGeom prst="star5">
          <a:avLst>
            <a:gd name="adj" fmla="val 19098"/>
            <a:gd name="hf" fmla="val 105146"/>
            <a:gd name="vf" fmla="val 110557"/>
          </a:avLst>
        </a:prstGeom>
        <a:noFill/>
        <a:ln>
          <a:noFill/>
        </a:ln>
      </xdr:spPr>
      <xdr:style>
        <a:lnRef idx="2">
          <a:schemeClr val="accent5"/>
        </a:lnRef>
        <a:fillRef idx="1">
          <a:schemeClr val="lt1"/>
        </a:fillRef>
        <a:effectRef idx="0">
          <a:schemeClr val="accent5"/>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305B-9DFD-4966-8588-CBD03AD0D415}">
  <dimension ref="B1:I37"/>
  <sheetViews>
    <sheetView showGridLines="0" tabSelected="1" zoomScaleNormal="100" workbookViewId="0"/>
  </sheetViews>
  <sheetFormatPr defaultRowHeight="12.75" x14ac:dyDescent="0.2"/>
  <cols>
    <col min="1" max="1" width="9.140625" style="11"/>
    <col min="2" max="2" width="29.140625" style="11" bestFit="1" customWidth="1"/>
    <col min="3" max="3" width="49.85546875" style="11" bestFit="1" customWidth="1"/>
    <col min="4" max="5" width="9.140625" style="11"/>
    <col min="6" max="6" width="20.5703125" style="11" customWidth="1"/>
    <col min="7" max="7" width="20.140625" style="11" customWidth="1"/>
    <col min="8" max="8" width="17.7109375" style="11" customWidth="1"/>
    <col min="9" max="16384" width="9.140625" style="11"/>
  </cols>
  <sheetData>
    <row r="1" spans="2:9" ht="13.5" thickBot="1" x14ac:dyDescent="0.25"/>
    <row r="2" spans="2:9" ht="13.5" thickBot="1" x14ac:dyDescent="0.25">
      <c r="B2" s="124" t="s">
        <v>80</v>
      </c>
      <c r="C2" s="125"/>
      <c r="F2" s="126" t="s">
        <v>85</v>
      </c>
      <c r="G2" s="126"/>
      <c r="H2" s="126"/>
    </row>
    <row r="3" spans="2:9" ht="38.25" x14ac:dyDescent="0.2">
      <c r="B3" s="127" t="s">
        <v>81</v>
      </c>
      <c r="C3" s="128" t="s">
        <v>188</v>
      </c>
      <c r="F3" s="129" t="s">
        <v>186</v>
      </c>
      <c r="G3" s="129" t="s">
        <v>187</v>
      </c>
      <c r="H3" s="129" t="s">
        <v>185</v>
      </c>
    </row>
    <row r="4" spans="2:9" ht="13.5" thickBot="1" x14ac:dyDescent="0.25">
      <c r="F4" s="48">
        <v>100</v>
      </c>
      <c r="G4" s="48">
        <v>499</v>
      </c>
      <c r="H4" s="130">
        <v>0.16</v>
      </c>
    </row>
    <row r="5" spans="2:9" ht="13.5" thickBot="1" x14ac:dyDescent="0.25">
      <c r="B5" s="131" t="s">
        <v>125</v>
      </c>
      <c r="C5" s="132" t="s">
        <v>126</v>
      </c>
      <c r="F5" s="48">
        <v>500</v>
      </c>
      <c r="G5" s="48">
        <v>999</v>
      </c>
      <c r="H5" s="130">
        <v>0.18</v>
      </c>
    </row>
    <row r="6" spans="2:9" x14ac:dyDescent="0.2">
      <c r="B6" s="133" t="s">
        <v>112</v>
      </c>
      <c r="C6" s="20" t="s">
        <v>170</v>
      </c>
      <c r="F6" s="48">
        <v>1000</v>
      </c>
      <c r="G6" s="48">
        <v>9999</v>
      </c>
      <c r="H6" s="130">
        <v>0.2</v>
      </c>
    </row>
    <row r="7" spans="2:9" x14ac:dyDescent="0.2">
      <c r="B7" s="133" t="s">
        <v>179</v>
      </c>
      <c r="C7" s="25" t="s">
        <v>181</v>
      </c>
      <c r="F7" s="48">
        <v>10000</v>
      </c>
      <c r="G7" s="48">
        <v>99999</v>
      </c>
      <c r="H7" s="130">
        <v>0.22</v>
      </c>
    </row>
    <row r="8" spans="2:9" x14ac:dyDescent="0.2">
      <c r="B8" s="133" t="s">
        <v>159</v>
      </c>
      <c r="C8" s="25" t="s">
        <v>182</v>
      </c>
      <c r="F8" s="48">
        <v>100000</v>
      </c>
      <c r="G8" s="48" t="s">
        <v>0</v>
      </c>
      <c r="H8" s="130">
        <v>0.24</v>
      </c>
    </row>
    <row r="9" spans="2:9" x14ac:dyDescent="0.2">
      <c r="B9" s="133" t="s">
        <v>109</v>
      </c>
      <c r="C9" s="20" t="s">
        <v>183</v>
      </c>
    </row>
    <row r="10" spans="2:9" x14ac:dyDescent="0.2">
      <c r="F10" s="123" t="s">
        <v>122</v>
      </c>
      <c r="G10" s="123"/>
    </row>
    <row r="11" spans="2:9" x14ac:dyDescent="0.2">
      <c r="F11" s="123" t="s">
        <v>123</v>
      </c>
      <c r="G11" s="123"/>
    </row>
    <row r="13" spans="2:9" ht="15" customHeight="1" x14ac:dyDescent="0.2">
      <c r="B13" s="134" t="s">
        <v>42</v>
      </c>
      <c r="C13" s="135"/>
      <c r="D13" s="135"/>
      <c r="E13" s="135"/>
      <c r="F13" s="135"/>
      <c r="G13" s="135"/>
      <c r="H13" s="135"/>
      <c r="I13" s="136"/>
    </row>
    <row r="14" spans="2:9" ht="15" customHeight="1" x14ac:dyDescent="0.2">
      <c r="B14" s="27" t="s">
        <v>43</v>
      </c>
      <c r="C14" s="28"/>
      <c r="D14" s="28"/>
      <c r="E14" s="28"/>
      <c r="F14" s="28"/>
      <c r="G14" s="28"/>
      <c r="H14" s="28"/>
      <c r="I14" s="29"/>
    </row>
    <row r="15" spans="2:9" ht="15" customHeight="1" x14ac:dyDescent="0.2">
      <c r="B15" s="137" t="s">
        <v>44</v>
      </c>
      <c r="C15" s="138"/>
      <c r="D15" s="138"/>
      <c r="E15" s="138"/>
      <c r="F15" s="138"/>
      <c r="G15" s="138"/>
      <c r="H15" s="138"/>
      <c r="I15" s="139"/>
    </row>
    <row r="16" spans="2:9" ht="42" customHeight="1" x14ac:dyDescent="0.2">
      <c r="B16" s="27" t="s">
        <v>45</v>
      </c>
      <c r="C16" s="28"/>
      <c r="D16" s="28"/>
      <c r="E16" s="28"/>
      <c r="F16" s="28"/>
      <c r="G16" s="28"/>
      <c r="H16" s="28"/>
      <c r="I16" s="29"/>
    </row>
    <row r="17" spans="2:9" ht="28.5" customHeight="1" x14ac:dyDescent="0.2">
      <c r="B17" s="27" t="s">
        <v>46</v>
      </c>
      <c r="C17" s="28"/>
      <c r="D17" s="28"/>
      <c r="E17" s="28"/>
      <c r="F17" s="28"/>
      <c r="G17" s="28"/>
      <c r="H17" s="28"/>
      <c r="I17" s="29"/>
    </row>
    <row r="18" spans="2:9" ht="20.25" customHeight="1" x14ac:dyDescent="0.2">
      <c r="B18" s="27" t="s">
        <v>47</v>
      </c>
      <c r="C18" s="28"/>
      <c r="D18" s="28"/>
      <c r="E18" s="28"/>
      <c r="F18" s="28"/>
      <c r="G18" s="28"/>
      <c r="H18" s="28"/>
      <c r="I18" s="29"/>
    </row>
    <row r="19" spans="2:9" ht="47.25" customHeight="1" x14ac:dyDescent="0.2">
      <c r="B19" s="27" t="s">
        <v>205</v>
      </c>
      <c r="C19" s="28"/>
      <c r="D19" s="28"/>
      <c r="E19" s="28"/>
      <c r="F19" s="28"/>
      <c r="G19" s="28"/>
      <c r="H19" s="28"/>
      <c r="I19" s="29"/>
    </row>
    <row r="20" spans="2:9" ht="45" customHeight="1" x14ac:dyDescent="0.2">
      <c r="B20" s="27" t="s">
        <v>206</v>
      </c>
      <c r="C20" s="28"/>
      <c r="D20" s="28"/>
      <c r="E20" s="28"/>
      <c r="F20" s="28"/>
      <c r="G20" s="28"/>
      <c r="H20" s="28"/>
      <c r="I20" s="29"/>
    </row>
    <row r="21" spans="2:9" ht="15" customHeight="1" x14ac:dyDescent="0.2">
      <c r="B21" s="137" t="s">
        <v>50</v>
      </c>
      <c r="C21" s="138"/>
      <c r="D21" s="138"/>
      <c r="E21" s="138"/>
      <c r="F21" s="138"/>
      <c r="G21" s="138"/>
      <c r="H21" s="138"/>
      <c r="I21" s="139"/>
    </row>
    <row r="22" spans="2:9" ht="31.5" customHeight="1" x14ac:dyDescent="0.2">
      <c r="B22" s="27" t="s">
        <v>51</v>
      </c>
      <c r="C22" s="28"/>
      <c r="D22" s="28"/>
      <c r="E22" s="28"/>
      <c r="F22" s="28"/>
      <c r="G22" s="28"/>
      <c r="H22" s="28"/>
      <c r="I22" s="29"/>
    </row>
    <row r="23" spans="2:9" ht="30.75" customHeight="1" x14ac:dyDescent="0.2">
      <c r="B23" s="27" t="s">
        <v>52</v>
      </c>
      <c r="C23" s="28"/>
      <c r="D23" s="28"/>
      <c r="E23" s="28"/>
      <c r="F23" s="28"/>
      <c r="G23" s="28"/>
      <c r="H23" s="28"/>
      <c r="I23" s="29"/>
    </row>
    <row r="24" spans="2:9" x14ac:dyDescent="0.2">
      <c r="B24" s="137" t="s">
        <v>53</v>
      </c>
      <c r="C24" s="138"/>
      <c r="D24" s="138"/>
      <c r="E24" s="138"/>
      <c r="F24" s="138"/>
      <c r="G24" s="138"/>
      <c r="H24" s="138"/>
      <c r="I24" s="139"/>
    </row>
    <row r="25" spans="2:9" ht="49.5" customHeight="1" x14ac:dyDescent="0.2">
      <c r="B25" s="27" t="s">
        <v>54</v>
      </c>
      <c r="C25" s="28"/>
      <c r="D25" s="28"/>
      <c r="E25" s="28"/>
      <c r="F25" s="28"/>
      <c r="G25" s="28"/>
      <c r="H25" s="28"/>
      <c r="I25" s="29"/>
    </row>
    <row r="26" spans="2:9" x14ac:dyDescent="0.2">
      <c r="B26" s="137" t="s">
        <v>55</v>
      </c>
      <c r="C26" s="138"/>
      <c r="D26" s="138"/>
      <c r="E26" s="138"/>
      <c r="F26" s="138"/>
      <c r="G26" s="138"/>
      <c r="H26" s="138"/>
      <c r="I26" s="139"/>
    </row>
    <row r="27" spans="2:9" ht="15" customHeight="1" x14ac:dyDescent="0.2">
      <c r="B27" s="27" t="s">
        <v>56</v>
      </c>
      <c r="C27" s="28"/>
      <c r="D27" s="28"/>
      <c r="E27" s="28"/>
      <c r="F27" s="28"/>
      <c r="G27" s="28"/>
      <c r="H27" s="28"/>
      <c r="I27" s="29"/>
    </row>
    <row r="28" spans="2:9" ht="60" customHeight="1" x14ac:dyDescent="0.2">
      <c r="B28" s="27" t="s">
        <v>57</v>
      </c>
      <c r="C28" s="28"/>
      <c r="D28" s="28"/>
      <c r="E28" s="28"/>
      <c r="F28" s="28"/>
      <c r="G28" s="28"/>
      <c r="H28" s="28"/>
      <c r="I28" s="29"/>
    </row>
    <row r="29" spans="2:9" ht="18" customHeight="1" x14ac:dyDescent="0.2">
      <c r="B29" s="27" t="s">
        <v>58</v>
      </c>
      <c r="C29" s="28"/>
      <c r="D29" s="28"/>
      <c r="E29" s="28"/>
      <c r="F29" s="28"/>
      <c r="G29" s="28"/>
      <c r="H29" s="28"/>
      <c r="I29" s="29"/>
    </row>
    <row r="30" spans="2:9" ht="13.5" thickBot="1" x14ac:dyDescent="0.25"/>
    <row r="31" spans="2:9" x14ac:dyDescent="0.2">
      <c r="B31" s="140" t="s">
        <v>184</v>
      </c>
      <c r="C31" s="141"/>
      <c r="D31" s="141"/>
      <c r="E31" s="141"/>
      <c r="F31" s="141"/>
      <c r="G31" s="141"/>
      <c r="H31" s="141"/>
      <c r="I31" s="142"/>
    </row>
    <row r="32" spans="2:9" x14ac:dyDescent="0.2">
      <c r="B32" s="143" t="s">
        <v>78</v>
      </c>
      <c r="C32" s="144"/>
      <c r="D32" s="144"/>
      <c r="E32" s="144"/>
      <c r="F32" s="144"/>
      <c r="G32" s="144"/>
      <c r="H32" s="144"/>
      <c r="I32" s="145"/>
    </row>
    <row r="33" spans="2:9" x14ac:dyDescent="0.2">
      <c r="B33" s="143"/>
      <c r="C33" s="144"/>
      <c r="D33" s="144"/>
      <c r="E33" s="144"/>
      <c r="F33" s="144"/>
      <c r="G33" s="144"/>
      <c r="H33" s="144"/>
      <c r="I33" s="145"/>
    </row>
    <row r="34" spans="2:9" x14ac:dyDescent="0.2">
      <c r="B34" s="143"/>
      <c r="C34" s="144"/>
      <c r="D34" s="144"/>
      <c r="E34" s="144"/>
      <c r="F34" s="144"/>
      <c r="G34" s="144"/>
      <c r="H34" s="144"/>
      <c r="I34" s="145"/>
    </row>
    <row r="35" spans="2:9" x14ac:dyDescent="0.2">
      <c r="B35" s="143"/>
      <c r="C35" s="144"/>
      <c r="D35" s="144"/>
      <c r="E35" s="144"/>
      <c r="F35" s="144"/>
      <c r="G35" s="144"/>
      <c r="H35" s="144"/>
      <c r="I35" s="145"/>
    </row>
    <row r="36" spans="2:9" x14ac:dyDescent="0.2">
      <c r="B36" s="143" t="s">
        <v>79</v>
      </c>
      <c r="C36" s="144"/>
      <c r="D36" s="144"/>
      <c r="E36" s="144"/>
      <c r="F36" s="144"/>
      <c r="G36" s="144"/>
      <c r="H36" s="144"/>
      <c r="I36" s="145"/>
    </row>
    <row r="37" spans="2:9" ht="13.5" thickBot="1" x14ac:dyDescent="0.25">
      <c r="B37" s="146"/>
      <c r="C37" s="147"/>
      <c r="D37" s="147"/>
      <c r="E37" s="147"/>
      <c r="F37" s="147"/>
      <c r="G37" s="147"/>
      <c r="H37" s="147"/>
      <c r="I37" s="148"/>
    </row>
  </sheetData>
  <sheetProtection algorithmName="SHA-512" hashValue="1OIGtKRolKZGtwCxdZ/T/zTCjd1v/7V6wd1cve1GD679edH61q9U/TC1+QLKCHhgxp5d+OxxeTu7XEyAMmoDRQ==" saltValue="5c0mHYqRNTPlZzLqYcjFlA==" spinCount="100000" sheet="1" objects="1" scenarios="1"/>
  <mergeCells count="20">
    <mergeCell ref="F2:H2"/>
    <mergeCell ref="B36:I37"/>
    <mergeCell ref="B32:I35"/>
    <mergeCell ref="B28:I28"/>
    <mergeCell ref="B29:I29"/>
    <mergeCell ref="B22:I22"/>
    <mergeCell ref="B23:I23"/>
    <mergeCell ref="B24:I24"/>
    <mergeCell ref="B25:I25"/>
    <mergeCell ref="B26:I26"/>
    <mergeCell ref="B27:I27"/>
    <mergeCell ref="B21:I21"/>
    <mergeCell ref="B19:I19"/>
    <mergeCell ref="B20:I20"/>
    <mergeCell ref="B13:I13"/>
    <mergeCell ref="B14:I14"/>
    <mergeCell ref="B15:I15"/>
    <mergeCell ref="B16:I16"/>
    <mergeCell ref="B17:I17"/>
    <mergeCell ref="B18:I18"/>
  </mergeCells>
  <hyperlinks>
    <hyperlink ref="B8" location="'TimeAlly - TSGAP'!A1" display="TimeAlly + TSGAP" xr:uid="{39F5735D-DE9F-407A-B284-7CE174FBE74F}"/>
    <hyperlink ref="B9" location="'Day Swappers Calculation'!A1" display="Day Swappers Calculation" xr:uid="{5256593D-EEA2-4BB7-8487-84B805FB5344}"/>
    <hyperlink ref="B6" location="'GOAL Approach'!A1" display="GOAL Approach" xr:uid="{82D3A009-DB62-4755-A942-39BEC10420E1}"/>
    <hyperlink ref="B7" location="TSGAP!A1" display="TSGAP" xr:uid="{226CB33A-8BC3-4031-81E4-B241F9E8D879}"/>
  </hyperlinks>
  <pageMargins left="0.7" right="0.7" top="0.75" bottom="0.75" header="0.3" footer="0.3"/>
  <pageSetup paperSize="9"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9FBA-A57A-4FD9-8B9D-D0F3EA67E386}">
  <dimension ref="B1:AG67"/>
  <sheetViews>
    <sheetView showGridLines="0" zoomScale="80" zoomScaleNormal="80" workbookViewId="0">
      <pane xSplit="7" topLeftCell="H1" activePane="topRight" state="frozen"/>
      <selection sqref="A1:XFD1048576"/>
      <selection pane="topRight" activeCell="B14" sqref="B14"/>
    </sheetView>
  </sheetViews>
  <sheetFormatPr defaultRowHeight="12.75" x14ac:dyDescent="0.2"/>
  <cols>
    <col min="1" max="1" width="9.140625" style="209"/>
    <col min="2" max="2" width="20.42578125" style="209" bestFit="1" customWidth="1"/>
    <col min="3" max="3" width="27.7109375" style="209" bestFit="1" customWidth="1"/>
    <col min="4" max="4" width="14.7109375" style="209" customWidth="1"/>
    <col min="5" max="5" width="18.85546875" style="209" customWidth="1"/>
    <col min="6" max="6" width="17" style="209" customWidth="1"/>
    <col min="7" max="7" width="21.5703125" style="209" bestFit="1" customWidth="1"/>
    <col min="8" max="8" width="11.140625" style="209" customWidth="1"/>
    <col min="9" max="9" width="17.7109375" style="209" bestFit="1" customWidth="1"/>
    <col min="10" max="10" width="13.140625" style="209" customWidth="1"/>
    <col min="11" max="11" width="9.140625" style="209" customWidth="1"/>
    <col min="12" max="12" width="13.28515625" style="209" customWidth="1"/>
    <col min="13" max="13" width="12.28515625" style="209" customWidth="1"/>
    <col min="14" max="15" width="9.140625" style="209" customWidth="1"/>
    <col min="16" max="16" width="12.42578125" style="209" customWidth="1"/>
    <col min="17" max="18" width="9.140625" style="209" customWidth="1"/>
    <col min="19" max="19" width="11.85546875" style="209" customWidth="1"/>
    <col min="20" max="20" width="9.140625" style="209" customWidth="1"/>
    <col min="21" max="21" width="12" style="209" customWidth="1"/>
    <col min="22" max="22" width="11.85546875" style="209" customWidth="1"/>
    <col min="23" max="24" width="9.140625" style="209" customWidth="1"/>
    <col min="25" max="25" width="11.5703125" style="209" customWidth="1"/>
    <col min="26" max="27" width="9.140625" style="209" customWidth="1"/>
    <col min="28" max="28" width="13" style="209" customWidth="1"/>
    <col min="29" max="29" width="9.140625" style="209" customWidth="1"/>
    <col min="30" max="30" width="12" style="209" customWidth="1"/>
    <col min="31" max="31" width="13.7109375" style="209" customWidth="1"/>
    <col min="32" max="1026" width="9.140625" style="209" customWidth="1"/>
    <col min="1027" max="16384" width="9.140625" style="209"/>
  </cols>
  <sheetData>
    <row r="1" spans="2:31" s="209" customFormat="1" ht="13.5" thickBot="1" x14ac:dyDescent="0.25">
      <c r="D1" s="210"/>
      <c r="F1" s="211"/>
      <c r="G1" s="210"/>
      <c r="I1" s="212"/>
      <c r="J1" s="210"/>
      <c r="L1" s="211"/>
      <c r="M1" s="210"/>
      <c r="O1" s="211"/>
      <c r="P1" s="210"/>
      <c r="R1" s="211"/>
      <c r="S1" s="210"/>
      <c r="V1" s="210"/>
      <c r="Y1" s="210"/>
      <c r="AB1" s="210"/>
      <c r="AE1" s="210"/>
    </row>
    <row r="2" spans="2:31" s="209" customFormat="1" ht="13.5" thickBot="1" x14ac:dyDescent="0.25">
      <c r="C2" s="214" t="s">
        <v>141</v>
      </c>
      <c r="D2" s="210"/>
      <c r="E2" s="356" t="s">
        <v>59</v>
      </c>
      <c r="F2" s="357"/>
      <c r="G2" s="358"/>
      <c r="I2" s="359" t="s">
        <v>106</v>
      </c>
      <c r="J2" s="360"/>
      <c r="K2" s="361"/>
      <c r="L2" s="362" t="s">
        <v>33</v>
      </c>
      <c r="M2" s="363" t="s">
        <v>107</v>
      </c>
      <c r="R2" s="211"/>
      <c r="S2" s="210"/>
      <c r="Y2" s="210"/>
      <c r="AB2" s="210"/>
      <c r="AE2" s="210"/>
    </row>
    <row r="3" spans="2:31" s="209" customFormat="1" ht="13.5" thickBot="1" x14ac:dyDescent="0.25">
      <c r="B3" s="215" t="s">
        <v>171</v>
      </c>
      <c r="C3" s="386">
        <v>100000</v>
      </c>
      <c r="E3" s="249" t="s">
        <v>14</v>
      </c>
      <c r="F3" s="249" t="s">
        <v>120</v>
      </c>
      <c r="G3" s="249" t="s">
        <v>121</v>
      </c>
      <c r="I3" s="364" t="s">
        <v>34</v>
      </c>
      <c r="J3" s="364"/>
      <c r="K3" s="365"/>
      <c r="L3" s="387">
        <f>K43</f>
        <v>6499.9999992000003</v>
      </c>
      <c r="M3" s="277" t="s">
        <v>108</v>
      </c>
      <c r="R3" s="211"/>
      <c r="S3" s="210"/>
      <c r="Y3" s="210"/>
      <c r="AB3" s="210"/>
      <c r="AE3" s="210"/>
    </row>
    <row r="4" spans="2:31" s="209" customFormat="1" x14ac:dyDescent="0.2">
      <c r="B4" s="215" t="s">
        <v>158</v>
      </c>
      <c r="C4" s="388">
        <v>1</v>
      </c>
      <c r="D4" s="210"/>
      <c r="E4" s="277">
        <v>1</v>
      </c>
      <c r="F4" s="366" t="s">
        <v>60</v>
      </c>
      <c r="G4" s="367"/>
      <c r="I4" s="275" t="s">
        <v>35</v>
      </c>
      <c r="J4" s="275"/>
      <c r="K4" s="368"/>
      <c r="L4" s="387">
        <f>K44</f>
        <v>10529.999998703999</v>
      </c>
      <c r="M4" s="277" t="s">
        <v>108</v>
      </c>
      <c r="R4" s="211"/>
      <c r="S4" s="210"/>
      <c r="Y4" s="210"/>
      <c r="AB4" s="210"/>
      <c r="AE4" s="210"/>
    </row>
    <row r="5" spans="2:31" s="209" customFormat="1" x14ac:dyDescent="0.2">
      <c r="B5" s="215" t="s">
        <v>75</v>
      </c>
      <c r="C5" s="389">
        <f>IF(C4=1,C3*0.005416666666,C3*0.00625)</f>
        <v>541.66666659999999</v>
      </c>
      <c r="D5" s="210"/>
      <c r="E5" s="277">
        <v>2</v>
      </c>
      <c r="F5" s="366" t="s">
        <v>60</v>
      </c>
      <c r="G5" s="367"/>
      <c r="I5" s="275" t="s">
        <v>37</v>
      </c>
      <c r="J5" s="275"/>
      <c r="K5" s="368"/>
      <c r="L5" s="387">
        <f>K45</f>
        <v>10529.999998703999</v>
      </c>
      <c r="M5" s="369">
        <f>L5/C3</f>
        <v>0.10529999998704</v>
      </c>
      <c r="R5" s="211"/>
      <c r="S5" s="210"/>
      <c r="Y5" s="210"/>
      <c r="AB5" s="210"/>
      <c r="AE5" s="210"/>
    </row>
    <row r="6" spans="2:31" s="209" customFormat="1" ht="13.5" thickBot="1" x14ac:dyDescent="0.25">
      <c r="B6" s="217" t="s">
        <v>77</v>
      </c>
      <c r="C6" s="218">
        <f>IF(C5&gt;='TSGAP % slabs'!B8,'TSGAP % slabs'!D8,IF(C5&gt;='TSGAP % slabs'!B7,'TSGAP % slabs'!D7,IF(C5&gt;='TSGAP % slabs'!B6,'TSGAP % slabs'!D6,IF(C5&gt;='TSGAP % slabs'!B5,'TSGAP % slabs'!D5,IF(C5&gt;='TSGAP % slabs'!B4,'TSGAP % slabs'!D4,0)))))</f>
        <v>0.18</v>
      </c>
      <c r="D6" s="210"/>
      <c r="E6" s="277">
        <v>3</v>
      </c>
      <c r="F6" s="366" t="s">
        <v>60</v>
      </c>
      <c r="G6" s="367"/>
      <c r="I6" s="278" t="s">
        <v>39</v>
      </c>
      <c r="J6" s="278"/>
      <c r="K6" s="370"/>
      <c r="L6" s="390">
        <f>K46</f>
        <v>6499.9999991999994</v>
      </c>
      <c r="M6" s="371">
        <f>L6/C3</f>
        <v>6.4999999991999999E-2</v>
      </c>
      <c r="R6" s="211"/>
      <c r="S6" s="210"/>
      <c r="Y6" s="210"/>
      <c r="AB6" s="210"/>
      <c r="AE6" s="210"/>
    </row>
    <row r="7" spans="2:31" s="209" customFormat="1" ht="13.5" thickBot="1" x14ac:dyDescent="0.25">
      <c r="B7" s="219"/>
      <c r="C7" s="220"/>
      <c r="D7" s="210"/>
      <c r="E7" s="277">
        <v>4</v>
      </c>
      <c r="F7" s="366" t="s">
        <v>60</v>
      </c>
      <c r="G7" s="367"/>
      <c r="I7" s="372" t="s">
        <v>105</v>
      </c>
      <c r="J7" s="373"/>
      <c r="K7" s="374"/>
      <c r="L7" s="391">
        <f>K47</f>
        <v>117029.999997904</v>
      </c>
      <c r="M7" s="376">
        <f>L7/C3</f>
        <v>1.17029999997904</v>
      </c>
      <c r="R7" s="211"/>
      <c r="S7" s="210"/>
      <c r="Y7" s="210"/>
      <c r="AB7" s="210"/>
      <c r="AE7" s="210"/>
    </row>
    <row r="8" spans="2:31" s="209" customFormat="1" x14ac:dyDescent="0.2">
      <c r="B8" s="248" t="s">
        <v>124</v>
      </c>
      <c r="C8" s="377" t="s">
        <v>80</v>
      </c>
      <c r="D8" s="210"/>
      <c r="E8" s="277">
        <v>5</v>
      </c>
      <c r="F8" s="366" t="s">
        <v>60</v>
      </c>
      <c r="G8" s="367"/>
      <c r="J8" s="210"/>
      <c r="L8" s="211"/>
      <c r="M8" s="210"/>
      <c r="O8" s="211"/>
      <c r="P8" s="210"/>
      <c r="R8" s="211"/>
      <c r="S8" s="210"/>
      <c r="V8" s="210"/>
      <c r="Y8" s="210"/>
      <c r="AB8" s="210"/>
      <c r="AE8" s="210"/>
    </row>
    <row r="9" spans="2:31" s="209" customFormat="1" x14ac:dyDescent="0.2">
      <c r="B9" s="219"/>
      <c r="C9" s="220"/>
      <c r="D9" s="210"/>
      <c r="E9" s="277">
        <v>6</v>
      </c>
      <c r="F9" s="366" t="s">
        <v>60</v>
      </c>
      <c r="G9" s="367"/>
      <c r="J9" s="210"/>
      <c r="L9" s="211"/>
      <c r="M9" s="210"/>
      <c r="O9" s="211"/>
      <c r="P9" s="210"/>
      <c r="R9" s="211"/>
      <c r="S9" s="210"/>
      <c r="V9" s="210"/>
      <c r="Y9" s="210"/>
      <c r="AB9" s="210"/>
      <c r="AE9" s="210"/>
    </row>
    <row r="10" spans="2:31" s="209" customFormat="1" x14ac:dyDescent="0.2">
      <c r="B10" s="219"/>
      <c r="C10" s="220"/>
      <c r="D10" s="210"/>
      <c r="E10" s="277">
        <v>7</v>
      </c>
      <c r="F10" s="366" t="s">
        <v>60</v>
      </c>
      <c r="G10" s="367"/>
      <c r="J10" s="210"/>
      <c r="L10" s="211"/>
      <c r="M10" s="210"/>
      <c r="O10" s="211"/>
      <c r="P10" s="210"/>
      <c r="R10" s="211"/>
      <c r="S10" s="210"/>
      <c r="V10" s="210"/>
      <c r="Y10" s="210"/>
      <c r="AB10" s="210"/>
      <c r="AE10" s="210"/>
    </row>
    <row r="11" spans="2:31" s="209" customFormat="1" x14ac:dyDescent="0.2">
      <c r="B11" s="219"/>
      <c r="C11" s="220"/>
      <c r="D11" s="210"/>
      <c r="E11" s="277">
        <v>8</v>
      </c>
      <c r="F11" s="366" t="s">
        <v>60</v>
      </c>
      <c r="G11" s="367"/>
      <c r="J11" s="210"/>
      <c r="L11" s="211"/>
      <c r="M11" s="210"/>
      <c r="O11" s="211"/>
      <c r="P11" s="210"/>
      <c r="R11" s="211"/>
      <c r="S11" s="210"/>
      <c r="V11" s="210"/>
      <c r="Y11" s="210"/>
      <c r="AB11" s="210"/>
      <c r="AE11" s="210"/>
    </row>
    <row r="12" spans="2:31" s="209" customFormat="1" x14ac:dyDescent="0.2">
      <c r="B12" s="219"/>
      <c r="C12" s="220"/>
      <c r="D12" s="210"/>
      <c r="E12" s="277">
        <v>9</v>
      </c>
      <c r="F12" s="366" t="s">
        <v>60</v>
      </c>
      <c r="G12" s="367"/>
      <c r="J12" s="210"/>
      <c r="L12" s="211"/>
      <c r="M12" s="210"/>
      <c r="O12" s="211"/>
      <c r="P12" s="210"/>
      <c r="R12" s="211"/>
      <c r="S12" s="210"/>
      <c r="V12" s="210"/>
      <c r="Y12" s="210"/>
      <c r="AB12" s="210"/>
      <c r="AE12" s="210"/>
    </row>
    <row r="13" spans="2:31" s="209" customFormat="1" x14ac:dyDescent="0.2">
      <c r="B13" s="219"/>
      <c r="C13" s="220"/>
      <c r="D13" s="210"/>
      <c r="E13" s="277">
        <v>10</v>
      </c>
      <c r="F13" s="366" t="s">
        <v>60</v>
      </c>
      <c r="G13" s="367"/>
      <c r="J13" s="210"/>
      <c r="L13" s="211"/>
      <c r="M13" s="210"/>
      <c r="O13" s="211"/>
      <c r="P13" s="210"/>
      <c r="R13" s="211"/>
      <c r="S13" s="210"/>
      <c r="V13" s="210"/>
      <c r="Y13" s="210"/>
      <c r="AB13" s="210"/>
      <c r="AE13" s="210"/>
    </row>
    <row r="14" spans="2:31" s="209" customFormat="1" x14ac:dyDescent="0.2">
      <c r="B14" s="219"/>
      <c r="C14" s="220"/>
      <c r="D14" s="210"/>
      <c r="E14" s="277">
        <v>11</v>
      </c>
      <c r="F14" s="366" t="s">
        <v>60</v>
      </c>
      <c r="G14" s="367"/>
      <c r="J14" s="210"/>
      <c r="L14" s="211"/>
      <c r="M14" s="210"/>
      <c r="O14" s="211"/>
      <c r="P14" s="210"/>
      <c r="R14" s="211"/>
      <c r="S14" s="210"/>
      <c r="V14" s="210"/>
      <c r="Y14" s="210"/>
      <c r="AB14" s="210"/>
      <c r="AE14" s="210"/>
    </row>
    <row r="15" spans="2:31" s="209" customFormat="1" x14ac:dyDescent="0.2">
      <c r="B15" s="219"/>
      <c r="C15" s="220"/>
      <c r="D15" s="210"/>
      <c r="E15" s="277">
        <v>12</v>
      </c>
      <c r="F15" s="366" t="s">
        <v>60</v>
      </c>
      <c r="G15" s="367"/>
      <c r="J15" s="210"/>
      <c r="L15" s="211"/>
      <c r="M15" s="210"/>
      <c r="O15" s="211"/>
      <c r="P15" s="210"/>
      <c r="R15" s="211"/>
      <c r="S15" s="210"/>
      <c r="V15" s="210"/>
      <c r="Y15" s="210"/>
      <c r="AB15" s="210"/>
      <c r="AE15" s="210"/>
    </row>
    <row r="16" spans="2:31" s="209" customFormat="1" x14ac:dyDescent="0.2">
      <c r="B16" s="219"/>
      <c r="C16" s="220"/>
      <c r="D16" s="210"/>
      <c r="F16" s="211"/>
      <c r="J16" s="210"/>
      <c r="L16" s="211"/>
      <c r="M16" s="210"/>
      <c r="O16" s="211"/>
      <c r="P16" s="210"/>
      <c r="R16" s="211"/>
      <c r="S16" s="210"/>
      <c r="V16" s="210"/>
      <c r="Y16" s="210"/>
      <c r="AB16" s="210"/>
      <c r="AE16" s="210"/>
    </row>
    <row r="17" spans="2:33" s="209" customFormat="1" x14ac:dyDescent="0.2">
      <c r="B17" s="219"/>
      <c r="C17" s="219" t="s">
        <v>163</v>
      </c>
      <c r="D17" s="210"/>
      <c r="F17" s="211"/>
      <c r="G17" s="210"/>
      <c r="I17" s="212"/>
      <c r="J17" s="210"/>
      <c r="L17" s="211"/>
      <c r="M17" s="210"/>
      <c r="O17" s="211"/>
      <c r="P17" s="210"/>
      <c r="R17" s="211"/>
      <c r="S17" s="210"/>
      <c r="V17" s="210"/>
      <c r="Y17" s="210"/>
      <c r="AB17" s="210"/>
      <c r="AE17" s="210"/>
    </row>
    <row r="18" spans="2:33" s="209" customFormat="1" x14ac:dyDescent="0.2">
      <c r="B18" s="219"/>
      <c r="C18" s="220" t="s">
        <v>172</v>
      </c>
      <c r="D18" s="210"/>
      <c r="F18" s="211"/>
      <c r="G18" s="210"/>
      <c r="I18" s="212"/>
      <c r="J18" s="210"/>
      <c r="L18" s="211"/>
      <c r="M18" s="210"/>
      <c r="O18" s="211"/>
      <c r="P18" s="210"/>
      <c r="R18" s="211"/>
      <c r="S18" s="210"/>
      <c r="V18" s="210"/>
      <c r="Y18" s="210"/>
      <c r="AB18" s="210"/>
      <c r="AE18" s="210"/>
    </row>
    <row r="19" spans="2:33" s="209" customFormat="1" ht="13.5" thickBot="1" x14ac:dyDescent="0.25">
      <c r="B19" s="219"/>
      <c r="C19" s="220"/>
      <c r="D19" s="210"/>
      <c r="F19" s="211"/>
      <c r="G19" s="210"/>
      <c r="I19" s="212"/>
      <c r="J19" s="210"/>
      <c r="L19" s="211"/>
      <c r="M19" s="210"/>
      <c r="O19" s="211"/>
      <c r="P19" s="210"/>
      <c r="R19" s="211"/>
      <c r="S19" s="210"/>
      <c r="V19" s="210"/>
      <c r="Y19" s="210"/>
      <c r="AB19" s="210"/>
      <c r="AE19" s="210"/>
    </row>
    <row r="20" spans="2:33" s="209" customFormat="1" ht="26.25" thickBot="1" x14ac:dyDescent="0.25">
      <c r="C20" s="226" t="s">
        <v>173</v>
      </c>
      <c r="D20" s="392">
        <f>C3</f>
        <v>100000</v>
      </c>
      <c r="G20" s="210"/>
      <c r="J20" s="210"/>
      <c r="L20" s="226" t="s">
        <v>30</v>
      </c>
      <c r="M20" s="227">
        <f>(D35/3)*0.01*(100-(M37*1)-(M39*2))</f>
        <v>2166.6666663999999</v>
      </c>
      <c r="O20" s="211"/>
      <c r="P20" s="210"/>
      <c r="R20" s="211"/>
      <c r="S20" s="210"/>
      <c r="U20" s="226" t="s">
        <v>30</v>
      </c>
      <c r="V20" s="227">
        <f>(D35/3)</f>
        <v>2166.6666663999999</v>
      </c>
      <c r="Y20" s="210"/>
      <c r="AB20" s="210"/>
      <c r="AD20" s="226" t="s">
        <v>30</v>
      </c>
      <c r="AE20" s="227">
        <f>(D35/3)</f>
        <v>2166.6666663999999</v>
      </c>
    </row>
    <row r="21" spans="2:33" s="209" customFormat="1" ht="22.35" customHeight="1" thickBot="1" x14ac:dyDescent="0.25">
      <c r="C21" s="229" t="s">
        <v>1</v>
      </c>
      <c r="D21" s="229"/>
      <c r="E21" s="230" t="s">
        <v>138</v>
      </c>
      <c r="F21" s="234" t="s">
        <v>3</v>
      </c>
      <c r="G21" s="234"/>
      <c r="H21" s="378"/>
      <c r="I21" s="234" t="s">
        <v>4</v>
      </c>
      <c r="J21" s="234"/>
      <c r="K21" s="378"/>
      <c r="L21" s="233" t="s">
        <v>5</v>
      </c>
      <c r="M21" s="233"/>
      <c r="N21" s="378"/>
      <c r="O21" s="234" t="s">
        <v>6</v>
      </c>
      <c r="P21" s="234"/>
      <c r="Q21" s="378"/>
      <c r="R21" s="234" t="s">
        <v>7</v>
      </c>
      <c r="S21" s="234"/>
      <c r="T21" s="378"/>
      <c r="U21" s="233" t="s">
        <v>8</v>
      </c>
      <c r="V21" s="233"/>
      <c r="W21" s="378"/>
      <c r="X21" s="234" t="s">
        <v>9</v>
      </c>
      <c r="Y21" s="234"/>
      <c r="Z21" s="378"/>
      <c r="AA21" s="234" t="s">
        <v>10</v>
      </c>
      <c r="AB21" s="234"/>
      <c r="AC21" s="378"/>
      <c r="AD21" s="233" t="s">
        <v>11</v>
      </c>
      <c r="AE21" s="233"/>
      <c r="AF21" s="378"/>
      <c r="AG21" s="378"/>
    </row>
    <row r="22" spans="2:33" s="209" customFormat="1" ht="39" thickBot="1" x14ac:dyDescent="0.25">
      <c r="C22" s="235" t="s">
        <v>12</v>
      </c>
      <c r="D22" s="236" t="s">
        <v>13</v>
      </c>
      <c r="E22" s="230"/>
      <c r="F22" s="237" t="s">
        <v>14</v>
      </c>
      <c r="G22" s="393" t="s">
        <v>76</v>
      </c>
      <c r="H22" s="394" t="s">
        <v>174</v>
      </c>
      <c r="I22" s="395" t="s">
        <v>14</v>
      </c>
      <c r="J22" s="238" t="s">
        <v>76</v>
      </c>
      <c r="K22" s="250"/>
      <c r="L22" s="237" t="s">
        <v>14</v>
      </c>
      <c r="M22" s="238" t="s">
        <v>76</v>
      </c>
      <c r="N22" s="250"/>
      <c r="O22" s="237" t="s">
        <v>14</v>
      </c>
      <c r="P22" s="238" t="s">
        <v>76</v>
      </c>
      <c r="Q22" s="250"/>
      <c r="R22" s="237" t="s">
        <v>14</v>
      </c>
      <c r="S22" s="238" t="s">
        <v>76</v>
      </c>
      <c r="T22" s="250"/>
      <c r="U22" s="237" t="s">
        <v>14</v>
      </c>
      <c r="V22" s="238" t="s">
        <v>76</v>
      </c>
      <c r="W22" s="250"/>
      <c r="X22" s="237" t="s">
        <v>14</v>
      </c>
      <c r="Y22" s="238" t="s">
        <v>76</v>
      </c>
      <c r="Z22" s="250"/>
      <c r="AA22" s="237" t="s">
        <v>14</v>
      </c>
      <c r="AB22" s="238" t="s">
        <v>76</v>
      </c>
      <c r="AC22" s="250"/>
      <c r="AD22" s="237" t="s">
        <v>14</v>
      </c>
      <c r="AE22" s="238" t="s">
        <v>76</v>
      </c>
      <c r="AF22" s="250"/>
      <c r="AG22" s="250"/>
    </row>
    <row r="23" spans="2:33" s="209" customFormat="1" ht="13.5" thickBot="1" x14ac:dyDescent="0.25">
      <c r="C23" s="239" t="s">
        <v>15</v>
      </c>
      <c r="D23" s="244">
        <f t="shared" ref="D23:D34" si="0">IF(F4=$J$39,0,IF(G4="",$C$5,IF(G4&lt;$C$5,0,G4)))</f>
        <v>541.66666659999999</v>
      </c>
      <c r="E23" s="226" t="s">
        <v>31</v>
      </c>
      <c r="F23" s="241">
        <v>1</v>
      </c>
      <c r="G23" s="396">
        <f t="shared" ref="G23:G34" si="1">$D23*$C$6</f>
        <v>97.499999987999999</v>
      </c>
      <c r="H23" s="397">
        <f>D23</f>
        <v>541.66666659999999</v>
      </c>
      <c r="I23" s="241">
        <v>13</v>
      </c>
      <c r="J23" s="244">
        <f t="shared" ref="J23:J34" si="2">$D23*$C$6</f>
        <v>97.499999987999999</v>
      </c>
      <c r="K23" s="250"/>
      <c r="L23" s="242">
        <v>25</v>
      </c>
      <c r="M23" s="379">
        <f t="shared" ref="M23:M34" si="3">$D23*$C$6</f>
        <v>97.499999987999999</v>
      </c>
      <c r="N23" s="250"/>
      <c r="O23" s="242">
        <v>37</v>
      </c>
      <c r="P23" s="379">
        <f t="shared" ref="P23:P34" si="4">$D23*$C$6</f>
        <v>97.499999987999999</v>
      </c>
      <c r="Q23" s="250"/>
      <c r="R23" s="242">
        <v>49</v>
      </c>
      <c r="S23" s="379">
        <f t="shared" ref="S23:S34" si="5">$D23*$C$6</f>
        <v>97.499999987999999</v>
      </c>
      <c r="T23" s="250"/>
      <c r="U23" s="242">
        <v>61</v>
      </c>
      <c r="V23" s="379">
        <f t="shared" ref="V23:V34" si="6">$D23*$C$6</f>
        <v>97.499999987999999</v>
      </c>
      <c r="W23" s="250"/>
      <c r="X23" s="242">
        <v>73</v>
      </c>
      <c r="Y23" s="379">
        <f t="shared" ref="Y23:Y34" si="7">$D23*$C$6</f>
        <v>97.499999987999999</v>
      </c>
      <c r="Z23" s="250"/>
      <c r="AA23" s="242">
        <v>85</v>
      </c>
      <c r="AB23" s="379">
        <f t="shared" ref="AB23:AB34" si="8">$D23*$C$6</f>
        <v>97.499999987999999</v>
      </c>
      <c r="AC23" s="250"/>
      <c r="AD23" s="242">
        <v>97</v>
      </c>
      <c r="AE23" s="379">
        <f t="shared" ref="AE23:AE34" si="9">$D23*$C$6</f>
        <v>97.499999987999999</v>
      </c>
      <c r="AF23" s="250"/>
      <c r="AG23" s="250"/>
    </row>
    <row r="24" spans="2:33" s="209" customFormat="1" ht="13.5" thickBot="1" x14ac:dyDescent="0.25">
      <c r="C24" s="245" t="s">
        <v>16</v>
      </c>
      <c r="D24" s="387">
        <f t="shared" si="0"/>
        <v>541.66666659999999</v>
      </c>
      <c r="E24" s="246">
        <f>G35*9</f>
        <v>10529.999998703999</v>
      </c>
      <c r="F24" s="247">
        <v>2</v>
      </c>
      <c r="G24" s="398">
        <f t="shared" si="1"/>
        <v>97.499999987999999</v>
      </c>
      <c r="H24" s="397">
        <f t="shared" ref="H24:H34" si="10">D24</f>
        <v>541.66666659999999</v>
      </c>
      <c r="I24" s="247">
        <v>14</v>
      </c>
      <c r="J24" s="387">
        <f t="shared" si="2"/>
        <v>97.499999987999999</v>
      </c>
      <c r="L24" s="248">
        <v>26</v>
      </c>
      <c r="M24" s="277">
        <f t="shared" si="3"/>
        <v>97.499999987999999</v>
      </c>
      <c r="O24" s="249">
        <v>38</v>
      </c>
      <c r="P24" s="277">
        <f t="shared" si="4"/>
        <v>97.499999987999999</v>
      </c>
      <c r="R24" s="248">
        <v>50</v>
      </c>
      <c r="S24" s="277">
        <f t="shared" si="5"/>
        <v>97.499999987999999</v>
      </c>
      <c r="U24" s="248">
        <v>62</v>
      </c>
      <c r="V24" s="277">
        <f t="shared" si="6"/>
        <v>97.499999987999999</v>
      </c>
      <c r="X24" s="249">
        <v>74</v>
      </c>
      <c r="Y24" s="277">
        <f t="shared" si="7"/>
        <v>97.499999987999999</v>
      </c>
      <c r="AA24" s="242">
        <v>86</v>
      </c>
      <c r="AB24" s="277">
        <f t="shared" si="8"/>
        <v>97.499999987999999</v>
      </c>
      <c r="AD24" s="248">
        <v>98</v>
      </c>
      <c r="AE24" s="277">
        <f t="shared" si="9"/>
        <v>97.499999987999999</v>
      </c>
    </row>
    <row r="25" spans="2:33" s="209" customFormat="1" x14ac:dyDescent="0.2">
      <c r="C25" s="245" t="s">
        <v>17</v>
      </c>
      <c r="D25" s="387">
        <f t="shared" si="0"/>
        <v>541.66666659999999</v>
      </c>
      <c r="F25" s="242">
        <v>3</v>
      </c>
      <c r="G25" s="398">
        <f t="shared" si="1"/>
        <v>97.499999987999999</v>
      </c>
      <c r="H25" s="397">
        <f t="shared" si="10"/>
        <v>541.66666659999999</v>
      </c>
      <c r="I25" s="241">
        <v>15</v>
      </c>
      <c r="J25" s="387">
        <f t="shared" si="2"/>
        <v>97.499999987999999</v>
      </c>
      <c r="L25" s="242">
        <v>27</v>
      </c>
      <c r="M25" s="277">
        <f t="shared" si="3"/>
        <v>97.499999987999999</v>
      </c>
      <c r="O25" s="248">
        <v>39</v>
      </c>
      <c r="P25" s="277">
        <f t="shared" si="4"/>
        <v>97.499999987999999</v>
      </c>
      <c r="R25" s="242">
        <v>51</v>
      </c>
      <c r="S25" s="277">
        <f t="shared" si="5"/>
        <v>97.499999987999999</v>
      </c>
      <c r="U25" s="242">
        <v>63</v>
      </c>
      <c r="V25" s="277">
        <f t="shared" si="6"/>
        <v>97.499999987999999</v>
      </c>
      <c r="X25" s="248">
        <v>75</v>
      </c>
      <c r="Y25" s="277">
        <f t="shared" si="7"/>
        <v>97.499999987999999</v>
      </c>
      <c r="AA25" s="242">
        <v>87</v>
      </c>
      <c r="AB25" s="277">
        <f t="shared" si="8"/>
        <v>97.499999987999999</v>
      </c>
      <c r="AD25" s="242">
        <v>99</v>
      </c>
      <c r="AE25" s="277">
        <f t="shared" si="9"/>
        <v>97.499999987999999</v>
      </c>
    </row>
    <row r="26" spans="2:33" s="209" customFormat="1" x14ac:dyDescent="0.2">
      <c r="C26" s="245" t="s">
        <v>18</v>
      </c>
      <c r="D26" s="387">
        <f t="shared" si="0"/>
        <v>541.66666659999999</v>
      </c>
      <c r="F26" s="248">
        <v>4</v>
      </c>
      <c r="G26" s="398">
        <f t="shared" si="1"/>
        <v>97.499999987999999</v>
      </c>
      <c r="H26" s="397">
        <f t="shared" si="10"/>
        <v>541.66666659999999</v>
      </c>
      <c r="I26" s="247">
        <v>16</v>
      </c>
      <c r="J26" s="387">
        <f t="shared" si="2"/>
        <v>97.499999987999999</v>
      </c>
      <c r="L26" s="248">
        <v>28</v>
      </c>
      <c r="M26" s="277">
        <f t="shared" si="3"/>
        <v>97.499999987999999</v>
      </c>
      <c r="O26" s="249">
        <v>40</v>
      </c>
      <c r="P26" s="277">
        <f t="shared" si="4"/>
        <v>97.499999987999999</v>
      </c>
      <c r="R26" s="248">
        <v>52</v>
      </c>
      <c r="S26" s="277">
        <f t="shared" si="5"/>
        <v>97.499999987999999</v>
      </c>
      <c r="U26" s="248">
        <v>64</v>
      </c>
      <c r="V26" s="277">
        <f t="shared" si="6"/>
        <v>97.499999987999999</v>
      </c>
      <c r="X26" s="249">
        <v>76</v>
      </c>
      <c r="Y26" s="277">
        <f t="shared" si="7"/>
        <v>97.499999987999999</v>
      </c>
      <c r="AA26" s="242">
        <v>88</v>
      </c>
      <c r="AB26" s="277">
        <f t="shared" si="8"/>
        <v>97.499999987999999</v>
      </c>
      <c r="AD26" s="248">
        <v>100</v>
      </c>
      <c r="AE26" s="277">
        <f t="shared" si="9"/>
        <v>97.499999987999999</v>
      </c>
    </row>
    <row r="27" spans="2:33" s="209" customFormat="1" x14ac:dyDescent="0.2">
      <c r="C27" s="245" t="s">
        <v>19</v>
      </c>
      <c r="D27" s="387">
        <f t="shared" si="0"/>
        <v>541.66666659999999</v>
      </c>
      <c r="F27" s="242">
        <v>5</v>
      </c>
      <c r="G27" s="398">
        <f t="shared" si="1"/>
        <v>97.499999987999999</v>
      </c>
      <c r="H27" s="397">
        <f t="shared" si="10"/>
        <v>541.66666659999999</v>
      </c>
      <c r="I27" s="241">
        <v>17</v>
      </c>
      <c r="J27" s="387">
        <f t="shared" si="2"/>
        <v>97.499999987999999</v>
      </c>
      <c r="L27" s="242">
        <v>29</v>
      </c>
      <c r="M27" s="277">
        <f t="shared" si="3"/>
        <v>97.499999987999999</v>
      </c>
      <c r="O27" s="248">
        <v>41</v>
      </c>
      <c r="P27" s="277">
        <f t="shared" si="4"/>
        <v>97.499999987999999</v>
      </c>
      <c r="R27" s="242">
        <v>53</v>
      </c>
      <c r="S27" s="277">
        <f t="shared" si="5"/>
        <v>97.499999987999999</v>
      </c>
      <c r="U27" s="242">
        <v>65</v>
      </c>
      <c r="V27" s="277">
        <f t="shared" si="6"/>
        <v>97.499999987999999</v>
      </c>
      <c r="X27" s="248">
        <v>77</v>
      </c>
      <c r="Y27" s="277">
        <f t="shared" si="7"/>
        <v>97.499999987999999</v>
      </c>
      <c r="AA27" s="242">
        <v>89</v>
      </c>
      <c r="AB27" s="277">
        <f t="shared" si="8"/>
        <v>97.499999987999999</v>
      </c>
      <c r="AD27" s="242">
        <v>101</v>
      </c>
      <c r="AE27" s="277">
        <f t="shared" si="9"/>
        <v>97.499999987999999</v>
      </c>
    </row>
    <row r="28" spans="2:33" s="209" customFormat="1" x14ac:dyDescent="0.2">
      <c r="C28" s="245" t="s">
        <v>20</v>
      </c>
      <c r="D28" s="387">
        <f t="shared" si="0"/>
        <v>541.66666659999999</v>
      </c>
      <c r="F28" s="248">
        <v>6</v>
      </c>
      <c r="G28" s="398">
        <f t="shared" si="1"/>
        <v>97.499999987999999</v>
      </c>
      <c r="H28" s="397">
        <f t="shared" si="10"/>
        <v>541.66666659999999</v>
      </c>
      <c r="I28" s="247">
        <v>18</v>
      </c>
      <c r="J28" s="387">
        <f t="shared" si="2"/>
        <v>97.499999987999999</v>
      </c>
      <c r="L28" s="248">
        <v>30</v>
      </c>
      <c r="M28" s="277">
        <f t="shared" si="3"/>
        <v>97.499999987999999</v>
      </c>
      <c r="O28" s="249">
        <v>42</v>
      </c>
      <c r="P28" s="277">
        <f t="shared" si="4"/>
        <v>97.499999987999999</v>
      </c>
      <c r="R28" s="248">
        <v>54</v>
      </c>
      <c r="S28" s="277">
        <f t="shared" si="5"/>
        <v>97.499999987999999</v>
      </c>
      <c r="U28" s="248">
        <v>66</v>
      </c>
      <c r="V28" s="277">
        <f t="shared" si="6"/>
        <v>97.499999987999999</v>
      </c>
      <c r="X28" s="249">
        <v>78</v>
      </c>
      <c r="Y28" s="277">
        <f t="shared" si="7"/>
        <v>97.499999987999999</v>
      </c>
      <c r="AA28" s="242">
        <v>90</v>
      </c>
      <c r="AB28" s="277">
        <f t="shared" si="8"/>
        <v>97.499999987999999</v>
      </c>
      <c r="AD28" s="248">
        <v>102</v>
      </c>
      <c r="AE28" s="277">
        <f t="shared" si="9"/>
        <v>97.499999987999999</v>
      </c>
    </row>
    <row r="29" spans="2:33" s="209" customFormat="1" x14ac:dyDescent="0.2">
      <c r="C29" s="245" t="s">
        <v>21</v>
      </c>
      <c r="D29" s="387">
        <f t="shared" si="0"/>
        <v>541.66666659999999</v>
      </c>
      <c r="F29" s="242">
        <v>7</v>
      </c>
      <c r="G29" s="398">
        <f t="shared" si="1"/>
        <v>97.499999987999999</v>
      </c>
      <c r="H29" s="397">
        <f t="shared" si="10"/>
        <v>541.66666659999999</v>
      </c>
      <c r="I29" s="241">
        <v>19</v>
      </c>
      <c r="J29" s="387">
        <f t="shared" si="2"/>
        <v>97.499999987999999</v>
      </c>
      <c r="L29" s="242">
        <v>31</v>
      </c>
      <c r="M29" s="277">
        <f t="shared" si="3"/>
        <v>97.499999987999999</v>
      </c>
      <c r="O29" s="248">
        <v>43</v>
      </c>
      <c r="P29" s="277">
        <f t="shared" si="4"/>
        <v>97.499999987999999</v>
      </c>
      <c r="R29" s="242">
        <v>55</v>
      </c>
      <c r="S29" s="277">
        <f t="shared" si="5"/>
        <v>97.499999987999999</v>
      </c>
      <c r="U29" s="242">
        <v>67</v>
      </c>
      <c r="V29" s="277">
        <f t="shared" si="6"/>
        <v>97.499999987999999</v>
      </c>
      <c r="X29" s="248">
        <v>79</v>
      </c>
      <c r="Y29" s="277">
        <f t="shared" si="7"/>
        <v>97.499999987999999</v>
      </c>
      <c r="AA29" s="242">
        <v>91</v>
      </c>
      <c r="AB29" s="277">
        <f t="shared" si="8"/>
        <v>97.499999987999999</v>
      </c>
      <c r="AD29" s="242">
        <v>103</v>
      </c>
      <c r="AE29" s="277">
        <f t="shared" si="9"/>
        <v>97.499999987999999</v>
      </c>
    </row>
    <row r="30" spans="2:33" s="209" customFormat="1" x14ac:dyDescent="0.2">
      <c r="C30" s="245" t="s">
        <v>22</v>
      </c>
      <c r="D30" s="387">
        <f t="shared" si="0"/>
        <v>541.66666659999999</v>
      </c>
      <c r="F30" s="248">
        <v>8</v>
      </c>
      <c r="G30" s="398">
        <f t="shared" si="1"/>
        <v>97.499999987999999</v>
      </c>
      <c r="H30" s="397">
        <f t="shared" si="10"/>
        <v>541.66666659999999</v>
      </c>
      <c r="I30" s="247">
        <v>20</v>
      </c>
      <c r="J30" s="387">
        <f t="shared" si="2"/>
        <v>97.499999987999999</v>
      </c>
      <c r="L30" s="248">
        <v>32</v>
      </c>
      <c r="M30" s="277">
        <f t="shared" si="3"/>
        <v>97.499999987999999</v>
      </c>
      <c r="O30" s="249">
        <v>44</v>
      </c>
      <c r="P30" s="277">
        <f t="shared" si="4"/>
        <v>97.499999987999999</v>
      </c>
      <c r="R30" s="248">
        <v>56</v>
      </c>
      <c r="S30" s="277">
        <f t="shared" si="5"/>
        <v>97.499999987999999</v>
      </c>
      <c r="U30" s="248">
        <v>68</v>
      </c>
      <c r="V30" s="277">
        <f t="shared" si="6"/>
        <v>97.499999987999999</v>
      </c>
      <c r="X30" s="249">
        <v>80</v>
      </c>
      <c r="Y30" s="277">
        <f t="shared" si="7"/>
        <v>97.499999987999999</v>
      </c>
      <c r="AA30" s="242">
        <v>92</v>
      </c>
      <c r="AB30" s="277">
        <f t="shared" si="8"/>
        <v>97.499999987999999</v>
      </c>
      <c r="AD30" s="248">
        <v>104</v>
      </c>
      <c r="AE30" s="277">
        <f t="shared" si="9"/>
        <v>97.499999987999999</v>
      </c>
    </row>
    <row r="31" spans="2:33" s="209" customFormat="1" x14ac:dyDescent="0.2">
      <c r="C31" s="245" t="s">
        <v>23</v>
      </c>
      <c r="D31" s="387">
        <f t="shared" si="0"/>
        <v>541.66666659999999</v>
      </c>
      <c r="F31" s="242">
        <v>9</v>
      </c>
      <c r="G31" s="398">
        <f t="shared" si="1"/>
        <v>97.499999987999999</v>
      </c>
      <c r="H31" s="397">
        <f t="shared" si="10"/>
        <v>541.66666659999999</v>
      </c>
      <c r="I31" s="241">
        <v>21</v>
      </c>
      <c r="J31" s="387">
        <f t="shared" si="2"/>
        <v>97.499999987999999</v>
      </c>
      <c r="L31" s="242">
        <v>33</v>
      </c>
      <c r="M31" s="277">
        <f t="shared" si="3"/>
        <v>97.499999987999999</v>
      </c>
      <c r="O31" s="248">
        <v>45</v>
      </c>
      <c r="P31" s="277">
        <f t="shared" si="4"/>
        <v>97.499999987999999</v>
      </c>
      <c r="R31" s="242">
        <v>57</v>
      </c>
      <c r="S31" s="277">
        <f t="shared" si="5"/>
        <v>97.499999987999999</v>
      </c>
      <c r="U31" s="242">
        <v>69</v>
      </c>
      <c r="V31" s="277">
        <f t="shared" si="6"/>
        <v>97.499999987999999</v>
      </c>
      <c r="X31" s="248">
        <v>81</v>
      </c>
      <c r="Y31" s="277">
        <f t="shared" si="7"/>
        <v>97.499999987999999</v>
      </c>
      <c r="AA31" s="242">
        <v>93</v>
      </c>
      <c r="AB31" s="277">
        <f t="shared" si="8"/>
        <v>97.499999987999999</v>
      </c>
      <c r="AD31" s="242">
        <v>105</v>
      </c>
      <c r="AE31" s="277">
        <f t="shared" si="9"/>
        <v>97.499999987999999</v>
      </c>
    </row>
    <row r="32" spans="2:33" s="209" customFormat="1" x14ac:dyDescent="0.2">
      <c r="C32" s="245" t="s">
        <v>24</v>
      </c>
      <c r="D32" s="387">
        <f t="shared" si="0"/>
        <v>541.66666659999999</v>
      </c>
      <c r="F32" s="248">
        <v>10</v>
      </c>
      <c r="G32" s="398">
        <f t="shared" si="1"/>
        <v>97.499999987999999</v>
      </c>
      <c r="H32" s="397">
        <f t="shared" si="10"/>
        <v>541.66666659999999</v>
      </c>
      <c r="I32" s="247">
        <v>22</v>
      </c>
      <c r="J32" s="387">
        <f t="shared" si="2"/>
        <v>97.499999987999999</v>
      </c>
      <c r="L32" s="248">
        <v>34</v>
      </c>
      <c r="M32" s="277">
        <f t="shared" si="3"/>
        <v>97.499999987999999</v>
      </c>
      <c r="O32" s="249">
        <v>46</v>
      </c>
      <c r="P32" s="277">
        <f t="shared" si="4"/>
        <v>97.499999987999999</v>
      </c>
      <c r="R32" s="248">
        <v>58</v>
      </c>
      <c r="S32" s="277">
        <f t="shared" si="5"/>
        <v>97.499999987999999</v>
      </c>
      <c r="U32" s="248">
        <v>70</v>
      </c>
      <c r="V32" s="277">
        <f t="shared" si="6"/>
        <v>97.499999987999999</v>
      </c>
      <c r="X32" s="249">
        <v>82</v>
      </c>
      <c r="Y32" s="277">
        <f t="shared" si="7"/>
        <v>97.499999987999999</v>
      </c>
      <c r="AA32" s="242">
        <v>94</v>
      </c>
      <c r="AB32" s="277">
        <f t="shared" si="8"/>
        <v>97.499999987999999</v>
      </c>
      <c r="AD32" s="248">
        <v>106</v>
      </c>
      <c r="AE32" s="277">
        <f t="shared" si="9"/>
        <v>97.499999987999999</v>
      </c>
    </row>
    <row r="33" spans="3:31" s="209" customFormat="1" x14ac:dyDescent="0.2">
      <c r="C33" s="245" t="s">
        <v>25</v>
      </c>
      <c r="D33" s="387">
        <f t="shared" si="0"/>
        <v>541.66666659999999</v>
      </c>
      <c r="F33" s="242">
        <v>11</v>
      </c>
      <c r="G33" s="398">
        <f t="shared" si="1"/>
        <v>97.499999987999999</v>
      </c>
      <c r="H33" s="397">
        <f t="shared" si="10"/>
        <v>541.66666659999999</v>
      </c>
      <c r="I33" s="241">
        <v>23</v>
      </c>
      <c r="J33" s="387">
        <f t="shared" si="2"/>
        <v>97.499999987999999</v>
      </c>
      <c r="L33" s="242">
        <v>35</v>
      </c>
      <c r="M33" s="277">
        <f t="shared" si="3"/>
        <v>97.499999987999999</v>
      </c>
      <c r="O33" s="248">
        <v>47</v>
      </c>
      <c r="P33" s="277">
        <f t="shared" si="4"/>
        <v>97.499999987999999</v>
      </c>
      <c r="R33" s="242">
        <v>59</v>
      </c>
      <c r="S33" s="277">
        <f t="shared" si="5"/>
        <v>97.499999987999999</v>
      </c>
      <c r="U33" s="242">
        <v>71</v>
      </c>
      <c r="V33" s="277">
        <f t="shared" si="6"/>
        <v>97.499999987999999</v>
      </c>
      <c r="X33" s="248">
        <v>83</v>
      </c>
      <c r="Y33" s="277">
        <f t="shared" si="7"/>
        <v>97.499999987999999</v>
      </c>
      <c r="AA33" s="242">
        <v>95</v>
      </c>
      <c r="AB33" s="277">
        <f t="shared" si="8"/>
        <v>97.499999987999999</v>
      </c>
      <c r="AD33" s="242">
        <v>107</v>
      </c>
      <c r="AE33" s="277">
        <f t="shared" si="9"/>
        <v>97.499999987999999</v>
      </c>
    </row>
    <row r="34" spans="3:31" s="209" customFormat="1" ht="13.5" thickBot="1" x14ac:dyDescent="0.25">
      <c r="C34" s="399" t="s">
        <v>26</v>
      </c>
      <c r="D34" s="387">
        <f t="shared" si="0"/>
        <v>541.66666659999999</v>
      </c>
      <c r="F34" s="248">
        <v>12</v>
      </c>
      <c r="G34" s="398">
        <f t="shared" si="1"/>
        <v>97.499999987999999</v>
      </c>
      <c r="H34" s="397">
        <f t="shared" si="10"/>
        <v>541.66666659999999</v>
      </c>
      <c r="I34" s="247">
        <v>24</v>
      </c>
      <c r="J34" s="387">
        <f t="shared" si="2"/>
        <v>97.499999987999999</v>
      </c>
      <c r="L34" s="252">
        <v>36</v>
      </c>
      <c r="M34" s="277">
        <f t="shared" si="3"/>
        <v>97.499999987999999</v>
      </c>
      <c r="O34" s="249">
        <v>48</v>
      </c>
      <c r="P34" s="277">
        <f t="shared" si="4"/>
        <v>97.499999987999999</v>
      </c>
      <c r="R34" s="248">
        <v>60</v>
      </c>
      <c r="S34" s="277">
        <f t="shared" si="5"/>
        <v>97.499999987999999</v>
      </c>
      <c r="U34" s="252">
        <v>72</v>
      </c>
      <c r="V34" s="277">
        <f t="shared" si="6"/>
        <v>97.499999987999999</v>
      </c>
      <c r="X34" s="249">
        <v>84</v>
      </c>
      <c r="Y34" s="277">
        <f t="shared" si="7"/>
        <v>97.499999987999999</v>
      </c>
      <c r="AA34" s="242">
        <v>96</v>
      </c>
      <c r="AB34" s="277">
        <f t="shared" si="8"/>
        <v>97.499999987999999</v>
      </c>
      <c r="AD34" s="252">
        <v>108</v>
      </c>
      <c r="AE34" s="277">
        <f t="shared" si="9"/>
        <v>97.499999987999999</v>
      </c>
    </row>
    <row r="35" spans="3:31" s="209" customFormat="1" x14ac:dyDescent="0.2">
      <c r="D35" s="400">
        <f>SUM(D23:D34)</f>
        <v>6499.9999992000003</v>
      </c>
      <c r="F35" s="211"/>
      <c r="G35" s="380">
        <f>SUM(G23:G34)</f>
        <v>1169.9999998559999</v>
      </c>
      <c r="I35" s="212"/>
      <c r="J35" s="380">
        <f>SUM(J23:J34)</f>
        <v>1169.9999998559999</v>
      </c>
      <c r="L35" s="211"/>
      <c r="M35" s="380">
        <f>SUM(M23:M34)</f>
        <v>1169.9999998559999</v>
      </c>
      <c r="O35" s="211"/>
      <c r="P35" s="380">
        <f>SUM(P23:P34)</f>
        <v>1169.9999998559999</v>
      </c>
      <c r="R35" s="211"/>
      <c r="S35" s="380">
        <f>SUM(S23:S34)</f>
        <v>1169.9999998559999</v>
      </c>
      <c r="V35" s="380">
        <f>SUM(V23:V34)</f>
        <v>1169.9999998559999</v>
      </c>
      <c r="Y35" s="380">
        <f>SUM(Y23:Y34)</f>
        <v>1169.9999998559999</v>
      </c>
      <c r="AB35" s="380">
        <f>SUM(AB23:AB34)</f>
        <v>1169.9999998559999</v>
      </c>
      <c r="AE35" s="380">
        <f>SUM(AE23:AE34)</f>
        <v>1169.9999998559999</v>
      </c>
    </row>
    <row r="36" spans="3:31" s="209" customFormat="1" hidden="1" x14ac:dyDescent="0.2">
      <c r="D36" s="210"/>
      <c r="F36" s="211"/>
      <c r="G36" s="210"/>
      <c r="I36" s="212"/>
      <c r="J36" s="210"/>
      <c r="L36" s="211"/>
      <c r="M36" s="210"/>
      <c r="O36" s="211"/>
      <c r="P36" s="210"/>
      <c r="R36" s="211"/>
      <c r="S36" s="210"/>
      <c r="V36" s="210"/>
      <c r="Y36" s="210"/>
      <c r="AB36" s="210"/>
      <c r="AE36" s="210"/>
    </row>
    <row r="37" spans="3:31" s="209" customFormat="1" hidden="1" x14ac:dyDescent="0.2">
      <c r="C37" s="258" t="s">
        <v>27</v>
      </c>
      <c r="D37" s="259">
        <f>SUM(D23:D34)</f>
        <v>6499.9999992000003</v>
      </c>
      <c r="E37" s="254">
        <f>D37/3</f>
        <v>2166.6666663999999</v>
      </c>
      <c r="F37" s="210" t="s">
        <v>29</v>
      </c>
      <c r="G37" s="210">
        <f>C5</f>
        <v>541.66666659999999</v>
      </c>
      <c r="I37" s="212"/>
      <c r="J37" s="210" t="s">
        <v>60</v>
      </c>
      <c r="L37" s="381" t="s">
        <v>64</v>
      </c>
      <c r="M37" s="210">
        <f>COUNTIF(F4:F15,J38)</f>
        <v>0</v>
      </c>
      <c r="O37" s="211" t="s">
        <v>62</v>
      </c>
      <c r="P37" s="210"/>
      <c r="R37" s="211"/>
      <c r="S37" s="210"/>
      <c r="V37" s="210"/>
      <c r="Y37" s="210"/>
      <c r="AB37" s="210"/>
      <c r="AE37" s="210"/>
    </row>
    <row r="38" spans="3:31" s="209" customFormat="1" hidden="1" x14ac:dyDescent="0.2">
      <c r="F38" s="211"/>
      <c r="G38" s="210"/>
      <c r="I38" s="212"/>
      <c r="J38" s="210" t="s">
        <v>61</v>
      </c>
      <c r="M38" s="210"/>
      <c r="O38" s="211" t="s">
        <v>63</v>
      </c>
      <c r="P38" s="210"/>
      <c r="R38" s="211"/>
      <c r="S38" s="210"/>
      <c r="V38" s="210"/>
      <c r="Y38" s="210"/>
      <c r="AB38" s="210"/>
      <c r="AE38" s="210"/>
    </row>
    <row r="39" spans="3:31" s="209" customFormat="1" ht="25.5" hidden="1" x14ac:dyDescent="0.2">
      <c r="C39" s="258" t="s">
        <v>28</v>
      </c>
      <c r="D39" s="259">
        <f>SUM(G35:AE35)</f>
        <v>10529.999998703999</v>
      </c>
      <c r="F39" s="211"/>
      <c r="G39" s="382">
        <f>D39/D37</f>
        <v>1.6199999999999999</v>
      </c>
      <c r="I39" s="212"/>
      <c r="J39" s="210" t="s">
        <v>119</v>
      </c>
      <c r="L39" s="381" t="s">
        <v>65</v>
      </c>
      <c r="M39" s="210">
        <f>COUNTIF(D23:D34,0)</f>
        <v>0</v>
      </c>
      <c r="O39" s="211"/>
      <c r="P39" s="210"/>
      <c r="R39" s="211"/>
      <c r="S39" s="210"/>
      <c r="V39" s="210"/>
      <c r="Y39" s="210"/>
      <c r="AB39" s="210"/>
      <c r="AE39" s="210"/>
    </row>
    <row r="40" spans="3:31" s="209" customFormat="1" hidden="1" x14ac:dyDescent="0.2"/>
    <row r="42" spans="3:31" s="209" customFormat="1" x14ac:dyDescent="0.2">
      <c r="C42" s="274" t="s">
        <v>32</v>
      </c>
      <c r="D42" s="274"/>
      <c r="E42" s="274"/>
      <c r="F42" s="274"/>
      <c r="G42" s="274"/>
      <c r="H42" s="274"/>
      <c r="I42" s="274"/>
      <c r="J42" s="274"/>
      <c r="K42" s="248" t="s">
        <v>33</v>
      </c>
    </row>
    <row r="43" spans="3:31" s="209" customFormat="1" x14ac:dyDescent="0.2">
      <c r="C43" s="275" t="s">
        <v>34</v>
      </c>
      <c r="D43" s="275"/>
      <c r="E43" s="276" t="s">
        <v>27</v>
      </c>
      <c r="F43" s="276"/>
      <c r="G43" s="276"/>
      <c r="H43" s="276"/>
      <c r="I43" s="276"/>
      <c r="J43" s="276"/>
      <c r="K43" s="277">
        <f>D35</f>
        <v>6499.9999992000003</v>
      </c>
    </row>
    <row r="44" spans="3:31" s="209" customFormat="1" ht="15" x14ac:dyDescent="0.2">
      <c r="C44" s="275" t="s">
        <v>35</v>
      </c>
      <c r="D44" s="275"/>
      <c r="E44" s="276" t="s">
        <v>140</v>
      </c>
      <c r="F44" s="276"/>
      <c r="G44" s="276"/>
      <c r="H44" s="276"/>
      <c r="I44" s="276"/>
      <c r="J44" s="276"/>
      <c r="K44" s="277">
        <f>E24</f>
        <v>10529.999998703999</v>
      </c>
    </row>
    <row r="45" spans="3:31" s="209" customFormat="1" x14ac:dyDescent="0.2">
      <c r="C45" s="275" t="s">
        <v>37</v>
      </c>
      <c r="D45" s="275"/>
      <c r="E45" s="276" t="s">
        <v>38</v>
      </c>
      <c r="F45" s="276"/>
      <c r="G45" s="276"/>
      <c r="H45" s="276"/>
      <c r="I45" s="276"/>
      <c r="J45" s="276"/>
      <c r="K45" s="277">
        <f>D39</f>
        <v>10529.999998703999</v>
      </c>
    </row>
    <row r="46" spans="3:31" s="209" customFormat="1" ht="13.5" thickBot="1" x14ac:dyDescent="0.25">
      <c r="C46" s="278" t="s">
        <v>39</v>
      </c>
      <c r="D46" s="278"/>
      <c r="E46" s="279" t="s">
        <v>40</v>
      </c>
      <c r="F46" s="279"/>
      <c r="G46" s="279"/>
      <c r="H46" s="279"/>
      <c r="I46" s="279"/>
      <c r="J46" s="279"/>
      <c r="K46" s="280">
        <f>M20+V20+AE20</f>
        <v>6499.9999991999994</v>
      </c>
    </row>
    <row r="47" spans="3:31" s="209" customFormat="1" ht="13.5" thickBot="1" x14ac:dyDescent="0.25">
      <c r="C47" s="383" t="s">
        <v>41</v>
      </c>
      <c r="D47" s="384"/>
      <c r="E47" s="384"/>
      <c r="F47" s="384"/>
      <c r="G47" s="384"/>
      <c r="H47" s="384"/>
      <c r="I47" s="384"/>
      <c r="J47" s="384"/>
      <c r="K47" s="385">
        <f>K46+K45+D20</f>
        <v>117029.999997904</v>
      </c>
    </row>
    <row r="51" spans="3:10" s="209" customFormat="1" ht="15" customHeight="1" x14ac:dyDescent="0.2">
      <c r="C51" s="286" t="s">
        <v>42</v>
      </c>
      <c r="D51" s="286"/>
      <c r="E51" s="286"/>
      <c r="F51" s="286"/>
      <c r="G51" s="286"/>
      <c r="H51" s="286"/>
      <c r="I51" s="286"/>
      <c r="J51" s="286"/>
    </row>
    <row r="52" spans="3:10" s="209" customFormat="1" ht="15" customHeight="1" x14ac:dyDescent="0.2">
      <c r="C52" s="287" t="s">
        <v>43</v>
      </c>
      <c r="D52" s="287"/>
      <c r="E52" s="287"/>
      <c r="F52" s="287"/>
      <c r="G52" s="287"/>
      <c r="H52" s="287"/>
      <c r="I52" s="287"/>
      <c r="J52" s="287"/>
    </row>
    <row r="53" spans="3:10" s="209" customFormat="1" ht="15" customHeight="1" x14ac:dyDescent="0.2">
      <c r="C53" s="287" t="s">
        <v>44</v>
      </c>
      <c r="D53" s="287"/>
      <c r="E53" s="287"/>
      <c r="F53" s="287"/>
      <c r="G53" s="287"/>
      <c r="H53" s="287"/>
      <c r="I53" s="287"/>
      <c r="J53" s="287"/>
    </row>
    <row r="54" spans="3:10" s="209" customFormat="1" ht="78" customHeight="1" x14ac:dyDescent="0.2">
      <c r="C54" s="287" t="s">
        <v>45</v>
      </c>
      <c r="D54" s="287"/>
      <c r="E54" s="287"/>
      <c r="F54" s="287"/>
      <c r="G54" s="287"/>
      <c r="H54" s="287"/>
      <c r="I54" s="287"/>
      <c r="J54" s="287"/>
    </row>
    <row r="55" spans="3:10" s="209" customFormat="1" ht="28.5" customHeight="1" x14ac:dyDescent="0.2">
      <c r="C55" s="287" t="s">
        <v>46</v>
      </c>
      <c r="D55" s="287"/>
      <c r="E55" s="287"/>
      <c r="F55" s="287"/>
      <c r="G55" s="287"/>
      <c r="H55" s="287"/>
      <c r="I55" s="287"/>
      <c r="J55" s="287"/>
    </row>
    <row r="56" spans="3:10" s="209" customFormat="1" ht="15" customHeight="1" x14ac:dyDescent="0.2">
      <c r="C56" s="287" t="s">
        <v>47</v>
      </c>
      <c r="D56" s="287"/>
      <c r="E56" s="287"/>
      <c r="F56" s="287"/>
      <c r="G56" s="287"/>
      <c r="H56" s="287"/>
      <c r="I56" s="287"/>
      <c r="J56" s="287"/>
    </row>
    <row r="57" spans="3:10" s="209" customFormat="1" ht="48.75" customHeight="1" x14ac:dyDescent="0.2">
      <c r="C57" s="287" t="s">
        <v>48</v>
      </c>
      <c r="D57" s="287"/>
      <c r="E57" s="287"/>
      <c r="F57" s="287"/>
      <c r="G57" s="287"/>
      <c r="H57" s="287"/>
      <c r="I57" s="287"/>
      <c r="J57" s="287"/>
    </row>
    <row r="58" spans="3:10" s="209" customFormat="1" ht="51" customHeight="1" x14ac:dyDescent="0.2">
      <c r="C58" s="287" t="s">
        <v>49</v>
      </c>
      <c r="D58" s="287"/>
      <c r="E58" s="287"/>
      <c r="F58" s="287"/>
      <c r="G58" s="287"/>
      <c r="H58" s="287"/>
      <c r="I58" s="287"/>
      <c r="J58" s="287"/>
    </row>
    <row r="59" spans="3:10" s="209" customFormat="1" ht="15" customHeight="1" x14ac:dyDescent="0.2">
      <c r="C59" s="287" t="s">
        <v>50</v>
      </c>
      <c r="D59" s="287"/>
      <c r="E59" s="287"/>
      <c r="F59" s="287"/>
      <c r="G59" s="287"/>
      <c r="H59" s="287"/>
      <c r="I59" s="287"/>
      <c r="J59" s="287"/>
    </row>
    <row r="60" spans="3:10" s="209" customFormat="1" ht="44.25" customHeight="1" x14ac:dyDescent="0.2">
      <c r="C60" s="287" t="s">
        <v>51</v>
      </c>
      <c r="D60" s="287"/>
      <c r="E60" s="287"/>
      <c r="F60" s="287"/>
      <c r="G60" s="287"/>
      <c r="H60" s="287"/>
      <c r="I60" s="287"/>
      <c r="J60" s="287"/>
    </row>
    <row r="61" spans="3:10" s="209" customFormat="1" ht="32.25" customHeight="1" x14ac:dyDescent="0.2">
      <c r="C61" s="287" t="s">
        <v>52</v>
      </c>
      <c r="D61" s="287"/>
      <c r="E61" s="287"/>
      <c r="F61" s="287"/>
      <c r="G61" s="287"/>
      <c r="H61" s="287"/>
      <c r="I61" s="287"/>
      <c r="J61" s="287"/>
    </row>
    <row r="62" spans="3:10" s="209" customFormat="1" ht="15" customHeight="1" x14ac:dyDescent="0.2">
      <c r="C62" s="287" t="s">
        <v>53</v>
      </c>
      <c r="D62" s="287"/>
      <c r="E62" s="287"/>
      <c r="F62" s="287"/>
      <c r="G62" s="287"/>
      <c r="H62" s="287"/>
      <c r="I62" s="287"/>
      <c r="J62" s="287"/>
    </row>
    <row r="63" spans="3:10" s="209" customFormat="1" ht="55.15" customHeight="1" x14ac:dyDescent="0.2">
      <c r="C63" s="287" t="s">
        <v>54</v>
      </c>
      <c r="D63" s="287"/>
      <c r="E63" s="287"/>
      <c r="F63" s="287"/>
      <c r="G63" s="287"/>
      <c r="H63" s="287"/>
      <c r="I63" s="287"/>
      <c r="J63" s="287"/>
    </row>
    <row r="64" spans="3:10" s="209" customFormat="1" ht="15" customHeight="1" x14ac:dyDescent="0.2">
      <c r="C64" s="287" t="s">
        <v>55</v>
      </c>
      <c r="D64" s="287"/>
      <c r="E64" s="287"/>
      <c r="F64" s="287"/>
      <c r="G64" s="287"/>
      <c r="H64" s="287"/>
      <c r="I64" s="287"/>
      <c r="J64" s="287"/>
    </row>
    <row r="65" spans="3:10" s="209" customFormat="1" ht="15" customHeight="1" x14ac:dyDescent="0.2">
      <c r="C65" s="287" t="s">
        <v>56</v>
      </c>
      <c r="D65" s="287"/>
      <c r="E65" s="287"/>
      <c r="F65" s="287"/>
      <c r="G65" s="287"/>
      <c r="H65" s="287"/>
      <c r="I65" s="287"/>
      <c r="J65" s="287"/>
    </row>
    <row r="66" spans="3:10" s="209" customFormat="1" ht="55.5" customHeight="1" x14ac:dyDescent="0.2">
      <c r="C66" s="287" t="s">
        <v>57</v>
      </c>
      <c r="D66" s="287"/>
      <c r="E66" s="287"/>
      <c r="F66" s="287"/>
      <c r="G66" s="287"/>
      <c r="H66" s="287"/>
      <c r="I66" s="287"/>
      <c r="J66" s="287"/>
    </row>
    <row r="67" spans="3:10" s="209" customFormat="1" ht="15" customHeight="1" x14ac:dyDescent="0.2">
      <c r="C67" s="287" t="s">
        <v>58</v>
      </c>
      <c r="D67" s="287"/>
      <c r="E67" s="287"/>
      <c r="F67" s="287"/>
      <c r="G67" s="287"/>
      <c r="H67" s="287"/>
      <c r="I67" s="287"/>
      <c r="J67" s="287"/>
    </row>
  </sheetData>
  <sheetProtection algorithmName="SHA-512" hashValue="xzbOjAaduTrqSBwpci9ZpuhoAAcd3+X3JcdGyUjztyNRrMZBBOjHL0/Exzb5fz9i0CWhYvg7wSx/szWRfq/GVw==" saltValue="Mp0A5kcx4cdi1xkiEbZn3Q==" spinCount="100000" sheet="1" objects="1" scenarios="1"/>
  <mergeCells count="43">
    <mergeCell ref="I3:K3"/>
    <mergeCell ref="I4:K4"/>
    <mergeCell ref="I5:K5"/>
    <mergeCell ref="I6:K6"/>
    <mergeCell ref="I7:K7"/>
    <mergeCell ref="AD21:AE21"/>
    <mergeCell ref="C42:J42"/>
    <mergeCell ref="C43:D43"/>
    <mergeCell ref="E43:J43"/>
    <mergeCell ref="C44:D44"/>
    <mergeCell ref="E44:J44"/>
    <mergeCell ref="L21:M21"/>
    <mergeCell ref="O21:P21"/>
    <mergeCell ref="R21:S21"/>
    <mergeCell ref="U21:V21"/>
    <mergeCell ref="X21:Y21"/>
    <mergeCell ref="AA21:AB21"/>
    <mergeCell ref="C21:D21"/>
    <mergeCell ref="E21:E22"/>
    <mergeCell ref="F21:G21"/>
    <mergeCell ref="I21:J21"/>
    <mergeCell ref="C57:J57"/>
    <mergeCell ref="C45:D45"/>
    <mergeCell ref="E45:J45"/>
    <mergeCell ref="C46:D46"/>
    <mergeCell ref="E46:J46"/>
    <mergeCell ref="C47:J47"/>
    <mergeCell ref="C51:J51"/>
    <mergeCell ref="C52:J52"/>
    <mergeCell ref="C53:J53"/>
    <mergeCell ref="C54:J54"/>
    <mergeCell ref="C55:J55"/>
    <mergeCell ref="C56:J56"/>
    <mergeCell ref="C64:J64"/>
    <mergeCell ref="C65:J65"/>
    <mergeCell ref="C66:J66"/>
    <mergeCell ref="C67:J67"/>
    <mergeCell ref="C58:J58"/>
    <mergeCell ref="C59:J59"/>
    <mergeCell ref="C60:J60"/>
    <mergeCell ref="C61:J61"/>
    <mergeCell ref="C62:J62"/>
    <mergeCell ref="C63:J63"/>
  </mergeCells>
  <conditionalFormatting sqref="C5">
    <cfRule type="cellIs" dxfId="2" priority="3" operator="lessThan">
      <formula>100</formula>
    </cfRule>
  </conditionalFormatting>
  <conditionalFormatting sqref="C3">
    <cfRule type="cellIs" dxfId="1" priority="2" operator="lessThan">
      <formula>100</formula>
    </cfRule>
  </conditionalFormatting>
  <conditionalFormatting sqref="G4:G15">
    <cfRule type="cellIs" dxfId="0" priority="57" operator="lessThan">
      <formula>$C$5</formula>
    </cfRule>
  </conditionalFormatting>
  <dataValidations count="1">
    <dataValidation type="list" allowBlank="1" showInputMessage="1" showErrorMessage="1" sqref="F4:F15" xr:uid="{F4BA9583-FD5B-41F6-AB23-A4E8E047B6D7}">
      <formula1>$J$37:$J$39</formula1>
    </dataValidation>
  </dataValidations>
  <hyperlinks>
    <hyperlink ref="C8" location="'USER GUIDE'!A1" display="USER GUIDE" xr:uid="{C5287FB0-B4D3-4834-BBFA-615D525C2D79}"/>
  </hyperlink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4EB2-F6A4-4D33-B9AB-161CF84552D8}">
  <dimension ref="B1:K32"/>
  <sheetViews>
    <sheetView showGridLines="0" workbookViewId="0"/>
  </sheetViews>
  <sheetFormatPr defaultRowHeight="12.75" x14ac:dyDescent="0.2"/>
  <cols>
    <col min="1" max="1" width="9.140625" style="11"/>
    <col min="2" max="2" width="22.85546875" style="11" bestFit="1" customWidth="1"/>
    <col min="3" max="3" width="22" style="11" customWidth="1"/>
    <col min="4" max="4" width="11.7109375" style="11" bestFit="1" customWidth="1"/>
    <col min="5" max="5" width="9.140625" style="11"/>
    <col min="6" max="6" width="23.28515625" style="11" customWidth="1"/>
    <col min="7" max="7" width="24.85546875" style="11" customWidth="1"/>
    <col min="8" max="8" width="16.42578125" style="11" bestFit="1" customWidth="1"/>
    <col min="9" max="9" width="18.85546875" style="11" bestFit="1" customWidth="1"/>
    <col min="10" max="10" width="17.7109375" style="11" bestFit="1" customWidth="1"/>
    <col min="11" max="11" width="18.85546875" style="11" bestFit="1" customWidth="1"/>
    <col min="12" max="16384" width="9.140625" style="11"/>
  </cols>
  <sheetData>
    <row r="1" spans="2:11" ht="13.5" thickBot="1" x14ac:dyDescent="0.25"/>
    <row r="2" spans="2:11" ht="13.5" thickBot="1" x14ac:dyDescent="0.25">
      <c r="C2" s="30" t="s">
        <v>88</v>
      </c>
    </row>
    <row r="3" spans="2:11" x14ac:dyDescent="0.2">
      <c r="B3" s="31" t="s">
        <v>98</v>
      </c>
      <c r="C3" s="32" t="s">
        <v>91</v>
      </c>
      <c r="F3" s="191" t="s">
        <v>163</v>
      </c>
      <c r="G3" s="191"/>
      <c r="H3" s="191"/>
    </row>
    <row r="4" spans="2:11" x14ac:dyDescent="0.2">
      <c r="B4" s="21" t="s">
        <v>99</v>
      </c>
      <c r="C4" s="22">
        <f>INDEX('Calculated ES Dayswapper'!N31:N38,MATCH(C3,'Calculated ES Dayswapper'!O31:O38,0))</f>
        <v>3</v>
      </c>
    </row>
    <row r="5" spans="2:11" ht="13.5" thickBot="1" x14ac:dyDescent="0.25">
      <c r="B5" s="23" t="s">
        <v>100</v>
      </c>
      <c r="C5" s="34">
        <f>INDEX('Calculated ES Dayswapper'!R31:R38,MATCH(C3,'Calculated ES Dayswapper'!O31:O38,0))</f>
        <v>0.52</v>
      </c>
    </row>
    <row r="7" spans="2:11" x14ac:dyDescent="0.2">
      <c r="B7" s="35" t="s">
        <v>124</v>
      </c>
      <c r="C7" s="192" t="s">
        <v>80</v>
      </c>
    </row>
    <row r="8" spans="2:11" ht="13.5" thickBot="1" x14ac:dyDescent="0.25"/>
    <row r="9" spans="2:11" ht="15" customHeight="1" thickBot="1" x14ac:dyDescent="0.25">
      <c r="F9" s="36" t="s">
        <v>70</v>
      </c>
      <c r="G9" s="37"/>
      <c r="H9" s="37"/>
      <c r="I9" s="37"/>
      <c r="J9" s="37"/>
      <c r="K9" s="38"/>
    </row>
    <row r="10" spans="2:11" ht="15.75" customHeight="1" thickBot="1" x14ac:dyDescent="0.25">
      <c r="B10" s="39" t="s">
        <v>101</v>
      </c>
      <c r="F10" s="40" t="s">
        <v>162</v>
      </c>
      <c r="G10" s="40"/>
      <c r="H10" s="40" t="s">
        <v>160</v>
      </c>
      <c r="I10" s="40"/>
      <c r="J10" s="40" t="s">
        <v>73</v>
      </c>
      <c r="K10" s="40"/>
    </row>
    <row r="11" spans="2:11" ht="32.25" customHeight="1" thickBot="1" x14ac:dyDescent="0.25">
      <c r="B11" s="41" t="s">
        <v>161</v>
      </c>
      <c r="C11" s="42" t="s">
        <v>201</v>
      </c>
      <c r="D11" s="43" t="s">
        <v>202</v>
      </c>
      <c r="F11" s="19" t="s">
        <v>68</v>
      </c>
      <c r="G11" s="19" t="s">
        <v>69</v>
      </c>
      <c r="H11" s="19" t="s">
        <v>68</v>
      </c>
      <c r="I11" s="19" t="s">
        <v>69</v>
      </c>
      <c r="J11" s="19" t="s">
        <v>68</v>
      </c>
      <c r="K11" s="19" t="s">
        <v>69</v>
      </c>
    </row>
    <row r="12" spans="2:11" ht="15" customHeight="1" x14ac:dyDescent="0.2">
      <c r="B12" s="44">
        <v>100</v>
      </c>
      <c r="C12" s="45">
        <v>0</v>
      </c>
      <c r="D12" s="46">
        <f>B12*C12</f>
        <v>0</v>
      </c>
      <c r="F12" s="47">
        <f>0.05*D12*12</f>
        <v>0</v>
      </c>
      <c r="G12" s="47">
        <f>0.05*$C$5*D12*12</f>
        <v>0</v>
      </c>
      <c r="H12" s="47">
        <f>0.05*0.16*D12*12</f>
        <v>0</v>
      </c>
      <c r="I12" s="47">
        <f>0.05*0.16*D12*12*$C$5</f>
        <v>0</v>
      </c>
      <c r="J12" s="47">
        <f>F12+(H12*9)</f>
        <v>0</v>
      </c>
      <c r="K12" s="47">
        <f t="shared" ref="K12:K16" si="0">G12+(I12*9)</f>
        <v>0</v>
      </c>
    </row>
    <row r="13" spans="2:11" ht="15" customHeight="1" x14ac:dyDescent="0.2">
      <c r="B13" s="48">
        <v>500</v>
      </c>
      <c r="C13" s="49">
        <v>0</v>
      </c>
      <c r="D13" s="18">
        <f t="shared" ref="D13:D16" si="1">B13*C13</f>
        <v>0</v>
      </c>
      <c r="F13" s="47">
        <f t="shared" ref="F13:F16" si="2">0.05*D13*12</f>
        <v>0</v>
      </c>
      <c r="G13" s="47">
        <f t="shared" ref="G13:G16" si="3">0.05*$C$5*D13*12</f>
        <v>0</v>
      </c>
      <c r="H13" s="47">
        <f>0.05*0.18*D13*12</f>
        <v>0</v>
      </c>
      <c r="I13" s="47">
        <f>0.05*0.18*D13*12*$C$5</f>
        <v>0</v>
      </c>
      <c r="J13" s="47">
        <f t="shared" ref="J13:J16" si="4">F13+(H13*9)</f>
        <v>0</v>
      </c>
      <c r="K13" s="47">
        <f t="shared" si="0"/>
        <v>0</v>
      </c>
    </row>
    <row r="14" spans="2:11" ht="15" customHeight="1" x14ac:dyDescent="0.2">
      <c r="B14" s="48">
        <v>1000</v>
      </c>
      <c r="C14" s="49">
        <v>1</v>
      </c>
      <c r="D14" s="18">
        <f t="shared" si="1"/>
        <v>1000</v>
      </c>
      <c r="F14" s="47">
        <f t="shared" si="2"/>
        <v>600</v>
      </c>
      <c r="G14" s="47">
        <f t="shared" si="3"/>
        <v>312.00000000000006</v>
      </c>
      <c r="H14" s="47">
        <f>0.05*0.2*D14*12</f>
        <v>120.00000000000003</v>
      </c>
      <c r="I14" s="47">
        <f>0.05*0.2*D14*12*$C$5</f>
        <v>62.40000000000002</v>
      </c>
      <c r="J14" s="47">
        <f t="shared" si="4"/>
        <v>1680.0000000000002</v>
      </c>
      <c r="K14" s="47">
        <f>G14+(I14*9)</f>
        <v>873.60000000000014</v>
      </c>
    </row>
    <row r="15" spans="2:11" x14ac:dyDescent="0.2">
      <c r="B15" s="48">
        <v>10000</v>
      </c>
      <c r="C15" s="49">
        <v>1</v>
      </c>
      <c r="D15" s="18">
        <f t="shared" si="1"/>
        <v>10000</v>
      </c>
      <c r="F15" s="47">
        <f t="shared" si="2"/>
        <v>6000</v>
      </c>
      <c r="G15" s="47">
        <f t="shared" si="3"/>
        <v>3120</v>
      </c>
      <c r="H15" s="47">
        <f>0.05*0.22*D15*12</f>
        <v>1320.0000000000002</v>
      </c>
      <c r="I15" s="47">
        <f>0.05*0.22*D15*12*$C$5</f>
        <v>686.40000000000009</v>
      </c>
      <c r="J15" s="47">
        <f t="shared" si="4"/>
        <v>17880</v>
      </c>
      <c r="K15" s="47">
        <f t="shared" si="0"/>
        <v>9297.6</v>
      </c>
    </row>
    <row r="16" spans="2:11" x14ac:dyDescent="0.2">
      <c r="B16" s="48">
        <v>100000</v>
      </c>
      <c r="C16" s="49">
        <v>1</v>
      </c>
      <c r="D16" s="18">
        <f t="shared" si="1"/>
        <v>100000</v>
      </c>
      <c r="F16" s="47">
        <f t="shared" si="2"/>
        <v>60000</v>
      </c>
      <c r="G16" s="47">
        <f t="shared" si="3"/>
        <v>31200.000000000007</v>
      </c>
      <c r="H16" s="47">
        <f>0.05*0.24*D16*12</f>
        <v>14400</v>
      </c>
      <c r="I16" s="47">
        <f>0.05*0.24*D16*12*$C$5</f>
        <v>7488</v>
      </c>
      <c r="J16" s="47">
        <f t="shared" si="4"/>
        <v>189600</v>
      </c>
      <c r="K16" s="47">
        <f t="shared" si="0"/>
        <v>98592</v>
      </c>
    </row>
    <row r="17" spans="2:11" ht="13.5" thickBot="1" x14ac:dyDescent="0.25">
      <c r="B17" s="16" t="s">
        <v>102</v>
      </c>
      <c r="C17" s="16">
        <f>SUM(C12:C16)</f>
        <v>3</v>
      </c>
      <c r="D17" s="16">
        <f>SUM(D12:D16)</f>
        <v>111000</v>
      </c>
      <c r="F17" s="16">
        <f t="shared" ref="F17:K17" si="5">SUM(F12:F16)</f>
        <v>66600</v>
      </c>
      <c r="G17" s="16">
        <f t="shared" si="5"/>
        <v>34632.000000000007</v>
      </c>
      <c r="H17" s="16">
        <f t="shared" si="5"/>
        <v>15840</v>
      </c>
      <c r="I17" s="16">
        <f t="shared" si="5"/>
        <v>8236.7999999999993</v>
      </c>
      <c r="J17" s="50">
        <f t="shared" si="5"/>
        <v>209160</v>
      </c>
      <c r="K17" s="50">
        <f t="shared" si="5"/>
        <v>108763.2</v>
      </c>
    </row>
    <row r="18" spans="2:11" ht="13.5" thickBot="1" x14ac:dyDescent="0.25">
      <c r="J18" s="26" t="s">
        <v>114</v>
      </c>
      <c r="K18" s="51">
        <f>K17+J17</f>
        <v>317923.20000000001</v>
      </c>
    </row>
    <row r="20" spans="2:11" x14ac:dyDescent="0.2">
      <c r="B20" s="52" t="s">
        <v>115</v>
      </c>
      <c r="C20" s="53" t="s">
        <v>103</v>
      </c>
    </row>
    <row r="21" spans="2:11" x14ac:dyDescent="0.2">
      <c r="B21" s="20" t="s">
        <v>116</v>
      </c>
      <c r="C21" s="20">
        <f>INDEX('Calculated ES Dayswapper'!N31:N38,MATCH(C20,'Calculated ES Dayswapper'!O31:O38,0))</f>
        <v>0</v>
      </c>
    </row>
    <row r="22" spans="2:11" ht="13.5" thickBot="1" x14ac:dyDescent="0.25">
      <c r="B22" s="20" t="s">
        <v>117</v>
      </c>
      <c r="C22" s="54">
        <f>INDEX('Calculated ES Dayswapper'!R31:R38,MATCH(C20,'Calculated ES Dayswapper'!O31:O38,0))</f>
        <v>0</v>
      </c>
    </row>
    <row r="23" spans="2:11" ht="13.5" thickBot="1" x14ac:dyDescent="0.25">
      <c r="F23" s="36" t="s">
        <v>70</v>
      </c>
      <c r="G23" s="37"/>
      <c r="H23" s="37"/>
      <c r="I23" s="37"/>
      <c r="J23" s="37"/>
      <c r="K23" s="38"/>
    </row>
    <row r="24" spans="2:11" ht="15.75" customHeight="1" thickBot="1" x14ac:dyDescent="0.25">
      <c r="B24" s="39" t="s">
        <v>104</v>
      </c>
      <c r="F24" s="40" t="s">
        <v>162</v>
      </c>
      <c r="G24" s="40"/>
      <c r="H24" s="40" t="s">
        <v>204</v>
      </c>
      <c r="I24" s="40"/>
      <c r="J24" s="40" t="s">
        <v>73</v>
      </c>
      <c r="K24" s="40"/>
    </row>
    <row r="25" spans="2:11" ht="26.25" thickBot="1" x14ac:dyDescent="0.25">
      <c r="B25" s="41" t="s">
        <v>161</v>
      </c>
      <c r="C25" s="42" t="s">
        <v>203</v>
      </c>
      <c r="D25" s="43" t="s">
        <v>202</v>
      </c>
      <c r="F25" s="19" t="s">
        <v>68</v>
      </c>
      <c r="G25" s="19" t="s">
        <v>69</v>
      </c>
      <c r="H25" s="19" t="s">
        <v>68</v>
      </c>
      <c r="I25" s="19" t="s">
        <v>69</v>
      </c>
      <c r="J25" s="19" t="s">
        <v>68</v>
      </c>
      <c r="K25" s="19" t="s">
        <v>69</v>
      </c>
    </row>
    <row r="26" spans="2:11" x14ac:dyDescent="0.2">
      <c r="B26" s="44">
        <v>100</v>
      </c>
      <c r="C26" s="45">
        <v>0</v>
      </c>
      <c r="D26" s="46">
        <f>B26*C26</f>
        <v>0</v>
      </c>
      <c r="F26" s="47">
        <v>0</v>
      </c>
      <c r="G26" s="47">
        <f>IF(($C$5-$C$22)&lt;0,0,0.05*($C$5-$C$22)*D26*12)</f>
        <v>0</v>
      </c>
      <c r="H26" s="47">
        <v>0</v>
      </c>
      <c r="I26" s="47">
        <f>IF(($C$5-$C$22)&lt;0,0,0.05*0.16*D26*12*(C5-C22))</f>
        <v>0</v>
      </c>
      <c r="J26" s="47">
        <f>F26+H26</f>
        <v>0</v>
      </c>
      <c r="K26" s="47">
        <f>G26+(I26*9)</f>
        <v>0</v>
      </c>
    </row>
    <row r="27" spans="2:11" x14ac:dyDescent="0.2">
      <c r="B27" s="48">
        <v>500</v>
      </c>
      <c r="C27" s="49">
        <v>0</v>
      </c>
      <c r="D27" s="18">
        <f t="shared" ref="D27:D30" si="6">B27*C27</f>
        <v>0</v>
      </c>
      <c r="F27" s="47">
        <v>0</v>
      </c>
      <c r="G27" s="47">
        <f t="shared" ref="G27:G30" si="7">IF(($C$5-$C$22)&lt;0,0,0.05*($C$5-$C$22)*D27*12)</f>
        <v>0</v>
      </c>
      <c r="H27" s="47">
        <v>0</v>
      </c>
      <c r="I27" s="47">
        <f>IF(($C$5-$C$22)&lt;0,0,0.05*0.18*D27*12*(C5-C22))</f>
        <v>0</v>
      </c>
      <c r="J27" s="47">
        <f t="shared" ref="J27:J30" si="8">F27+H27</f>
        <v>0</v>
      </c>
      <c r="K27" s="47">
        <f t="shared" ref="K27:K31" si="9">G27+(I27*9)</f>
        <v>0</v>
      </c>
    </row>
    <row r="28" spans="2:11" x14ac:dyDescent="0.2">
      <c r="B28" s="48">
        <v>1000</v>
      </c>
      <c r="C28" s="49">
        <v>1</v>
      </c>
      <c r="D28" s="18">
        <f t="shared" si="6"/>
        <v>1000</v>
      </c>
      <c r="F28" s="47">
        <v>0</v>
      </c>
      <c r="G28" s="47">
        <f t="shared" si="7"/>
        <v>312.00000000000006</v>
      </c>
      <c r="H28" s="47">
        <v>0</v>
      </c>
      <c r="I28" s="47">
        <f>IF(($C$5-$C$22)&lt;0,0,0.05*0.2*D28*12*(C5-C22))</f>
        <v>62.40000000000002</v>
      </c>
      <c r="J28" s="47">
        <f t="shared" si="8"/>
        <v>0</v>
      </c>
      <c r="K28" s="47">
        <f t="shared" si="9"/>
        <v>873.60000000000014</v>
      </c>
    </row>
    <row r="29" spans="2:11" x14ac:dyDescent="0.2">
      <c r="B29" s="48">
        <v>10000</v>
      </c>
      <c r="C29" s="49">
        <v>0</v>
      </c>
      <c r="D29" s="18">
        <f t="shared" si="6"/>
        <v>0</v>
      </c>
      <c r="F29" s="47">
        <v>0</v>
      </c>
      <c r="G29" s="47">
        <f t="shared" si="7"/>
        <v>0</v>
      </c>
      <c r="H29" s="47">
        <v>0</v>
      </c>
      <c r="I29" s="47">
        <f>IF(($C$5-$C$22)&lt;0,0,0.05*0.22*D29*12*(C5-C22))</f>
        <v>0</v>
      </c>
      <c r="J29" s="47">
        <f t="shared" si="8"/>
        <v>0</v>
      </c>
      <c r="K29" s="47">
        <f t="shared" si="9"/>
        <v>0</v>
      </c>
    </row>
    <row r="30" spans="2:11" x14ac:dyDescent="0.2">
      <c r="B30" s="48">
        <v>100000</v>
      </c>
      <c r="C30" s="49">
        <v>0</v>
      </c>
      <c r="D30" s="18">
        <f t="shared" si="6"/>
        <v>0</v>
      </c>
      <c r="F30" s="47">
        <v>0</v>
      </c>
      <c r="G30" s="47">
        <f t="shared" si="7"/>
        <v>0</v>
      </c>
      <c r="H30" s="47">
        <v>0</v>
      </c>
      <c r="I30" s="47">
        <f>IF(($C$5-$C$22)&lt;0,0,0.05*0.24*D30*12*(C5-C22))</f>
        <v>0</v>
      </c>
      <c r="J30" s="47">
        <f t="shared" si="8"/>
        <v>0</v>
      </c>
      <c r="K30" s="47">
        <f t="shared" si="9"/>
        <v>0</v>
      </c>
    </row>
    <row r="31" spans="2:11" ht="13.5" thickBot="1" x14ac:dyDescent="0.25">
      <c r="B31" s="16" t="s">
        <v>102</v>
      </c>
      <c r="C31" s="16">
        <f>SUM(C26:C30)</f>
        <v>1</v>
      </c>
      <c r="D31" s="16">
        <f>SUM(D26:D30)</f>
        <v>1000</v>
      </c>
      <c r="F31" s="16">
        <f t="shared" ref="F31" si="10">SUM(F26:F30)</f>
        <v>0</v>
      </c>
      <c r="G31" s="16">
        <f t="shared" ref="G31" si="11">SUM(G26:G30)</f>
        <v>312.00000000000006</v>
      </c>
      <c r="H31" s="16">
        <f t="shared" ref="H31" si="12">SUM(H26:H30)</f>
        <v>0</v>
      </c>
      <c r="I31" s="16">
        <f t="shared" ref="I31" si="13">SUM(I26:I30)</f>
        <v>62.40000000000002</v>
      </c>
      <c r="J31" s="50">
        <f t="shared" ref="J31" si="14">SUM(J26:J30)</f>
        <v>0</v>
      </c>
      <c r="K31" s="47">
        <f t="shared" si="9"/>
        <v>873.60000000000014</v>
      </c>
    </row>
    <row r="32" spans="2:11" ht="13.5" thickBot="1" x14ac:dyDescent="0.25">
      <c r="J32" s="26" t="s">
        <v>114</v>
      </c>
      <c r="K32" s="51">
        <f>K31+J31</f>
        <v>873.60000000000014</v>
      </c>
    </row>
  </sheetData>
  <sheetProtection algorithmName="SHA-512" hashValue="+Bi2IPt9einn+gauojEYHEbJbqlWtcIXQ+8p/jG2jrNqKihLWeZFrLnnrsAQIG0xmAVXRj/kYpiiZuTY7h3erw==" saltValue="WGGdT00lBQNbgVlHGZXEGw==" spinCount="100000" sheet="1" objects="1" scenarios="1"/>
  <mergeCells count="8">
    <mergeCell ref="F9:K9"/>
    <mergeCell ref="F23:K23"/>
    <mergeCell ref="F24:G24"/>
    <mergeCell ref="H24:I24"/>
    <mergeCell ref="J24:K24"/>
    <mergeCell ref="F10:G10"/>
    <mergeCell ref="H10:I10"/>
    <mergeCell ref="J10:K10"/>
  </mergeCells>
  <phoneticPr fontId="17" type="noConversion"/>
  <hyperlinks>
    <hyperlink ref="C7" location="'USER GUIDE'!A1" display="USER GUIDE" xr:uid="{C394E196-29FA-4EF8-83F1-C3E3E249D96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57FBBC-7D4A-44BA-BA19-2FC6336E7BE7}">
          <x14:formula1>
            <xm:f>'Calculated ES Dayswapper'!$O$31:$O$38</xm:f>
          </x14:formula1>
          <xm:sqref>C3 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5"/>
  <sheetViews>
    <sheetView showGridLines="0" zoomScale="120" zoomScaleNormal="120" workbookViewId="0">
      <selection sqref="A1:XFD1048576"/>
    </sheetView>
  </sheetViews>
  <sheetFormatPr defaultRowHeight="15" x14ac:dyDescent="0.25"/>
  <cols>
    <col min="2" max="2" width="16.85546875" customWidth="1"/>
    <col min="3" max="3" width="18.42578125" customWidth="1"/>
    <col min="4" max="4" width="11.5703125" customWidth="1"/>
    <col min="5" max="5" width="15.140625" customWidth="1"/>
    <col min="6" max="6" width="23.7109375" customWidth="1"/>
    <col min="7" max="7" width="9.28515625" customWidth="1"/>
    <col min="8" max="8" width="10" customWidth="1"/>
    <col min="9" max="9" width="10.28515625" customWidth="1"/>
    <col min="10" max="1026" width="8.5703125" customWidth="1"/>
  </cols>
  <sheetData>
    <row r="2" spans="1:12" x14ac:dyDescent="0.25">
      <c r="B2" s="24" t="s">
        <v>85</v>
      </c>
      <c r="C2" s="24"/>
      <c r="D2" s="24"/>
    </row>
    <row r="3" spans="1:12" ht="41.25" customHeight="1" x14ac:dyDescent="0.25">
      <c r="B3" s="1" t="s">
        <v>83</v>
      </c>
      <c r="C3" s="1" t="s">
        <v>84</v>
      </c>
      <c r="D3" s="1" t="s">
        <v>82</v>
      </c>
    </row>
    <row r="4" spans="1:12" ht="15" customHeight="1" x14ac:dyDescent="0.25">
      <c r="B4" s="3">
        <v>100</v>
      </c>
      <c r="C4" s="3">
        <v>499</v>
      </c>
      <c r="D4" s="2">
        <v>0.16</v>
      </c>
    </row>
    <row r="5" spans="1:12" ht="15" customHeight="1" x14ac:dyDescent="0.25">
      <c r="B5" s="3">
        <v>500</v>
      </c>
      <c r="C5" s="3">
        <v>999</v>
      </c>
      <c r="D5" s="2">
        <v>0.18</v>
      </c>
    </row>
    <row r="6" spans="1:12" ht="15" customHeight="1" x14ac:dyDescent="0.25">
      <c r="B6" s="3">
        <v>1000</v>
      </c>
      <c r="C6" s="3">
        <v>9999</v>
      </c>
      <c r="D6" s="2">
        <v>0.2</v>
      </c>
    </row>
    <row r="7" spans="1:12" x14ac:dyDescent="0.25">
      <c r="B7" s="3">
        <v>10000</v>
      </c>
      <c r="C7" s="3">
        <v>99999</v>
      </c>
      <c r="D7" s="2">
        <v>0.22</v>
      </c>
    </row>
    <row r="8" spans="1:12" x14ac:dyDescent="0.25">
      <c r="B8" s="3">
        <v>100000</v>
      </c>
      <c r="C8" s="3" t="s">
        <v>0</v>
      </c>
      <c r="D8" s="2">
        <v>0.24</v>
      </c>
    </row>
    <row r="9" spans="1:12" x14ac:dyDescent="0.25">
      <c r="A9" s="4"/>
      <c r="B9" s="4"/>
      <c r="C9" s="4"/>
      <c r="D9" s="4"/>
      <c r="E9" s="4"/>
      <c r="F9" s="4"/>
      <c r="G9" s="4"/>
      <c r="H9" s="4"/>
      <c r="I9" s="4"/>
      <c r="J9" s="4"/>
      <c r="K9" s="4"/>
      <c r="L9" s="4"/>
    </row>
    <row r="10" spans="1:12" x14ac:dyDescent="0.25">
      <c r="A10" s="4"/>
      <c r="J10" s="8"/>
      <c r="K10" s="8"/>
      <c r="L10" s="4"/>
    </row>
    <row r="11" spans="1:12" ht="15" customHeight="1" x14ac:dyDescent="0.25">
      <c r="A11" s="4"/>
      <c r="J11" s="9"/>
      <c r="K11" s="10"/>
      <c r="L11" s="4"/>
    </row>
    <row r="12" spans="1:12" x14ac:dyDescent="0.25">
      <c r="A12" s="4"/>
      <c r="J12" s="9"/>
      <c r="K12" s="10"/>
      <c r="L12" s="4"/>
    </row>
    <row r="13" spans="1:12" x14ac:dyDescent="0.25">
      <c r="A13" s="4"/>
      <c r="J13" s="9"/>
      <c r="K13" s="10"/>
      <c r="L13" s="4"/>
    </row>
    <row r="14" spans="1:12" x14ac:dyDescent="0.25">
      <c r="A14" s="4"/>
      <c r="J14" s="9"/>
      <c r="K14" s="10"/>
      <c r="L14" s="4"/>
    </row>
    <row r="15" spans="1:12" ht="15" customHeight="1" x14ac:dyDescent="0.25">
      <c r="A15" s="4"/>
      <c r="J15" s="10"/>
      <c r="K15" s="10"/>
      <c r="L15" s="4"/>
    </row>
    <row r="16" spans="1:12" x14ac:dyDescent="0.25">
      <c r="A16" s="4"/>
      <c r="J16" s="10"/>
      <c r="K16" s="10"/>
      <c r="L16" s="4"/>
    </row>
    <row r="17" spans="1:12" x14ac:dyDescent="0.25">
      <c r="A17" s="4"/>
      <c r="B17" s="9"/>
      <c r="C17" s="9"/>
      <c r="D17" s="9"/>
      <c r="E17" s="9"/>
      <c r="F17" s="9"/>
      <c r="G17" s="9"/>
      <c r="H17" s="9"/>
      <c r="I17" s="9"/>
      <c r="J17" s="10"/>
      <c r="K17" s="10"/>
      <c r="L17" s="4"/>
    </row>
    <row r="18" spans="1:12" x14ac:dyDescent="0.25">
      <c r="B18" s="6"/>
      <c r="C18" s="6"/>
      <c r="D18" s="6"/>
      <c r="E18" s="6"/>
      <c r="F18" s="6"/>
      <c r="G18" s="6"/>
      <c r="H18" s="6"/>
      <c r="I18" s="6"/>
      <c r="J18" s="6"/>
      <c r="K18" s="6"/>
    </row>
    <row r="19" spans="1:12" ht="13.5" customHeight="1" x14ac:dyDescent="0.25">
      <c r="C19" s="7"/>
      <c r="D19" s="7"/>
      <c r="E19" s="7"/>
      <c r="F19" s="7"/>
      <c r="G19" s="7"/>
      <c r="H19" s="7"/>
      <c r="I19" s="7"/>
      <c r="J19" s="7"/>
      <c r="K19" s="7"/>
    </row>
    <row r="20" spans="1:12" ht="15" customHeight="1" x14ac:dyDescent="0.25">
      <c r="B20" s="7"/>
      <c r="C20" s="7"/>
      <c r="D20" s="7"/>
      <c r="E20" s="7"/>
      <c r="F20" s="7"/>
      <c r="G20" s="7"/>
      <c r="H20" s="7"/>
      <c r="I20" s="7"/>
      <c r="J20" s="7"/>
      <c r="K20" s="7"/>
    </row>
    <row r="21" spans="1:12" ht="12" customHeight="1" x14ac:dyDescent="0.25">
      <c r="B21" s="7"/>
      <c r="C21" s="7"/>
      <c r="D21" s="7"/>
      <c r="E21" s="7"/>
      <c r="F21" s="7"/>
      <c r="G21" s="7"/>
      <c r="H21" s="7"/>
      <c r="I21" s="7"/>
      <c r="J21" s="7"/>
      <c r="K21" s="7"/>
    </row>
    <row r="22" spans="1:12" ht="15" customHeight="1" x14ac:dyDescent="0.25">
      <c r="B22" s="7"/>
      <c r="C22" s="7"/>
      <c r="D22" s="7"/>
      <c r="E22" s="7"/>
      <c r="F22" s="7"/>
      <c r="G22" s="7"/>
      <c r="H22" s="7"/>
      <c r="I22" s="7"/>
      <c r="J22" s="7"/>
      <c r="K22" s="7"/>
    </row>
    <row r="23" spans="1:12" ht="15" customHeight="1" x14ac:dyDescent="0.35">
      <c r="B23" s="5"/>
      <c r="C23" s="5"/>
      <c r="D23" s="5"/>
      <c r="E23" s="5"/>
      <c r="F23" s="5"/>
      <c r="G23" s="5"/>
      <c r="H23" s="5"/>
      <c r="I23" s="5"/>
      <c r="J23" s="5"/>
      <c r="K23" s="5"/>
    </row>
    <row r="24" spans="1:12" ht="15" customHeight="1" x14ac:dyDescent="0.35">
      <c r="B24" s="5"/>
      <c r="C24" s="5"/>
      <c r="D24" s="5"/>
      <c r="E24" s="5"/>
      <c r="F24" s="5"/>
      <c r="G24" s="5"/>
      <c r="H24" s="5"/>
      <c r="I24" s="5"/>
      <c r="J24" s="5"/>
      <c r="K24" s="5"/>
    </row>
    <row r="25" spans="1:12" ht="15" customHeight="1" x14ac:dyDescent="0.35">
      <c r="B25" s="5"/>
      <c r="C25" s="5"/>
      <c r="D25" s="5"/>
      <c r="E25" s="5"/>
      <c r="F25" s="5"/>
      <c r="G25" s="5"/>
      <c r="H25" s="5"/>
      <c r="I25" s="5"/>
      <c r="J25" s="5"/>
      <c r="K25" s="5"/>
    </row>
  </sheetData>
  <mergeCells count="1">
    <mergeCell ref="B2:D2"/>
  </mergeCells>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0F5F-4CC9-4580-88DC-20000AA844BB}">
  <dimension ref="B2:K27"/>
  <sheetViews>
    <sheetView showGridLines="0" workbookViewId="0">
      <selection activeCell="B13" sqref="B13"/>
    </sheetView>
  </sheetViews>
  <sheetFormatPr defaultRowHeight="12.75" x14ac:dyDescent="0.2"/>
  <cols>
    <col min="1" max="1" width="9.140625" style="55"/>
    <col min="2" max="2" width="49.42578125" style="55" bestFit="1" customWidth="1"/>
    <col min="3" max="3" width="41.140625" style="55" bestFit="1" customWidth="1"/>
    <col min="4" max="4" width="9.140625" style="55"/>
    <col min="5" max="11" width="9.140625" style="55" hidden="1" customWidth="1"/>
    <col min="12" max="16384" width="9.140625" style="55"/>
  </cols>
  <sheetData>
    <row r="2" spans="2:10" x14ac:dyDescent="0.2">
      <c r="B2" s="73" t="s">
        <v>189</v>
      </c>
      <c r="C2" s="49">
        <v>100000</v>
      </c>
    </row>
    <row r="3" spans="2:10" x14ac:dyDescent="0.2">
      <c r="B3" s="73" t="s">
        <v>168</v>
      </c>
      <c r="C3" s="49">
        <v>48</v>
      </c>
    </row>
    <row r="4" spans="2:10" ht="13.5" thickBot="1" x14ac:dyDescent="0.25"/>
    <row r="5" spans="2:10" x14ac:dyDescent="0.2">
      <c r="B5" s="107"/>
      <c r="C5" s="59" t="s">
        <v>110</v>
      </c>
      <c r="F5" s="110">
        <v>100</v>
      </c>
      <c r="G5" s="110">
        <v>500</v>
      </c>
      <c r="H5" s="111">
        <v>0.16</v>
      </c>
      <c r="I5" s="55">
        <f t="shared" ref="I5:I8" si="0">F5*H5</f>
        <v>16</v>
      </c>
      <c r="J5" s="55">
        <f>G5*H5</f>
        <v>80</v>
      </c>
    </row>
    <row r="6" spans="2:10" x14ac:dyDescent="0.2">
      <c r="B6" s="63" t="s">
        <v>167</v>
      </c>
      <c r="C6" s="112">
        <f>C2/(C3-12)</f>
        <v>2777.7777777777778</v>
      </c>
      <c r="F6" s="110">
        <v>500</v>
      </c>
      <c r="G6" s="110">
        <v>1000</v>
      </c>
      <c r="H6" s="111">
        <v>0.18</v>
      </c>
      <c r="I6" s="55">
        <f t="shared" si="0"/>
        <v>90</v>
      </c>
      <c r="J6" s="55">
        <f t="shared" ref="J6:J8" si="1">G6*H6</f>
        <v>180</v>
      </c>
    </row>
    <row r="7" spans="2:10" x14ac:dyDescent="0.2">
      <c r="B7" s="113" t="s">
        <v>77</v>
      </c>
      <c r="C7" s="114">
        <f>IF(C6&lt;J5,H5,IF(C6&lt;J6,H6,IF(C6&lt;J7,H7,IF(C6&lt;J8,H8,H9))))</f>
        <v>0.22</v>
      </c>
      <c r="F7" s="110">
        <v>1000</v>
      </c>
      <c r="G7" s="110">
        <v>10000</v>
      </c>
      <c r="H7" s="111">
        <v>0.2</v>
      </c>
      <c r="I7" s="55">
        <f t="shared" si="0"/>
        <v>200</v>
      </c>
      <c r="J7" s="55">
        <f t="shared" si="1"/>
        <v>2000</v>
      </c>
    </row>
    <row r="8" spans="2:10" x14ac:dyDescent="0.2">
      <c r="B8" s="115" t="s">
        <v>190</v>
      </c>
      <c r="C8" s="116">
        <f>IF((C6/C7&lt;INDEX(F5:F9,MATCH(C7,H5:H9,0))),INDEX(F5:F9,MATCH(C7,H5:H9,0)),(C6/C7))</f>
        <v>12626.262626262627</v>
      </c>
      <c r="F8" s="110">
        <v>10000</v>
      </c>
      <c r="G8" s="110">
        <v>100000</v>
      </c>
      <c r="H8" s="111">
        <v>0.22</v>
      </c>
      <c r="I8" s="55">
        <f t="shared" si="0"/>
        <v>2200</v>
      </c>
      <c r="J8" s="55">
        <f t="shared" si="1"/>
        <v>22000</v>
      </c>
    </row>
    <row r="9" spans="2:10" x14ac:dyDescent="0.2">
      <c r="B9" s="113" t="s">
        <v>191</v>
      </c>
      <c r="C9" s="66">
        <f>C8*C7</f>
        <v>2777.7777777777778</v>
      </c>
      <c r="F9" s="110">
        <v>100000</v>
      </c>
      <c r="G9" s="110" t="s">
        <v>0</v>
      </c>
      <c r="H9" s="111">
        <v>0.24</v>
      </c>
      <c r="I9" s="55">
        <f>F9*H9</f>
        <v>24000</v>
      </c>
    </row>
    <row r="10" spans="2:10" x14ac:dyDescent="0.2">
      <c r="B10" s="113" t="s">
        <v>192</v>
      </c>
      <c r="C10" s="66">
        <f>C9*12</f>
        <v>33333.333333333336</v>
      </c>
      <c r="F10" s="117"/>
      <c r="G10" s="117"/>
      <c r="H10" s="118"/>
    </row>
    <row r="11" spans="2:10" x14ac:dyDescent="0.2">
      <c r="B11" s="119" t="s">
        <v>166</v>
      </c>
      <c r="C11" s="66">
        <f>C8*12+C9*108</f>
        <v>451515.15151515149</v>
      </c>
    </row>
    <row r="12" spans="2:10" x14ac:dyDescent="0.2">
      <c r="B12" s="120" t="s">
        <v>193</v>
      </c>
      <c r="C12" s="121">
        <f>C9*(C3-12)</f>
        <v>100000</v>
      </c>
    </row>
    <row r="14" spans="2:10" ht="13.5" hidden="1" thickBot="1" x14ac:dyDescent="0.25"/>
    <row r="15" spans="2:10" hidden="1" x14ac:dyDescent="0.2">
      <c r="B15" s="107"/>
      <c r="C15" s="59" t="s">
        <v>139</v>
      </c>
      <c r="F15" s="110">
        <v>100</v>
      </c>
      <c r="G15" s="110">
        <v>500</v>
      </c>
      <c r="H15" s="111">
        <v>0.16</v>
      </c>
      <c r="I15" s="55">
        <f>(F15*$H15*108)+(F15*12)</f>
        <v>2928</v>
      </c>
      <c r="J15" s="55">
        <f>(G15*$H15*108)+(G15*12)</f>
        <v>14640</v>
      </c>
    </row>
    <row r="16" spans="2:10" ht="13.5" hidden="1" thickBot="1" x14ac:dyDescent="0.25">
      <c r="B16" s="63" t="s">
        <v>164</v>
      </c>
      <c r="C16" s="190">
        <v>100000</v>
      </c>
      <c r="F16" s="110">
        <v>500</v>
      </c>
      <c r="G16" s="110">
        <v>1000</v>
      </c>
      <c r="H16" s="111">
        <v>0.18</v>
      </c>
      <c r="I16" s="55">
        <f t="shared" ref="I16:I19" si="2">(F16*$H16*108)+(F16*12)</f>
        <v>15720</v>
      </c>
      <c r="J16" s="55">
        <f t="shared" ref="J16:J18" si="3">(G16*$H16*108)+(G16*12)</f>
        <v>31440</v>
      </c>
    </row>
    <row r="17" spans="2:10" hidden="1" x14ac:dyDescent="0.2">
      <c r="B17" s="113" t="s">
        <v>111</v>
      </c>
      <c r="C17" s="114">
        <f>IF(C16&lt;J15,H15,IF(C16&lt;J16,H16,IF(C16&lt;J17,H17,IF(C16&lt;J18,H18,H19))))</f>
        <v>0.2</v>
      </c>
      <c r="F17" s="110">
        <v>1000</v>
      </c>
      <c r="G17" s="110">
        <v>10000</v>
      </c>
      <c r="H17" s="111">
        <v>0.2</v>
      </c>
      <c r="I17" s="55">
        <f t="shared" si="2"/>
        <v>33600</v>
      </c>
      <c r="J17" s="55">
        <f t="shared" si="3"/>
        <v>336000</v>
      </c>
    </row>
    <row r="18" spans="2:10" hidden="1" x14ac:dyDescent="0.2">
      <c r="B18" s="115" t="s">
        <v>113</v>
      </c>
      <c r="C18" s="116">
        <f>IF((C16/(C17*108+12)&lt;INDEX(F15:F19,MATCH(C17,H15:H19,0))),INDEX(F15:F19,MATCH(C17,H15:H19,0)),(C16/(C17*108+12)))</f>
        <v>2976.1904761904761</v>
      </c>
      <c r="F18" s="110">
        <v>10000</v>
      </c>
      <c r="G18" s="110">
        <v>100000</v>
      </c>
      <c r="H18" s="111">
        <v>0.22</v>
      </c>
      <c r="I18" s="55">
        <f t="shared" si="2"/>
        <v>357600</v>
      </c>
      <c r="J18" s="55">
        <f t="shared" si="3"/>
        <v>3576000</v>
      </c>
    </row>
    <row r="19" spans="2:10" hidden="1" x14ac:dyDescent="0.2">
      <c r="B19" s="113" t="s">
        <v>118</v>
      </c>
      <c r="C19" s="67">
        <f>C18*C17</f>
        <v>595.2380952380953</v>
      </c>
      <c r="F19" s="110">
        <v>100000</v>
      </c>
      <c r="G19" s="110" t="s">
        <v>0</v>
      </c>
      <c r="H19" s="111">
        <v>0.24</v>
      </c>
      <c r="I19" s="55">
        <f t="shared" si="2"/>
        <v>3792000</v>
      </c>
    </row>
    <row r="20" spans="2:10" hidden="1" x14ac:dyDescent="0.2">
      <c r="B20" s="122" t="s">
        <v>142</v>
      </c>
      <c r="C20" s="67">
        <f>C18*12+C19*108</f>
        <v>100000</v>
      </c>
    </row>
    <row r="23" spans="2:10" x14ac:dyDescent="0.2">
      <c r="B23" s="35" t="s">
        <v>124</v>
      </c>
      <c r="C23" s="192" t="s">
        <v>80</v>
      </c>
    </row>
    <row r="25" spans="2:10" x14ac:dyDescent="0.2">
      <c r="B25" s="191" t="s">
        <v>163</v>
      </c>
      <c r="C25" s="191"/>
    </row>
    <row r="26" spans="2:10" x14ac:dyDescent="0.2">
      <c r="B26" s="191" t="s">
        <v>165</v>
      </c>
      <c r="C26" s="191"/>
    </row>
    <row r="27" spans="2:10" x14ac:dyDescent="0.2">
      <c r="B27" s="191" t="s">
        <v>175</v>
      </c>
      <c r="C27" s="191"/>
    </row>
  </sheetData>
  <sheetProtection algorithmName="SHA-512" hashValue="TxDi1ZUz54zGRMYgjCwxrvHT0FxQkNEtbuvCLGNXLYh/iTX2SrARUoEyu98o3+KLk4pz0eEtbmYXgOC5BxetRw==" saltValue="XaAtu1iJrJ8+oAflAz/Hyg==" spinCount="100000" sheet="1" objects="1" scenarios="1"/>
  <hyperlinks>
    <hyperlink ref="C23" location="'USER GUIDE'!A1" display="USER GUIDE" xr:uid="{7F3FE11F-317D-48C5-AA2F-6CBA7A8BB5D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1ACF6-8063-46B1-9A66-5D78B16A0006}">
  <dimension ref="B1:BF86"/>
  <sheetViews>
    <sheetView showGridLines="0" zoomScale="80" zoomScaleNormal="80" workbookViewId="0">
      <pane xSplit="7" topLeftCell="H1" activePane="topRight" state="frozen"/>
      <selection sqref="A1:XFD1048576"/>
      <selection pane="topRight"/>
    </sheetView>
  </sheetViews>
  <sheetFormatPr defaultRowHeight="12.75" x14ac:dyDescent="0.2"/>
  <cols>
    <col min="1" max="1" width="15" style="55" customWidth="1"/>
    <col min="2" max="2" width="17.7109375" style="55" bestFit="1" customWidth="1"/>
    <col min="3" max="3" width="20.7109375" style="55" bestFit="1" customWidth="1"/>
    <col min="4" max="4" width="18.85546875" style="55" customWidth="1"/>
    <col min="5" max="5" width="40" style="55" bestFit="1" customWidth="1"/>
    <col min="6" max="6" width="15.28515625" style="55" bestFit="1" customWidth="1"/>
    <col min="7" max="7" width="21.5703125" style="55" bestFit="1" customWidth="1"/>
    <col min="8" max="8" width="16" style="55" customWidth="1"/>
    <col min="9" max="9" width="12.140625" style="55" bestFit="1" customWidth="1"/>
    <col min="10" max="10" width="19.28515625" style="55" customWidth="1"/>
    <col min="11" max="11" width="16.42578125" style="55" bestFit="1" customWidth="1"/>
    <col min="12" max="12" width="11.7109375" style="55" bestFit="1" customWidth="1"/>
    <col min="13" max="13" width="19.42578125" style="55" customWidth="1"/>
    <col min="14" max="14" width="16.42578125" style="55" bestFit="1" customWidth="1"/>
    <col min="15" max="15" width="11.7109375" style="55" bestFit="1" customWidth="1"/>
    <col min="16" max="16" width="19.5703125" style="55" customWidth="1"/>
    <col min="17" max="17" width="16.42578125" style="55" bestFit="1" customWidth="1"/>
    <col min="18" max="18" width="11.7109375" style="55" bestFit="1" customWidth="1"/>
    <col min="19" max="19" width="19.42578125" style="55" bestFit="1" customWidth="1"/>
    <col min="20" max="20" width="16.42578125" style="55" bestFit="1" customWidth="1"/>
    <col min="21" max="21" width="11.7109375" style="55" bestFit="1" customWidth="1"/>
    <col min="22" max="22" width="19.42578125" style="55" bestFit="1" customWidth="1"/>
    <col min="23" max="23" width="16.42578125" style="55" bestFit="1" customWidth="1"/>
    <col min="24" max="24" width="11.7109375" style="55" bestFit="1" customWidth="1"/>
    <col min="25" max="25" width="19.42578125" style="55" customWidth="1"/>
    <col min="26" max="26" width="16.42578125" style="55" bestFit="1" customWidth="1"/>
    <col min="27" max="27" width="11.7109375" style="55" bestFit="1" customWidth="1"/>
    <col min="28" max="28" width="19.42578125" style="55" bestFit="1" customWidth="1"/>
    <col min="29" max="29" width="16.42578125" style="55" bestFit="1" customWidth="1"/>
    <col min="30" max="30" width="11.7109375" style="55" bestFit="1" customWidth="1"/>
    <col min="31" max="31" width="19.140625" style="55" customWidth="1"/>
    <col min="32" max="32" width="16.42578125" style="55" bestFit="1" customWidth="1"/>
    <col min="33" max="33" width="11.7109375" style="55" bestFit="1" customWidth="1"/>
    <col min="34" max="34" width="10.85546875" style="55" bestFit="1" customWidth="1"/>
    <col min="35" max="35" width="19.28515625" style="55" customWidth="1"/>
    <col min="36" max="36" width="11.7109375" style="55" bestFit="1" customWidth="1"/>
    <col min="37" max="37" width="12.42578125" style="55" bestFit="1" customWidth="1"/>
    <col min="38" max="38" width="16.42578125" style="55" bestFit="1" customWidth="1"/>
    <col min="39" max="39" width="11.7109375" style="55" bestFit="1" customWidth="1"/>
    <col min="40" max="40" width="10.85546875" style="55" bestFit="1" customWidth="1"/>
    <col min="41" max="41" width="16.42578125" style="55" bestFit="1" customWidth="1"/>
    <col min="42" max="42" width="11.7109375" style="55" customWidth="1"/>
    <col min="43" max="43" width="12.140625" style="55" bestFit="1" customWidth="1"/>
    <col min="44" max="44" width="16.42578125" style="55" bestFit="1" customWidth="1"/>
    <col min="45" max="45" width="11.7109375" style="55" customWidth="1"/>
    <col min="46" max="46" width="12.140625" style="55" bestFit="1" customWidth="1"/>
    <col min="47" max="47" width="16.42578125" style="55" bestFit="1" customWidth="1"/>
    <col min="48" max="48" width="11.7109375" style="55" customWidth="1"/>
    <col min="49" max="49" width="10.85546875" style="55" bestFit="1" customWidth="1"/>
    <col min="50" max="50" width="16.42578125" style="55" bestFit="1" customWidth="1"/>
    <col min="51" max="51" width="11.7109375" style="55" bestFit="1" customWidth="1"/>
    <col min="52" max="52" width="10.85546875" style="55" bestFit="1" customWidth="1"/>
    <col min="53" max="53" width="16.42578125" style="55" bestFit="1" customWidth="1"/>
    <col min="54" max="54" width="17.28515625" style="55" bestFit="1" customWidth="1"/>
    <col min="55" max="55" width="9.140625" style="55" customWidth="1"/>
    <col min="56" max="56" width="16.42578125" style="55" bestFit="1" customWidth="1"/>
    <col min="57" max="57" width="11.7109375" style="55" bestFit="1" customWidth="1"/>
    <col min="58" max="1025" width="9.140625" style="55" customWidth="1"/>
    <col min="1026" max="16384" width="9.140625" style="55"/>
  </cols>
  <sheetData>
    <row r="1" spans="2:31" ht="13.5" thickBot="1" x14ac:dyDescent="0.25">
      <c r="D1" s="56"/>
      <c r="F1" s="57"/>
      <c r="G1" s="56"/>
      <c r="I1" s="58"/>
      <c r="J1" s="56"/>
      <c r="L1" s="57"/>
      <c r="M1" s="56"/>
      <c r="P1" s="56"/>
      <c r="S1" s="56"/>
      <c r="V1" s="56"/>
      <c r="Y1" s="56"/>
    </row>
    <row r="2" spans="2:31" ht="13.5" thickBot="1" x14ac:dyDescent="0.25">
      <c r="B2" s="107"/>
      <c r="C2" s="59" t="s">
        <v>74</v>
      </c>
      <c r="D2" s="56"/>
      <c r="E2" s="60" t="s">
        <v>59</v>
      </c>
      <c r="F2" s="61"/>
      <c r="G2" s="62"/>
      <c r="J2" s="56"/>
      <c r="M2" s="56"/>
    </row>
    <row r="3" spans="2:31" ht="13.5" thickBot="1" x14ac:dyDescent="0.25">
      <c r="B3" s="63" t="s">
        <v>75</v>
      </c>
      <c r="C3" s="12">
        <v>1000</v>
      </c>
      <c r="E3" s="65" t="s">
        <v>14</v>
      </c>
      <c r="F3" s="65" t="s">
        <v>120</v>
      </c>
      <c r="G3" s="65" t="s">
        <v>194</v>
      </c>
      <c r="J3" s="56"/>
      <c r="M3" s="56"/>
    </row>
    <row r="4" spans="2:31" x14ac:dyDescent="0.2">
      <c r="B4" s="73" t="s">
        <v>77</v>
      </c>
      <c r="C4" s="74">
        <f>IF(C3&gt;='TSGAP % slabs'!B8,'TSGAP % slabs'!D8,IF(C3&gt;='TSGAP % slabs'!B7,'TSGAP % slabs'!D7,IF(C3&gt;='TSGAP % slabs'!B6,'TSGAP % slabs'!D6,IF(C3&gt;='TSGAP % slabs'!B5,'TSGAP % slabs'!D5,IF(C3&gt;='TSGAP % slabs'!B4,'TSGAP % slabs'!D4,0)))))</f>
        <v>0.2</v>
      </c>
      <c r="D4" s="56"/>
      <c r="E4" s="67">
        <v>1</v>
      </c>
      <c r="F4" s="69" t="s">
        <v>60</v>
      </c>
      <c r="G4" s="70"/>
      <c r="J4" s="56"/>
      <c r="M4" s="56"/>
    </row>
    <row r="5" spans="2:31" ht="13.5" thickBot="1" x14ac:dyDescent="0.25">
      <c r="B5" s="33"/>
      <c r="C5" s="76"/>
      <c r="D5" s="56"/>
      <c r="E5" s="67">
        <v>2</v>
      </c>
      <c r="F5" s="69" t="s">
        <v>60</v>
      </c>
      <c r="G5" s="70"/>
      <c r="J5" s="56"/>
      <c r="M5" s="56"/>
    </row>
    <row r="6" spans="2:31" ht="13.5" thickBot="1" x14ac:dyDescent="0.25">
      <c r="B6" s="150" t="s">
        <v>127</v>
      </c>
      <c r="C6" s="188">
        <v>0</v>
      </c>
      <c r="D6" s="56"/>
      <c r="E6" s="67">
        <v>3</v>
      </c>
      <c r="F6" s="69" t="s">
        <v>119</v>
      </c>
      <c r="G6" s="70"/>
      <c r="J6" s="56"/>
      <c r="M6" s="56"/>
    </row>
    <row r="7" spans="2:31" x14ac:dyDescent="0.2">
      <c r="B7" s="33"/>
      <c r="C7" s="76"/>
      <c r="D7" s="56"/>
      <c r="E7" s="67">
        <v>4</v>
      </c>
      <c r="F7" s="69" t="s">
        <v>119</v>
      </c>
      <c r="G7" s="70"/>
      <c r="J7" s="56"/>
      <c r="M7" s="56"/>
    </row>
    <row r="8" spans="2:31" x14ac:dyDescent="0.2">
      <c r="B8" s="35" t="s">
        <v>124</v>
      </c>
      <c r="C8" s="192" t="s">
        <v>80</v>
      </c>
      <c r="D8" s="56"/>
      <c r="E8" s="67">
        <v>5</v>
      </c>
      <c r="F8" s="69" t="s">
        <v>119</v>
      </c>
      <c r="G8" s="70"/>
      <c r="J8" s="56"/>
      <c r="M8" s="56"/>
      <c r="P8" s="56"/>
      <c r="S8" s="56"/>
    </row>
    <row r="9" spans="2:31" x14ac:dyDescent="0.2">
      <c r="D9" s="56"/>
      <c r="E9" s="67">
        <v>6</v>
      </c>
      <c r="F9" s="69" t="s">
        <v>119</v>
      </c>
      <c r="G9" s="70"/>
      <c r="L9" s="57"/>
      <c r="M9" s="56"/>
      <c r="P9" s="56"/>
      <c r="S9" s="56"/>
      <c r="V9" s="56"/>
      <c r="Y9" s="56"/>
    </row>
    <row r="10" spans="2:31" ht="13.5" thickBot="1" x14ac:dyDescent="0.25">
      <c r="B10" s="33"/>
      <c r="C10" s="76"/>
      <c r="D10" s="56"/>
      <c r="E10" s="67">
        <v>7</v>
      </c>
      <c r="F10" s="69" t="s">
        <v>119</v>
      </c>
      <c r="G10" s="70"/>
      <c r="K10" s="56"/>
      <c r="M10" s="57"/>
      <c r="N10" s="56"/>
      <c r="R10" s="57"/>
      <c r="S10" s="56"/>
      <c r="V10" s="56"/>
      <c r="Y10" s="56"/>
      <c r="AB10" s="56"/>
      <c r="AE10" s="56"/>
    </row>
    <row r="11" spans="2:31" ht="13.5" thickBot="1" x14ac:dyDescent="0.25">
      <c r="B11" s="152" t="s">
        <v>147</v>
      </c>
      <c r="C11" s="153"/>
      <c r="D11" s="56"/>
      <c r="E11" s="67">
        <v>8</v>
      </c>
      <c r="F11" s="69" t="s">
        <v>119</v>
      </c>
      <c r="G11" s="70"/>
      <c r="M11" s="57"/>
      <c r="N11" s="56"/>
      <c r="R11" s="57"/>
      <c r="S11" s="56"/>
      <c r="V11" s="56"/>
      <c r="Y11" s="56"/>
      <c r="AB11" s="56"/>
      <c r="AE11" s="56"/>
    </row>
    <row r="12" spans="2:31" x14ac:dyDescent="0.2">
      <c r="B12" s="65" t="s">
        <v>148</v>
      </c>
      <c r="C12" s="65" t="s">
        <v>149</v>
      </c>
      <c r="D12" s="56"/>
      <c r="E12" s="67">
        <v>9</v>
      </c>
      <c r="F12" s="69" t="s">
        <v>119</v>
      </c>
      <c r="G12" s="70"/>
      <c r="M12" s="57"/>
      <c r="N12" s="56"/>
      <c r="R12" s="57"/>
      <c r="S12" s="56"/>
      <c r="V12" s="56"/>
      <c r="Y12" s="56"/>
      <c r="AB12" s="56"/>
      <c r="AE12" s="56"/>
    </row>
    <row r="13" spans="2:31" x14ac:dyDescent="0.2">
      <c r="B13" s="67">
        <v>1</v>
      </c>
      <c r="C13" s="66">
        <f ca="1">OFFSET(INDEX($B$42:$BF$42,0,MATCH(B13,$B$56:$BF$56,0)),0,1)</f>
        <v>200</v>
      </c>
      <c r="D13" s="56"/>
      <c r="E13" s="67">
        <v>10</v>
      </c>
      <c r="F13" s="69" t="s">
        <v>119</v>
      </c>
      <c r="G13" s="70"/>
      <c r="M13" s="57"/>
      <c r="N13" s="56"/>
      <c r="R13" s="57"/>
      <c r="S13" s="56"/>
      <c r="V13" s="56"/>
      <c r="Y13" s="56"/>
      <c r="AB13" s="56"/>
      <c r="AE13" s="56"/>
    </row>
    <row r="14" spans="2:31" x14ac:dyDescent="0.2">
      <c r="B14" s="67">
        <v>2</v>
      </c>
      <c r="C14" s="66">
        <f ca="1">OFFSET(INDEX($B$42:$BF$42,0,MATCH(B14,$B$56:$BF$56,0)),0,1)</f>
        <v>200</v>
      </c>
      <c r="D14" s="56"/>
      <c r="E14" s="67">
        <v>11</v>
      </c>
      <c r="F14" s="69" t="s">
        <v>119</v>
      </c>
      <c r="G14" s="70"/>
      <c r="M14" s="57"/>
      <c r="N14" s="56"/>
      <c r="R14" s="57"/>
      <c r="S14" s="56"/>
      <c r="V14" s="56"/>
      <c r="Y14" s="56"/>
      <c r="AB14" s="56"/>
      <c r="AE14" s="56"/>
    </row>
    <row r="15" spans="2:31" x14ac:dyDescent="0.2">
      <c r="B15" s="67">
        <v>3</v>
      </c>
      <c r="C15" s="66">
        <f ca="1">OFFSET(INDEX($B$42:$BF$42,0,MATCH(B15,$B$56:$BF$56,0)),0,1)</f>
        <v>200</v>
      </c>
      <c r="D15" s="56"/>
      <c r="E15" s="67">
        <v>12</v>
      </c>
      <c r="F15" s="69" t="s">
        <v>119</v>
      </c>
      <c r="G15" s="70"/>
      <c r="M15" s="57"/>
      <c r="N15" s="56"/>
      <c r="R15" s="57"/>
      <c r="S15" s="56"/>
      <c r="V15" s="56"/>
      <c r="Y15" s="56"/>
      <c r="AB15" s="56"/>
      <c r="AE15" s="56"/>
    </row>
    <row r="16" spans="2:31" ht="13.5" thickBot="1" x14ac:dyDescent="0.25">
      <c r="B16" s="67">
        <v>4</v>
      </c>
      <c r="C16" s="66">
        <f ca="1">OFFSET(INDEX($B$42:$BF$42,0,MATCH(B16,$B$56:$BF$56,0)),0,1)</f>
        <v>200</v>
      </c>
      <c r="D16" s="56"/>
      <c r="F16" s="57"/>
      <c r="G16" s="56"/>
      <c r="L16" s="57"/>
      <c r="M16" s="56"/>
      <c r="O16" s="57"/>
      <c r="P16" s="56"/>
      <c r="R16" s="57"/>
      <c r="S16" s="56"/>
      <c r="V16" s="56"/>
      <c r="Y16" s="56"/>
      <c r="AB16" s="56"/>
      <c r="AE16" s="56"/>
    </row>
    <row r="17" spans="2:31" x14ac:dyDescent="0.2">
      <c r="B17" s="67">
        <v>5</v>
      </c>
      <c r="C17" s="66">
        <f ca="1">OFFSET(INDEX($B$42:$BF$42,0,MATCH(B17,$B$56:$BF$56,0)),0,1)</f>
        <v>200</v>
      </c>
      <c r="E17" s="154" t="s">
        <v>152</v>
      </c>
      <c r="F17" s="155"/>
      <c r="G17" s="156"/>
      <c r="L17" s="57"/>
      <c r="M17" s="56"/>
      <c r="O17" s="57"/>
      <c r="P17" s="56"/>
      <c r="R17" s="57"/>
      <c r="S17" s="56"/>
      <c r="V17" s="56"/>
      <c r="Y17" s="56"/>
      <c r="AB17" s="56"/>
      <c r="AE17" s="56"/>
    </row>
    <row r="18" spans="2:31" x14ac:dyDescent="0.2">
      <c r="B18" s="67">
        <v>6</v>
      </c>
      <c r="C18" s="66">
        <f ca="1">OFFSET(INDEX($B$42:$BF$42,0,MATCH(B18,$B$56:$BF$56,0)),0,1)</f>
        <v>200</v>
      </c>
      <c r="E18" s="157" t="s">
        <v>195</v>
      </c>
      <c r="F18" s="66">
        <f>C54</f>
        <v>2000</v>
      </c>
      <c r="G18" s="158"/>
      <c r="L18" s="57"/>
      <c r="M18" s="56"/>
      <c r="O18" s="57"/>
      <c r="P18" s="56"/>
      <c r="R18" s="57"/>
      <c r="S18" s="56"/>
      <c r="V18" s="56"/>
      <c r="Y18" s="56"/>
      <c r="AB18" s="56"/>
      <c r="AE18" s="56"/>
    </row>
    <row r="19" spans="2:31" x14ac:dyDescent="0.2">
      <c r="B19" s="67">
        <v>7</v>
      </c>
      <c r="C19" s="66">
        <f ca="1">OFFSET(INDEX($B$42:$BF$42,0,MATCH(B19,$B$56:$BF$56,0)),0,1)</f>
        <v>200</v>
      </c>
      <c r="E19" s="157" t="s">
        <v>196</v>
      </c>
      <c r="F19" s="66">
        <f ca="1">SUM(C54:OFFSET(C54,0,(C6*3)))</f>
        <v>2000</v>
      </c>
      <c r="G19" s="158"/>
      <c r="L19" s="57"/>
      <c r="M19" s="56"/>
      <c r="O19" s="57"/>
      <c r="P19" s="56"/>
      <c r="R19" s="57"/>
      <c r="S19" s="56"/>
      <c r="V19" s="56"/>
      <c r="Y19" s="56"/>
      <c r="AB19" s="56"/>
      <c r="AE19" s="56"/>
    </row>
    <row r="20" spans="2:31" x14ac:dyDescent="0.2">
      <c r="B20" s="67">
        <v>8</v>
      </c>
      <c r="C20" s="66">
        <f ca="1">OFFSET(INDEX($B$42:$BF$42,0,MATCH(B20,$B$56:$BF$56,0)),0,1)</f>
        <v>200</v>
      </c>
      <c r="E20" s="159" t="s">
        <v>153</v>
      </c>
      <c r="F20" s="160"/>
      <c r="G20" s="161"/>
      <c r="L20" s="57"/>
      <c r="M20" s="56"/>
      <c r="O20" s="57"/>
      <c r="P20" s="56"/>
      <c r="R20" s="57"/>
      <c r="S20" s="56"/>
      <c r="V20" s="56"/>
      <c r="Y20" s="56"/>
      <c r="AB20" s="56"/>
      <c r="AE20" s="56"/>
    </row>
    <row r="21" spans="2:31" x14ac:dyDescent="0.2">
      <c r="B21" s="67">
        <v>9</v>
      </c>
      <c r="C21" s="66">
        <f ca="1">OFFSET(INDEX($B$42:$BF$42,0,MATCH(B21,$B$56:$BF$56,0)),0,1)</f>
        <v>200</v>
      </c>
      <c r="E21" s="157" t="s">
        <v>144</v>
      </c>
      <c r="F21" s="66">
        <f ca="1">SUM(OFFSET(D54,0,(C6*3)):AE54)</f>
        <v>3600</v>
      </c>
      <c r="G21" s="162">
        <f ca="1">F21/$F$18</f>
        <v>1.8</v>
      </c>
      <c r="L21" s="57"/>
      <c r="M21" s="56"/>
      <c r="O21" s="57"/>
      <c r="P21" s="56"/>
      <c r="R21" s="57"/>
      <c r="S21" s="56"/>
      <c r="V21" s="56"/>
      <c r="Y21" s="56"/>
      <c r="AB21" s="56"/>
      <c r="AE21" s="56"/>
    </row>
    <row r="22" spans="2:31" x14ac:dyDescent="0.2">
      <c r="B22" s="67">
        <v>10</v>
      </c>
      <c r="C22" s="66">
        <f ca="1">OFFSET(INDEX($B$42:$BF$42,0,MATCH(B22,$B$56:$BF$56,0)),0,1)</f>
        <v>0</v>
      </c>
      <c r="E22" s="157" t="s">
        <v>145</v>
      </c>
      <c r="F22" s="66">
        <f>SUM(L39:AD39)</f>
        <v>1866.6666666666665</v>
      </c>
      <c r="G22" s="162">
        <f>F22/$F$18</f>
        <v>0.93333333333333324</v>
      </c>
      <c r="I22" s="58"/>
      <c r="J22" s="56"/>
      <c r="L22" s="57"/>
      <c r="M22" s="56"/>
      <c r="O22" s="57"/>
      <c r="P22" s="56"/>
      <c r="R22" s="57"/>
      <c r="S22" s="56"/>
      <c r="V22" s="56"/>
      <c r="Y22" s="56"/>
      <c r="AB22" s="56"/>
      <c r="AE22" s="56"/>
    </row>
    <row r="23" spans="2:31" x14ac:dyDescent="0.2">
      <c r="B23" s="67">
        <v>11</v>
      </c>
      <c r="C23" s="66">
        <f ca="1">OFFSET(INDEX($B$42:$BF$42,0,MATCH(B23,$B$56:$BF$56,0)),0,1)</f>
        <v>0</v>
      </c>
      <c r="E23" s="157" t="s">
        <v>197</v>
      </c>
      <c r="F23" s="66">
        <f ca="1">F22+F21</f>
        <v>5466.6666666666661</v>
      </c>
      <c r="G23" s="162">
        <f ca="1">F23/$F$18</f>
        <v>2.7333333333333329</v>
      </c>
      <c r="I23" s="58"/>
      <c r="J23" s="56"/>
      <c r="L23" s="57"/>
      <c r="M23" s="56"/>
      <c r="O23" s="57"/>
      <c r="P23" s="56"/>
      <c r="R23" s="57"/>
      <c r="S23" s="56"/>
      <c r="V23" s="56"/>
      <c r="Y23" s="56"/>
      <c r="AB23" s="56"/>
      <c r="AE23" s="56"/>
    </row>
    <row r="24" spans="2:31" x14ac:dyDescent="0.2">
      <c r="B24" s="67">
        <v>12</v>
      </c>
      <c r="C24" s="66">
        <f ca="1">OFFSET(INDEX($B$42:$BF$42,0,MATCH(B24,$B$56:$BF$56,0)),0,1)</f>
        <v>0</v>
      </c>
      <c r="E24" s="159" t="s">
        <v>178</v>
      </c>
      <c r="F24" s="160"/>
      <c r="G24" s="161"/>
      <c r="I24" s="58"/>
      <c r="J24" s="56"/>
      <c r="L24" s="57"/>
      <c r="M24" s="56"/>
      <c r="O24" s="57"/>
      <c r="P24" s="56"/>
      <c r="R24" s="57"/>
      <c r="S24" s="56"/>
      <c r="V24" s="56"/>
      <c r="Y24" s="56"/>
      <c r="AB24" s="56"/>
      <c r="AE24" s="56"/>
    </row>
    <row r="25" spans="2:31" x14ac:dyDescent="0.2">
      <c r="B25" s="67">
        <v>13</v>
      </c>
      <c r="C25" s="66">
        <f ca="1">OFFSET(INDEX($B$42:$BF$42,0,MATCH(B25,$B$56:$BF$56,0)),0,1)</f>
        <v>0</v>
      </c>
      <c r="E25" s="157" t="s">
        <v>155</v>
      </c>
      <c r="F25" s="66">
        <f>SUM(L39:BE39)</f>
        <v>1866.6666666666665</v>
      </c>
      <c r="G25" s="162">
        <f>F25/$F$18</f>
        <v>0.93333333333333324</v>
      </c>
      <c r="I25" s="58"/>
      <c r="J25" s="56"/>
      <c r="L25" s="57"/>
      <c r="M25" s="56"/>
      <c r="O25" s="57"/>
      <c r="P25" s="56"/>
      <c r="R25" s="57"/>
      <c r="S25" s="56"/>
      <c r="V25" s="56"/>
      <c r="Y25" s="56"/>
      <c r="AB25" s="56"/>
      <c r="AE25" s="56"/>
    </row>
    <row r="26" spans="2:31" x14ac:dyDescent="0.2">
      <c r="B26" s="67">
        <v>14</v>
      </c>
      <c r="C26" s="66">
        <f ca="1">OFFSET(INDEX($B$42:$BF$42,0,MATCH(B26,$B$56:$BF$56,0)),0,1)</f>
        <v>0</v>
      </c>
      <c r="E26" s="157" t="s">
        <v>198</v>
      </c>
      <c r="F26" s="66">
        <f ca="1">SUM(OFFSET(F54,0,(C6*3)):BE54)</f>
        <v>3600</v>
      </c>
      <c r="G26" s="162">
        <f ca="1">F26/$F$18</f>
        <v>1.8</v>
      </c>
      <c r="I26" s="58"/>
      <c r="J26" s="56"/>
      <c r="L26" s="57"/>
      <c r="M26" s="56"/>
      <c r="O26" s="57"/>
      <c r="P26" s="56"/>
      <c r="R26" s="57"/>
      <c r="S26" s="56"/>
      <c r="V26" s="56"/>
      <c r="Y26" s="56"/>
      <c r="AB26" s="56"/>
      <c r="AE26" s="56"/>
    </row>
    <row r="27" spans="2:31" ht="13.5" thickBot="1" x14ac:dyDescent="0.25">
      <c r="B27" s="67">
        <v>15</v>
      </c>
      <c r="C27" s="66">
        <f ca="1">OFFSET(INDEX($B$42:$BF$42,0,MATCH(B27,$B$56:$BF$56,0)),0,1)</f>
        <v>0</v>
      </c>
      <c r="E27" s="163" t="s">
        <v>157</v>
      </c>
      <c r="F27" s="164">
        <f ca="1">F26+F25</f>
        <v>5466.6666666666661</v>
      </c>
      <c r="G27" s="193">
        <f ca="1">F27/$F$18</f>
        <v>2.7333333333333329</v>
      </c>
      <c r="I27" s="58"/>
      <c r="J27" s="56"/>
      <c r="L27" s="57"/>
      <c r="M27" s="56"/>
      <c r="O27" s="57"/>
      <c r="P27" s="56"/>
      <c r="R27" s="57"/>
      <c r="S27" s="56"/>
      <c r="V27" s="56"/>
      <c r="Y27" s="56"/>
      <c r="AB27" s="56"/>
      <c r="AE27" s="56"/>
    </row>
    <row r="28" spans="2:31" x14ac:dyDescent="0.2">
      <c r="B28" s="67">
        <v>16</v>
      </c>
      <c r="C28" s="66">
        <f ca="1">OFFSET(INDEX($B$42:$BF$42,0,MATCH(B28,$B$56:$BF$56,0)),0,1)</f>
        <v>0</v>
      </c>
      <c r="I28" s="58"/>
      <c r="J28" s="56"/>
      <c r="L28" s="57"/>
      <c r="M28" s="56"/>
      <c r="O28" s="57"/>
      <c r="P28" s="56"/>
      <c r="R28" s="57"/>
      <c r="S28" s="56"/>
      <c r="V28" s="56"/>
      <c r="Y28" s="56"/>
      <c r="AB28" s="56"/>
      <c r="AE28" s="56"/>
    </row>
    <row r="29" spans="2:31" x14ac:dyDescent="0.2">
      <c r="B29" s="67">
        <v>17</v>
      </c>
      <c r="C29" s="66">
        <f ca="1">OFFSET(INDEX($B$42:$BF$42,0,MATCH(B29,$B$56:$BF$56,0)),0,1)</f>
        <v>0</v>
      </c>
      <c r="E29" s="191" t="s">
        <v>163</v>
      </c>
      <c r="F29" s="191"/>
      <c r="G29" s="191"/>
      <c r="I29" s="58"/>
      <c r="J29" s="56"/>
      <c r="L29" s="57"/>
      <c r="M29" s="56"/>
      <c r="O29" s="57"/>
      <c r="P29" s="56"/>
      <c r="R29" s="57"/>
      <c r="S29" s="56"/>
      <c r="V29" s="56"/>
      <c r="Y29" s="56"/>
      <c r="AB29" s="56"/>
      <c r="AE29" s="56"/>
    </row>
    <row r="30" spans="2:31" x14ac:dyDescent="0.2">
      <c r="B30" s="67">
        <v>18</v>
      </c>
      <c r="C30" s="66">
        <f ca="1">OFFSET(INDEX($B$42:$BF$42,0,MATCH(B30,$B$56:$BF$56,0)),0,1)</f>
        <v>0</v>
      </c>
      <c r="E30" s="191" t="s">
        <v>180</v>
      </c>
      <c r="F30" s="191"/>
      <c r="G30" s="191"/>
      <c r="I30" s="58"/>
      <c r="J30" s="56"/>
      <c r="L30" s="57"/>
      <c r="M30" s="56"/>
      <c r="O30" s="57"/>
      <c r="P30" s="56"/>
      <c r="R30" s="57"/>
      <c r="S30" s="56"/>
      <c r="V30" s="56"/>
      <c r="Y30" s="56"/>
      <c r="AB30" s="56"/>
      <c r="AE30" s="56"/>
    </row>
    <row r="31" spans="2:31" x14ac:dyDescent="0.2">
      <c r="I31" s="58"/>
      <c r="J31" s="56"/>
      <c r="L31" s="57"/>
      <c r="M31" s="56"/>
      <c r="O31" s="57"/>
      <c r="P31" s="56"/>
      <c r="R31" s="57"/>
      <c r="S31" s="56"/>
      <c r="V31" s="56"/>
      <c r="Y31" s="56"/>
      <c r="AB31" s="56"/>
      <c r="AE31" s="56"/>
    </row>
    <row r="32" spans="2:31" hidden="1" x14ac:dyDescent="0.2">
      <c r="I32" s="58"/>
      <c r="J32" s="56"/>
      <c r="L32" s="57"/>
      <c r="M32" s="56"/>
      <c r="O32" s="57"/>
      <c r="P32" s="56"/>
      <c r="R32" s="57"/>
      <c r="S32" s="56"/>
      <c r="V32" s="56"/>
      <c r="Y32" s="56"/>
      <c r="AB32" s="56"/>
      <c r="AE32" s="56"/>
    </row>
    <row r="33" spans="2:57" hidden="1" x14ac:dyDescent="0.2">
      <c r="I33" s="58"/>
      <c r="J33" s="56"/>
      <c r="L33" s="57"/>
      <c r="M33" s="56"/>
      <c r="O33" s="57"/>
      <c r="P33" s="56"/>
      <c r="R33" s="57"/>
      <c r="S33" s="56"/>
      <c r="V33" s="56"/>
      <c r="Y33" s="56"/>
      <c r="AB33" s="56"/>
      <c r="AE33" s="56"/>
    </row>
    <row r="34" spans="2:57" hidden="1" x14ac:dyDescent="0.2">
      <c r="I34" s="58"/>
      <c r="J34" s="56"/>
      <c r="L34" s="57"/>
      <c r="M34" s="56"/>
      <c r="O34" s="57"/>
      <c r="P34" s="56"/>
      <c r="R34" s="57"/>
      <c r="S34" s="56"/>
      <c r="V34" s="56"/>
      <c r="Y34" s="56"/>
      <c r="AB34" s="56"/>
      <c r="AE34" s="56"/>
    </row>
    <row r="35" spans="2:57" hidden="1" x14ac:dyDescent="0.2">
      <c r="I35" s="58"/>
      <c r="J35" s="56"/>
      <c r="L35" s="57"/>
      <c r="M35" s="56"/>
      <c r="O35" s="57"/>
      <c r="P35" s="56"/>
      <c r="R35" s="57"/>
      <c r="S35" s="56"/>
      <c r="V35" s="56"/>
      <c r="Y35" s="56"/>
      <c r="AB35" s="56"/>
      <c r="AE35" s="56"/>
    </row>
    <row r="36" spans="2:57" hidden="1" x14ac:dyDescent="0.2">
      <c r="I36" s="58"/>
      <c r="J36" s="56"/>
      <c r="L36" s="57"/>
      <c r="M36" s="56"/>
      <c r="O36" s="57"/>
      <c r="P36" s="56"/>
      <c r="R36" s="57"/>
      <c r="S36" s="56"/>
      <c r="V36" s="56"/>
      <c r="Y36" s="56"/>
      <c r="AB36" s="56"/>
      <c r="AE36" s="56"/>
    </row>
    <row r="37" spans="2:57" hidden="1" x14ac:dyDescent="0.2">
      <c r="F37" s="57"/>
      <c r="G37" s="56"/>
      <c r="I37" s="58"/>
      <c r="J37" s="56"/>
      <c r="L37" s="57"/>
      <c r="M37" s="56"/>
      <c r="O37" s="57"/>
      <c r="P37" s="56"/>
      <c r="R37" s="57"/>
      <c r="S37" s="56"/>
      <c r="V37" s="56"/>
      <c r="Y37" s="56"/>
      <c r="AB37" s="56"/>
      <c r="AE37" s="56"/>
    </row>
    <row r="38" spans="2:57" ht="13.5" thickBot="1" x14ac:dyDescent="0.25">
      <c r="E38" s="57"/>
      <c r="F38" s="56"/>
      <c r="H38" s="58"/>
      <c r="I38" s="56"/>
      <c r="K38" s="57"/>
      <c r="L38" s="56"/>
      <c r="N38" s="57"/>
      <c r="O38" s="56"/>
      <c r="Q38" s="57"/>
      <c r="R38" s="56"/>
      <c r="U38" s="56"/>
      <c r="X38" s="56"/>
      <c r="AA38" s="56"/>
      <c r="AD38" s="56"/>
    </row>
    <row r="39" spans="2:57" ht="13.5" thickBot="1" x14ac:dyDescent="0.25">
      <c r="F39" s="56"/>
      <c r="I39" s="56"/>
      <c r="K39" s="77" t="s">
        <v>30</v>
      </c>
      <c r="L39" s="166">
        <f>'TSGAP compounded'!M13-('TSGAP compounded'!M13*0.01*((L71*1)+(L73*2)))</f>
        <v>533.33333333333326</v>
      </c>
      <c r="N39" s="77" t="s">
        <v>30</v>
      </c>
      <c r="O39" s="166">
        <f>'TSGAP compounded'!P13</f>
        <v>0</v>
      </c>
      <c r="Q39" s="77" t="s">
        <v>30</v>
      </c>
      <c r="R39" s="166">
        <f>'TSGAP compounded'!S13</f>
        <v>0</v>
      </c>
      <c r="T39" s="77" t="s">
        <v>30</v>
      </c>
      <c r="U39" s="166">
        <f>'TSGAP compounded'!V13</f>
        <v>666.66666666666663</v>
      </c>
      <c r="W39" s="77" t="s">
        <v>30</v>
      </c>
      <c r="X39" s="166">
        <f>'TSGAP compounded'!Y13</f>
        <v>0</v>
      </c>
      <c r="Z39" s="77" t="s">
        <v>30</v>
      </c>
      <c r="AA39" s="166">
        <f>'TSGAP compounded'!AB13</f>
        <v>0</v>
      </c>
      <c r="AC39" s="77" t="s">
        <v>30</v>
      </c>
      <c r="AD39" s="166">
        <f>'TSGAP compounded'!AE13</f>
        <v>666.66666666666663</v>
      </c>
      <c r="AF39" s="77" t="s">
        <v>30</v>
      </c>
      <c r="AG39" s="166">
        <f>'TSGAP compounded'!AH13</f>
        <v>0</v>
      </c>
      <c r="AI39" s="77" t="s">
        <v>30</v>
      </c>
      <c r="AJ39" s="166">
        <f>'TSGAP compounded'!AK13</f>
        <v>0</v>
      </c>
      <c r="AL39" s="77" t="s">
        <v>30</v>
      </c>
      <c r="AM39" s="166">
        <f>'TSGAP compounded'!AN13</f>
        <v>0</v>
      </c>
      <c r="AO39" s="77" t="s">
        <v>30</v>
      </c>
      <c r="AP39" s="166">
        <f>'TSGAP compounded'!AQ13</f>
        <v>0</v>
      </c>
      <c r="AR39" s="77" t="s">
        <v>30</v>
      </c>
      <c r="AS39" s="166">
        <f>'TSGAP compounded'!AT13</f>
        <v>0</v>
      </c>
      <c r="AU39" s="77" t="s">
        <v>30</v>
      </c>
      <c r="AV39" s="166">
        <f>'TSGAP compounded'!AW13</f>
        <v>0</v>
      </c>
      <c r="AX39" s="77" t="s">
        <v>30</v>
      </c>
      <c r="AY39" s="166">
        <f>'TSGAP compounded'!AZ13</f>
        <v>0</v>
      </c>
      <c r="BA39" s="77" t="s">
        <v>30</v>
      </c>
      <c r="BB39" s="166">
        <f>'TSGAP compounded'!BC13</f>
        <v>0</v>
      </c>
      <c r="BD39" s="77" t="s">
        <v>30</v>
      </c>
      <c r="BE39" s="166">
        <f>'TSGAP compounded'!BF13</f>
        <v>0</v>
      </c>
    </row>
    <row r="40" spans="2:57" ht="22.35" customHeight="1" thickBot="1" x14ac:dyDescent="0.25">
      <c r="B40" s="167" t="s">
        <v>1</v>
      </c>
      <c r="C40" s="168"/>
      <c r="E40" s="169" t="s">
        <v>3</v>
      </c>
      <c r="F40" s="170"/>
      <c r="H40" s="171" t="s">
        <v>4</v>
      </c>
      <c r="I40" s="172"/>
      <c r="K40" s="173" t="s">
        <v>5</v>
      </c>
      <c r="L40" s="174"/>
      <c r="N40" s="173" t="s">
        <v>6</v>
      </c>
      <c r="O40" s="174"/>
      <c r="Q40" s="175" t="s">
        <v>7</v>
      </c>
      <c r="R40" s="175"/>
      <c r="T40" s="176" t="s">
        <v>8</v>
      </c>
      <c r="U40" s="176"/>
      <c r="W40" s="175" t="s">
        <v>9</v>
      </c>
      <c r="X40" s="175"/>
      <c r="Z40" s="175" t="s">
        <v>10</v>
      </c>
      <c r="AA40" s="175"/>
      <c r="AC40" s="176" t="s">
        <v>11</v>
      </c>
      <c r="AD40" s="176"/>
      <c r="AF40" s="175" t="s">
        <v>129</v>
      </c>
      <c r="AG40" s="175"/>
      <c r="AI40" s="175" t="s">
        <v>130</v>
      </c>
      <c r="AJ40" s="175"/>
      <c r="AL40" s="176" t="s">
        <v>131</v>
      </c>
      <c r="AM40" s="176"/>
      <c r="AO40" s="176" t="s">
        <v>132</v>
      </c>
      <c r="AP40" s="176"/>
      <c r="AR40" s="176" t="s">
        <v>133</v>
      </c>
      <c r="AS40" s="176"/>
      <c r="AU40" s="176" t="s">
        <v>134</v>
      </c>
      <c r="AV40" s="176"/>
      <c r="AX40" s="176" t="s">
        <v>135</v>
      </c>
      <c r="AY40" s="176"/>
      <c r="BA40" s="176" t="s">
        <v>136</v>
      </c>
      <c r="BB40" s="176"/>
      <c r="BD40" s="176" t="s">
        <v>137</v>
      </c>
      <c r="BE40" s="176"/>
    </row>
    <row r="41" spans="2:57" ht="51.75" thickBot="1" x14ac:dyDescent="0.25">
      <c r="B41" s="83" t="s">
        <v>12</v>
      </c>
      <c r="C41" s="84" t="s">
        <v>13</v>
      </c>
      <c r="D41" s="177" t="s">
        <v>138</v>
      </c>
      <c r="E41" s="85" t="s">
        <v>14</v>
      </c>
      <c r="F41" s="86" t="s">
        <v>199</v>
      </c>
      <c r="G41" s="177" t="s">
        <v>138</v>
      </c>
      <c r="H41" s="85" t="s">
        <v>14</v>
      </c>
      <c r="I41" s="86" t="s">
        <v>199</v>
      </c>
      <c r="J41" s="177" t="s">
        <v>138</v>
      </c>
      <c r="K41" s="85" t="s">
        <v>14</v>
      </c>
      <c r="L41" s="86" t="s">
        <v>199</v>
      </c>
      <c r="M41" s="177" t="s">
        <v>138</v>
      </c>
      <c r="N41" s="85" t="s">
        <v>14</v>
      </c>
      <c r="O41" s="86" t="s">
        <v>199</v>
      </c>
      <c r="P41" s="177" t="s">
        <v>138</v>
      </c>
      <c r="Q41" s="85" t="s">
        <v>14</v>
      </c>
      <c r="R41" s="86" t="s">
        <v>76</v>
      </c>
      <c r="S41" s="177" t="s">
        <v>138</v>
      </c>
      <c r="T41" s="85" t="s">
        <v>14</v>
      </c>
      <c r="U41" s="86" t="s">
        <v>199</v>
      </c>
      <c r="V41" s="177" t="s">
        <v>138</v>
      </c>
      <c r="W41" s="85" t="s">
        <v>14</v>
      </c>
      <c r="X41" s="86" t="s">
        <v>199</v>
      </c>
      <c r="Y41" s="177" t="s">
        <v>138</v>
      </c>
      <c r="Z41" s="85" t="s">
        <v>14</v>
      </c>
      <c r="AA41" s="86" t="s">
        <v>199</v>
      </c>
      <c r="AB41" s="177" t="s">
        <v>138</v>
      </c>
      <c r="AC41" s="85" t="s">
        <v>14</v>
      </c>
      <c r="AD41" s="86" t="s">
        <v>199</v>
      </c>
      <c r="AE41" s="177" t="s">
        <v>138</v>
      </c>
      <c r="AF41" s="85" t="s">
        <v>14</v>
      </c>
      <c r="AG41" s="86" t="s">
        <v>76</v>
      </c>
      <c r="AI41" s="85" t="s">
        <v>14</v>
      </c>
      <c r="AJ41" s="86" t="s">
        <v>199</v>
      </c>
      <c r="AL41" s="85" t="s">
        <v>14</v>
      </c>
      <c r="AM41" s="86" t="s">
        <v>199</v>
      </c>
      <c r="AO41" s="85" t="s">
        <v>14</v>
      </c>
      <c r="AP41" s="86" t="s">
        <v>76</v>
      </c>
      <c r="AR41" s="85" t="s">
        <v>14</v>
      </c>
      <c r="AS41" s="86" t="s">
        <v>199</v>
      </c>
      <c r="AU41" s="85" t="s">
        <v>14</v>
      </c>
      <c r="AV41" s="86" t="s">
        <v>199</v>
      </c>
      <c r="AX41" s="85" t="s">
        <v>14</v>
      </c>
      <c r="AY41" s="86" t="s">
        <v>199</v>
      </c>
      <c r="BA41" s="85" t="s">
        <v>14</v>
      </c>
      <c r="BB41" s="86" t="s">
        <v>199</v>
      </c>
      <c r="BD41" s="85" t="s">
        <v>14</v>
      </c>
      <c r="BE41" s="86" t="s">
        <v>199</v>
      </c>
    </row>
    <row r="42" spans="2:57" ht="13.5" thickBot="1" x14ac:dyDescent="0.25">
      <c r="B42" s="88" t="s">
        <v>15</v>
      </c>
      <c r="C42" s="178">
        <f>IF(F4=$I$73,0,IF(G4="",$C$3,IF(G4&lt;$C$3,0,G4)))</f>
        <v>1000</v>
      </c>
      <c r="D42" s="77" t="s">
        <v>31</v>
      </c>
      <c r="E42" s="90">
        <v>1</v>
      </c>
      <c r="F42" s="178">
        <f>$C42*$C$4</f>
        <v>200</v>
      </c>
      <c r="G42" s="77" t="s">
        <v>31</v>
      </c>
      <c r="H42" s="91">
        <v>13</v>
      </c>
      <c r="I42" s="178">
        <f>F58+F42</f>
        <v>200</v>
      </c>
      <c r="J42" s="77" t="s">
        <v>31</v>
      </c>
      <c r="K42" s="91">
        <v>25</v>
      </c>
      <c r="L42" s="178">
        <f>I58+I42</f>
        <v>200</v>
      </c>
      <c r="M42" s="77" t="s">
        <v>31</v>
      </c>
      <c r="N42" s="91">
        <v>37</v>
      </c>
      <c r="O42" s="178">
        <f>L58+L42</f>
        <v>200</v>
      </c>
      <c r="P42" s="77" t="s">
        <v>31</v>
      </c>
      <c r="Q42" s="91">
        <v>49</v>
      </c>
      <c r="R42" s="178">
        <f>O58+O42</f>
        <v>200</v>
      </c>
      <c r="S42" s="77" t="s">
        <v>31</v>
      </c>
      <c r="T42" s="91">
        <v>61</v>
      </c>
      <c r="U42" s="178">
        <f>R58+R42</f>
        <v>200</v>
      </c>
      <c r="V42" s="77" t="s">
        <v>31</v>
      </c>
      <c r="W42" s="91">
        <v>73</v>
      </c>
      <c r="X42" s="178">
        <f>U58+U42</f>
        <v>200</v>
      </c>
      <c r="Y42" s="77" t="s">
        <v>31</v>
      </c>
      <c r="Z42" s="91">
        <v>85</v>
      </c>
      <c r="AA42" s="178">
        <f>X58+X42</f>
        <v>200</v>
      </c>
      <c r="AB42" s="77" t="s">
        <v>31</v>
      </c>
      <c r="AC42" s="91">
        <v>97</v>
      </c>
      <c r="AD42" s="178">
        <f>AA58+AA42</f>
        <v>200</v>
      </c>
      <c r="AE42" s="77" t="s">
        <v>31</v>
      </c>
      <c r="AF42" s="91">
        <v>109</v>
      </c>
      <c r="AG42" s="89">
        <f>AD58+AD42+AE58</f>
        <v>0</v>
      </c>
      <c r="AI42" s="91">
        <v>121</v>
      </c>
      <c r="AJ42" s="89">
        <f>AG58+AG42+AH58</f>
        <v>0</v>
      </c>
      <c r="AL42" s="91">
        <v>131</v>
      </c>
      <c r="AM42" s="89">
        <f>AJ58+AJ42+AK58</f>
        <v>0</v>
      </c>
      <c r="AO42" s="91">
        <v>131</v>
      </c>
      <c r="AP42" s="89">
        <f>AM58+AM42+AN58</f>
        <v>0</v>
      </c>
      <c r="AR42" s="91">
        <v>131</v>
      </c>
      <c r="AS42" s="89">
        <f>AP58+AP42+AQ58</f>
        <v>0</v>
      </c>
      <c r="AU42" s="91">
        <v>131</v>
      </c>
      <c r="AV42" s="89">
        <f>AS58+AS42+AT58</f>
        <v>0</v>
      </c>
      <c r="AX42" s="91">
        <v>131</v>
      </c>
      <c r="AY42" s="89">
        <f>AV58+AV42+AW58</f>
        <v>0</v>
      </c>
      <c r="BA42" s="91">
        <v>131</v>
      </c>
      <c r="BB42" s="89">
        <f>AY58+AY42+AZ58</f>
        <v>0</v>
      </c>
      <c r="BD42" s="91">
        <v>131</v>
      </c>
      <c r="BE42" s="89">
        <f>BB58+BB42+BC58</f>
        <v>0</v>
      </c>
    </row>
    <row r="43" spans="2:57" ht="13.5" thickBot="1" x14ac:dyDescent="0.25">
      <c r="B43" s="93" t="s">
        <v>16</v>
      </c>
      <c r="C43" s="178">
        <f>IF(F5=$I$73,0,IF(G5="",$C$3,IF(G5&lt;$C$3,0,G5)))</f>
        <v>1000</v>
      </c>
      <c r="D43" s="94">
        <f>C58*108</f>
        <v>21600</v>
      </c>
      <c r="E43" s="95">
        <v>2</v>
      </c>
      <c r="F43" s="178">
        <f>$C43*$C$4</f>
        <v>200</v>
      </c>
      <c r="G43" s="94">
        <f>F58*108</f>
        <v>0</v>
      </c>
      <c r="H43" s="35">
        <v>14</v>
      </c>
      <c r="I43" s="178">
        <f>F59+F43</f>
        <v>200</v>
      </c>
      <c r="J43" s="94">
        <f>I58*108</f>
        <v>0</v>
      </c>
      <c r="K43" s="35">
        <v>26</v>
      </c>
      <c r="L43" s="178">
        <f>I59+I43</f>
        <v>200</v>
      </c>
      <c r="M43" s="94">
        <f>L58*108</f>
        <v>0</v>
      </c>
      <c r="N43" s="65">
        <v>38</v>
      </c>
      <c r="O43" s="178">
        <f>L59+L43</f>
        <v>200</v>
      </c>
      <c r="P43" s="94">
        <f>O58*108</f>
        <v>0</v>
      </c>
      <c r="Q43" s="35">
        <v>50</v>
      </c>
      <c r="R43" s="178">
        <f>O59+O43</f>
        <v>200</v>
      </c>
      <c r="S43" s="94">
        <f>R58*108</f>
        <v>0</v>
      </c>
      <c r="T43" s="35">
        <v>62</v>
      </c>
      <c r="U43" s="178">
        <f>R59+R43</f>
        <v>200</v>
      </c>
      <c r="V43" s="94">
        <f>U58*108</f>
        <v>0</v>
      </c>
      <c r="W43" s="65">
        <v>74</v>
      </c>
      <c r="X43" s="178">
        <f>U59+U43</f>
        <v>200</v>
      </c>
      <c r="Y43" s="94">
        <f>X58*108</f>
        <v>0</v>
      </c>
      <c r="Z43" s="91">
        <v>86</v>
      </c>
      <c r="AA43" s="178">
        <f>X59+X43</f>
        <v>200</v>
      </c>
      <c r="AB43" s="94">
        <f>AA58*108</f>
        <v>0</v>
      </c>
      <c r="AC43" s="35">
        <v>98</v>
      </c>
      <c r="AD43" s="178">
        <f>AA59+AA43</f>
        <v>200</v>
      </c>
      <c r="AE43" s="94">
        <f>AD58*108</f>
        <v>0</v>
      </c>
      <c r="AF43" s="65">
        <v>110</v>
      </c>
      <c r="AG43" s="89">
        <f>AD59+AD43+AE59</f>
        <v>0</v>
      </c>
      <c r="AI43" s="91">
        <v>122</v>
      </c>
      <c r="AJ43" s="89">
        <f>AG59+AG43+AH59</f>
        <v>0</v>
      </c>
      <c r="AL43" s="35">
        <v>132</v>
      </c>
      <c r="AM43" s="89">
        <f>AJ59+AJ43+AK59</f>
        <v>0</v>
      </c>
      <c r="AO43" s="35">
        <v>132</v>
      </c>
      <c r="AP43" s="89">
        <f>AM59+AM43+AN59</f>
        <v>0</v>
      </c>
      <c r="AR43" s="35">
        <v>132</v>
      </c>
      <c r="AS43" s="89">
        <f>AP59+AP43+AQ59</f>
        <v>0</v>
      </c>
      <c r="AU43" s="35">
        <v>132</v>
      </c>
      <c r="AV43" s="89">
        <f>AS59+AS43+AT59</f>
        <v>0</v>
      </c>
      <c r="AX43" s="35">
        <v>132</v>
      </c>
      <c r="AY43" s="89">
        <f>AV59+AV43+AW59</f>
        <v>0</v>
      </c>
      <c r="BA43" s="35">
        <v>132</v>
      </c>
      <c r="BB43" s="89">
        <f>AY59+AY43+AZ59</f>
        <v>0</v>
      </c>
      <c r="BD43" s="35">
        <v>132</v>
      </c>
      <c r="BE43" s="89">
        <f>BB59+BB43+BC59</f>
        <v>0</v>
      </c>
    </row>
    <row r="44" spans="2:57" x14ac:dyDescent="0.2">
      <c r="B44" s="93" t="s">
        <v>17</v>
      </c>
      <c r="C44" s="178">
        <f>IF(F6=$I$73,0,IF(G6="",$C$3,IF(G6&lt;$C$3,0,G6)))</f>
        <v>0</v>
      </c>
      <c r="E44" s="91">
        <v>3</v>
      </c>
      <c r="F44" s="178">
        <f>$C44*$C$4</f>
        <v>0</v>
      </c>
      <c r="G44" s="87"/>
      <c r="H44" s="91">
        <v>15</v>
      </c>
      <c r="I44" s="178">
        <f>F60+F44</f>
        <v>0</v>
      </c>
      <c r="K44" s="91">
        <v>27</v>
      </c>
      <c r="L44" s="178">
        <f>I60+I44</f>
        <v>0</v>
      </c>
      <c r="N44" s="35">
        <v>39</v>
      </c>
      <c r="O44" s="178">
        <f>L60+L44</f>
        <v>0</v>
      </c>
      <c r="Q44" s="91">
        <v>51</v>
      </c>
      <c r="R44" s="178">
        <f>O60+O44</f>
        <v>0</v>
      </c>
      <c r="T44" s="91">
        <v>63</v>
      </c>
      <c r="U44" s="178">
        <f>R60+R44</f>
        <v>0</v>
      </c>
      <c r="W44" s="35">
        <v>75</v>
      </c>
      <c r="X44" s="178">
        <f>U60+U44</f>
        <v>0</v>
      </c>
      <c r="Z44" s="91">
        <v>87</v>
      </c>
      <c r="AA44" s="178">
        <f>X60+X44</f>
        <v>0</v>
      </c>
      <c r="AC44" s="91">
        <v>99</v>
      </c>
      <c r="AD44" s="178">
        <f>AA60+AA44</f>
        <v>0</v>
      </c>
      <c r="AF44" s="91">
        <v>111</v>
      </c>
      <c r="AG44" s="89">
        <f>AD60+AD44+AE60</f>
        <v>0</v>
      </c>
      <c r="AI44" s="91">
        <v>123</v>
      </c>
      <c r="AJ44" s="89">
        <f>AG60+AG44+AH60</f>
        <v>0</v>
      </c>
      <c r="AL44" s="91">
        <v>133</v>
      </c>
      <c r="AM44" s="89">
        <f>AJ60+AJ44+AK60</f>
        <v>0</v>
      </c>
      <c r="AO44" s="91">
        <v>133</v>
      </c>
      <c r="AP44" s="89">
        <f>AM60+AM44+AN60</f>
        <v>0</v>
      </c>
      <c r="AR44" s="91">
        <v>133</v>
      </c>
      <c r="AS44" s="89">
        <f>AP60+AP44+AQ60</f>
        <v>0</v>
      </c>
      <c r="AU44" s="91">
        <v>133</v>
      </c>
      <c r="AV44" s="89">
        <f>AS60+AS44+AT60</f>
        <v>0</v>
      </c>
      <c r="AX44" s="91">
        <v>133</v>
      </c>
      <c r="AY44" s="89">
        <f>AV60+AV44+AW60</f>
        <v>0</v>
      </c>
      <c r="BA44" s="91">
        <v>133</v>
      </c>
      <c r="BB44" s="89">
        <f>AY60+AY44+AZ60</f>
        <v>0</v>
      </c>
      <c r="BD44" s="91">
        <v>133</v>
      </c>
      <c r="BE44" s="89">
        <f>BB60+BB44+BC60</f>
        <v>0</v>
      </c>
    </row>
    <row r="45" spans="2:57" x14ac:dyDescent="0.2">
      <c r="B45" s="93" t="s">
        <v>18</v>
      </c>
      <c r="C45" s="178">
        <f>IF(F7=$I$73,0,IF(G7="",$C$3,IF(G7&lt;$C$3,0,G7)))</f>
        <v>0</v>
      </c>
      <c r="E45" s="35">
        <v>4</v>
      </c>
      <c r="F45" s="178">
        <f>$C45*$C$4</f>
        <v>0</v>
      </c>
      <c r="G45" s="87"/>
      <c r="H45" s="35">
        <v>16</v>
      </c>
      <c r="I45" s="178">
        <f>F61+F45</f>
        <v>0</v>
      </c>
      <c r="K45" s="35">
        <v>28</v>
      </c>
      <c r="L45" s="178">
        <f>I61+I45</f>
        <v>0</v>
      </c>
      <c r="N45" s="65">
        <v>40</v>
      </c>
      <c r="O45" s="178">
        <f>L61+L45</f>
        <v>0</v>
      </c>
      <c r="Q45" s="35">
        <v>52</v>
      </c>
      <c r="R45" s="178">
        <f>O61+O45</f>
        <v>0</v>
      </c>
      <c r="T45" s="35">
        <v>64</v>
      </c>
      <c r="U45" s="178">
        <f>R61+R45</f>
        <v>0</v>
      </c>
      <c r="W45" s="65">
        <v>76</v>
      </c>
      <c r="X45" s="178">
        <f>U61+U45</f>
        <v>0</v>
      </c>
      <c r="Z45" s="91">
        <v>88</v>
      </c>
      <c r="AA45" s="178">
        <f>X61+X45</f>
        <v>0</v>
      </c>
      <c r="AC45" s="35">
        <v>100</v>
      </c>
      <c r="AD45" s="178">
        <f>AA61+AA45</f>
        <v>0</v>
      </c>
      <c r="AF45" s="65">
        <v>112</v>
      </c>
      <c r="AG45" s="89">
        <f>AD61+AD45+AE61</f>
        <v>0</v>
      </c>
      <c r="AI45" s="91">
        <v>124</v>
      </c>
      <c r="AJ45" s="89">
        <f>AG61+AG45+AH61</f>
        <v>0</v>
      </c>
      <c r="AL45" s="35">
        <v>134</v>
      </c>
      <c r="AM45" s="89">
        <f>AJ61+AJ45+AK61</f>
        <v>0</v>
      </c>
      <c r="AO45" s="35">
        <v>134</v>
      </c>
      <c r="AP45" s="89">
        <f>AM61+AM45+AN61</f>
        <v>0</v>
      </c>
      <c r="AR45" s="35">
        <v>134</v>
      </c>
      <c r="AS45" s="89">
        <f>AP61+AP45+AQ61</f>
        <v>0</v>
      </c>
      <c r="AU45" s="35">
        <v>134</v>
      </c>
      <c r="AV45" s="89">
        <f>AS61+AS45+AT61</f>
        <v>0</v>
      </c>
      <c r="AX45" s="35">
        <v>134</v>
      </c>
      <c r="AY45" s="89">
        <f>AV61+AV45+AW61</f>
        <v>0</v>
      </c>
      <c r="BA45" s="35">
        <v>134</v>
      </c>
      <c r="BB45" s="89">
        <f>AY61+AY45+AZ61</f>
        <v>0</v>
      </c>
      <c r="BD45" s="35">
        <v>134</v>
      </c>
      <c r="BE45" s="89">
        <f>BB61+BB45+BC61</f>
        <v>0</v>
      </c>
    </row>
    <row r="46" spans="2:57" x14ac:dyDescent="0.2">
      <c r="B46" s="93" t="s">
        <v>19</v>
      </c>
      <c r="C46" s="178">
        <f>IF(F8=$I$73,0,IF(G8="",$C$3,IF(G8&lt;$C$3,0,G8)))</f>
        <v>0</v>
      </c>
      <c r="E46" s="91">
        <v>5</v>
      </c>
      <c r="F46" s="178">
        <f>$C46*$C$4</f>
        <v>0</v>
      </c>
      <c r="G46" s="87"/>
      <c r="H46" s="91">
        <v>17</v>
      </c>
      <c r="I46" s="178">
        <f>F62+F46</f>
        <v>0</v>
      </c>
      <c r="K46" s="91">
        <v>29</v>
      </c>
      <c r="L46" s="178">
        <f>I62+I46</f>
        <v>0</v>
      </c>
      <c r="N46" s="35">
        <v>41</v>
      </c>
      <c r="O46" s="178">
        <f>L62+L46</f>
        <v>0</v>
      </c>
      <c r="Q46" s="91">
        <v>53</v>
      </c>
      <c r="R46" s="178">
        <f>O62+O46</f>
        <v>0</v>
      </c>
      <c r="T46" s="91">
        <v>65</v>
      </c>
      <c r="U46" s="178">
        <f>R62+R46</f>
        <v>0</v>
      </c>
      <c r="W46" s="35">
        <v>77</v>
      </c>
      <c r="X46" s="178">
        <f>U62+U46</f>
        <v>0</v>
      </c>
      <c r="Z46" s="91">
        <v>89</v>
      </c>
      <c r="AA46" s="178">
        <f>X62+X46</f>
        <v>0</v>
      </c>
      <c r="AC46" s="91">
        <v>101</v>
      </c>
      <c r="AD46" s="178">
        <f>AA62+AA46</f>
        <v>0</v>
      </c>
      <c r="AF46" s="91">
        <v>113</v>
      </c>
      <c r="AG46" s="89">
        <f>AD62+AD46+AE62</f>
        <v>0</v>
      </c>
      <c r="AI46" s="91">
        <v>125</v>
      </c>
      <c r="AJ46" s="89">
        <f>AG62+AG46+AH62</f>
        <v>0</v>
      </c>
      <c r="AL46" s="91">
        <v>135</v>
      </c>
      <c r="AM46" s="89">
        <f>AJ62+AJ46+AK62</f>
        <v>0</v>
      </c>
      <c r="AO46" s="91">
        <v>135</v>
      </c>
      <c r="AP46" s="89">
        <f>AM62+AM46+AN62</f>
        <v>0</v>
      </c>
      <c r="AR46" s="91">
        <v>135</v>
      </c>
      <c r="AS46" s="89">
        <f>AP62+AP46+AQ62</f>
        <v>0</v>
      </c>
      <c r="AU46" s="91">
        <v>135</v>
      </c>
      <c r="AV46" s="89">
        <f>AS62+AS46+AT62</f>
        <v>0</v>
      </c>
      <c r="AX46" s="91">
        <v>135</v>
      </c>
      <c r="AY46" s="89">
        <f>AV62+AV46+AW62</f>
        <v>0</v>
      </c>
      <c r="BA46" s="91">
        <v>135</v>
      </c>
      <c r="BB46" s="89">
        <f>AY62+AY46+AZ62</f>
        <v>0</v>
      </c>
      <c r="BD46" s="91">
        <v>135</v>
      </c>
      <c r="BE46" s="89">
        <f>BB62+BB46+BC62</f>
        <v>0</v>
      </c>
    </row>
    <row r="47" spans="2:57" x14ac:dyDescent="0.2">
      <c r="B47" s="93" t="s">
        <v>20</v>
      </c>
      <c r="C47" s="178">
        <f>IF(F9=$I$73,0,IF(G9="",$C$3,IF(G9&lt;$C$3,0,G9)))</f>
        <v>0</v>
      </c>
      <c r="E47" s="35">
        <v>6</v>
      </c>
      <c r="F47" s="178">
        <f>$C47*$C$4</f>
        <v>0</v>
      </c>
      <c r="G47" s="87"/>
      <c r="H47" s="35">
        <v>18</v>
      </c>
      <c r="I47" s="178">
        <f>F63+F47</f>
        <v>0</v>
      </c>
      <c r="K47" s="35">
        <v>30</v>
      </c>
      <c r="L47" s="178">
        <f>I63+I47</f>
        <v>0</v>
      </c>
      <c r="N47" s="65">
        <v>42</v>
      </c>
      <c r="O47" s="178">
        <f>L63+L47</f>
        <v>0</v>
      </c>
      <c r="Q47" s="35">
        <v>54</v>
      </c>
      <c r="R47" s="178">
        <f>O63+O47</f>
        <v>0</v>
      </c>
      <c r="T47" s="35">
        <v>66</v>
      </c>
      <c r="U47" s="178">
        <f>R63+R47</f>
        <v>0</v>
      </c>
      <c r="W47" s="65">
        <v>78</v>
      </c>
      <c r="X47" s="178">
        <f>U63+U47</f>
        <v>0</v>
      </c>
      <c r="Z47" s="91">
        <v>90</v>
      </c>
      <c r="AA47" s="178">
        <f>X63+X47</f>
        <v>0</v>
      </c>
      <c r="AC47" s="35">
        <v>102</v>
      </c>
      <c r="AD47" s="178">
        <f>AA63+AA47</f>
        <v>0</v>
      </c>
      <c r="AF47" s="65">
        <v>114</v>
      </c>
      <c r="AG47" s="89">
        <f>AD63+AD47+AE63</f>
        <v>0</v>
      </c>
      <c r="AI47" s="91">
        <v>126</v>
      </c>
      <c r="AJ47" s="89">
        <f>AG63+AG47+AH63</f>
        <v>0</v>
      </c>
      <c r="AL47" s="35">
        <v>136</v>
      </c>
      <c r="AM47" s="89">
        <f>AJ63+AJ47+AK63</f>
        <v>0</v>
      </c>
      <c r="AO47" s="35">
        <v>136</v>
      </c>
      <c r="AP47" s="89">
        <f>AM63+AM47+AN63</f>
        <v>0</v>
      </c>
      <c r="AR47" s="35">
        <v>136</v>
      </c>
      <c r="AS47" s="89">
        <f>AP63+AP47+AQ63</f>
        <v>0</v>
      </c>
      <c r="AU47" s="35">
        <v>136</v>
      </c>
      <c r="AV47" s="89">
        <f>AS63+AS47+AT63</f>
        <v>0</v>
      </c>
      <c r="AX47" s="35">
        <v>136</v>
      </c>
      <c r="AY47" s="89">
        <f>AV63+AV47+AW63</f>
        <v>0</v>
      </c>
      <c r="BA47" s="35">
        <v>136</v>
      </c>
      <c r="BB47" s="89">
        <f>AY63+AY47+AZ63</f>
        <v>0</v>
      </c>
      <c r="BD47" s="35">
        <v>136</v>
      </c>
      <c r="BE47" s="89">
        <f>BB63+BB47+BC63</f>
        <v>0</v>
      </c>
    </row>
    <row r="48" spans="2:57" x14ac:dyDescent="0.2">
      <c r="B48" s="93" t="s">
        <v>21</v>
      </c>
      <c r="C48" s="178">
        <f>IF(F10=$I$73,0,IF(G10="",$C$3,IF(G10&lt;$C$3,0,G10)))</f>
        <v>0</v>
      </c>
      <c r="E48" s="91">
        <v>7</v>
      </c>
      <c r="F48" s="178">
        <f>$C48*$C$4</f>
        <v>0</v>
      </c>
      <c r="G48" s="87"/>
      <c r="H48" s="91">
        <v>19</v>
      </c>
      <c r="I48" s="178">
        <f>F64+F48</f>
        <v>0</v>
      </c>
      <c r="K48" s="91">
        <v>31</v>
      </c>
      <c r="L48" s="178">
        <f>I64+I48</f>
        <v>0</v>
      </c>
      <c r="N48" s="35">
        <v>43</v>
      </c>
      <c r="O48" s="178">
        <f>L64+L48</f>
        <v>0</v>
      </c>
      <c r="Q48" s="91">
        <v>55</v>
      </c>
      <c r="R48" s="178">
        <f>O64+O48</f>
        <v>0</v>
      </c>
      <c r="T48" s="91">
        <v>67</v>
      </c>
      <c r="U48" s="178">
        <f>R64+R48</f>
        <v>0</v>
      </c>
      <c r="W48" s="35">
        <v>79</v>
      </c>
      <c r="X48" s="178">
        <f>U64+U48</f>
        <v>0</v>
      </c>
      <c r="Z48" s="91">
        <v>91</v>
      </c>
      <c r="AA48" s="178">
        <f>X64+X48</f>
        <v>0</v>
      </c>
      <c r="AC48" s="91">
        <v>103</v>
      </c>
      <c r="AD48" s="178">
        <f>AA64+AA48</f>
        <v>0</v>
      </c>
      <c r="AF48" s="91">
        <v>115</v>
      </c>
      <c r="AG48" s="89">
        <f>AD64+AD48+AE64</f>
        <v>0</v>
      </c>
      <c r="AI48" s="91">
        <v>127</v>
      </c>
      <c r="AJ48" s="89">
        <f>AG64+AG48+AH64</f>
        <v>0</v>
      </c>
      <c r="AL48" s="91">
        <v>137</v>
      </c>
      <c r="AM48" s="89">
        <f>AJ64+AJ48+AK64</f>
        <v>0</v>
      </c>
      <c r="AO48" s="91">
        <v>137</v>
      </c>
      <c r="AP48" s="89">
        <f>AM64+AM48+AN64</f>
        <v>0</v>
      </c>
      <c r="AR48" s="91">
        <v>137</v>
      </c>
      <c r="AS48" s="89">
        <f>AP64+AP48+AQ64</f>
        <v>0</v>
      </c>
      <c r="AU48" s="91">
        <v>137</v>
      </c>
      <c r="AV48" s="89">
        <f>AS64+AS48+AT64</f>
        <v>0</v>
      </c>
      <c r="AX48" s="91">
        <v>137</v>
      </c>
      <c r="AY48" s="89">
        <f>AV64+AV48+AW64</f>
        <v>0</v>
      </c>
      <c r="BA48" s="91">
        <v>137</v>
      </c>
      <c r="BB48" s="89">
        <f>AY64+AY48+AZ64</f>
        <v>0</v>
      </c>
      <c r="BD48" s="91">
        <v>137</v>
      </c>
      <c r="BE48" s="89">
        <f>BB64+BB48+BC64</f>
        <v>0</v>
      </c>
    </row>
    <row r="49" spans="2:58" x14ac:dyDescent="0.2">
      <c r="B49" s="93" t="s">
        <v>22</v>
      </c>
      <c r="C49" s="178">
        <f>IF(F11=$I$73,0,IF(G11="",$C$3,IF(G11&lt;$C$3,0,G11)))</f>
        <v>0</v>
      </c>
      <c r="E49" s="35">
        <v>8</v>
      </c>
      <c r="F49" s="178">
        <f>$C49*$C$4</f>
        <v>0</v>
      </c>
      <c r="G49" s="87"/>
      <c r="H49" s="35">
        <v>20</v>
      </c>
      <c r="I49" s="178">
        <f>F65+F49</f>
        <v>0</v>
      </c>
      <c r="K49" s="35">
        <v>32</v>
      </c>
      <c r="L49" s="178">
        <f>I65+I49</f>
        <v>0</v>
      </c>
      <c r="N49" s="65">
        <v>44</v>
      </c>
      <c r="O49" s="178">
        <f>L65+L49</f>
        <v>0</v>
      </c>
      <c r="Q49" s="35">
        <v>56</v>
      </c>
      <c r="R49" s="178">
        <f>O65+O49</f>
        <v>0</v>
      </c>
      <c r="T49" s="35">
        <v>68</v>
      </c>
      <c r="U49" s="178">
        <f>R65+R49</f>
        <v>0</v>
      </c>
      <c r="W49" s="65">
        <v>80</v>
      </c>
      <c r="X49" s="178">
        <f>U65+U49</f>
        <v>0</v>
      </c>
      <c r="Z49" s="91">
        <v>92</v>
      </c>
      <c r="AA49" s="178">
        <f>X65+X49</f>
        <v>0</v>
      </c>
      <c r="AC49" s="35">
        <v>104</v>
      </c>
      <c r="AD49" s="178">
        <f>AA65+AA49</f>
        <v>0</v>
      </c>
      <c r="AF49" s="65">
        <v>116</v>
      </c>
      <c r="AG49" s="89">
        <f>AD65+AD49+AE65</f>
        <v>0</v>
      </c>
      <c r="AI49" s="91">
        <v>128</v>
      </c>
      <c r="AJ49" s="89">
        <f>AG65+AG49+AH65</f>
        <v>0</v>
      </c>
      <c r="AL49" s="35">
        <v>138</v>
      </c>
      <c r="AM49" s="89">
        <f>AJ65+AJ49+AK65</f>
        <v>0</v>
      </c>
      <c r="AO49" s="35">
        <v>138</v>
      </c>
      <c r="AP49" s="89">
        <f>AM65+AM49+AN65</f>
        <v>0</v>
      </c>
      <c r="AR49" s="35">
        <v>138</v>
      </c>
      <c r="AS49" s="89">
        <f>AP65+AP49+AQ65</f>
        <v>0</v>
      </c>
      <c r="AU49" s="35">
        <v>138</v>
      </c>
      <c r="AV49" s="89">
        <f>AS65+AS49+AT65</f>
        <v>0</v>
      </c>
      <c r="AX49" s="35">
        <v>138</v>
      </c>
      <c r="AY49" s="89">
        <f>AV65+AV49+AW65</f>
        <v>0</v>
      </c>
      <c r="BA49" s="35">
        <v>138</v>
      </c>
      <c r="BB49" s="89">
        <f>AY65+AY49+AZ65</f>
        <v>0</v>
      </c>
      <c r="BD49" s="35">
        <v>138</v>
      </c>
      <c r="BE49" s="89">
        <f>BB65+BB49+BC65</f>
        <v>0</v>
      </c>
    </row>
    <row r="50" spans="2:58" x14ac:dyDescent="0.2">
      <c r="B50" s="93" t="s">
        <v>23</v>
      </c>
      <c r="C50" s="178">
        <f>IF(F12=$I$73,0,IF(G12="",$C$3,IF(G12&lt;$C$3,0,G12)))</f>
        <v>0</v>
      </c>
      <c r="E50" s="91">
        <v>9</v>
      </c>
      <c r="F50" s="178">
        <f>$C50*$C$4</f>
        <v>0</v>
      </c>
      <c r="G50" s="87"/>
      <c r="H50" s="91">
        <v>21</v>
      </c>
      <c r="I50" s="178">
        <f>F66+F50</f>
        <v>0</v>
      </c>
      <c r="K50" s="91">
        <v>33</v>
      </c>
      <c r="L50" s="178">
        <f>I66+I50</f>
        <v>0</v>
      </c>
      <c r="N50" s="35">
        <v>45</v>
      </c>
      <c r="O50" s="178">
        <f>L66+L50</f>
        <v>0</v>
      </c>
      <c r="Q50" s="91">
        <v>57</v>
      </c>
      <c r="R50" s="178">
        <f>O66+O50</f>
        <v>0</v>
      </c>
      <c r="T50" s="91">
        <v>69</v>
      </c>
      <c r="U50" s="178">
        <f>R66+R50</f>
        <v>0</v>
      </c>
      <c r="W50" s="35">
        <v>81</v>
      </c>
      <c r="X50" s="178">
        <f>U66+U50</f>
        <v>0</v>
      </c>
      <c r="Z50" s="91">
        <v>93</v>
      </c>
      <c r="AA50" s="178">
        <f>X66+X50</f>
        <v>0</v>
      </c>
      <c r="AC50" s="91">
        <v>105</v>
      </c>
      <c r="AD50" s="178">
        <f>AA66+AA50</f>
        <v>0</v>
      </c>
      <c r="AF50" s="91">
        <v>117</v>
      </c>
      <c r="AG50" s="89">
        <f>AD66+AD50+AE66</f>
        <v>0</v>
      </c>
      <c r="AI50" s="91">
        <v>129</v>
      </c>
      <c r="AJ50" s="89">
        <f>AG66+AG50+AH66</f>
        <v>0</v>
      </c>
      <c r="AL50" s="91">
        <v>139</v>
      </c>
      <c r="AM50" s="89">
        <f>AJ66+AJ50+AK66</f>
        <v>0</v>
      </c>
      <c r="AO50" s="91">
        <v>139</v>
      </c>
      <c r="AP50" s="89">
        <f>AM66+AM50+AN66</f>
        <v>0</v>
      </c>
      <c r="AR50" s="91">
        <v>139</v>
      </c>
      <c r="AS50" s="89">
        <f>AP66+AP50+AQ66</f>
        <v>0</v>
      </c>
      <c r="AU50" s="91">
        <v>139</v>
      </c>
      <c r="AV50" s="89">
        <f>AS66+AS50+AT66</f>
        <v>0</v>
      </c>
      <c r="AX50" s="91">
        <v>139</v>
      </c>
      <c r="AY50" s="89">
        <f>AV66+AV50+AW66</f>
        <v>0</v>
      </c>
      <c r="BA50" s="91">
        <v>139</v>
      </c>
      <c r="BB50" s="89">
        <f>AY66+AY50+AZ66</f>
        <v>0</v>
      </c>
      <c r="BD50" s="91">
        <v>139</v>
      </c>
      <c r="BE50" s="89">
        <f>BB66+BB50+BC66</f>
        <v>0</v>
      </c>
    </row>
    <row r="51" spans="2:58" x14ac:dyDescent="0.2">
      <c r="B51" s="93" t="s">
        <v>24</v>
      </c>
      <c r="C51" s="178">
        <f>IF(F13=$I$73,0,IF(G13="",$C$3,IF(G13&lt;$C$3,0,G13)))</f>
        <v>0</v>
      </c>
      <c r="E51" s="35">
        <v>10</v>
      </c>
      <c r="F51" s="178">
        <f>$C51*$C$4</f>
        <v>0</v>
      </c>
      <c r="G51" s="87"/>
      <c r="H51" s="35">
        <v>22</v>
      </c>
      <c r="I51" s="178">
        <f>F67+F51</f>
        <v>0</v>
      </c>
      <c r="K51" s="35">
        <v>34</v>
      </c>
      <c r="L51" s="178">
        <f>I67+I51</f>
        <v>0</v>
      </c>
      <c r="N51" s="65">
        <v>46</v>
      </c>
      <c r="O51" s="178">
        <f>L67+L51</f>
        <v>0</v>
      </c>
      <c r="Q51" s="35">
        <v>58</v>
      </c>
      <c r="R51" s="178">
        <f>O67+O51</f>
        <v>0</v>
      </c>
      <c r="T51" s="35">
        <v>70</v>
      </c>
      <c r="U51" s="178">
        <f>R67+R51</f>
        <v>0</v>
      </c>
      <c r="W51" s="65">
        <v>82</v>
      </c>
      <c r="X51" s="178">
        <f>U67+U51</f>
        <v>0</v>
      </c>
      <c r="Z51" s="91">
        <v>94</v>
      </c>
      <c r="AA51" s="178">
        <f>X67+X51</f>
        <v>0</v>
      </c>
      <c r="AC51" s="35">
        <v>106</v>
      </c>
      <c r="AD51" s="178">
        <f>AA67+AA51</f>
        <v>0</v>
      </c>
      <c r="AF51" s="65">
        <v>118</v>
      </c>
      <c r="AG51" s="89">
        <f>AD67+AD51+AE67</f>
        <v>0</v>
      </c>
      <c r="AI51" s="91">
        <v>130</v>
      </c>
      <c r="AJ51" s="89">
        <f>AG67+AG51+AH67</f>
        <v>0</v>
      </c>
      <c r="AL51" s="35">
        <v>140</v>
      </c>
      <c r="AM51" s="89">
        <f>AJ67+AJ51+AK67</f>
        <v>0</v>
      </c>
      <c r="AO51" s="35">
        <v>140</v>
      </c>
      <c r="AP51" s="89">
        <f>AM67+AM51+AN67</f>
        <v>0</v>
      </c>
      <c r="AR51" s="35">
        <v>140</v>
      </c>
      <c r="AS51" s="89">
        <f>AP67+AP51+AQ67</f>
        <v>0</v>
      </c>
      <c r="AU51" s="35">
        <v>140</v>
      </c>
      <c r="AV51" s="89">
        <f>AS67+AS51+AT67</f>
        <v>0</v>
      </c>
      <c r="AX51" s="35">
        <v>140</v>
      </c>
      <c r="AY51" s="89">
        <f>AV67+AV51+AW67</f>
        <v>0</v>
      </c>
      <c r="BA51" s="35">
        <v>140</v>
      </c>
      <c r="BB51" s="89">
        <f>AY67+AY51+AZ67</f>
        <v>0</v>
      </c>
      <c r="BD51" s="35">
        <v>140</v>
      </c>
      <c r="BE51" s="89">
        <f>BB67+BB51+BC67</f>
        <v>0</v>
      </c>
    </row>
    <row r="52" spans="2:58" x14ac:dyDescent="0.2">
      <c r="B52" s="93" t="s">
        <v>25</v>
      </c>
      <c r="C52" s="178">
        <f>IF(F14=$I$73,0,IF(G14="",$C$3,IF(G14&lt;$C$3,0,G14)))</f>
        <v>0</v>
      </c>
      <c r="E52" s="91">
        <v>11</v>
      </c>
      <c r="F52" s="178">
        <f>$C52*$C$4</f>
        <v>0</v>
      </c>
      <c r="G52" s="87"/>
      <c r="H52" s="91">
        <v>23</v>
      </c>
      <c r="I52" s="178">
        <f>F68+F52</f>
        <v>0</v>
      </c>
      <c r="K52" s="91">
        <v>35</v>
      </c>
      <c r="L52" s="178">
        <f>I68+I52</f>
        <v>0</v>
      </c>
      <c r="N52" s="35">
        <v>47</v>
      </c>
      <c r="O52" s="178">
        <f>L68+L52</f>
        <v>0</v>
      </c>
      <c r="Q52" s="91">
        <v>59</v>
      </c>
      <c r="R52" s="178">
        <f>O68+O52</f>
        <v>0</v>
      </c>
      <c r="T52" s="91">
        <v>71</v>
      </c>
      <c r="U52" s="178">
        <f>R68+R52</f>
        <v>0</v>
      </c>
      <c r="W52" s="35">
        <v>83</v>
      </c>
      <c r="X52" s="178">
        <f>U68+U52</f>
        <v>0</v>
      </c>
      <c r="Z52" s="91">
        <v>95</v>
      </c>
      <c r="AA52" s="178">
        <f>X68+X52</f>
        <v>0</v>
      </c>
      <c r="AC52" s="91">
        <v>107</v>
      </c>
      <c r="AD52" s="178">
        <f>AA68+AA52</f>
        <v>0</v>
      </c>
      <c r="AF52" s="91">
        <v>119</v>
      </c>
      <c r="AG52" s="89">
        <f>AD68+AD52+AE68</f>
        <v>0</v>
      </c>
      <c r="AI52" s="91">
        <v>131</v>
      </c>
      <c r="AJ52" s="89">
        <f>AG68+AG52+AH68</f>
        <v>0</v>
      </c>
      <c r="AL52" s="91">
        <v>141</v>
      </c>
      <c r="AM52" s="89">
        <f>AJ68+AJ52+AK68</f>
        <v>0</v>
      </c>
      <c r="AO52" s="91">
        <v>141</v>
      </c>
      <c r="AP52" s="89">
        <f>AM68+AM52+AN68</f>
        <v>0</v>
      </c>
      <c r="AR52" s="91">
        <v>141</v>
      </c>
      <c r="AS52" s="89">
        <f>AP68+AP52+AQ68</f>
        <v>0</v>
      </c>
      <c r="AU52" s="91">
        <v>141</v>
      </c>
      <c r="AV52" s="89">
        <f>AS68+AS52+AT68</f>
        <v>0</v>
      </c>
      <c r="AX52" s="91">
        <v>141</v>
      </c>
      <c r="AY52" s="89">
        <f>AV68+AV52+AW68</f>
        <v>0</v>
      </c>
      <c r="BA52" s="91">
        <v>141</v>
      </c>
      <c r="BB52" s="89">
        <f>AY68+AY52+AZ68</f>
        <v>0</v>
      </c>
      <c r="BD52" s="91">
        <v>141</v>
      </c>
      <c r="BE52" s="89">
        <f>BB68+BB52+BC68</f>
        <v>0</v>
      </c>
    </row>
    <row r="53" spans="2:58" ht="13.5" thickBot="1" x14ac:dyDescent="0.25">
      <c r="B53" s="108" t="s">
        <v>26</v>
      </c>
      <c r="C53" s="178">
        <f>IF(F15=$I$73,0,IF(G15="",$C$3,IF(G15&lt;$C$3,0,G15)))</f>
        <v>0</v>
      </c>
      <c r="E53" s="35">
        <v>12</v>
      </c>
      <c r="F53" s="178">
        <f>$C53*$C$4</f>
        <v>0</v>
      </c>
      <c r="G53" s="87"/>
      <c r="H53" s="35">
        <v>24</v>
      </c>
      <c r="I53" s="178">
        <f>F69+F53</f>
        <v>0</v>
      </c>
      <c r="K53" s="96">
        <v>36</v>
      </c>
      <c r="L53" s="178">
        <f>I69+I53</f>
        <v>0</v>
      </c>
      <c r="N53" s="96">
        <v>48</v>
      </c>
      <c r="O53" s="178">
        <f>L69+L53</f>
        <v>0</v>
      </c>
      <c r="Q53" s="96">
        <v>60</v>
      </c>
      <c r="R53" s="178">
        <f>O69+O53</f>
        <v>0</v>
      </c>
      <c r="T53" s="96">
        <v>72</v>
      </c>
      <c r="U53" s="178">
        <f>R69+R53</f>
        <v>0</v>
      </c>
      <c r="W53" s="96">
        <v>84</v>
      </c>
      <c r="X53" s="178">
        <f>U69+U53</f>
        <v>0</v>
      </c>
      <c r="Z53" s="96">
        <v>96</v>
      </c>
      <c r="AA53" s="178">
        <f>X69+X53</f>
        <v>0</v>
      </c>
      <c r="AC53" s="96">
        <v>108</v>
      </c>
      <c r="AD53" s="178">
        <f>AA69+AA53</f>
        <v>0</v>
      </c>
      <c r="AF53" s="96">
        <v>120</v>
      </c>
      <c r="AG53" s="89">
        <f>AD69+AD53+AE69</f>
        <v>0</v>
      </c>
      <c r="AI53" s="96">
        <v>132</v>
      </c>
      <c r="AJ53" s="89">
        <f>AG69+AG53+AH69</f>
        <v>0</v>
      </c>
      <c r="AL53" s="96">
        <v>142</v>
      </c>
      <c r="AM53" s="89">
        <f>AJ69+AJ53+AK69</f>
        <v>0</v>
      </c>
      <c r="AO53" s="96">
        <v>142</v>
      </c>
      <c r="AP53" s="89">
        <f>AM69+AM53+AN69</f>
        <v>0</v>
      </c>
      <c r="AR53" s="96">
        <v>142</v>
      </c>
      <c r="AS53" s="89">
        <f>AP69+AP53+AQ69</f>
        <v>0</v>
      </c>
      <c r="AU53" s="96">
        <v>142</v>
      </c>
      <c r="AV53" s="89">
        <f>AS69+AS53+AT69</f>
        <v>0</v>
      </c>
      <c r="AX53" s="96">
        <v>142</v>
      </c>
      <c r="AY53" s="89">
        <f>AV69+AV53+AW69</f>
        <v>0</v>
      </c>
      <c r="BA53" s="96">
        <v>142</v>
      </c>
      <c r="BB53" s="89">
        <f>AY69+AY53+AZ69</f>
        <v>0</v>
      </c>
      <c r="BD53" s="96">
        <v>142</v>
      </c>
      <c r="BE53" s="89">
        <f>BB69+BB53+BC69</f>
        <v>0</v>
      </c>
    </row>
    <row r="54" spans="2:58" x14ac:dyDescent="0.2">
      <c r="C54" s="178">
        <f>SUM(C42:C53)</f>
        <v>2000</v>
      </c>
      <c r="E54" s="57"/>
      <c r="F54" s="178">
        <f>SUM(F42:F53)</f>
        <v>400</v>
      </c>
      <c r="H54" s="58"/>
      <c r="I54" s="178">
        <f>SUM(I42:I53)</f>
        <v>400</v>
      </c>
      <c r="K54" s="57"/>
      <c r="L54" s="178">
        <f>SUM(L42:L53)</f>
        <v>400</v>
      </c>
      <c r="N54" s="57"/>
      <c r="O54" s="178">
        <f>SUM(O42:O53)</f>
        <v>400</v>
      </c>
      <c r="Q54" s="57"/>
      <c r="R54" s="178">
        <f>SUM(R42:R53)</f>
        <v>400</v>
      </c>
      <c r="U54" s="178">
        <f>SUM(U42:U53)</f>
        <v>400</v>
      </c>
      <c r="X54" s="178">
        <f>SUM(X42:X53)</f>
        <v>400</v>
      </c>
      <c r="AA54" s="178">
        <f>SUM(AA42:AA53)</f>
        <v>400</v>
      </c>
      <c r="AD54" s="178">
        <f>SUM(AD42:AD53)</f>
        <v>400</v>
      </c>
      <c r="AG54" s="178">
        <f>SUM(AG42:AG53)</f>
        <v>0</v>
      </c>
      <c r="AJ54" s="178">
        <f>SUM(AJ42:AJ53)</f>
        <v>0</v>
      </c>
      <c r="AM54" s="178">
        <f>SUM(AM42:AM53)</f>
        <v>0</v>
      </c>
      <c r="AP54" s="178">
        <f>SUM(AP42:AP53)</f>
        <v>0</v>
      </c>
      <c r="AS54" s="178">
        <f>SUM(AS42:AS53)</f>
        <v>0</v>
      </c>
      <c r="AV54" s="178">
        <f>SUM(AV42:AV53)</f>
        <v>0</v>
      </c>
      <c r="AY54" s="178">
        <f>SUM(AY42:AY53)</f>
        <v>0</v>
      </c>
      <c r="BB54" s="178">
        <f>SUM(BB42:BB53)</f>
        <v>0</v>
      </c>
      <c r="BE54" s="178">
        <f>SUM(BE42:BE53)</f>
        <v>0</v>
      </c>
    </row>
    <row r="55" spans="2:58" x14ac:dyDescent="0.2">
      <c r="C55" s="56"/>
      <c r="E55" s="57"/>
      <c r="F55" s="56"/>
      <c r="H55" s="58"/>
      <c r="I55" s="56"/>
      <c r="K55" s="57"/>
      <c r="L55" s="56"/>
      <c r="N55" s="57"/>
      <c r="O55" s="56"/>
      <c r="Q55" s="57"/>
      <c r="R55" s="56"/>
      <c r="U55" s="56"/>
      <c r="X55" s="56"/>
      <c r="AA55" s="56"/>
      <c r="AD55" s="56"/>
    </row>
    <row r="56" spans="2:58" hidden="1" x14ac:dyDescent="0.2">
      <c r="B56" s="56">
        <v>0</v>
      </c>
      <c r="C56" s="179">
        <f>IF(C42&gt;='TSGAP % slabs'!$B$8,'TSGAP % slabs'!$D$8,IF(C42&gt;='TSGAP % slabs'!$B$7,'TSGAP % slabs'!$D$7,IF(C42&gt;='TSGAP % slabs'!$B$6,'TSGAP % slabs'!$D$6,IF(C42&gt;='TSGAP % slabs'!$B$5,'TSGAP % slabs'!$D$5,IF(C42&gt;='TSGAP % slabs'!$B$4,'TSGAP % slabs'!$D$4,0)))))</f>
        <v>0.2</v>
      </c>
      <c r="D56" s="99"/>
      <c r="E56" s="56">
        <v>1</v>
      </c>
      <c r="F56" s="179">
        <f>IF(F42&gt;='TSGAP % slabs'!$B$8,'TSGAP % slabs'!$D$8,IF(F42&gt;='TSGAP % slabs'!$B$7,'TSGAP % slabs'!$D$7,IF(F42&gt;='TSGAP % slabs'!$B$6,'TSGAP % slabs'!$D$6,IF(F42&gt;='TSGAP % slabs'!$B$5,'TSGAP % slabs'!$D$5,IF(F42&gt;='TSGAP % slabs'!$B$4,'TSGAP % slabs'!$D$4,0)))))</f>
        <v>0.16</v>
      </c>
      <c r="H56" s="56">
        <v>2</v>
      </c>
      <c r="I56" s="179">
        <f>IF(I42&gt;='TSGAP % slabs'!$B$8,'TSGAP % slabs'!$D$8,IF(I42&gt;='TSGAP % slabs'!$B$7,'TSGAP % slabs'!$D$7,IF(I42&gt;='TSGAP % slabs'!$B$6,'TSGAP % slabs'!$D$6,IF(I42&gt;='TSGAP % slabs'!$B$5,'TSGAP % slabs'!$D$5,IF(I42&gt;='TSGAP % slabs'!$B$4,'TSGAP % slabs'!$D$4,0)))))</f>
        <v>0.16</v>
      </c>
      <c r="K56" s="56">
        <v>3</v>
      </c>
      <c r="L56" s="179">
        <f>IF(L42&gt;='TSGAP % slabs'!$B$8,'TSGAP % slabs'!$D$8,IF(L42&gt;='TSGAP % slabs'!$B$7,'TSGAP % slabs'!$D$7,IF(L42&gt;='TSGAP % slabs'!$B$6,'TSGAP % slabs'!$D$6,IF(L42&gt;='TSGAP % slabs'!$B$5,'TSGAP % slabs'!$D$5,IF(L42&gt;='TSGAP % slabs'!$B$4,'TSGAP % slabs'!$D$4,0)))))</f>
        <v>0.16</v>
      </c>
      <c r="N56" s="56">
        <v>4</v>
      </c>
      <c r="O56" s="179">
        <f>IF(O42&gt;='TSGAP % slabs'!$B$8,'TSGAP % slabs'!$D$8,IF(O42&gt;='TSGAP % slabs'!$B$7,'TSGAP % slabs'!$D$7,IF(O42&gt;='TSGAP % slabs'!$B$6,'TSGAP % slabs'!$D$6,IF(O42&gt;='TSGAP % slabs'!$B$5,'TSGAP % slabs'!$D$5,IF(O42&gt;='TSGAP % slabs'!$B$4,'TSGAP % slabs'!$D$4,0)))))</f>
        <v>0.16</v>
      </c>
      <c r="Q56" s="56">
        <v>5</v>
      </c>
      <c r="R56" s="179">
        <f>IF(R42&gt;='TSGAP % slabs'!$B$8,'TSGAP % slabs'!$D$8,IF(R42&gt;='TSGAP % slabs'!$B$7,'TSGAP % slabs'!$D$7,IF(R42&gt;='TSGAP % slabs'!$B$6,'TSGAP % slabs'!$D$6,IF(R42&gt;='TSGAP % slabs'!$B$5,'TSGAP % slabs'!$D$5,IF(R42&gt;='TSGAP % slabs'!$B$4,'TSGAP % slabs'!$D$4,0)))))</f>
        <v>0.16</v>
      </c>
      <c r="T56" s="56">
        <v>6</v>
      </c>
      <c r="U56" s="179">
        <f>IF(U42&gt;='TSGAP % slabs'!$B$8,'TSGAP % slabs'!$D$8,IF(U42&gt;='TSGAP % slabs'!$B$7,'TSGAP % slabs'!$D$7,IF(U42&gt;='TSGAP % slabs'!$B$6,'TSGAP % slabs'!$D$6,IF(U42&gt;='TSGAP % slabs'!$B$5,'TSGAP % slabs'!$D$5,IF(U42&gt;='TSGAP % slabs'!$B$4,'TSGAP % slabs'!$D$4,0)))))</f>
        <v>0.16</v>
      </c>
      <c r="W56" s="56">
        <v>7</v>
      </c>
      <c r="X56" s="179">
        <f>IF(X42&gt;='TSGAP % slabs'!$B$8,'TSGAP % slabs'!$D$8,IF(X42&gt;='TSGAP % slabs'!$B$7,'TSGAP % slabs'!$D$7,IF(X42&gt;='TSGAP % slabs'!$B$6,'TSGAP % slabs'!$D$6,IF(X42&gt;='TSGAP % slabs'!$B$5,'TSGAP % slabs'!$D$5,IF(X42&gt;='TSGAP % slabs'!$B$4,'TSGAP % slabs'!$D$4,0)))))</f>
        <v>0.16</v>
      </c>
      <c r="Z56" s="56">
        <v>8</v>
      </c>
      <c r="AA56" s="179">
        <f>IF(AA42&gt;='TSGAP % slabs'!$B$8,'TSGAP % slabs'!$D$8,IF(AA42&gt;='TSGAP % slabs'!$B$7,'TSGAP % slabs'!$D$7,IF(AA42&gt;='TSGAP % slabs'!$B$6,'TSGAP % slabs'!$D$6,IF(AA42&gt;='TSGAP % slabs'!$B$5,'TSGAP % slabs'!$D$5,IF(AA42&gt;='TSGAP % slabs'!$B$4,'TSGAP % slabs'!$D$4,0)))))</f>
        <v>0.16</v>
      </c>
      <c r="AC56" s="56">
        <v>9</v>
      </c>
      <c r="AD56" s="179">
        <f>IF(AD42&gt;='TSGAP % slabs'!$B$8,'TSGAP % slabs'!$D$8,IF(AD42&gt;='TSGAP % slabs'!$B$7,'TSGAP % slabs'!$D$7,IF(AD42&gt;='TSGAP % slabs'!$B$6,'TSGAP % slabs'!$D$6,IF(AD42&gt;='TSGAP % slabs'!$B$5,'TSGAP % slabs'!$D$5,IF(AD42&gt;='TSGAP % slabs'!$B$4,'TSGAP % slabs'!$D$4,0)))))</f>
        <v>0.16</v>
      </c>
      <c r="AF56" s="56">
        <v>10</v>
      </c>
      <c r="AG56" s="179">
        <f>IF(AG42&gt;='TSGAP % slabs'!$B$8,'TSGAP % slabs'!$D$8,IF(AG42&gt;='TSGAP % slabs'!$B$7,'TSGAP % slabs'!$D$7,IF(AG42&gt;='TSGAP % slabs'!$B$6,'TSGAP % slabs'!$D$6,IF(AG42&gt;='TSGAP % slabs'!$B$5,'TSGAP % slabs'!$D$5,IF(AG42&gt;='TSGAP % slabs'!$B$4,'TSGAP % slabs'!$D$4,0)))))</f>
        <v>0</v>
      </c>
      <c r="AI56" s="180">
        <v>11</v>
      </c>
      <c r="AJ56" s="179">
        <f>IF(AJ42&gt;='TSGAP % slabs'!$B$8,'TSGAP % slabs'!$D$8,IF(AJ42&gt;='TSGAP % slabs'!$B$7,'TSGAP % slabs'!$D$7,IF(AJ42&gt;='TSGAP % slabs'!$B$6,'TSGAP % slabs'!$D$6,IF(AJ42&gt;='TSGAP % slabs'!$B$5,'TSGAP % slabs'!$D$5,IF(AJ42&gt;='TSGAP % slabs'!$B$4,'TSGAP % slabs'!$D$4,0)))))</f>
        <v>0</v>
      </c>
      <c r="AL56" s="55">
        <v>12</v>
      </c>
      <c r="AM56" s="179">
        <f>IF(AM42&gt;='TSGAP % slabs'!$B$8,'TSGAP % slabs'!$D$8,IF(AM42&gt;='TSGAP % slabs'!$B$7,'TSGAP % slabs'!$D$7,IF(AM42&gt;='TSGAP % slabs'!$B$6,'TSGAP % slabs'!$D$6,IF(AM42&gt;='TSGAP % slabs'!$B$5,'TSGAP % slabs'!$D$5,IF(AM42&gt;='TSGAP % slabs'!$B$4,'TSGAP % slabs'!$D$4,0)))))</f>
        <v>0</v>
      </c>
      <c r="AO56" s="55">
        <v>13</v>
      </c>
      <c r="AP56" s="179">
        <f>IF(AP42&gt;='TSGAP % slabs'!$B$8,'TSGAP % slabs'!$D$8,IF(AP42&gt;='TSGAP % slabs'!$B$7,'TSGAP % slabs'!$D$7,IF(AP42&gt;='TSGAP % slabs'!$B$6,'TSGAP % slabs'!$D$6,IF(AP42&gt;='TSGAP % slabs'!$B$5,'TSGAP % slabs'!$D$5,IF(AP42&gt;='TSGAP % slabs'!$B$4,'TSGAP % slabs'!$D$4,0)))))</f>
        <v>0</v>
      </c>
      <c r="AR56" s="55">
        <v>14</v>
      </c>
      <c r="AS56" s="179">
        <f>IF(AS42&gt;='TSGAP % slabs'!$B$8,'TSGAP % slabs'!$D$8,IF(AS42&gt;='TSGAP % slabs'!$B$7,'TSGAP % slabs'!$D$7,IF(AS42&gt;='TSGAP % slabs'!$B$6,'TSGAP % slabs'!$D$6,IF(AS42&gt;='TSGAP % slabs'!$B$5,'TSGAP % slabs'!$D$5,IF(AS42&gt;='TSGAP % slabs'!$B$4,'TSGAP % slabs'!$D$4,0)))))</f>
        <v>0</v>
      </c>
      <c r="AU56" s="55">
        <v>15</v>
      </c>
      <c r="AV56" s="179">
        <f>IF(AV42&gt;='TSGAP % slabs'!$B$8,'TSGAP % slabs'!$D$8,IF(AV42&gt;='TSGAP % slabs'!$B$7,'TSGAP % slabs'!$D$7,IF(AV42&gt;='TSGAP % slabs'!$B$6,'TSGAP % slabs'!$D$6,IF(AV42&gt;='TSGAP % slabs'!$B$5,'TSGAP % slabs'!$D$5,IF(AV42&gt;='TSGAP % slabs'!$B$4,'TSGAP % slabs'!$D$4,0)))))</f>
        <v>0</v>
      </c>
      <c r="AX56" s="55">
        <v>16</v>
      </c>
      <c r="AY56" s="179">
        <f>IF(AY42&gt;='TSGAP % slabs'!$B$8,'TSGAP % slabs'!$D$8,IF(AY42&gt;='TSGAP % slabs'!$B$7,'TSGAP % slabs'!$D$7,IF(AY42&gt;='TSGAP % slabs'!$B$6,'TSGAP % slabs'!$D$6,IF(AY42&gt;='TSGAP % slabs'!$B$5,'TSGAP % slabs'!$D$5,IF(AY42&gt;='TSGAP % slabs'!$B$4,'TSGAP % slabs'!$D$4,0)))))</f>
        <v>0</v>
      </c>
      <c r="BA56" s="55">
        <v>17</v>
      </c>
      <c r="BB56" s="179">
        <f>IF(BB42&gt;='TSGAP % slabs'!$B$8,'TSGAP % slabs'!$D$8,IF(BB42&gt;='TSGAP % slabs'!$B$7,'TSGAP % slabs'!$D$7,IF(BB42&gt;='TSGAP % slabs'!$B$6,'TSGAP % slabs'!$D$6,IF(BB42&gt;='TSGAP % slabs'!$B$5,'TSGAP % slabs'!$D$5,IF(BB42&gt;='TSGAP % slabs'!$B$4,'TSGAP % slabs'!$D$4,0)))))</f>
        <v>0</v>
      </c>
      <c r="BD56" s="55">
        <v>18</v>
      </c>
      <c r="BE56" s="179">
        <f>IF(BE42&gt;='TSGAP % slabs'!$B$8,'TSGAP % slabs'!$D$8,IF(BE42&gt;='TSGAP % slabs'!$B$7,'TSGAP % slabs'!$D$7,IF(BE42&gt;='TSGAP % slabs'!$B$6,'TSGAP % slabs'!$D$6,IF(BE42&gt;='TSGAP % slabs'!$B$5,'TSGAP % slabs'!$D$5,IF(BE42&gt;='TSGAP % slabs'!$B$4,'TSGAP % slabs'!$D$4,0)))))</f>
        <v>0</v>
      </c>
    </row>
    <row r="57" spans="2:58" hidden="1" x14ac:dyDescent="0.2">
      <c r="B57" s="57">
        <v>0</v>
      </c>
      <c r="C57" s="56" t="s">
        <v>128</v>
      </c>
      <c r="E57" s="57" t="s">
        <v>14</v>
      </c>
      <c r="F57" s="56" t="s">
        <v>128</v>
      </c>
      <c r="H57" s="57" t="s">
        <v>14</v>
      </c>
      <c r="I57" s="56" t="s">
        <v>128</v>
      </c>
      <c r="K57" s="57" t="s">
        <v>14</v>
      </c>
      <c r="L57" s="56" t="s">
        <v>128</v>
      </c>
      <c r="N57" s="57" t="s">
        <v>14</v>
      </c>
      <c r="O57" s="56" t="s">
        <v>128</v>
      </c>
      <c r="Q57" s="57" t="s">
        <v>14</v>
      </c>
      <c r="R57" s="56" t="s">
        <v>128</v>
      </c>
      <c r="T57" s="57" t="s">
        <v>14</v>
      </c>
      <c r="U57" s="56" t="s">
        <v>128</v>
      </c>
      <c r="W57" s="57" t="s">
        <v>14</v>
      </c>
      <c r="X57" s="56" t="s">
        <v>128</v>
      </c>
      <c r="Z57" s="57" t="s">
        <v>14</v>
      </c>
      <c r="AA57" s="56" t="s">
        <v>128</v>
      </c>
      <c r="AC57" s="57" t="s">
        <v>14</v>
      </c>
      <c r="AD57" s="56" t="s">
        <v>128</v>
      </c>
      <c r="AF57" s="57" t="s">
        <v>14</v>
      </c>
      <c r="AG57" s="56" t="s">
        <v>128</v>
      </c>
      <c r="AI57" s="57" t="s">
        <v>14</v>
      </c>
      <c r="AJ57" s="56" t="s">
        <v>128</v>
      </c>
      <c r="AL57" s="57" t="s">
        <v>14</v>
      </c>
      <c r="AM57" s="56" t="s">
        <v>128</v>
      </c>
      <c r="AO57" s="57" t="s">
        <v>14</v>
      </c>
      <c r="AP57" s="56" t="s">
        <v>128</v>
      </c>
      <c r="AR57" s="57" t="s">
        <v>14</v>
      </c>
      <c r="AS57" s="56" t="s">
        <v>128</v>
      </c>
      <c r="AU57" s="57" t="s">
        <v>14</v>
      </c>
      <c r="AV57" s="56" t="s">
        <v>128</v>
      </c>
      <c r="AX57" s="57" t="s">
        <v>14</v>
      </c>
      <c r="AY57" s="56" t="s">
        <v>128</v>
      </c>
      <c r="BA57" s="57" t="s">
        <v>14</v>
      </c>
      <c r="BB57" s="56" t="s">
        <v>128</v>
      </c>
      <c r="BD57" s="57" t="s">
        <v>14</v>
      </c>
      <c r="BE57" s="56" t="s">
        <v>128</v>
      </c>
    </row>
    <row r="58" spans="2:58" hidden="1" x14ac:dyDescent="0.2">
      <c r="B58" s="57">
        <v>1</v>
      </c>
      <c r="C58" s="17">
        <f>IF($C$6&gt;=B$56,C42*C$56,0)</f>
        <v>200</v>
      </c>
      <c r="D58" s="56"/>
      <c r="E58" s="57">
        <v>1</v>
      </c>
      <c r="F58" s="17">
        <f>IF($C$6&gt;=E$56,F42*F$56,0)</f>
        <v>0</v>
      </c>
      <c r="G58" s="56"/>
      <c r="H58" s="57">
        <v>1</v>
      </c>
      <c r="I58" s="17">
        <f>IF($C$6&gt;=H$56,I42*I$56,0)</f>
        <v>0</v>
      </c>
      <c r="J58" s="56"/>
      <c r="K58" s="57">
        <v>1</v>
      </c>
      <c r="L58" s="17">
        <f>IF($C$6&gt;=K$56,L42*L$56,0)</f>
        <v>0</v>
      </c>
      <c r="M58" s="56"/>
      <c r="N58" s="57">
        <v>1</v>
      </c>
      <c r="O58" s="17">
        <f>IF($C$6&gt;=N$56,O42*O$56,0)</f>
        <v>0</v>
      </c>
      <c r="P58" s="56"/>
      <c r="Q58" s="57">
        <v>1</v>
      </c>
      <c r="R58" s="17">
        <f>IF($C$6&gt;=Q$56,R42*R$56,0)</f>
        <v>0</v>
      </c>
      <c r="S58" s="56"/>
      <c r="T58" s="57">
        <v>1</v>
      </c>
      <c r="U58" s="17">
        <f>IF($C$6&gt;=T$56,U42*U$56,0)</f>
        <v>0</v>
      </c>
      <c r="V58" s="56"/>
      <c r="W58" s="57">
        <v>1</v>
      </c>
      <c r="X58" s="17">
        <f>IF($C$6&gt;=W$56,X42*X$56,0)</f>
        <v>0</v>
      </c>
      <c r="Y58" s="56"/>
      <c r="Z58" s="57">
        <v>1</v>
      </c>
      <c r="AA58" s="17">
        <f>IF($C$6&gt;=Z$56,AA42*AA$56,0)</f>
        <v>0</v>
      </c>
      <c r="AB58" s="56"/>
      <c r="AC58" s="57">
        <v>1</v>
      </c>
      <c r="AD58" s="17">
        <f>IF($C$6&gt;=AC$56,AD42*AD$56,0)</f>
        <v>0</v>
      </c>
      <c r="AE58" s="181">
        <f>-C58</f>
        <v>-200</v>
      </c>
      <c r="AF58" s="57">
        <v>1</v>
      </c>
      <c r="AG58" s="17">
        <f>IF($C$6&gt;=AF$56,AG42*AG$56,0)</f>
        <v>0</v>
      </c>
      <c r="AH58" s="181">
        <f>-F58</f>
        <v>0</v>
      </c>
      <c r="AI58" s="57">
        <v>1</v>
      </c>
      <c r="AJ58" s="17">
        <f>IF($C$6&gt;=AI$56,AJ42*AJ$56,0)</f>
        <v>0</v>
      </c>
      <c r="AK58" s="181">
        <f>-I58</f>
        <v>0</v>
      </c>
      <c r="AL58" s="57">
        <v>1</v>
      </c>
      <c r="AM58" s="17">
        <f>IF($C$6&gt;=AL$56,AM42*AM$56,0)</f>
        <v>0</v>
      </c>
      <c r="AN58" s="181">
        <f>-L58</f>
        <v>0</v>
      </c>
      <c r="AO58" s="57">
        <v>1</v>
      </c>
      <c r="AP58" s="17">
        <f>IF($C$6&gt;=AO$56,AP42*AP$56,0)</f>
        <v>0</v>
      </c>
      <c r="AQ58" s="181">
        <f>-O58</f>
        <v>0</v>
      </c>
      <c r="AR58" s="57">
        <v>1</v>
      </c>
      <c r="AS58" s="17">
        <f>IF($C$6&gt;=AR$56,AS42*AS$56,0)</f>
        <v>0</v>
      </c>
      <c r="AT58" s="181">
        <f>-R58</f>
        <v>0</v>
      </c>
      <c r="AU58" s="57">
        <v>1</v>
      </c>
      <c r="AV58" s="17">
        <f>IF($C$6&gt;=AU$56,AV42*AV$56,0)</f>
        <v>0</v>
      </c>
      <c r="AW58" s="181">
        <f>-U58</f>
        <v>0</v>
      </c>
      <c r="AX58" s="57">
        <v>1</v>
      </c>
      <c r="AY58" s="17">
        <f>IF($C$6&gt;=AX$56,AY42*AY$56,0)</f>
        <v>0</v>
      </c>
      <c r="AZ58" s="181">
        <f>-X58</f>
        <v>0</v>
      </c>
      <c r="BA58" s="57">
        <v>1</v>
      </c>
      <c r="BB58" s="17">
        <f>IF($C$6&gt;=BA$56,BB42*BB$56,0)</f>
        <v>0</v>
      </c>
      <c r="BC58" s="181">
        <f>-AA58</f>
        <v>0</v>
      </c>
      <c r="BD58" s="57">
        <v>1</v>
      </c>
      <c r="BE58" s="17">
        <f>IF($C$6&gt;=BD$56,BE42*BE$56,0)</f>
        <v>0</v>
      </c>
      <c r="BF58" s="181">
        <f>-AD58</f>
        <v>0</v>
      </c>
    </row>
    <row r="59" spans="2:58" hidden="1" x14ac:dyDescent="0.2">
      <c r="B59" s="57">
        <v>2</v>
      </c>
      <c r="C59" s="17">
        <f>IF($C$6&gt;=B$56,C43*C$56,0)</f>
        <v>200</v>
      </c>
      <c r="D59" s="56"/>
      <c r="E59" s="57">
        <v>2</v>
      </c>
      <c r="F59" s="17">
        <f>IF($C$6&gt;=E$56,F43*F$56,0)</f>
        <v>0</v>
      </c>
      <c r="G59" s="56"/>
      <c r="H59" s="57">
        <v>2</v>
      </c>
      <c r="I59" s="17">
        <f>IF($C$6&gt;=H$56,I43*I$56,0)</f>
        <v>0</v>
      </c>
      <c r="J59" s="56"/>
      <c r="K59" s="57">
        <v>2</v>
      </c>
      <c r="L59" s="17">
        <f>IF($C$6&gt;=K$56,L43*L$56,0)</f>
        <v>0</v>
      </c>
      <c r="M59" s="56"/>
      <c r="N59" s="57">
        <v>2</v>
      </c>
      <c r="O59" s="17">
        <f>IF($C$6&gt;=N$56,O43*O$56,0)</f>
        <v>0</v>
      </c>
      <c r="P59" s="56"/>
      <c r="Q59" s="57">
        <v>2</v>
      </c>
      <c r="R59" s="17">
        <f>IF($C$6&gt;=Q$56,R43*R$56,0)</f>
        <v>0</v>
      </c>
      <c r="S59" s="56"/>
      <c r="T59" s="57">
        <v>2</v>
      </c>
      <c r="U59" s="17">
        <f>IF($C$6&gt;=T$56,U43*U$56,0)</f>
        <v>0</v>
      </c>
      <c r="V59" s="56"/>
      <c r="W59" s="57">
        <v>2</v>
      </c>
      <c r="X59" s="17">
        <f>IF($C$6&gt;=W$56,X43*X$56,0)</f>
        <v>0</v>
      </c>
      <c r="Y59" s="56"/>
      <c r="Z59" s="57">
        <v>2</v>
      </c>
      <c r="AA59" s="17">
        <f>IF($C$6&gt;=Z$56,AA43*AA$56,0)</f>
        <v>0</v>
      </c>
      <c r="AB59" s="56"/>
      <c r="AC59" s="57">
        <v>2</v>
      </c>
      <c r="AD59" s="17">
        <f>IF($C$6&gt;=AC$56,AD43*AD$56,0)</f>
        <v>0</v>
      </c>
      <c r="AE59" s="181">
        <f t="shared" ref="AE59:AE69" si="0">-C59</f>
        <v>-200</v>
      </c>
      <c r="AF59" s="57">
        <v>2</v>
      </c>
      <c r="AG59" s="17">
        <f>IF($C$6&gt;=AF$56,AG43*AG$56,0)</f>
        <v>0</v>
      </c>
      <c r="AH59" s="181">
        <f t="shared" ref="AH59:AH69" si="1">-F59</f>
        <v>0</v>
      </c>
      <c r="AI59" s="57">
        <v>2</v>
      </c>
      <c r="AJ59" s="17">
        <f>IF($C$6&gt;=AI$56,AJ43*AJ$56,0)</f>
        <v>0</v>
      </c>
      <c r="AK59" s="181">
        <f t="shared" ref="AK59:AK69" si="2">-I59</f>
        <v>0</v>
      </c>
      <c r="AL59" s="57">
        <v>2</v>
      </c>
      <c r="AM59" s="17">
        <f>IF($C$6&gt;=AL$56,AM43*AM$56,0)</f>
        <v>0</v>
      </c>
      <c r="AN59" s="181">
        <f t="shared" ref="AN59:AN69" si="3">-L59</f>
        <v>0</v>
      </c>
      <c r="AO59" s="57">
        <v>2</v>
      </c>
      <c r="AP59" s="17">
        <f>IF($C$6&gt;=AO$56,AP43*AP$56,0)</f>
        <v>0</v>
      </c>
      <c r="AQ59" s="181">
        <f t="shared" ref="AQ59:AQ69" si="4">-O59</f>
        <v>0</v>
      </c>
      <c r="AR59" s="57">
        <v>2</v>
      </c>
      <c r="AS59" s="17">
        <f>IF($C$6&gt;=AR$56,AS43*AS$56,0)</f>
        <v>0</v>
      </c>
      <c r="AT59" s="181">
        <f t="shared" ref="AT59:AT69" si="5">-R59</f>
        <v>0</v>
      </c>
      <c r="AU59" s="57">
        <v>2</v>
      </c>
      <c r="AV59" s="17">
        <f>IF($C$6&gt;=AU$56,AV43*AV$56,0)</f>
        <v>0</v>
      </c>
      <c r="AW59" s="181">
        <f t="shared" ref="AW59:AW69" si="6">-U59</f>
        <v>0</v>
      </c>
      <c r="AX59" s="57">
        <v>2</v>
      </c>
      <c r="AY59" s="17">
        <f>IF($C$6&gt;=AX$56,AY43*AY$56,0)</f>
        <v>0</v>
      </c>
      <c r="AZ59" s="181">
        <f t="shared" ref="AZ59:AZ69" si="7">-X59</f>
        <v>0</v>
      </c>
      <c r="BA59" s="57">
        <v>2</v>
      </c>
      <c r="BB59" s="17">
        <f>IF($C$6&gt;=BA$56,BB43*BB$56,0)</f>
        <v>0</v>
      </c>
      <c r="BC59" s="181">
        <f t="shared" ref="BC59:BC69" si="8">-AA59</f>
        <v>0</v>
      </c>
      <c r="BD59" s="57">
        <v>2</v>
      </c>
      <c r="BE59" s="17">
        <f>IF($C$6&gt;=BD$56,BE43*BE$56,0)</f>
        <v>0</v>
      </c>
      <c r="BF59" s="181">
        <f t="shared" ref="BF59:BF69" si="9">-AD59</f>
        <v>0</v>
      </c>
    </row>
    <row r="60" spans="2:58" hidden="1" x14ac:dyDescent="0.2">
      <c r="B60" s="57">
        <v>3</v>
      </c>
      <c r="C60" s="17">
        <f>IF($C$6&gt;=B$56,C44*C$56,0)</f>
        <v>0</v>
      </c>
      <c r="D60" s="56"/>
      <c r="E60" s="57">
        <v>3</v>
      </c>
      <c r="F60" s="17">
        <f>IF($C$6&gt;=E$56,F44*F$56,0)</f>
        <v>0</v>
      </c>
      <c r="G60" s="56"/>
      <c r="H60" s="57">
        <v>3</v>
      </c>
      <c r="I60" s="17">
        <f>IF($C$6&gt;=H$56,I44*I$56,0)</f>
        <v>0</v>
      </c>
      <c r="J60" s="56"/>
      <c r="K60" s="57">
        <v>3</v>
      </c>
      <c r="L60" s="17">
        <f>IF($C$6&gt;=K$56,L44*L$56,0)</f>
        <v>0</v>
      </c>
      <c r="M60" s="56"/>
      <c r="N60" s="57">
        <v>3</v>
      </c>
      <c r="O60" s="17">
        <f>IF($C$6&gt;=N$56,O44*O$56,0)</f>
        <v>0</v>
      </c>
      <c r="P60" s="56"/>
      <c r="Q60" s="57">
        <v>3</v>
      </c>
      <c r="R60" s="17">
        <f>IF($C$6&gt;=Q$56,R44*R$56,0)</f>
        <v>0</v>
      </c>
      <c r="S60" s="56"/>
      <c r="T60" s="57">
        <v>3</v>
      </c>
      <c r="U60" s="17">
        <f>IF($C$6&gt;=T$56,U44*U$56,0)</f>
        <v>0</v>
      </c>
      <c r="V60" s="56"/>
      <c r="W60" s="57">
        <v>3</v>
      </c>
      <c r="X60" s="17">
        <f>IF($C$6&gt;=W$56,X44*X$56,0)</f>
        <v>0</v>
      </c>
      <c r="Y60" s="56"/>
      <c r="Z60" s="57">
        <v>3</v>
      </c>
      <c r="AA60" s="17">
        <f>IF($C$6&gt;=Z$56,AA44*AA$56,0)</f>
        <v>0</v>
      </c>
      <c r="AB60" s="56"/>
      <c r="AC60" s="57">
        <v>3</v>
      </c>
      <c r="AD60" s="17">
        <f>IF($C$6&gt;=AC$56,AD44*AD$56,0)</f>
        <v>0</v>
      </c>
      <c r="AE60" s="181">
        <f t="shared" si="0"/>
        <v>0</v>
      </c>
      <c r="AF60" s="57">
        <v>3</v>
      </c>
      <c r="AG60" s="17">
        <f>IF($C$6&gt;=AF$56,AG44*AG$56,0)</f>
        <v>0</v>
      </c>
      <c r="AH60" s="181">
        <f t="shared" si="1"/>
        <v>0</v>
      </c>
      <c r="AI60" s="57">
        <v>3</v>
      </c>
      <c r="AJ60" s="17">
        <f>IF($C$6&gt;=AI$56,AJ44*AJ$56,0)</f>
        <v>0</v>
      </c>
      <c r="AK60" s="181">
        <f t="shared" si="2"/>
        <v>0</v>
      </c>
      <c r="AL60" s="57">
        <v>3</v>
      </c>
      <c r="AM60" s="17">
        <f>IF($C$6&gt;=AL$56,AM44*AM$56,0)</f>
        <v>0</v>
      </c>
      <c r="AN60" s="181">
        <f t="shared" si="3"/>
        <v>0</v>
      </c>
      <c r="AO60" s="57">
        <v>3</v>
      </c>
      <c r="AP60" s="17">
        <f>IF($C$6&gt;=AO$56,AP44*AP$56,0)</f>
        <v>0</v>
      </c>
      <c r="AQ60" s="181">
        <f t="shared" si="4"/>
        <v>0</v>
      </c>
      <c r="AR60" s="57">
        <v>3</v>
      </c>
      <c r="AS60" s="17">
        <f>IF($C$6&gt;=AR$56,AS44*AS$56,0)</f>
        <v>0</v>
      </c>
      <c r="AT60" s="181">
        <f t="shared" si="5"/>
        <v>0</v>
      </c>
      <c r="AU60" s="57">
        <v>3</v>
      </c>
      <c r="AV60" s="17">
        <f>IF($C$6&gt;=AU$56,AV44*AV$56,0)</f>
        <v>0</v>
      </c>
      <c r="AW60" s="181">
        <f t="shared" si="6"/>
        <v>0</v>
      </c>
      <c r="AX60" s="57">
        <v>3</v>
      </c>
      <c r="AY60" s="17">
        <f>IF($C$6&gt;=AX$56,AY44*AY$56,0)</f>
        <v>0</v>
      </c>
      <c r="AZ60" s="181">
        <f t="shared" si="7"/>
        <v>0</v>
      </c>
      <c r="BA60" s="57">
        <v>3</v>
      </c>
      <c r="BB60" s="17">
        <f>IF($C$6&gt;=BA$56,BB44*BB$56,0)</f>
        <v>0</v>
      </c>
      <c r="BC60" s="181">
        <f t="shared" si="8"/>
        <v>0</v>
      </c>
      <c r="BD60" s="57">
        <v>3</v>
      </c>
      <c r="BE60" s="17">
        <f>IF($C$6&gt;=BD$56,BE44*BE$56,0)</f>
        <v>0</v>
      </c>
      <c r="BF60" s="181">
        <f t="shared" si="9"/>
        <v>0</v>
      </c>
    </row>
    <row r="61" spans="2:58" hidden="1" x14ac:dyDescent="0.2">
      <c r="B61" s="57">
        <v>4</v>
      </c>
      <c r="C61" s="17">
        <f>IF($C$6&gt;=B$56,C45*C$56,0)</f>
        <v>0</v>
      </c>
      <c r="D61" s="56"/>
      <c r="E61" s="57">
        <v>4</v>
      </c>
      <c r="F61" s="17">
        <f>IF($C$6&gt;=E$56,F45*F$56,0)</f>
        <v>0</v>
      </c>
      <c r="G61" s="56"/>
      <c r="H61" s="57">
        <v>4</v>
      </c>
      <c r="I61" s="17">
        <f>IF($C$6&gt;=H$56,I45*I$56,0)</f>
        <v>0</v>
      </c>
      <c r="J61" s="56"/>
      <c r="K61" s="57">
        <v>4</v>
      </c>
      <c r="L61" s="17">
        <f>IF($C$6&gt;=K$56,L45*L$56,0)</f>
        <v>0</v>
      </c>
      <c r="M61" s="56"/>
      <c r="N61" s="57">
        <v>4</v>
      </c>
      <c r="O61" s="17">
        <f>IF($C$6&gt;=N$56,O45*O$56,0)</f>
        <v>0</v>
      </c>
      <c r="P61" s="56"/>
      <c r="Q61" s="57">
        <v>4</v>
      </c>
      <c r="R61" s="17">
        <f>IF($C$6&gt;=Q$56,R45*R$56,0)</f>
        <v>0</v>
      </c>
      <c r="S61" s="56"/>
      <c r="T61" s="57">
        <v>4</v>
      </c>
      <c r="U61" s="17">
        <f>IF($C$6&gt;=T$56,U45*U$56,0)</f>
        <v>0</v>
      </c>
      <c r="V61" s="56"/>
      <c r="W61" s="57">
        <v>4</v>
      </c>
      <c r="X61" s="17">
        <f>IF($C$6&gt;=W$56,X45*X$56,0)</f>
        <v>0</v>
      </c>
      <c r="Y61" s="56"/>
      <c r="Z61" s="57">
        <v>4</v>
      </c>
      <c r="AA61" s="17">
        <f>IF($C$6&gt;=Z$56,AA45*AA$56,0)</f>
        <v>0</v>
      </c>
      <c r="AB61" s="56"/>
      <c r="AC61" s="57">
        <v>4</v>
      </c>
      <c r="AD61" s="17">
        <f>IF($C$6&gt;=AC$56,AD45*AD$56,0)</f>
        <v>0</v>
      </c>
      <c r="AE61" s="181">
        <f t="shared" si="0"/>
        <v>0</v>
      </c>
      <c r="AF61" s="57">
        <v>4</v>
      </c>
      <c r="AG61" s="17">
        <f>IF($C$6&gt;=AF$56,AG45*AG$56,0)</f>
        <v>0</v>
      </c>
      <c r="AH61" s="181">
        <f t="shared" si="1"/>
        <v>0</v>
      </c>
      <c r="AI61" s="57">
        <v>4</v>
      </c>
      <c r="AJ61" s="17">
        <f>IF($C$6&gt;=AI$56,AJ45*AJ$56,0)</f>
        <v>0</v>
      </c>
      <c r="AK61" s="181">
        <f t="shared" si="2"/>
        <v>0</v>
      </c>
      <c r="AL61" s="57">
        <v>4</v>
      </c>
      <c r="AM61" s="17">
        <f>IF($C$6&gt;=AL$56,AM45*AM$56,0)</f>
        <v>0</v>
      </c>
      <c r="AN61" s="181">
        <f t="shared" si="3"/>
        <v>0</v>
      </c>
      <c r="AO61" s="57">
        <v>4</v>
      </c>
      <c r="AP61" s="17">
        <f>IF($C$6&gt;=AO$56,AP45*AP$56,0)</f>
        <v>0</v>
      </c>
      <c r="AQ61" s="181">
        <f t="shared" si="4"/>
        <v>0</v>
      </c>
      <c r="AR61" s="57">
        <v>4</v>
      </c>
      <c r="AS61" s="17">
        <f>IF($C$6&gt;=AR$56,AS45*AS$56,0)</f>
        <v>0</v>
      </c>
      <c r="AT61" s="181">
        <f t="shared" si="5"/>
        <v>0</v>
      </c>
      <c r="AU61" s="57">
        <v>4</v>
      </c>
      <c r="AV61" s="17">
        <f>IF($C$6&gt;=AU$56,AV45*AV$56,0)</f>
        <v>0</v>
      </c>
      <c r="AW61" s="181">
        <f t="shared" si="6"/>
        <v>0</v>
      </c>
      <c r="AX61" s="57">
        <v>4</v>
      </c>
      <c r="AY61" s="17">
        <f>IF($C$6&gt;=AX$56,AY45*AY$56,0)</f>
        <v>0</v>
      </c>
      <c r="AZ61" s="181">
        <f t="shared" si="7"/>
        <v>0</v>
      </c>
      <c r="BA61" s="57">
        <v>4</v>
      </c>
      <c r="BB61" s="17">
        <f>IF($C$6&gt;=BA$56,BB45*BB$56,0)</f>
        <v>0</v>
      </c>
      <c r="BC61" s="181">
        <f t="shared" si="8"/>
        <v>0</v>
      </c>
      <c r="BD61" s="57">
        <v>4</v>
      </c>
      <c r="BE61" s="17">
        <f>IF($C$6&gt;=BD$56,BE45*BE$56,0)</f>
        <v>0</v>
      </c>
      <c r="BF61" s="181">
        <f t="shared" si="9"/>
        <v>0</v>
      </c>
    </row>
    <row r="62" spans="2:58" hidden="1" x14ac:dyDescent="0.2">
      <c r="B62" s="57">
        <v>5</v>
      </c>
      <c r="C62" s="17">
        <f>IF($C$6&gt;=B$56,C46*C$56,0)</f>
        <v>0</v>
      </c>
      <c r="D62" s="56"/>
      <c r="E62" s="57">
        <v>5</v>
      </c>
      <c r="F62" s="17">
        <f>IF($C$6&gt;=E$56,F46*F$56,0)</f>
        <v>0</v>
      </c>
      <c r="G62" s="56"/>
      <c r="H62" s="57">
        <v>5</v>
      </c>
      <c r="I62" s="17">
        <f>IF($C$6&gt;=H$56,I46*I$56,0)</f>
        <v>0</v>
      </c>
      <c r="J62" s="56"/>
      <c r="K62" s="57">
        <v>5</v>
      </c>
      <c r="L62" s="17">
        <f>IF($C$6&gt;=K$56,L46*L$56,0)</f>
        <v>0</v>
      </c>
      <c r="M62" s="56"/>
      <c r="N62" s="57">
        <v>5</v>
      </c>
      <c r="O62" s="17">
        <f>IF($C$6&gt;=N$56,O46*O$56,0)</f>
        <v>0</v>
      </c>
      <c r="P62" s="56"/>
      <c r="Q62" s="57">
        <v>5</v>
      </c>
      <c r="R62" s="17">
        <f>IF($C$6&gt;=Q$56,R46*R$56,0)</f>
        <v>0</v>
      </c>
      <c r="S62" s="56"/>
      <c r="T62" s="57">
        <v>5</v>
      </c>
      <c r="U62" s="17">
        <f>IF($C$6&gt;=T$56,U46*U$56,0)</f>
        <v>0</v>
      </c>
      <c r="V62" s="56"/>
      <c r="W62" s="57">
        <v>5</v>
      </c>
      <c r="X62" s="17">
        <f>IF($C$6&gt;=W$56,X46*X$56,0)</f>
        <v>0</v>
      </c>
      <c r="Y62" s="56"/>
      <c r="Z62" s="57">
        <v>5</v>
      </c>
      <c r="AA62" s="17">
        <f>IF($C$6&gt;=Z$56,AA46*AA$56,0)</f>
        <v>0</v>
      </c>
      <c r="AB62" s="56"/>
      <c r="AC62" s="57">
        <v>5</v>
      </c>
      <c r="AD62" s="17">
        <f>IF($C$6&gt;=AC$56,AD46*AD$56,0)</f>
        <v>0</v>
      </c>
      <c r="AE62" s="181">
        <f t="shared" si="0"/>
        <v>0</v>
      </c>
      <c r="AF62" s="57">
        <v>5</v>
      </c>
      <c r="AG62" s="17">
        <f>IF($C$6&gt;=AF$56,AG46*AG$56,0)</f>
        <v>0</v>
      </c>
      <c r="AH62" s="181">
        <f t="shared" si="1"/>
        <v>0</v>
      </c>
      <c r="AI62" s="57">
        <v>5</v>
      </c>
      <c r="AJ62" s="17">
        <f>IF($C$6&gt;=AI$56,AJ46*AJ$56,0)</f>
        <v>0</v>
      </c>
      <c r="AK62" s="181">
        <f t="shared" si="2"/>
        <v>0</v>
      </c>
      <c r="AL62" s="57">
        <v>5</v>
      </c>
      <c r="AM62" s="17">
        <f>IF($C$6&gt;=AL$56,AM46*AM$56,0)</f>
        <v>0</v>
      </c>
      <c r="AN62" s="181">
        <f t="shared" si="3"/>
        <v>0</v>
      </c>
      <c r="AO62" s="57">
        <v>5</v>
      </c>
      <c r="AP62" s="17">
        <f>IF($C$6&gt;=AO$56,AP46*AP$56,0)</f>
        <v>0</v>
      </c>
      <c r="AQ62" s="181">
        <f t="shared" si="4"/>
        <v>0</v>
      </c>
      <c r="AR62" s="57">
        <v>5</v>
      </c>
      <c r="AS62" s="17">
        <f>IF($C$6&gt;=AR$56,AS46*AS$56,0)</f>
        <v>0</v>
      </c>
      <c r="AT62" s="181">
        <f t="shared" si="5"/>
        <v>0</v>
      </c>
      <c r="AU62" s="57">
        <v>5</v>
      </c>
      <c r="AV62" s="17">
        <f>IF($C$6&gt;=AU$56,AV46*AV$56,0)</f>
        <v>0</v>
      </c>
      <c r="AW62" s="181">
        <f t="shared" si="6"/>
        <v>0</v>
      </c>
      <c r="AX62" s="57">
        <v>5</v>
      </c>
      <c r="AY62" s="17">
        <f>IF($C$6&gt;=AX$56,AY46*AY$56,0)</f>
        <v>0</v>
      </c>
      <c r="AZ62" s="181">
        <f t="shared" si="7"/>
        <v>0</v>
      </c>
      <c r="BA62" s="57">
        <v>5</v>
      </c>
      <c r="BB62" s="17">
        <f>IF($C$6&gt;=BA$56,BB46*BB$56,0)</f>
        <v>0</v>
      </c>
      <c r="BC62" s="181">
        <f t="shared" si="8"/>
        <v>0</v>
      </c>
      <c r="BD62" s="57">
        <v>5</v>
      </c>
      <c r="BE62" s="17">
        <f>IF($C$6&gt;=BD$56,BE46*BE$56,0)</f>
        <v>0</v>
      </c>
      <c r="BF62" s="181">
        <f t="shared" si="9"/>
        <v>0</v>
      </c>
    </row>
    <row r="63" spans="2:58" hidden="1" x14ac:dyDescent="0.2">
      <c r="B63" s="57">
        <v>6</v>
      </c>
      <c r="C63" s="17">
        <f>IF($C$6&gt;=B$56,C47*C$56,0)</f>
        <v>0</v>
      </c>
      <c r="D63" s="56"/>
      <c r="E63" s="57">
        <v>6</v>
      </c>
      <c r="F63" s="17">
        <f>IF($C$6&gt;=E$56,F47*F$56,0)</f>
        <v>0</v>
      </c>
      <c r="G63" s="56"/>
      <c r="H63" s="57">
        <v>6</v>
      </c>
      <c r="I63" s="17">
        <f>IF($C$6&gt;=H$56,I47*I$56,0)</f>
        <v>0</v>
      </c>
      <c r="J63" s="56"/>
      <c r="K63" s="57">
        <v>6</v>
      </c>
      <c r="L63" s="17">
        <f>IF($C$6&gt;=K$56,L47*L$56,0)</f>
        <v>0</v>
      </c>
      <c r="M63" s="56"/>
      <c r="N63" s="57">
        <v>6</v>
      </c>
      <c r="O63" s="17">
        <f>IF($C$6&gt;=N$56,O47*O$56,0)</f>
        <v>0</v>
      </c>
      <c r="P63" s="56"/>
      <c r="Q63" s="57">
        <v>6</v>
      </c>
      <c r="R63" s="17">
        <f>IF($C$6&gt;=Q$56,R47*R$56,0)</f>
        <v>0</v>
      </c>
      <c r="S63" s="56"/>
      <c r="T63" s="57">
        <v>6</v>
      </c>
      <c r="U63" s="17">
        <f>IF($C$6&gt;=T$56,U47*U$56,0)</f>
        <v>0</v>
      </c>
      <c r="V63" s="56"/>
      <c r="W63" s="57">
        <v>6</v>
      </c>
      <c r="X63" s="17">
        <f>IF($C$6&gt;=W$56,X47*X$56,0)</f>
        <v>0</v>
      </c>
      <c r="Y63" s="56"/>
      <c r="Z63" s="57">
        <v>6</v>
      </c>
      <c r="AA63" s="17">
        <f>IF($C$6&gt;=Z$56,AA47*AA$56,0)</f>
        <v>0</v>
      </c>
      <c r="AB63" s="56"/>
      <c r="AC63" s="57">
        <v>6</v>
      </c>
      <c r="AD63" s="17">
        <f>IF($C$6&gt;=AC$56,AD47*AD$56,0)</f>
        <v>0</v>
      </c>
      <c r="AE63" s="181">
        <f t="shared" si="0"/>
        <v>0</v>
      </c>
      <c r="AF63" s="57">
        <v>6</v>
      </c>
      <c r="AG63" s="17">
        <f>IF($C$6&gt;=AF$56,AG47*AG$56,0)</f>
        <v>0</v>
      </c>
      <c r="AH63" s="181">
        <f t="shared" si="1"/>
        <v>0</v>
      </c>
      <c r="AI63" s="57">
        <v>6</v>
      </c>
      <c r="AJ63" s="17">
        <f>IF($C$6&gt;=AI$56,AJ47*AJ$56,0)</f>
        <v>0</v>
      </c>
      <c r="AK63" s="181">
        <f t="shared" si="2"/>
        <v>0</v>
      </c>
      <c r="AL63" s="57">
        <v>6</v>
      </c>
      <c r="AM63" s="17">
        <f>IF($C$6&gt;=AL$56,AM47*AM$56,0)</f>
        <v>0</v>
      </c>
      <c r="AN63" s="181">
        <f t="shared" si="3"/>
        <v>0</v>
      </c>
      <c r="AO63" s="57">
        <v>6</v>
      </c>
      <c r="AP63" s="17">
        <f>IF($C$6&gt;=AO$56,AP47*AP$56,0)</f>
        <v>0</v>
      </c>
      <c r="AQ63" s="181">
        <f t="shared" si="4"/>
        <v>0</v>
      </c>
      <c r="AR63" s="57">
        <v>6</v>
      </c>
      <c r="AS63" s="17">
        <f>IF($C$6&gt;=AR$56,AS47*AS$56,0)</f>
        <v>0</v>
      </c>
      <c r="AT63" s="181">
        <f t="shared" si="5"/>
        <v>0</v>
      </c>
      <c r="AU63" s="57">
        <v>6</v>
      </c>
      <c r="AV63" s="17">
        <f>IF($C$6&gt;=AU$56,AV47*AV$56,0)</f>
        <v>0</v>
      </c>
      <c r="AW63" s="181">
        <f t="shared" si="6"/>
        <v>0</v>
      </c>
      <c r="AX63" s="57">
        <v>6</v>
      </c>
      <c r="AY63" s="17">
        <f>IF($C$6&gt;=AX$56,AY47*AY$56,0)</f>
        <v>0</v>
      </c>
      <c r="AZ63" s="181">
        <f t="shared" si="7"/>
        <v>0</v>
      </c>
      <c r="BA63" s="57">
        <v>6</v>
      </c>
      <c r="BB63" s="17">
        <f>IF($C$6&gt;=BA$56,BB47*BB$56,0)</f>
        <v>0</v>
      </c>
      <c r="BC63" s="181">
        <f t="shared" si="8"/>
        <v>0</v>
      </c>
      <c r="BD63" s="57">
        <v>6</v>
      </c>
      <c r="BE63" s="17">
        <f>IF($C$6&gt;=BD$56,BE47*BE$56,0)</f>
        <v>0</v>
      </c>
      <c r="BF63" s="181">
        <f t="shared" si="9"/>
        <v>0</v>
      </c>
    </row>
    <row r="64" spans="2:58" hidden="1" x14ac:dyDescent="0.2">
      <c r="B64" s="57">
        <v>7</v>
      </c>
      <c r="C64" s="17">
        <f>IF($C$6&gt;=B$56,C48*C$56,0)</f>
        <v>0</v>
      </c>
      <c r="D64" s="56"/>
      <c r="E64" s="57">
        <v>7</v>
      </c>
      <c r="F64" s="17">
        <f>IF($C$6&gt;=E$56,F48*F$56,0)</f>
        <v>0</v>
      </c>
      <c r="G64" s="56"/>
      <c r="H64" s="57">
        <v>7</v>
      </c>
      <c r="I64" s="17">
        <f>IF($C$6&gt;=H$56,I48*I$56,0)</f>
        <v>0</v>
      </c>
      <c r="J64" s="56"/>
      <c r="K64" s="57">
        <v>7</v>
      </c>
      <c r="L64" s="17">
        <f>IF($C$6&gt;=K$56,L48*L$56,0)</f>
        <v>0</v>
      </c>
      <c r="M64" s="56"/>
      <c r="N64" s="57">
        <v>7</v>
      </c>
      <c r="O64" s="17">
        <f>IF($C$6&gt;=N$56,O48*O$56,0)</f>
        <v>0</v>
      </c>
      <c r="P64" s="56"/>
      <c r="Q64" s="57">
        <v>7</v>
      </c>
      <c r="R64" s="17">
        <f>IF($C$6&gt;=Q$56,R48*R$56,0)</f>
        <v>0</v>
      </c>
      <c r="S64" s="56"/>
      <c r="T64" s="57">
        <v>7</v>
      </c>
      <c r="U64" s="17">
        <f>IF($C$6&gt;=T$56,U48*U$56,0)</f>
        <v>0</v>
      </c>
      <c r="V64" s="56"/>
      <c r="W64" s="57">
        <v>7</v>
      </c>
      <c r="X64" s="17">
        <f>IF($C$6&gt;=W$56,X48*X$56,0)</f>
        <v>0</v>
      </c>
      <c r="Y64" s="56"/>
      <c r="Z64" s="57">
        <v>7</v>
      </c>
      <c r="AA64" s="17">
        <f>IF($C$6&gt;=Z$56,AA48*AA$56,0)</f>
        <v>0</v>
      </c>
      <c r="AB64" s="56"/>
      <c r="AC64" s="57">
        <v>7</v>
      </c>
      <c r="AD64" s="17">
        <f>IF($C$6&gt;=AC$56,AD48*AD$56,0)</f>
        <v>0</v>
      </c>
      <c r="AE64" s="181">
        <f t="shared" si="0"/>
        <v>0</v>
      </c>
      <c r="AF64" s="57">
        <v>7</v>
      </c>
      <c r="AG64" s="17">
        <f>IF($C$6&gt;=AF$56,AG48*AG$56,0)</f>
        <v>0</v>
      </c>
      <c r="AH64" s="181">
        <f t="shared" si="1"/>
        <v>0</v>
      </c>
      <c r="AI64" s="57">
        <v>7</v>
      </c>
      <c r="AJ64" s="17">
        <f>IF($C$6&gt;=AI$56,AJ48*AJ$56,0)</f>
        <v>0</v>
      </c>
      <c r="AK64" s="181">
        <f t="shared" si="2"/>
        <v>0</v>
      </c>
      <c r="AL64" s="57">
        <v>7</v>
      </c>
      <c r="AM64" s="17">
        <f>IF($C$6&gt;=AL$56,AM48*AM$56,0)</f>
        <v>0</v>
      </c>
      <c r="AN64" s="181">
        <f t="shared" si="3"/>
        <v>0</v>
      </c>
      <c r="AO64" s="57">
        <v>7</v>
      </c>
      <c r="AP64" s="17">
        <f>IF($C$6&gt;=AO$56,AP48*AP$56,0)</f>
        <v>0</v>
      </c>
      <c r="AQ64" s="181">
        <f t="shared" si="4"/>
        <v>0</v>
      </c>
      <c r="AR64" s="57">
        <v>7</v>
      </c>
      <c r="AS64" s="17">
        <f>IF($C$6&gt;=AR$56,AS48*AS$56,0)</f>
        <v>0</v>
      </c>
      <c r="AT64" s="181">
        <f t="shared" si="5"/>
        <v>0</v>
      </c>
      <c r="AU64" s="57">
        <v>7</v>
      </c>
      <c r="AV64" s="17">
        <f>IF($C$6&gt;=AU$56,AV48*AV$56,0)</f>
        <v>0</v>
      </c>
      <c r="AW64" s="181">
        <f t="shared" si="6"/>
        <v>0</v>
      </c>
      <c r="AX64" s="57">
        <v>7</v>
      </c>
      <c r="AY64" s="17">
        <f>IF($C$6&gt;=AX$56,AY48*AY$56,0)</f>
        <v>0</v>
      </c>
      <c r="AZ64" s="181">
        <f t="shared" si="7"/>
        <v>0</v>
      </c>
      <c r="BA64" s="57">
        <v>7</v>
      </c>
      <c r="BB64" s="17">
        <f>IF($C$6&gt;=BA$56,BB48*BB$56,0)</f>
        <v>0</v>
      </c>
      <c r="BC64" s="181">
        <f t="shared" si="8"/>
        <v>0</v>
      </c>
      <c r="BD64" s="57">
        <v>7</v>
      </c>
      <c r="BE64" s="17">
        <f>IF($C$6&gt;=BD$56,BE48*BE$56,0)</f>
        <v>0</v>
      </c>
      <c r="BF64" s="181">
        <f t="shared" si="9"/>
        <v>0</v>
      </c>
    </row>
    <row r="65" spans="2:58" hidden="1" x14ac:dyDescent="0.2">
      <c r="B65" s="57">
        <v>8</v>
      </c>
      <c r="C65" s="17">
        <f>IF($C$6&gt;=B$56,C49*C$56,0)</f>
        <v>0</v>
      </c>
      <c r="D65" s="56"/>
      <c r="E65" s="57">
        <v>8</v>
      </c>
      <c r="F65" s="17">
        <f>IF($C$6&gt;=E$56,F49*F$56,0)</f>
        <v>0</v>
      </c>
      <c r="G65" s="56"/>
      <c r="H65" s="57">
        <v>8</v>
      </c>
      <c r="I65" s="17">
        <f>IF($C$6&gt;=H$56,I49*I$56,0)</f>
        <v>0</v>
      </c>
      <c r="J65" s="56"/>
      <c r="K65" s="57">
        <v>8</v>
      </c>
      <c r="L65" s="17">
        <f>IF($C$6&gt;=K$56,L49*L$56,0)</f>
        <v>0</v>
      </c>
      <c r="M65" s="56"/>
      <c r="N65" s="57">
        <v>8</v>
      </c>
      <c r="O65" s="17">
        <f>IF($C$6&gt;=N$56,O49*O$56,0)</f>
        <v>0</v>
      </c>
      <c r="P65" s="56"/>
      <c r="Q65" s="57">
        <v>8</v>
      </c>
      <c r="R65" s="17">
        <f>IF($C$6&gt;=Q$56,R49*R$56,0)</f>
        <v>0</v>
      </c>
      <c r="S65" s="56"/>
      <c r="T65" s="57">
        <v>8</v>
      </c>
      <c r="U65" s="17">
        <f>IF($C$6&gt;=T$56,U49*U$56,0)</f>
        <v>0</v>
      </c>
      <c r="V65" s="56"/>
      <c r="W65" s="57">
        <v>8</v>
      </c>
      <c r="X65" s="17">
        <f>IF($C$6&gt;=W$56,X49*X$56,0)</f>
        <v>0</v>
      </c>
      <c r="Y65" s="56"/>
      <c r="Z65" s="57">
        <v>8</v>
      </c>
      <c r="AA65" s="17">
        <f>IF($C$6&gt;=Z$56,AA49*AA$56,0)</f>
        <v>0</v>
      </c>
      <c r="AB65" s="56"/>
      <c r="AC65" s="57">
        <v>8</v>
      </c>
      <c r="AD65" s="17">
        <f>IF($C$6&gt;=AC$56,AD49*AD$56,0)</f>
        <v>0</v>
      </c>
      <c r="AE65" s="181">
        <f t="shared" si="0"/>
        <v>0</v>
      </c>
      <c r="AF65" s="57">
        <v>8</v>
      </c>
      <c r="AG65" s="17">
        <f>IF($C$6&gt;=AF$56,AG49*AG$56,0)</f>
        <v>0</v>
      </c>
      <c r="AH65" s="181">
        <f t="shared" si="1"/>
        <v>0</v>
      </c>
      <c r="AI65" s="57">
        <v>8</v>
      </c>
      <c r="AJ65" s="17">
        <f>IF($C$6&gt;=AI$56,AJ49*AJ$56,0)</f>
        <v>0</v>
      </c>
      <c r="AK65" s="181">
        <f t="shared" si="2"/>
        <v>0</v>
      </c>
      <c r="AL65" s="57">
        <v>8</v>
      </c>
      <c r="AM65" s="17">
        <f>IF($C$6&gt;=AL$56,AM49*AM$56,0)</f>
        <v>0</v>
      </c>
      <c r="AN65" s="181">
        <f t="shared" si="3"/>
        <v>0</v>
      </c>
      <c r="AO65" s="57">
        <v>8</v>
      </c>
      <c r="AP65" s="17">
        <f>IF($C$6&gt;=AO$56,AP49*AP$56,0)</f>
        <v>0</v>
      </c>
      <c r="AQ65" s="181">
        <f t="shared" si="4"/>
        <v>0</v>
      </c>
      <c r="AR65" s="57">
        <v>8</v>
      </c>
      <c r="AS65" s="17">
        <f>IF($C$6&gt;=AR$56,AS49*AS$56,0)</f>
        <v>0</v>
      </c>
      <c r="AT65" s="181">
        <f t="shared" si="5"/>
        <v>0</v>
      </c>
      <c r="AU65" s="57">
        <v>8</v>
      </c>
      <c r="AV65" s="17">
        <f>IF($C$6&gt;=AU$56,AV49*AV$56,0)</f>
        <v>0</v>
      </c>
      <c r="AW65" s="181">
        <f t="shared" si="6"/>
        <v>0</v>
      </c>
      <c r="AX65" s="57">
        <v>8</v>
      </c>
      <c r="AY65" s="17">
        <f>IF($C$6&gt;=AX$56,AY49*AY$56,0)</f>
        <v>0</v>
      </c>
      <c r="AZ65" s="181">
        <f t="shared" si="7"/>
        <v>0</v>
      </c>
      <c r="BA65" s="57">
        <v>8</v>
      </c>
      <c r="BB65" s="17">
        <f>IF($C$6&gt;=BA$56,BB49*BB$56,0)</f>
        <v>0</v>
      </c>
      <c r="BC65" s="181">
        <f t="shared" si="8"/>
        <v>0</v>
      </c>
      <c r="BD65" s="57">
        <v>8</v>
      </c>
      <c r="BE65" s="17">
        <f>IF($C$6&gt;=BD$56,BE49*BE$56,0)</f>
        <v>0</v>
      </c>
      <c r="BF65" s="181">
        <f t="shared" si="9"/>
        <v>0</v>
      </c>
    </row>
    <row r="66" spans="2:58" hidden="1" x14ac:dyDescent="0.2">
      <c r="B66" s="57">
        <v>9</v>
      </c>
      <c r="C66" s="17">
        <f>IF($C$6&gt;=B$56,C50*C$56,0)</f>
        <v>0</v>
      </c>
      <c r="D66" s="56"/>
      <c r="E66" s="57">
        <v>9</v>
      </c>
      <c r="F66" s="17">
        <f>IF($C$6&gt;=E$56,F50*F$56,0)</f>
        <v>0</v>
      </c>
      <c r="G66" s="56"/>
      <c r="H66" s="57">
        <v>9</v>
      </c>
      <c r="I66" s="17">
        <f>IF($C$6&gt;=H$56,I50*I$56,0)</f>
        <v>0</v>
      </c>
      <c r="J66" s="56"/>
      <c r="K66" s="57">
        <v>9</v>
      </c>
      <c r="L66" s="17">
        <f>IF($C$6&gt;=K$56,L50*L$56,0)</f>
        <v>0</v>
      </c>
      <c r="M66" s="56"/>
      <c r="N66" s="57">
        <v>9</v>
      </c>
      <c r="O66" s="17">
        <f>IF($C$6&gt;=N$56,O50*O$56,0)</f>
        <v>0</v>
      </c>
      <c r="P66" s="56"/>
      <c r="Q66" s="57">
        <v>9</v>
      </c>
      <c r="R66" s="17">
        <f>IF($C$6&gt;=Q$56,R50*R$56,0)</f>
        <v>0</v>
      </c>
      <c r="S66" s="56"/>
      <c r="T66" s="57">
        <v>9</v>
      </c>
      <c r="U66" s="17">
        <f>IF($C$6&gt;=T$56,U50*U$56,0)</f>
        <v>0</v>
      </c>
      <c r="V66" s="56"/>
      <c r="W66" s="57">
        <v>9</v>
      </c>
      <c r="X66" s="17">
        <f>IF($C$6&gt;=W$56,X50*X$56,0)</f>
        <v>0</v>
      </c>
      <c r="Y66" s="56"/>
      <c r="Z66" s="57">
        <v>9</v>
      </c>
      <c r="AA66" s="17">
        <f>IF($C$6&gt;=Z$56,AA50*AA$56,0)</f>
        <v>0</v>
      </c>
      <c r="AB66" s="56"/>
      <c r="AC66" s="57">
        <v>9</v>
      </c>
      <c r="AD66" s="17">
        <f>IF($C$6&gt;=AC$56,AD50*AD$56,0)</f>
        <v>0</v>
      </c>
      <c r="AE66" s="181">
        <f t="shared" si="0"/>
        <v>0</v>
      </c>
      <c r="AF66" s="57">
        <v>9</v>
      </c>
      <c r="AG66" s="17">
        <f>IF($C$6&gt;=AF$56,AG50*AG$56,0)</f>
        <v>0</v>
      </c>
      <c r="AH66" s="181">
        <f t="shared" si="1"/>
        <v>0</v>
      </c>
      <c r="AI66" s="57">
        <v>9</v>
      </c>
      <c r="AJ66" s="17">
        <f>IF($C$6&gt;=AI$56,AJ50*AJ$56,0)</f>
        <v>0</v>
      </c>
      <c r="AK66" s="181">
        <f t="shared" si="2"/>
        <v>0</v>
      </c>
      <c r="AL66" s="57">
        <v>9</v>
      </c>
      <c r="AM66" s="17">
        <f>IF($C$6&gt;=AL$56,AM50*AM$56,0)</f>
        <v>0</v>
      </c>
      <c r="AN66" s="181">
        <f t="shared" si="3"/>
        <v>0</v>
      </c>
      <c r="AO66" s="57">
        <v>9</v>
      </c>
      <c r="AP66" s="17">
        <f>IF($C$6&gt;=AO$56,AP50*AP$56,0)</f>
        <v>0</v>
      </c>
      <c r="AQ66" s="181">
        <f t="shared" si="4"/>
        <v>0</v>
      </c>
      <c r="AR66" s="57">
        <v>9</v>
      </c>
      <c r="AS66" s="17">
        <f>IF($C$6&gt;=AR$56,AS50*AS$56,0)</f>
        <v>0</v>
      </c>
      <c r="AT66" s="181">
        <f t="shared" si="5"/>
        <v>0</v>
      </c>
      <c r="AU66" s="57">
        <v>9</v>
      </c>
      <c r="AV66" s="17">
        <f>IF($C$6&gt;=AU$56,AV50*AV$56,0)</f>
        <v>0</v>
      </c>
      <c r="AW66" s="181">
        <f t="shared" si="6"/>
        <v>0</v>
      </c>
      <c r="AX66" s="57">
        <v>9</v>
      </c>
      <c r="AY66" s="17">
        <f>IF($C$6&gt;=AX$56,AY50*AY$56,0)</f>
        <v>0</v>
      </c>
      <c r="AZ66" s="181">
        <f t="shared" si="7"/>
        <v>0</v>
      </c>
      <c r="BA66" s="57">
        <v>9</v>
      </c>
      <c r="BB66" s="17">
        <f>IF($C$6&gt;=BA$56,BB50*BB$56,0)</f>
        <v>0</v>
      </c>
      <c r="BC66" s="181">
        <f t="shared" si="8"/>
        <v>0</v>
      </c>
      <c r="BD66" s="57">
        <v>9</v>
      </c>
      <c r="BE66" s="17">
        <f>IF($C$6&gt;=BD$56,BE50*BE$56,0)</f>
        <v>0</v>
      </c>
      <c r="BF66" s="181">
        <f t="shared" si="9"/>
        <v>0</v>
      </c>
    </row>
    <row r="67" spans="2:58" hidden="1" x14ac:dyDescent="0.2">
      <c r="B67" s="57">
        <v>10</v>
      </c>
      <c r="C67" s="17">
        <f>IF($C$6&gt;=B$56,C51*C$56,0)</f>
        <v>0</v>
      </c>
      <c r="D67" s="56"/>
      <c r="E67" s="57">
        <v>10</v>
      </c>
      <c r="F67" s="17">
        <f>IF($C$6&gt;=E$56,F51*F$56,0)</f>
        <v>0</v>
      </c>
      <c r="G67" s="56"/>
      <c r="H67" s="57">
        <v>10</v>
      </c>
      <c r="I67" s="17">
        <f>IF($C$6&gt;=H$56,I51*I$56,0)</f>
        <v>0</v>
      </c>
      <c r="J67" s="56"/>
      <c r="K67" s="57">
        <v>10</v>
      </c>
      <c r="L67" s="17">
        <f>IF($C$6&gt;=K$56,L51*L$56,0)</f>
        <v>0</v>
      </c>
      <c r="M67" s="56"/>
      <c r="N67" s="57">
        <v>10</v>
      </c>
      <c r="O67" s="17">
        <f>IF($C$6&gt;=N$56,O51*O$56,0)</f>
        <v>0</v>
      </c>
      <c r="P67" s="56"/>
      <c r="Q67" s="57">
        <v>10</v>
      </c>
      <c r="R67" s="17">
        <f>IF($C$6&gt;=Q$56,R51*R$56,0)</f>
        <v>0</v>
      </c>
      <c r="S67" s="56"/>
      <c r="T67" s="57">
        <v>10</v>
      </c>
      <c r="U67" s="17">
        <f>IF($C$6&gt;=T$56,U51*U$56,0)</f>
        <v>0</v>
      </c>
      <c r="V67" s="56"/>
      <c r="W67" s="57">
        <v>10</v>
      </c>
      <c r="X67" s="17">
        <f>IF($C$6&gt;=W$56,X51*X$56,0)</f>
        <v>0</v>
      </c>
      <c r="Y67" s="56"/>
      <c r="Z67" s="57">
        <v>10</v>
      </c>
      <c r="AA67" s="17">
        <f>IF($C$6&gt;=Z$56,AA51*AA$56,0)</f>
        <v>0</v>
      </c>
      <c r="AB67" s="56"/>
      <c r="AC67" s="57">
        <v>10</v>
      </c>
      <c r="AD67" s="17">
        <f>IF($C$6&gt;=AC$56,AD51*AD$56,0)</f>
        <v>0</v>
      </c>
      <c r="AE67" s="181">
        <f t="shared" si="0"/>
        <v>0</v>
      </c>
      <c r="AF67" s="57">
        <v>10</v>
      </c>
      <c r="AG67" s="17">
        <f>IF($C$6&gt;=AF$56,AG51*AG$56,0)</f>
        <v>0</v>
      </c>
      <c r="AH67" s="181">
        <f t="shared" si="1"/>
        <v>0</v>
      </c>
      <c r="AI67" s="57">
        <v>10</v>
      </c>
      <c r="AJ67" s="17">
        <f>IF($C$6&gt;=AI$56,AJ51*AJ$56,0)</f>
        <v>0</v>
      </c>
      <c r="AK67" s="181">
        <f t="shared" si="2"/>
        <v>0</v>
      </c>
      <c r="AL67" s="57">
        <v>10</v>
      </c>
      <c r="AM67" s="17">
        <f>IF($C$6&gt;=AL$56,AM51*AM$56,0)</f>
        <v>0</v>
      </c>
      <c r="AN67" s="181">
        <f t="shared" si="3"/>
        <v>0</v>
      </c>
      <c r="AO67" s="57">
        <v>10</v>
      </c>
      <c r="AP67" s="17">
        <f>IF($C$6&gt;=AO$56,AP51*AP$56,0)</f>
        <v>0</v>
      </c>
      <c r="AQ67" s="181">
        <f t="shared" si="4"/>
        <v>0</v>
      </c>
      <c r="AR67" s="57">
        <v>10</v>
      </c>
      <c r="AS67" s="17">
        <f>IF($C$6&gt;=AR$56,AS51*AS$56,0)</f>
        <v>0</v>
      </c>
      <c r="AT67" s="181">
        <f t="shared" si="5"/>
        <v>0</v>
      </c>
      <c r="AU67" s="57">
        <v>10</v>
      </c>
      <c r="AV67" s="17">
        <f>IF($C$6&gt;=AU$56,AV51*AV$56,0)</f>
        <v>0</v>
      </c>
      <c r="AW67" s="181">
        <f t="shared" si="6"/>
        <v>0</v>
      </c>
      <c r="AX67" s="57">
        <v>10</v>
      </c>
      <c r="AY67" s="17">
        <f>IF($C$6&gt;=AX$56,AY51*AY$56,0)</f>
        <v>0</v>
      </c>
      <c r="AZ67" s="181">
        <f t="shared" si="7"/>
        <v>0</v>
      </c>
      <c r="BA67" s="57">
        <v>10</v>
      </c>
      <c r="BB67" s="17">
        <f>IF($C$6&gt;=BA$56,BB51*BB$56,0)</f>
        <v>0</v>
      </c>
      <c r="BC67" s="181">
        <f t="shared" si="8"/>
        <v>0</v>
      </c>
      <c r="BD67" s="57">
        <v>10</v>
      </c>
      <c r="BE67" s="17">
        <f>IF($C$6&gt;=BD$56,BE51*BE$56,0)</f>
        <v>0</v>
      </c>
      <c r="BF67" s="181">
        <f t="shared" si="9"/>
        <v>0</v>
      </c>
    </row>
    <row r="68" spans="2:58" hidden="1" x14ac:dyDescent="0.2">
      <c r="B68" s="57">
        <v>11</v>
      </c>
      <c r="C68" s="17">
        <f>IF($C$6&gt;=B$56,C52*C$56,0)</f>
        <v>0</v>
      </c>
      <c r="D68" s="56"/>
      <c r="E68" s="57">
        <v>11</v>
      </c>
      <c r="F68" s="17">
        <f>IF($C$6&gt;=E$56,F52*F$56,0)</f>
        <v>0</v>
      </c>
      <c r="G68" s="56"/>
      <c r="H68" s="57">
        <v>11</v>
      </c>
      <c r="I68" s="17">
        <f>IF($C$6&gt;=H$56,I52*I$56,0)</f>
        <v>0</v>
      </c>
      <c r="J68" s="56"/>
      <c r="K68" s="57">
        <v>11</v>
      </c>
      <c r="L68" s="17">
        <f>IF($C$6&gt;=K$56,L52*L$56,0)</f>
        <v>0</v>
      </c>
      <c r="M68" s="56"/>
      <c r="N68" s="57">
        <v>11</v>
      </c>
      <c r="O68" s="17">
        <f>IF($C$6&gt;=N$56,O52*O$56,0)</f>
        <v>0</v>
      </c>
      <c r="P68" s="56"/>
      <c r="Q68" s="57">
        <v>11</v>
      </c>
      <c r="R68" s="17">
        <f>IF($C$6&gt;=Q$56,R52*R$56,0)</f>
        <v>0</v>
      </c>
      <c r="S68" s="56"/>
      <c r="T68" s="57">
        <v>11</v>
      </c>
      <c r="U68" s="17">
        <f>IF($C$6&gt;=T$56,U52*U$56,0)</f>
        <v>0</v>
      </c>
      <c r="V68" s="56"/>
      <c r="W68" s="57">
        <v>11</v>
      </c>
      <c r="X68" s="17">
        <f>IF($C$6&gt;=W$56,X52*X$56,0)</f>
        <v>0</v>
      </c>
      <c r="Y68" s="56"/>
      <c r="Z68" s="57">
        <v>11</v>
      </c>
      <c r="AA68" s="17">
        <f>IF($C$6&gt;=Z$56,AA52*AA$56,0)</f>
        <v>0</v>
      </c>
      <c r="AB68" s="56"/>
      <c r="AC68" s="57">
        <v>11</v>
      </c>
      <c r="AD68" s="17">
        <f>IF($C$6&gt;=AC$56,AD52*AD$56,0)</f>
        <v>0</v>
      </c>
      <c r="AE68" s="181">
        <f t="shared" si="0"/>
        <v>0</v>
      </c>
      <c r="AF68" s="57">
        <v>11</v>
      </c>
      <c r="AG68" s="17">
        <f>IF($C$6&gt;=AF$56,AG52*AG$56,0)</f>
        <v>0</v>
      </c>
      <c r="AH68" s="181">
        <f t="shared" si="1"/>
        <v>0</v>
      </c>
      <c r="AI68" s="57">
        <v>11</v>
      </c>
      <c r="AJ68" s="17">
        <f>IF($C$6&gt;=AI$56,AJ52*AJ$56,0)</f>
        <v>0</v>
      </c>
      <c r="AK68" s="181">
        <f t="shared" si="2"/>
        <v>0</v>
      </c>
      <c r="AL68" s="57">
        <v>11</v>
      </c>
      <c r="AM68" s="17">
        <f>IF($C$6&gt;=AL$56,AM52*AM$56,0)</f>
        <v>0</v>
      </c>
      <c r="AN68" s="181">
        <f t="shared" si="3"/>
        <v>0</v>
      </c>
      <c r="AO68" s="57">
        <v>11</v>
      </c>
      <c r="AP68" s="17">
        <f>IF($C$6&gt;=AO$56,AP52*AP$56,0)</f>
        <v>0</v>
      </c>
      <c r="AQ68" s="181">
        <f t="shared" si="4"/>
        <v>0</v>
      </c>
      <c r="AR68" s="57">
        <v>11</v>
      </c>
      <c r="AS68" s="17">
        <f>IF($C$6&gt;=AR$56,AS52*AS$56,0)</f>
        <v>0</v>
      </c>
      <c r="AT68" s="181">
        <f t="shared" si="5"/>
        <v>0</v>
      </c>
      <c r="AU68" s="57">
        <v>11</v>
      </c>
      <c r="AV68" s="17">
        <f>IF($C$6&gt;=AU$56,AV52*AV$56,0)</f>
        <v>0</v>
      </c>
      <c r="AW68" s="181">
        <f t="shared" si="6"/>
        <v>0</v>
      </c>
      <c r="AX68" s="57">
        <v>11</v>
      </c>
      <c r="AY68" s="17">
        <f>IF($C$6&gt;=AX$56,AY52*AY$56,0)</f>
        <v>0</v>
      </c>
      <c r="AZ68" s="181">
        <f t="shared" si="7"/>
        <v>0</v>
      </c>
      <c r="BA68" s="57">
        <v>11</v>
      </c>
      <c r="BB68" s="17">
        <f>IF($C$6&gt;=BA$56,BB52*BB$56,0)</f>
        <v>0</v>
      </c>
      <c r="BC68" s="181">
        <f t="shared" si="8"/>
        <v>0</v>
      </c>
      <c r="BD68" s="57">
        <v>11</v>
      </c>
      <c r="BE68" s="17">
        <f>IF($C$6&gt;=BD$56,BE52*BE$56,0)</f>
        <v>0</v>
      </c>
      <c r="BF68" s="181">
        <f t="shared" si="9"/>
        <v>0</v>
      </c>
    </row>
    <row r="69" spans="2:58" hidden="1" x14ac:dyDescent="0.2">
      <c r="B69" s="57">
        <v>12</v>
      </c>
      <c r="C69" s="17">
        <f>IF($C$6&gt;=B$56,C53*C$56,0)</f>
        <v>0</v>
      </c>
      <c r="D69" s="56"/>
      <c r="E69" s="57">
        <v>12</v>
      </c>
      <c r="F69" s="17">
        <f>IF($C$6&gt;=E$56,F53*F$56,0)</f>
        <v>0</v>
      </c>
      <c r="G69" s="56"/>
      <c r="H69" s="57">
        <v>12</v>
      </c>
      <c r="I69" s="17">
        <f>IF($C$6&gt;=H$56,I53*I$56,0)</f>
        <v>0</v>
      </c>
      <c r="J69" s="56"/>
      <c r="K69" s="57">
        <v>12</v>
      </c>
      <c r="L69" s="17">
        <f>IF($C$6&gt;=K$56,L53*L$56,0)</f>
        <v>0</v>
      </c>
      <c r="M69" s="56"/>
      <c r="N69" s="57">
        <v>12</v>
      </c>
      <c r="O69" s="17">
        <f>IF($C$6&gt;=N$56,O53*O$56,0)</f>
        <v>0</v>
      </c>
      <c r="P69" s="56"/>
      <c r="Q69" s="57">
        <v>12</v>
      </c>
      <c r="R69" s="17">
        <f>IF($C$6&gt;=Q$56,R53*R$56,0)</f>
        <v>0</v>
      </c>
      <c r="S69" s="56"/>
      <c r="T69" s="57">
        <v>12</v>
      </c>
      <c r="U69" s="17">
        <f>IF($C$6&gt;=T$56,U53*U$56,0)</f>
        <v>0</v>
      </c>
      <c r="V69" s="56"/>
      <c r="W69" s="57">
        <v>12</v>
      </c>
      <c r="X69" s="17">
        <f>IF($C$6&gt;=W$56,X53*X$56,0)</f>
        <v>0</v>
      </c>
      <c r="Y69" s="56"/>
      <c r="Z69" s="57">
        <v>12</v>
      </c>
      <c r="AA69" s="17">
        <f>IF($C$6&gt;=Z$56,AA53*AA$56,0)</f>
        <v>0</v>
      </c>
      <c r="AB69" s="56"/>
      <c r="AC69" s="57">
        <v>12</v>
      </c>
      <c r="AD69" s="17">
        <f>IF($C$6&gt;=AC$56,AD53*AD$56,0)</f>
        <v>0</v>
      </c>
      <c r="AE69" s="181">
        <f t="shared" si="0"/>
        <v>0</v>
      </c>
      <c r="AF69" s="57">
        <v>12</v>
      </c>
      <c r="AG69" s="17">
        <f>IF($C$6&gt;=AF$56,AG53*AG$56,0)</f>
        <v>0</v>
      </c>
      <c r="AH69" s="181">
        <f t="shared" si="1"/>
        <v>0</v>
      </c>
      <c r="AI69" s="57">
        <v>12</v>
      </c>
      <c r="AJ69" s="17">
        <f>IF($C$6&gt;=AI$56,AJ53*AJ$56,0)</f>
        <v>0</v>
      </c>
      <c r="AK69" s="181">
        <f t="shared" si="2"/>
        <v>0</v>
      </c>
      <c r="AL69" s="57">
        <v>12</v>
      </c>
      <c r="AM69" s="17">
        <f>IF($C$6&gt;=AL$56,AM53*AM$56,0)</f>
        <v>0</v>
      </c>
      <c r="AN69" s="181">
        <f t="shared" si="3"/>
        <v>0</v>
      </c>
      <c r="AO69" s="57">
        <v>12</v>
      </c>
      <c r="AP69" s="17">
        <f>IF($C$6&gt;=AO$56,AP53*AP$56,0)</f>
        <v>0</v>
      </c>
      <c r="AQ69" s="181">
        <f t="shared" si="4"/>
        <v>0</v>
      </c>
      <c r="AR69" s="57">
        <v>12</v>
      </c>
      <c r="AS69" s="17">
        <f>IF($C$6&gt;=AR$56,AS53*AS$56,0)</f>
        <v>0</v>
      </c>
      <c r="AT69" s="181">
        <f t="shared" si="5"/>
        <v>0</v>
      </c>
      <c r="AU69" s="57">
        <v>12</v>
      </c>
      <c r="AV69" s="17">
        <f>IF($C$6&gt;=AU$56,AV53*AV$56,0)</f>
        <v>0</v>
      </c>
      <c r="AW69" s="181">
        <f t="shared" si="6"/>
        <v>0</v>
      </c>
      <c r="AX69" s="57">
        <v>12</v>
      </c>
      <c r="AY69" s="17">
        <f>IF($C$6&gt;=AX$56,AY53*AY$56,0)</f>
        <v>0</v>
      </c>
      <c r="AZ69" s="181">
        <f t="shared" si="7"/>
        <v>0</v>
      </c>
      <c r="BA69" s="57">
        <v>12</v>
      </c>
      <c r="BB69" s="17">
        <f>IF($C$6&gt;=BA$56,BB53*BB$56,0)</f>
        <v>0</v>
      </c>
      <c r="BC69" s="181">
        <f t="shared" si="8"/>
        <v>0</v>
      </c>
      <c r="BD69" s="57">
        <v>12</v>
      </c>
      <c r="BE69" s="17">
        <f>IF($C$6&gt;=BD$56,BE53*BE$56,0)</f>
        <v>0</v>
      </c>
      <c r="BF69" s="181">
        <f t="shared" si="9"/>
        <v>0</v>
      </c>
    </row>
    <row r="70" spans="2:58" hidden="1" x14ac:dyDescent="0.2"/>
    <row r="71" spans="2:58" hidden="1" x14ac:dyDescent="0.2">
      <c r="I71" s="56" t="s">
        <v>60</v>
      </c>
      <c r="K71" s="100" t="s">
        <v>64</v>
      </c>
      <c r="L71" s="56">
        <f>COUNTIF(F4:F15,I72)</f>
        <v>0</v>
      </c>
      <c r="N71" s="57" t="s">
        <v>62</v>
      </c>
    </row>
    <row r="72" spans="2:58" hidden="1" x14ac:dyDescent="0.2">
      <c r="I72" s="56" t="s">
        <v>61</v>
      </c>
      <c r="L72" s="56"/>
      <c r="N72" s="57" t="s">
        <v>63</v>
      </c>
    </row>
    <row r="73" spans="2:58" hidden="1" x14ac:dyDescent="0.2">
      <c r="I73" s="56" t="s">
        <v>119</v>
      </c>
      <c r="K73" s="100" t="s">
        <v>65</v>
      </c>
      <c r="L73" s="56">
        <f>COUNTIF(C42:C53,0)</f>
        <v>10</v>
      </c>
      <c r="N73" s="57"/>
    </row>
    <row r="74" spans="2:58" hidden="1" x14ac:dyDescent="0.2"/>
    <row r="75" spans="2:58" hidden="1" x14ac:dyDescent="0.2"/>
    <row r="76" spans="2:58" ht="25.5" hidden="1" x14ac:dyDescent="0.2">
      <c r="B76" s="97" t="s">
        <v>27</v>
      </c>
      <c r="C76" s="98">
        <f>SUM(C42:C53)</f>
        <v>2000</v>
      </c>
      <c r="E76" s="97" t="s">
        <v>28</v>
      </c>
      <c r="F76" s="98">
        <f>F54*9</f>
        <v>3600</v>
      </c>
    </row>
    <row r="77" spans="2:58" hidden="1" x14ac:dyDescent="0.2"/>
    <row r="78" spans="2:58" hidden="1" x14ac:dyDescent="0.2"/>
    <row r="79" spans="2:58" hidden="1" x14ac:dyDescent="0.2">
      <c r="B79" s="101" t="s">
        <v>32</v>
      </c>
      <c r="C79" s="101"/>
      <c r="D79" s="101"/>
      <c r="E79" s="101"/>
      <c r="F79" s="101"/>
      <c r="G79" s="35" t="s">
        <v>33</v>
      </c>
    </row>
    <row r="80" spans="2:58" hidden="1" x14ac:dyDescent="0.2">
      <c r="B80" s="92" t="s">
        <v>34</v>
      </c>
      <c r="C80" s="71" t="s">
        <v>27</v>
      </c>
      <c r="D80" s="71"/>
      <c r="E80" s="71"/>
      <c r="F80" s="71"/>
      <c r="G80" s="67">
        <f>C54</f>
        <v>2000</v>
      </c>
    </row>
    <row r="81" spans="2:7" ht="15" hidden="1" x14ac:dyDescent="0.2">
      <c r="B81" s="92" t="s">
        <v>35</v>
      </c>
      <c r="C81" s="71" t="s">
        <v>140</v>
      </c>
      <c r="D81" s="71"/>
      <c r="E81" s="71"/>
      <c r="F81" s="71"/>
      <c r="G81" s="67">
        <f>D43</f>
        <v>21600</v>
      </c>
    </row>
    <row r="82" spans="2:7" hidden="1" x14ac:dyDescent="0.2">
      <c r="B82" s="92" t="s">
        <v>37</v>
      </c>
      <c r="C82" s="71" t="s">
        <v>38</v>
      </c>
      <c r="D82" s="71"/>
      <c r="E82" s="71"/>
      <c r="F82" s="71"/>
      <c r="G82" s="67">
        <f>F76</f>
        <v>3600</v>
      </c>
    </row>
    <row r="83" spans="2:7" ht="13.5" hidden="1" thickBot="1" x14ac:dyDescent="0.25">
      <c r="B83" s="92" t="s">
        <v>39</v>
      </c>
      <c r="C83" s="71" t="s">
        <v>40</v>
      </c>
      <c r="D83" s="71"/>
      <c r="E83" s="71"/>
      <c r="F83" s="71"/>
      <c r="G83" s="104">
        <f>C54</f>
        <v>2000</v>
      </c>
    </row>
    <row r="84" spans="2:7" ht="15.75" hidden="1" customHeight="1" thickBot="1" x14ac:dyDescent="0.25">
      <c r="B84" s="182" t="s">
        <v>41</v>
      </c>
      <c r="C84" s="183"/>
      <c r="D84" s="183"/>
      <c r="E84" s="183"/>
      <c r="F84" s="184"/>
      <c r="G84" s="185">
        <f>G83+G82</f>
        <v>5600</v>
      </c>
    </row>
    <row r="85" spans="2:7" hidden="1" x14ac:dyDescent="0.2"/>
    <row r="86" spans="2:7" ht="15" customHeight="1" x14ac:dyDescent="0.2"/>
  </sheetData>
  <sheetProtection algorithmName="SHA-512" hashValue="B/9sQzu/8LJYtXmiHjVXyTxEgjI+XmyIlWbuaiywY9bho2mturha17XTCRDzxPUbonWBNuMUKO90KcK/xAvNGg==" saltValue="gzMnfJHwAFnRzkU2Cpz9nA==" spinCount="100000" sheet="1" objects="1" scenarios="1"/>
  <mergeCells count="10">
    <mergeCell ref="B79:F79"/>
    <mergeCell ref="K40:L40"/>
    <mergeCell ref="N40:O40"/>
    <mergeCell ref="E40:F40"/>
    <mergeCell ref="B40:C40"/>
    <mergeCell ref="B84:F84"/>
    <mergeCell ref="C80:F80"/>
    <mergeCell ref="C81:F81"/>
    <mergeCell ref="C82:F82"/>
    <mergeCell ref="C83:F83"/>
  </mergeCells>
  <conditionalFormatting sqref="L42:L53 O42:O53 R42:R53 U42:U53 X42:X53 AA42:AA53 AD42:AD53 I42:I53 F42:F53 C42:C53">
    <cfRule type="expression" dxfId="49" priority="37">
      <formula>$C$6&gt;=B$56</formula>
    </cfRule>
  </conditionalFormatting>
  <conditionalFormatting sqref="L54 O54 R54 U54 X54 AA54 AD54 AJ54 AP54 AV54 AS54 AG54 AM54 AY54 BB54 BE54 I54 F54 C54">
    <cfRule type="expression" dxfId="48" priority="16">
      <formula>$C$6&gt;=B$56</formula>
    </cfRule>
  </conditionalFormatting>
  <conditionalFormatting sqref="G4:G15">
    <cfRule type="cellIs" dxfId="47" priority="7" operator="lessThan">
      <formula>$C$3</formula>
    </cfRule>
  </conditionalFormatting>
  <conditionalFormatting sqref="C13:C30">
    <cfRule type="expression" dxfId="46" priority="155">
      <formula>$C$6&gt;=$B13</formula>
    </cfRule>
  </conditionalFormatting>
  <dataValidations count="2">
    <dataValidation type="list" allowBlank="1" showInputMessage="1" showErrorMessage="1" sqref="F4:F15" xr:uid="{7518174E-A4D8-4F17-ADDD-1BA674D2C1BB}">
      <formula1>$I$71:$I$73</formula1>
    </dataValidation>
    <dataValidation type="list" operator="lessThan" allowBlank="1" showInputMessage="1" showErrorMessage="1" sqref="C6" xr:uid="{DE13842B-F863-4DFB-8BF5-C85402DE420C}">
      <formula1>$B$57:$B$66</formula1>
    </dataValidation>
  </dataValidations>
  <hyperlinks>
    <hyperlink ref="C8" location="'USER GUIDE'!A1" display="USER GUIDE" xr:uid="{6DD44A55-57F5-4FFA-A061-A1534AD8BE3B}"/>
  </hyperlink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BG99"/>
  <sheetViews>
    <sheetView showGridLines="0" zoomScale="80" zoomScaleNormal="80" workbookViewId="0">
      <pane xSplit="5" topLeftCell="F1" activePane="topRight" state="frozen"/>
      <selection sqref="A1:XFD1048576"/>
      <selection pane="topRight" sqref="A1:XFD1048576"/>
    </sheetView>
  </sheetViews>
  <sheetFormatPr defaultRowHeight="12.75" x14ac:dyDescent="0.2"/>
  <cols>
    <col min="1" max="1" width="9.140625" style="209"/>
    <col min="2" max="2" width="19.5703125" style="209" customWidth="1"/>
    <col min="3" max="3" width="39.140625" style="209" bestFit="1" customWidth="1"/>
    <col min="4" max="4" width="11.7109375" style="209" bestFit="1" customWidth="1"/>
    <col min="5" max="5" width="18.85546875" style="209" customWidth="1"/>
    <col min="6" max="6" width="13.5703125" style="209" customWidth="1"/>
    <col min="7" max="7" width="10.85546875" style="209" bestFit="1" customWidth="1"/>
    <col min="8" max="8" width="19.140625" style="209" customWidth="1"/>
    <col min="9" max="9" width="12.140625" style="209" bestFit="1" customWidth="1"/>
    <col min="10" max="10" width="10.85546875" style="209" customWidth="1"/>
    <col min="11" max="11" width="19.7109375" style="209" customWidth="1"/>
    <col min="12" max="12" width="9.5703125" style="209" customWidth="1"/>
    <col min="13" max="13" width="10.85546875" style="209" bestFit="1" customWidth="1"/>
    <col min="14" max="14" width="18.42578125" style="209" customWidth="1"/>
    <col min="15" max="15" width="9.85546875" style="209" customWidth="1"/>
    <col min="16" max="16" width="10.85546875" style="209" bestFit="1" customWidth="1"/>
    <col min="17" max="17" width="19.5703125" style="209" customWidth="1"/>
    <col min="18" max="18" width="9.42578125" style="209" customWidth="1"/>
    <col min="19" max="19" width="10.85546875" style="209" bestFit="1" customWidth="1"/>
    <col min="20" max="20" width="19.5703125" style="209" customWidth="1"/>
    <col min="21" max="21" width="10.7109375" style="209" customWidth="1"/>
    <col min="22" max="22" width="10.85546875" style="209" bestFit="1" customWidth="1"/>
    <col min="23" max="23" width="18.85546875" style="209" customWidth="1"/>
    <col min="24" max="24" width="11" style="209" customWidth="1"/>
    <col min="25" max="25" width="10.85546875" style="209" bestFit="1" customWidth="1"/>
    <col min="26" max="26" width="19" style="209" customWidth="1"/>
    <col min="27" max="27" width="10.7109375" style="209" customWidth="1"/>
    <col min="28" max="28" width="12.42578125" style="209" bestFit="1" customWidth="1"/>
    <col min="29" max="29" width="19.7109375" style="209" customWidth="1"/>
    <col min="30" max="30" width="9.5703125" style="209" customWidth="1"/>
    <col min="31" max="31" width="10.85546875" style="209" bestFit="1" customWidth="1"/>
    <col min="32" max="32" width="19.5703125" style="209" customWidth="1"/>
    <col min="33" max="33" width="9.140625" style="209" customWidth="1"/>
    <col min="34" max="34" width="10.85546875" style="209" bestFit="1" customWidth="1"/>
    <col min="35" max="35" width="19.28515625" style="209" customWidth="1"/>
    <col min="36" max="36" width="9.140625" style="209" customWidth="1"/>
    <col min="37" max="37" width="12.42578125" style="209" bestFit="1" customWidth="1"/>
    <col min="38" max="38" width="18.85546875" style="209" customWidth="1"/>
    <col min="39" max="39" width="9.140625" style="209" customWidth="1"/>
    <col min="40" max="40" width="10.85546875" style="209" bestFit="1" customWidth="1"/>
    <col min="41" max="42" width="9.140625" style="209" customWidth="1"/>
    <col min="43" max="43" width="12.140625" style="209" bestFit="1" customWidth="1"/>
    <col min="44" max="45" width="9.140625" style="209" customWidth="1"/>
    <col min="46" max="46" width="12.140625" style="209" bestFit="1" customWidth="1"/>
    <col min="47" max="48" width="9.140625" style="209" customWidth="1"/>
    <col min="49" max="49" width="10.85546875" style="209" bestFit="1" customWidth="1"/>
    <col min="50" max="51" width="9.140625" style="209" customWidth="1"/>
    <col min="52" max="52" width="10.85546875" style="209" bestFit="1" customWidth="1"/>
    <col min="53" max="1025" width="9.140625" style="209" customWidth="1"/>
    <col min="1026" max="16384" width="9.140625" style="209"/>
  </cols>
  <sheetData>
    <row r="1" spans="2:58" s="209" customFormat="1" ht="13.5" thickBot="1" x14ac:dyDescent="0.25">
      <c r="D1" s="210"/>
      <c r="F1" s="211"/>
      <c r="G1" s="210"/>
      <c r="I1" s="212"/>
      <c r="J1" s="210"/>
      <c r="L1" s="211"/>
      <c r="M1" s="210"/>
      <c r="O1" s="211"/>
      <c r="P1" s="210"/>
      <c r="R1" s="211"/>
      <c r="S1" s="210"/>
      <c r="V1" s="210"/>
      <c r="Y1" s="210"/>
      <c r="AB1" s="210"/>
      <c r="AE1" s="210"/>
    </row>
    <row r="2" spans="2:58" s="209" customFormat="1" x14ac:dyDescent="0.2">
      <c r="B2" s="213"/>
      <c r="C2" s="214" t="s">
        <v>74</v>
      </c>
      <c r="D2" s="210"/>
      <c r="F2" s="211"/>
      <c r="G2" s="210"/>
      <c r="J2" s="210"/>
      <c r="M2" s="210"/>
      <c r="P2" s="210"/>
      <c r="S2" s="210"/>
    </row>
    <row r="3" spans="2:58" s="209" customFormat="1" ht="13.5" thickBot="1" x14ac:dyDescent="0.25">
      <c r="B3" s="215" t="s">
        <v>75</v>
      </c>
      <c r="C3" s="216">
        <f>TSGAP!C3</f>
        <v>1000</v>
      </c>
      <c r="F3" s="211"/>
      <c r="G3" s="210"/>
      <c r="J3" s="210"/>
      <c r="M3" s="210"/>
      <c r="P3" s="210"/>
      <c r="S3" s="210"/>
    </row>
    <row r="4" spans="2:58" s="209" customFormat="1" x14ac:dyDescent="0.2">
      <c r="B4" s="217" t="s">
        <v>77</v>
      </c>
      <c r="C4" s="218">
        <f>IF(C3&gt;='TSGAP % slabs'!B8,'TSGAP % slabs'!D8,IF(C3&gt;='TSGAP % slabs'!B7,'TSGAP % slabs'!D7,IF(C3&gt;='TSGAP % slabs'!B6,'TSGAP % slabs'!D6,IF(C3&gt;='TSGAP % slabs'!B5,'TSGAP % slabs'!D5,IF(C3&gt;='TSGAP % slabs'!B4,'TSGAP % slabs'!D4,0)))))</f>
        <v>0.2</v>
      </c>
      <c r="D4" s="210"/>
      <c r="F4" s="211"/>
      <c r="G4" s="210"/>
      <c r="J4" s="210"/>
      <c r="M4" s="210"/>
      <c r="P4" s="210"/>
      <c r="S4" s="210"/>
    </row>
    <row r="5" spans="2:58" s="209" customFormat="1" ht="13.5" thickBot="1" x14ac:dyDescent="0.25">
      <c r="B5" s="219"/>
      <c r="C5" s="220"/>
      <c r="D5" s="210"/>
      <c r="F5" s="211"/>
      <c r="G5" s="210"/>
      <c r="J5" s="210"/>
      <c r="M5" s="210"/>
      <c r="P5" s="210"/>
      <c r="S5" s="210"/>
    </row>
    <row r="6" spans="2:58" s="209" customFormat="1" ht="13.5" thickBot="1" x14ac:dyDescent="0.25">
      <c r="B6" s="221" t="s">
        <v>127</v>
      </c>
      <c r="C6" s="222">
        <f>TSGAP!C6</f>
        <v>0</v>
      </c>
      <c r="D6" s="210"/>
      <c r="F6" s="211"/>
      <c r="G6" s="210"/>
      <c r="J6" s="210"/>
      <c r="M6" s="210"/>
      <c r="P6" s="210"/>
      <c r="S6" s="210"/>
    </row>
    <row r="7" spans="2:58" s="209" customFormat="1" x14ac:dyDescent="0.2">
      <c r="B7" s="219"/>
      <c r="C7" s="220"/>
      <c r="D7" s="210"/>
      <c r="F7" s="211"/>
      <c r="G7" s="210"/>
      <c r="J7" s="210"/>
      <c r="M7" s="210"/>
      <c r="P7" s="210"/>
      <c r="S7" s="210"/>
    </row>
    <row r="8" spans="2:58" s="209" customFormat="1" x14ac:dyDescent="0.2">
      <c r="B8" s="219"/>
      <c r="C8" s="220"/>
      <c r="D8" s="210"/>
      <c r="L8" s="211"/>
      <c r="M8" s="210"/>
      <c r="P8" s="210"/>
      <c r="S8" s="210"/>
      <c r="V8" s="210"/>
      <c r="Y8" s="210"/>
    </row>
    <row r="9" spans="2:58" s="209" customFormat="1" x14ac:dyDescent="0.2">
      <c r="B9" s="219"/>
      <c r="C9" s="220" t="s">
        <v>163</v>
      </c>
      <c r="D9" s="210"/>
      <c r="F9" s="223"/>
      <c r="G9" s="223"/>
      <c r="H9" s="223"/>
      <c r="I9" s="224"/>
      <c r="J9" s="225"/>
      <c r="R9" s="211"/>
      <c r="S9" s="210"/>
      <c r="V9" s="210"/>
      <c r="Y9" s="210"/>
      <c r="AB9" s="210"/>
      <c r="AE9" s="210"/>
    </row>
    <row r="10" spans="2:58" s="209" customFormat="1" x14ac:dyDescent="0.2">
      <c r="B10" s="219"/>
      <c r="C10" s="220"/>
      <c r="D10" s="210"/>
      <c r="F10" s="223"/>
      <c r="G10" s="223"/>
      <c r="H10" s="223"/>
      <c r="I10" s="224"/>
      <c r="J10" s="225"/>
      <c r="R10" s="211"/>
      <c r="S10" s="210"/>
      <c r="V10" s="210"/>
      <c r="Y10" s="210"/>
      <c r="AB10" s="210"/>
      <c r="AE10" s="210"/>
    </row>
    <row r="11" spans="2:58" s="209" customFormat="1" x14ac:dyDescent="0.2">
      <c r="B11" s="219"/>
      <c r="C11" s="220"/>
      <c r="D11" s="210"/>
      <c r="F11" s="223"/>
      <c r="G11" s="223"/>
      <c r="H11" s="223"/>
      <c r="I11" s="224"/>
      <c r="J11" s="225"/>
      <c r="R11" s="211"/>
      <c r="S11" s="210"/>
      <c r="V11" s="210"/>
      <c r="Y11" s="210"/>
      <c r="AB11" s="210"/>
      <c r="AE11" s="210"/>
    </row>
    <row r="12" spans="2:58" s="209" customFormat="1" ht="13.5" thickBot="1" x14ac:dyDescent="0.25">
      <c r="B12" s="219"/>
      <c r="C12" s="220"/>
      <c r="D12" s="210"/>
      <c r="F12" s="211"/>
      <c r="G12" s="210"/>
      <c r="I12" s="212"/>
      <c r="J12" s="210"/>
      <c r="L12" s="211"/>
      <c r="M12" s="210"/>
      <c r="O12" s="211"/>
      <c r="P12" s="210"/>
      <c r="R12" s="211"/>
      <c r="S12" s="210"/>
      <c r="V12" s="210"/>
      <c r="Y12" s="210"/>
      <c r="AB12" s="210"/>
      <c r="AE12" s="210"/>
    </row>
    <row r="13" spans="2:58" s="209" customFormat="1" ht="26.25" thickBot="1" x14ac:dyDescent="0.25">
      <c r="G13" s="210"/>
      <c r="J13" s="210"/>
      <c r="L13" s="226" t="s">
        <v>30</v>
      </c>
      <c r="M13" s="227">
        <f>D28/3</f>
        <v>666.66666666666663</v>
      </c>
      <c r="O13" s="226" t="s">
        <v>30</v>
      </c>
      <c r="P13" s="227">
        <f>IF($C$6&gt;0,G28/3,0)</f>
        <v>0</v>
      </c>
      <c r="R13" s="226" t="s">
        <v>30</v>
      </c>
      <c r="S13" s="227">
        <f>IF($C$6&gt;1,J28/3,0)</f>
        <v>0</v>
      </c>
      <c r="U13" s="226" t="s">
        <v>30</v>
      </c>
      <c r="V13" s="227">
        <f>IF($C$6&gt;2,M28/3,0)+M13</f>
        <v>666.66666666666663</v>
      </c>
      <c r="X13" s="226" t="s">
        <v>30</v>
      </c>
      <c r="Y13" s="227">
        <f>IF($C$6&gt;3,P28/3,0)+P13</f>
        <v>0</v>
      </c>
      <c r="AA13" s="226" t="s">
        <v>30</v>
      </c>
      <c r="AB13" s="227">
        <f>IF($C$6&gt;4,S28/3,0)+S13</f>
        <v>0</v>
      </c>
      <c r="AD13" s="226" t="s">
        <v>30</v>
      </c>
      <c r="AE13" s="227">
        <f>IF($C$6&gt;5,V28/3,0)+V13</f>
        <v>666.66666666666663</v>
      </c>
      <c r="AG13" s="226" t="s">
        <v>30</v>
      </c>
      <c r="AH13" s="227">
        <f>IF($C$6&gt;6,Y28/3,0)+Y13</f>
        <v>0</v>
      </c>
      <c r="AJ13" s="226" t="s">
        <v>30</v>
      </c>
      <c r="AK13" s="227">
        <f>IF($C$6&gt;7,AB28/3,0)+AB13</f>
        <v>0</v>
      </c>
      <c r="AM13" s="226" t="s">
        <v>30</v>
      </c>
      <c r="AN13" s="228">
        <f>IF((IF($C$6&gt;8,AE28/3,0)+AE13)&lt;=0,0,(IF($C$6&gt;8,AE28/3,0)+ AE13-(D28/3)))</f>
        <v>0</v>
      </c>
      <c r="AP13" s="226" t="s">
        <v>30</v>
      </c>
      <c r="AQ13" s="228">
        <f>IF((IF($C$6&gt;8,AH28/3,0)+AH13)&lt;=0,0,(IF($C$6&gt;8,AH28/3,0)+ AH13-(G28/3)))</f>
        <v>0</v>
      </c>
      <c r="AS13" s="226" t="s">
        <v>30</v>
      </c>
      <c r="AT13" s="228">
        <f>IF((IF($C$6&gt;8,AK28/3,0)+AK13)&lt;=0,0,(IF($C$6&gt;8,AK28/3,0)+ AK13-(J28/3)))</f>
        <v>0</v>
      </c>
      <c r="AV13" s="226" t="s">
        <v>30</v>
      </c>
      <c r="AW13" s="228">
        <f>IF((IF($C$6&gt;8,AN28/3,0)+AN13)&lt;=0,0,(IF($C$6&gt;8,AN28/3,0)+ AN13-(M28/3)))</f>
        <v>0</v>
      </c>
      <c r="AY13" s="226" t="s">
        <v>30</v>
      </c>
      <c r="AZ13" s="228">
        <f>IF((IF($C$6&gt;8,AQ28/3,0)+AQ13)&lt;=0,0,(IF($C$6&gt;8,AQ28/3,0)+ AQ13-(P28/3)))</f>
        <v>0</v>
      </c>
      <c r="BB13" s="226" t="s">
        <v>30</v>
      </c>
      <c r="BC13" s="228">
        <f>IF((IF($C$6&gt;8,AT28/3,0)+AT13)&lt;=0,0,(IF($C$6&gt;8,AT28/3,0)+ AT13-(S28/3)))</f>
        <v>0</v>
      </c>
      <c r="BE13" s="226" t="s">
        <v>30</v>
      </c>
      <c r="BF13" s="228">
        <f>IF((IF($C$6&gt;8,AW28/3,0)+AW13)&lt;=0,0,(IF($C$6&gt;8,AW28/3,0)+ AW13-(V28/3)))</f>
        <v>0</v>
      </c>
    </row>
    <row r="14" spans="2:58" s="209" customFormat="1" ht="22.35" customHeight="1" thickBot="1" x14ac:dyDescent="0.25">
      <c r="C14" s="229" t="s">
        <v>1</v>
      </c>
      <c r="D14" s="229"/>
      <c r="E14" s="230" t="s">
        <v>138</v>
      </c>
      <c r="F14" s="231" t="s">
        <v>3</v>
      </c>
      <c r="G14" s="232"/>
      <c r="H14" s="230" t="s">
        <v>138</v>
      </c>
      <c r="I14" s="231" t="s">
        <v>4</v>
      </c>
      <c r="J14" s="232"/>
      <c r="K14" s="230" t="s">
        <v>138</v>
      </c>
      <c r="L14" s="233" t="s">
        <v>5</v>
      </c>
      <c r="M14" s="233"/>
      <c r="N14" s="230" t="s">
        <v>138</v>
      </c>
      <c r="O14" s="234" t="s">
        <v>6</v>
      </c>
      <c r="P14" s="234"/>
      <c r="Q14" s="230" t="s">
        <v>138</v>
      </c>
      <c r="R14" s="234" t="s">
        <v>7</v>
      </c>
      <c r="S14" s="234"/>
      <c r="T14" s="230" t="s">
        <v>138</v>
      </c>
      <c r="U14" s="233" t="s">
        <v>8</v>
      </c>
      <c r="V14" s="233"/>
      <c r="W14" s="230" t="s">
        <v>138</v>
      </c>
      <c r="X14" s="234" t="s">
        <v>9</v>
      </c>
      <c r="Y14" s="234"/>
      <c r="Z14" s="230" t="s">
        <v>138</v>
      </c>
      <c r="AA14" s="234" t="s">
        <v>10</v>
      </c>
      <c r="AB14" s="234"/>
      <c r="AC14" s="230" t="s">
        <v>138</v>
      </c>
      <c r="AD14" s="233" t="s">
        <v>11</v>
      </c>
      <c r="AE14" s="233"/>
      <c r="AF14" s="230" t="s">
        <v>138</v>
      </c>
      <c r="AG14" s="234" t="s">
        <v>129</v>
      </c>
      <c r="AH14" s="234"/>
      <c r="AJ14" s="234" t="s">
        <v>130</v>
      </c>
      <c r="AK14" s="234"/>
      <c r="AM14" s="233" t="s">
        <v>131</v>
      </c>
      <c r="AN14" s="233"/>
      <c r="AP14" s="233" t="s">
        <v>132</v>
      </c>
      <c r="AQ14" s="233"/>
      <c r="AS14" s="233" t="s">
        <v>133</v>
      </c>
      <c r="AT14" s="233"/>
      <c r="AV14" s="233" t="s">
        <v>134</v>
      </c>
      <c r="AW14" s="233"/>
      <c r="AY14" s="233" t="s">
        <v>135</v>
      </c>
      <c r="AZ14" s="233"/>
      <c r="BB14" s="233" t="s">
        <v>136</v>
      </c>
      <c r="BC14" s="233"/>
      <c r="BE14" s="233" t="s">
        <v>137</v>
      </c>
      <c r="BF14" s="233"/>
    </row>
    <row r="15" spans="2:58" s="209" customFormat="1" ht="51.75" thickBot="1" x14ac:dyDescent="0.25">
      <c r="C15" s="235" t="s">
        <v>12</v>
      </c>
      <c r="D15" s="236" t="s">
        <v>13</v>
      </c>
      <c r="E15" s="230"/>
      <c r="F15" s="237" t="s">
        <v>14</v>
      </c>
      <c r="G15" s="238" t="s">
        <v>76</v>
      </c>
      <c r="H15" s="230"/>
      <c r="I15" s="237" t="s">
        <v>14</v>
      </c>
      <c r="J15" s="238" t="s">
        <v>76</v>
      </c>
      <c r="K15" s="230"/>
      <c r="L15" s="237" t="s">
        <v>14</v>
      </c>
      <c r="M15" s="238" t="s">
        <v>76</v>
      </c>
      <c r="N15" s="230"/>
      <c r="O15" s="237" t="s">
        <v>14</v>
      </c>
      <c r="P15" s="238" t="s">
        <v>76</v>
      </c>
      <c r="Q15" s="230"/>
      <c r="R15" s="237" t="s">
        <v>14</v>
      </c>
      <c r="S15" s="238" t="s">
        <v>76</v>
      </c>
      <c r="T15" s="230"/>
      <c r="U15" s="237" t="s">
        <v>14</v>
      </c>
      <c r="V15" s="238" t="s">
        <v>76</v>
      </c>
      <c r="W15" s="230"/>
      <c r="X15" s="237" t="s">
        <v>14</v>
      </c>
      <c r="Y15" s="238" t="s">
        <v>76</v>
      </c>
      <c r="Z15" s="230"/>
      <c r="AA15" s="237" t="s">
        <v>14</v>
      </c>
      <c r="AB15" s="238" t="s">
        <v>76</v>
      </c>
      <c r="AC15" s="230"/>
      <c r="AD15" s="237" t="s">
        <v>14</v>
      </c>
      <c r="AE15" s="238" t="s">
        <v>76</v>
      </c>
      <c r="AF15" s="230"/>
      <c r="AG15" s="237" t="s">
        <v>14</v>
      </c>
      <c r="AH15" s="238" t="s">
        <v>76</v>
      </c>
      <c r="AJ15" s="237" t="s">
        <v>14</v>
      </c>
      <c r="AK15" s="238" t="s">
        <v>76</v>
      </c>
      <c r="AM15" s="237" t="s">
        <v>14</v>
      </c>
      <c r="AN15" s="238" t="s">
        <v>76</v>
      </c>
      <c r="AP15" s="237" t="s">
        <v>14</v>
      </c>
      <c r="AQ15" s="238" t="s">
        <v>76</v>
      </c>
      <c r="AS15" s="237" t="s">
        <v>14</v>
      </c>
      <c r="AT15" s="238" t="s">
        <v>76</v>
      </c>
      <c r="AV15" s="237" t="s">
        <v>14</v>
      </c>
      <c r="AW15" s="238" t="s">
        <v>76</v>
      </c>
      <c r="AY15" s="237" t="s">
        <v>14</v>
      </c>
      <c r="AZ15" s="238" t="s">
        <v>76</v>
      </c>
      <c r="BB15" s="237" t="s">
        <v>14</v>
      </c>
      <c r="BC15" s="238" t="s">
        <v>76</v>
      </c>
      <c r="BE15" s="237" t="s">
        <v>14</v>
      </c>
      <c r="BF15" s="238" t="s">
        <v>76</v>
      </c>
    </row>
    <row r="16" spans="2:58" s="209" customFormat="1" ht="13.5" thickBot="1" x14ac:dyDescent="0.25">
      <c r="C16" s="239" t="s">
        <v>15</v>
      </c>
      <c r="D16" s="240">
        <f>TSGAP!C42</f>
        <v>1000</v>
      </c>
      <c r="E16" s="226" t="s">
        <v>31</v>
      </c>
      <c r="F16" s="241">
        <v>1</v>
      </c>
      <c r="G16" s="240">
        <f t="shared" ref="G16:G27" si="0">$D16*$C$4</f>
        <v>200</v>
      </c>
      <c r="H16" s="226" t="s">
        <v>31</v>
      </c>
      <c r="I16" s="242">
        <v>13</v>
      </c>
      <c r="J16" s="240">
        <f>G32+G16</f>
        <v>200</v>
      </c>
      <c r="K16" s="226" t="s">
        <v>31</v>
      </c>
      <c r="L16" s="242">
        <v>25</v>
      </c>
      <c r="M16" s="243">
        <f>J32+J16</f>
        <v>200</v>
      </c>
      <c r="N16" s="226" t="s">
        <v>31</v>
      </c>
      <c r="O16" s="242">
        <v>37</v>
      </c>
      <c r="P16" s="243">
        <f>M32+M16</f>
        <v>200</v>
      </c>
      <c r="Q16" s="226" t="s">
        <v>31</v>
      </c>
      <c r="R16" s="242">
        <v>49</v>
      </c>
      <c r="S16" s="243">
        <f>P32+P16</f>
        <v>200</v>
      </c>
      <c r="T16" s="226" t="s">
        <v>31</v>
      </c>
      <c r="U16" s="242">
        <v>61</v>
      </c>
      <c r="V16" s="243">
        <f>S32+S16</f>
        <v>200</v>
      </c>
      <c r="W16" s="226" t="s">
        <v>31</v>
      </c>
      <c r="X16" s="242">
        <v>73</v>
      </c>
      <c r="Y16" s="243">
        <f>V32+V16</f>
        <v>200</v>
      </c>
      <c r="Z16" s="226" t="s">
        <v>31</v>
      </c>
      <c r="AA16" s="242">
        <v>85</v>
      </c>
      <c r="AB16" s="243">
        <f>Y32+Y16</f>
        <v>200</v>
      </c>
      <c r="AC16" s="226" t="s">
        <v>31</v>
      </c>
      <c r="AD16" s="242">
        <v>97</v>
      </c>
      <c r="AE16" s="243">
        <f>AB32+AB16</f>
        <v>200</v>
      </c>
      <c r="AF16" s="226" t="s">
        <v>31</v>
      </c>
      <c r="AG16" s="242">
        <v>109</v>
      </c>
      <c r="AH16" s="244">
        <f>AE32+AE16+AF32</f>
        <v>0</v>
      </c>
      <c r="AJ16" s="242">
        <v>121</v>
      </c>
      <c r="AK16" s="244">
        <f>AH32+AH16+AI32</f>
        <v>0</v>
      </c>
      <c r="AM16" s="242">
        <v>131</v>
      </c>
      <c r="AN16" s="244">
        <f>AK32+AK16+AL32</f>
        <v>0</v>
      </c>
      <c r="AP16" s="242">
        <v>131</v>
      </c>
      <c r="AQ16" s="244">
        <f>AN32+AN16+AO32</f>
        <v>0</v>
      </c>
      <c r="AS16" s="242">
        <v>131</v>
      </c>
      <c r="AT16" s="244">
        <f>AQ32+AQ16+AR32</f>
        <v>0</v>
      </c>
      <c r="AV16" s="242">
        <v>131</v>
      </c>
      <c r="AW16" s="244">
        <f>AT32+AT16+AU32</f>
        <v>0</v>
      </c>
      <c r="AY16" s="242">
        <v>131</v>
      </c>
      <c r="AZ16" s="244">
        <f>AW32+AW16+AX32</f>
        <v>0</v>
      </c>
      <c r="BB16" s="242">
        <v>131</v>
      </c>
      <c r="BC16" s="244">
        <f>AZ32+AZ16+BA32</f>
        <v>0</v>
      </c>
      <c r="BE16" s="242">
        <v>131</v>
      </c>
      <c r="BF16" s="244">
        <f>BC32+BC16+BD32</f>
        <v>0</v>
      </c>
    </row>
    <row r="17" spans="3:59" s="209" customFormat="1" ht="13.5" thickBot="1" x14ac:dyDescent="0.25">
      <c r="C17" s="245" t="s">
        <v>16</v>
      </c>
      <c r="D17" s="240">
        <f>TSGAP!C43</f>
        <v>1000</v>
      </c>
      <c r="E17" s="246">
        <f>D32*108</f>
        <v>21600</v>
      </c>
      <c r="F17" s="247">
        <v>2</v>
      </c>
      <c r="G17" s="240">
        <f t="shared" si="0"/>
        <v>200</v>
      </c>
      <c r="H17" s="246">
        <f>G32*108</f>
        <v>0</v>
      </c>
      <c r="I17" s="248">
        <v>14</v>
      </c>
      <c r="J17" s="240">
        <f t="shared" ref="J17:J27" si="1">G33+G17</f>
        <v>200</v>
      </c>
      <c r="K17" s="246">
        <f>J32*108</f>
        <v>0</v>
      </c>
      <c r="L17" s="248">
        <v>26</v>
      </c>
      <c r="M17" s="243">
        <f t="shared" ref="M17:M27" si="2">J33+J17</f>
        <v>200</v>
      </c>
      <c r="N17" s="246">
        <f>M32*108</f>
        <v>0</v>
      </c>
      <c r="O17" s="249">
        <v>38</v>
      </c>
      <c r="P17" s="243">
        <f t="shared" ref="P17:P27" si="3">M33+M17</f>
        <v>200</v>
      </c>
      <c r="Q17" s="246">
        <f>P32*108</f>
        <v>0</v>
      </c>
      <c r="R17" s="248">
        <v>50</v>
      </c>
      <c r="S17" s="243">
        <f t="shared" ref="S17:S27" si="4">P33+P17</f>
        <v>200</v>
      </c>
      <c r="T17" s="246">
        <f>S32*108</f>
        <v>0</v>
      </c>
      <c r="U17" s="248">
        <v>62</v>
      </c>
      <c r="V17" s="243">
        <f t="shared" ref="V17:V27" si="5">S33+S17</f>
        <v>200</v>
      </c>
      <c r="W17" s="246">
        <f>V32*108</f>
        <v>0</v>
      </c>
      <c r="X17" s="249">
        <v>74</v>
      </c>
      <c r="Y17" s="243">
        <f t="shared" ref="Y17:Y27" si="6">V33+V17</f>
        <v>200</v>
      </c>
      <c r="Z17" s="246">
        <f>Y32*108</f>
        <v>0</v>
      </c>
      <c r="AA17" s="242">
        <v>86</v>
      </c>
      <c r="AB17" s="243">
        <f t="shared" ref="AB17:AB27" si="7">Y33+Y17</f>
        <v>200</v>
      </c>
      <c r="AC17" s="246">
        <f>AB32*108</f>
        <v>0</v>
      </c>
      <c r="AD17" s="248">
        <v>98</v>
      </c>
      <c r="AE17" s="243">
        <f t="shared" ref="AE17:AE27" si="8">AB33+AB17</f>
        <v>200</v>
      </c>
      <c r="AF17" s="246">
        <f>AE32*108</f>
        <v>0</v>
      </c>
      <c r="AG17" s="249">
        <v>110</v>
      </c>
      <c r="AH17" s="244">
        <f t="shared" ref="AH17:AH27" si="9">AE33+AE17+AF33</f>
        <v>0</v>
      </c>
      <c r="AJ17" s="242">
        <v>122</v>
      </c>
      <c r="AK17" s="244">
        <f t="shared" ref="AK17:AK27" si="10">AH33+AH17+AI33</f>
        <v>0</v>
      </c>
      <c r="AM17" s="248">
        <v>132</v>
      </c>
      <c r="AN17" s="244">
        <f t="shared" ref="AN17:AN27" si="11">AK33+AK17+AL33</f>
        <v>0</v>
      </c>
      <c r="AP17" s="248">
        <v>132</v>
      </c>
      <c r="AQ17" s="244">
        <f t="shared" ref="AQ17:AQ27" si="12">AN33+AN17+AO33</f>
        <v>0</v>
      </c>
      <c r="AS17" s="248">
        <v>132</v>
      </c>
      <c r="AT17" s="244">
        <f t="shared" ref="AT17:AT27" si="13">AQ33+AQ17+AR33</f>
        <v>0</v>
      </c>
      <c r="AV17" s="248">
        <v>132</v>
      </c>
      <c r="AW17" s="244">
        <f t="shared" ref="AW17:AW27" si="14">AT33+AT17+AU33</f>
        <v>0</v>
      </c>
      <c r="AY17" s="248">
        <v>132</v>
      </c>
      <c r="AZ17" s="244">
        <f t="shared" ref="AZ17:AZ27" si="15">AW33+AW17+AX33</f>
        <v>0</v>
      </c>
      <c r="BB17" s="248">
        <v>132</v>
      </c>
      <c r="BC17" s="244">
        <f t="shared" ref="BC17:BC27" si="16">AZ33+AZ17+BA33</f>
        <v>0</v>
      </c>
      <c r="BE17" s="248">
        <v>132</v>
      </c>
      <c r="BF17" s="244">
        <f t="shared" ref="BF17:BF27" si="17">BC33+BC17+BD33</f>
        <v>0</v>
      </c>
    </row>
    <row r="18" spans="3:59" s="209" customFormat="1" x14ac:dyDescent="0.2">
      <c r="C18" s="245" t="s">
        <v>17</v>
      </c>
      <c r="D18" s="240">
        <f>TSGAP!C44</f>
        <v>0</v>
      </c>
      <c r="F18" s="242">
        <v>3</v>
      </c>
      <c r="G18" s="240">
        <f t="shared" si="0"/>
        <v>0</v>
      </c>
      <c r="H18" s="250"/>
      <c r="I18" s="242">
        <v>15</v>
      </c>
      <c r="J18" s="240">
        <f t="shared" si="1"/>
        <v>0</v>
      </c>
      <c r="L18" s="242">
        <v>27</v>
      </c>
      <c r="M18" s="243">
        <f t="shared" si="2"/>
        <v>0</v>
      </c>
      <c r="O18" s="248">
        <v>39</v>
      </c>
      <c r="P18" s="243">
        <f t="shared" si="3"/>
        <v>0</v>
      </c>
      <c r="R18" s="242">
        <v>51</v>
      </c>
      <c r="S18" s="243">
        <f t="shared" si="4"/>
        <v>0</v>
      </c>
      <c r="U18" s="242">
        <v>63</v>
      </c>
      <c r="V18" s="243">
        <f t="shared" si="5"/>
        <v>0</v>
      </c>
      <c r="X18" s="248">
        <v>75</v>
      </c>
      <c r="Y18" s="243">
        <f t="shared" si="6"/>
        <v>0</v>
      </c>
      <c r="AA18" s="242">
        <v>87</v>
      </c>
      <c r="AB18" s="243">
        <f t="shared" si="7"/>
        <v>0</v>
      </c>
      <c r="AD18" s="242">
        <v>99</v>
      </c>
      <c r="AE18" s="243">
        <f t="shared" si="8"/>
        <v>0</v>
      </c>
      <c r="AG18" s="242">
        <v>111</v>
      </c>
      <c r="AH18" s="244">
        <f t="shared" si="9"/>
        <v>0</v>
      </c>
      <c r="AJ18" s="242">
        <v>123</v>
      </c>
      <c r="AK18" s="244">
        <f t="shared" si="10"/>
        <v>0</v>
      </c>
      <c r="AM18" s="242">
        <v>133</v>
      </c>
      <c r="AN18" s="244">
        <f t="shared" si="11"/>
        <v>0</v>
      </c>
      <c r="AP18" s="242">
        <v>133</v>
      </c>
      <c r="AQ18" s="244">
        <f t="shared" si="12"/>
        <v>0</v>
      </c>
      <c r="AS18" s="242">
        <v>133</v>
      </c>
      <c r="AT18" s="244">
        <f t="shared" si="13"/>
        <v>0</v>
      </c>
      <c r="AV18" s="242">
        <v>133</v>
      </c>
      <c r="AW18" s="244">
        <f t="shared" si="14"/>
        <v>0</v>
      </c>
      <c r="AY18" s="242">
        <v>133</v>
      </c>
      <c r="AZ18" s="244">
        <f t="shared" si="15"/>
        <v>0</v>
      </c>
      <c r="BB18" s="242">
        <v>133</v>
      </c>
      <c r="BC18" s="244">
        <f t="shared" si="16"/>
        <v>0</v>
      </c>
      <c r="BE18" s="242">
        <v>133</v>
      </c>
      <c r="BF18" s="244">
        <f t="shared" si="17"/>
        <v>0</v>
      </c>
    </row>
    <row r="19" spans="3:59" s="209" customFormat="1" x14ac:dyDescent="0.2">
      <c r="C19" s="245" t="s">
        <v>18</v>
      </c>
      <c r="D19" s="240">
        <f>TSGAP!C45</f>
        <v>0</v>
      </c>
      <c r="F19" s="248">
        <v>4</v>
      </c>
      <c r="G19" s="240">
        <f t="shared" si="0"/>
        <v>0</v>
      </c>
      <c r="H19" s="250"/>
      <c r="I19" s="248">
        <v>16</v>
      </c>
      <c r="J19" s="240">
        <f t="shared" si="1"/>
        <v>0</v>
      </c>
      <c r="L19" s="248">
        <v>28</v>
      </c>
      <c r="M19" s="243">
        <f t="shared" si="2"/>
        <v>0</v>
      </c>
      <c r="O19" s="249">
        <v>40</v>
      </c>
      <c r="P19" s="243">
        <f t="shared" si="3"/>
        <v>0</v>
      </c>
      <c r="R19" s="248">
        <v>52</v>
      </c>
      <c r="S19" s="243">
        <f t="shared" si="4"/>
        <v>0</v>
      </c>
      <c r="U19" s="248">
        <v>64</v>
      </c>
      <c r="V19" s="243">
        <f t="shared" si="5"/>
        <v>0</v>
      </c>
      <c r="X19" s="249">
        <v>76</v>
      </c>
      <c r="Y19" s="243">
        <f t="shared" si="6"/>
        <v>0</v>
      </c>
      <c r="AA19" s="242">
        <v>88</v>
      </c>
      <c r="AB19" s="243">
        <f t="shared" si="7"/>
        <v>0</v>
      </c>
      <c r="AD19" s="248">
        <v>100</v>
      </c>
      <c r="AE19" s="243">
        <f t="shared" si="8"/>
        <v>0</v>
      </c>
      <c r="AG19" s="249">
        <v>112</v>
      </c>
      <c r="AH19" s="244">
        <f t="shared" si="9"/>
        <v>0</v>
      </c>
      <c r="AJ19" s="242">
        <v>124</v>
      </c>
      <c r="AK19" s="244">
        <f t="shared" si="10"/>
        <v>0</v>
      </c>
      <c r="AM19" s="248">
        <v>134</v>
      </c>
      <c r="AN19" s="244">
        <f t="shared" si="11"/>
        <v>0</v>
      </c>
      <c r="AP19" s="248">
        <v>134</v>
      </c>
      <c r="AQ19" s="244">
        <f t="shared" si="12"/>
        <v>0</v>
      </c>
      <c r="AS19" s="248">
        <v>134</v>
      </c>
      <c r="AT19" s="244">
        <f t="shared" si="13"/>
        <v>0</v>
      </c>
      <c r="AV19" s="248">
        <v>134</v>
      </c>
      <c r="AW19" s="244">
        <f t="shared" si="14"/>
        <v>0</v>
      </c>
      <c r="AY19" s="248">
        <v>134</v>
      </c>
      <c r="AZ19" s="244">
        <f t="shared" si="15"/>
        <v>0</v>
      </c>
      <c r="BB19" s="248">
        <v>134</v>
      </c>
      <c r="BC19" s="244">
        <f t="shared" si="16"/>
        <v>0</v>
      </c>
      <c r="BE19" s="248">
        <v>134</v>
      </c>
      <c r="BF19" s="244">
        <f t="shared" si="17"/>
        <v>0</v>
      </c>
    </row>
    <row r="20" spans="3:59" s="209" customFormat="1" x14ac:dyDescent="0.2">
      <c r="C20" s="245" t="s">
        <v>19</v>
      </c>
      <c r="D20" s="240">
        <f>TSGAP!C46</f>
        <v>0</v>
      </c>
      <c r="F20" s="242">
        <v>5</v>
      </c>
      <c r="G20" s="240">
        <f t="shared" si="0"/>
        <v>0</v>
      </c>
      <c r="H20" s="250"/>
      <c r="I20" s="242">
        <v>17</v>
      </c>
      <c r="J20" s="240">
        <f t="shared" si="1"/>
        <v>0</v>
      </c>
      <c r="L20" s="242">
        <v>29</v>
      </c>
      <c r="M20" s="243">
        <f t="shared" si="2"/>
        <v>0</v>
      </c>
      <c r="O20" s="248">
        <v>41</v>
      </c>
      <c r="P20" s="243">
        <f t="shared" si="3"/>
        <v>0</v>
      </c>
      <c r="R20" s="242">
        <v>53</v>
      </c>
      <c r="S20" s="243">
        <f t="shared" si="4"/>
        <v>0</v>
      </c>
      <c r="U20" s="242">
        <v>65</v>
      </c>
      <c r="V20" s="243">
        <f t="shared" si="5"/>
        <v>0</v>
      </c>
      <c r="X20" s="248">
        <v>77</v>
      </c>
      <c r="Y20" s="243">
        <f t="shared" si="6"/>
        <v>0</v>
      </c>
      <c r="AA20" s="242">
        <v>89</v>
      </c>
      <c r="AB20" s="243">
        <f t="shared" si="7"/>
        <v>0</v>
      </c>
      <c r="AD20" s="242">
        <v>101</v>
      </c>
      <c r="AE20" s="243">
        <f t="shared" si="8"/>
        <v>0</v>
      </c>
      <c r="AG20" s="242">
        <v>113</v>
      </c>
      <c r="AH20" s="244">
        <f t="shared" si="9"/>
        <v>0</v>
      </c>
      <c r="AJ20" s="242">
        <v>125</v>
      </c>
      <c r="AK20" s="244">
        <f t="shared" si="10"/>
        <v>0</v>
      </c>
      <c r="AM20" s="242">
        <v>135</v>
      </c>
      <c r="AN20" s="244">
        <f t="shared" si="11"/>
        <v>0</v>
      </c>
      <c r="AP20" s="242">
        <v>135</v>
      </c>
      <c r="AQ20" s="244">
        <f t="shared" si="12"/>
        <v>0</v>
      </c>
      <c r="AS20" s="242">
        <v>135</v>
      </c>
      <c r="AT20" s="244">
        <f t="shared" si="13"/>
        <v>0</v>
      </c>
      <c r="AV20" s="242">
        <v>135</v>
      </c>
      <c r="AW20" s="244">
        <f t="shared" si="14"/>
        <v>0</v>
      </c>
      <c r="AY20" s="242">
        <v>135</v>
      </c>
      <c r="AZ20" s="244">
        <f t="shared" si="15"/>
        <v>0</v>
      </c>
      <c r="BB20" s="242">
        <v>135</v>
      </c>
      <c r="BC20" s="244">
        <f t="shared" si="16"/>
        <v>0</v>
      </c>
      <c r="BE20" s="242">
        <v>135</v>
      </c>
      <c r="BF20" s="244">
        <f t="shared" si="17"/>
        <v>0</v>
      </c>
    </row>
    <row r="21" spans="3:59" s="209" customFormat="1" x14ac:dyDescent="0.2">
      <c r="C21" s="245" t="s">
        <v>20</v>
      </c>
      <c r="D21" s="240">
        <f>TSGAP!C47</f>
        <v>0</v>
      </c>
      <c r="F21" s="248">
        <v>6</v>
      </c>
      <c r="G21" s="240">
        <f t="shared" si="0"/>
        <v>0</v>
      </c>
      <c r="H21" s="250"/>
      <c r="I21" s="248">
        <v>18</v>
      </c>
      <c r="J21" s="240">
        <f t="shared" si="1"/>
        <v>0</v>
      </c>
      <c r="L21" s="248">
        <v>30</v>
      </c>
      <c r="M21" s="243">
        <f t="shared" si="2"/>
        <v>0</v>
      </c>
      <c r="O21" s="249">
        <v>42</v>
      </c>
      <c r="P21" s="243">
        <f t="shared" si="3"/>
        <v>0</v>
      </c>
      <c r="R21" s="248">
        <v>54</v>
      </c>
      <c r="S21" s="243">
        <f t="shared" si="4"/>
        <v>0</v>
      </c>
      <c r="U21" s="248">
        <v>66</v>
      </c>
      <c r="V21" s="243">
        <f t="shared" si="5"/>
        <v>0</v>
      </c>
      <c r="X21" s="249">
        <v>78</v>
      </c>
      <c r="Y21" s="243">
        <f t="shared" si="6"/>
        <v>0</v>
      </c>
      <c r="AA21" s="242">
        <v>90</v>
      </c>
      <c r="AB21" s="243">
        <f t="shared" si="7"/>
        <v>0</v>
      </c>
      <c r="AD21" s="248">
        <v>102</v>
      </c>
      <c r="AE21" s="243">
        <f t="shared" si="8"/>
        <v>0</v>
      </c>
      <c r="AG21" s="249">
        <v>114</v>
      </c>
      <c r="AH21" s="244">
        <f t="shared" si="9"/>
        <v>0</v>
      </c>
      <c r="AJ21" s="242">
        <v>126</v>
      </c>
      <c r="AK21" s="244">
        <f t="shared" si="10"/>
        <v>0</v>
      </c>
      <c r="AM21" s="248">
        <v>136</v>
      </c>
      <c r="AN21" s="244">
        <f t="shared" si="11"/>
        <v>0</v>
      </c>
      <c r="AP21" s="248">
        <v>136</v>
      </c>
      <c r="AQ21" s="244">
        <f t="shared" si="12"/>
        <v>0</v>
      </c>
      <c r="AS21" s="248">
        <v>136</v>
      </c>
      <c r="AT21" s="244">
        <f t="shared" si="13"/>
        <v>0</v>
      </c>
      <c r="AV21" s="248">
        <v>136</v>
      </c>
      <c r="AW21" s="244">
        <f t="shared" si="14"/>
        <v>0</v>
      </c>
      <c r="AY21" s="248">
        <v>136</v>
      </c>
      <c r="AZ21" s="244">
        <f t="shared" si="15"/>
        <v>0</v>
      </c>
      <c r="BB21" s="248">
        <v>136</v>
      </c>
      <c r="BC21" s="244">
        <f t="shared" si="16"/>
        <v>0</v>
      </c>
      <c r="BE21" s="248">
        <v>136</v>
      </c>
      <c r="BF21" s="244">
        <f t="shared" si="17"/>
        <v>0</v>
      </c>
    </row>
    <row r="22" spans="3:59" s="209" customFormat="1" x14ac:dyDescent="0.2">
      <c r="C22" s="245" t="s">
        <v>21</v>
      </c>
      <c r="D22" s="240">
        <f>TSGAP!C48</f>
        <v>0</v>
      </c>
      <c r="F22" s="242">
        <v>7</v>
      </c>
      <c r="G22" s="240">
        <f t="shared" si="0"/>
        <v>0</v>
      </c>
      <c r="H22" s="250"/>
      <c r="I22" s="242">
        <v>19</v>
      </c>
      <c r="J22" s="240">
        <f t="shared" si="1"/>
        <v>0</v>
      </c>
      <c r="L22" s="242">
        <v>31</v>
      </c>
      <c r="M22" s="243">
        <f t="shared" si="2"/>
        <v>0</v>
      </c>
      <c r="O22" s="248">
        <v>43</v>
      </c>
      <c r="P22" s="243">
        <f t="shared" si="3"/>
        <v>0</v>
      </c>
      <c r="R22" s="242">
        <v>55</v>
      </c>
      <c r="S22" s="243">
        <f t="shared" si="4"/>
        <v>0</v>
      </c>
      <c r="U22" s="242">
        <v>67</v>
      </c>
      <c r="V22" s="243">
        <f t="shared" si="5"/>
        <v>0</v>
      </c>
      <c r="X22" s="248">
        <v>79</v>
      </c>
      <c r="Y22" s="243">
        <f t="shared" si="6"/>
        <v>0</v>
      </c>
      <c r="AA22" s="242">
        <v>91</v>
      </c>
      <c r="AB22" s="243">
        <f t="shared" si="7"/>
        <v>0</v>
      </c>
      <c r="AD22" s="242">
        <v>103</v>
      </c>
      <c r="AE22" s="243">
        <f t="shared" si="8"/>
        <v>0</v>
      </c>
      <c r="AG22" s="242">
        <v>115</v>
      </c>
      <c r="AH22" s="244">
        <f t="shared" si="9"/>
        <v>0</v>
      </c>
      <c r="AJ22" s="242">
        <v>127</v>
      </c>
      <c r="AK22" s="244">
        <f t="shared" si="10"/>
        <v>0</v>
      </c>
      <c r="AM22" s="242">
        <v>137</v>
      </c>
      <c r="AN22" s="244">
        <f t="shared" si="11"/>
        <v>0</v>
      </c>
      <c r="AP22" s="242">
        <v>137</v>
      </c>
      <c r="AQ22" s="244">
        <f t="shared" si="12"/>
        <v>0</v>
      </c>
      <c r="AS22" s="242">
        <v>137</v>
      </c>
      <c r="AT22" s="244">
        <f t="shared" si="13"/>
        <v>0</v>
      </c>
      <c r="AV22" s="242">
        <v>137</v>
      </c>
      <c r="AW22" s="244">
        <f t="shared" si="14"/>
        <v>0</v>
      </c>
      <c r="AY22" s="242">
        <v>137</v>
      </c>
      <c r="AZ22" s="244">
        <f t="shared" si="15"/>
        <v>0</v>
      </c>
      <c r="BB22" s="242">
        <v>137</v>
      </c>
      <c r="BC22" s="244">
        <f t="shared" si="16"/>
        <v>0</v>
      </c>
      <c r="BE22" s="242">
        <v>137</v>
      </c>
      <c r="BF22" s="244">
        <f t="shared" si="17"/>
        <v>0</v>
      </c>
    </row>
    <row r="23" spans="3:59" s="209" customFormat="1" x14ac:dyDescent="0.2">
      <c r="C23" s="245" t="s">
        <v>22</v>
      </c>
      <c r="D23" s="240">
        <f>TSGAP!C49</f>
        <v>0</v>
      </c>
      <c r="F23" s="248">
        <v>8</v>
      </c>
      <c r="G23" s="240">
        <f t="shared" si="0"/>
        <v>0</v>
      </c>
      <c r="H23" s="250"/>
      <c r="I23" s="248">
        <v>20</v>
      </c>
      <c r="J23" s="240">
        <f t="shared" si="1"/>
        <v>0</v>
      </c>
      <c r="L23" s="248">
        <v>32</v>
      </c>
      <c r="M23" s="243">
        <f t="shared" si="2"/>
        <v>0</v>
      </c>
      <c r="O23" s="249">
        <v>44</v>
      </c>
      <c r="P23" s="243">
        <f t="shared" si="3"/>
        <v>0</v>
      </c>
      <c r="R23" s="248">
        <v>56</v>
      </c>
      <c r="S23" s="243">
        <f t="shared" si="4"/>
        <v>0</v>
      </c>
      <c r="U23" s="248">
        <v>68</v>
      </c>
      <c r="V23" s="243">
        <f t="shared" si="5"/>
        <v>0</v>
      </c>
      <c r="X23" s="249">
        <v>80</v>
      </c>
      <c r="Y23" s="243">
        <f t="shared" si="6"/>
        <v>0</v>
      </c>
      <c r="AA23" s="242">
        <v>92</v>
      </c>
      <c r="AB23" s="243">
        <f t="shared" si="7"/>
        <v>0</v>
      </c>
      <c r="AD23" s="248">
        <v>104</v>
      </c>
      <c r="AE23" s="243">
        <f t="shared" si="8"/>
        <v>0</v>
      </c>
      <c r="AG23" s="249">
        <v>116</v>
      </c>
      <c r="AH23" s="244">
        <f t="shared" si="9"/>
        <v>0</v>
      </c>
      <c r="AJ23" s="242">
        <v>128</v>
      </c>
      <c r="AK23" s="244">
        <f t="shared" si="10"/>
        <v>0</v>
      </c>
      <c r="AM23" s="248">
        <v>138</v>
      </c>
      <c r="AN23" s="244">
        <f t="shared" si="11"/>
        <v>0</v>
      </c>
      <c r="AP23" s="248">
        <v>138</v>
      </c>
      <c r="AQ23" s="244">
        <f t="shared" si="12"/>
        <v>0</v>
      </c>
      <c r="AS23" s="248">
        <v>138</v>
      </c>
      <c r="AT23" s="244">
        <f t="shared" si="13"/>
        <v>0</v>
      </c>
      <c r="AV23" s="248">
        <v>138</v>
      </c>
      <c r="AW23" s="244">
        <f t="shared" si="14"/>
        <v>0</v>
      </c>
      <c r="AY23" s="248">
        <v>138</v>
      </c>
      <c r="AZ23" s="244">
        <f t="shared" si="15"/>
        <v>0</v>
      </c>
      <c r="BB23" s="248">
        <v>138</v>
      </c>
      <c r="BC23" s="244">
        <f t="shared" si="16"/>
        <v>0</v>
      </c>
      <c r="BE23" s="248">
        <v>138</v>
      </c>
      <c r="BF23" s="244">
        <f t="shared" si="17"/>
        <v>0</v>
      </c>
    </row>
    <row r="24" spans="3:59" s="209" customFormat="1" x14ac:dyDescent="0.2">
      <c r="C24" s="245" t="s">
        <v>23</v>
      </c>
      <c r="D24" s="240">
        <f>TSGAP!C50</f>
        <v>0</v>
      </c>
      <c r="F24" s="242">
        <v>9</v>
      </c>
      <c r="G24" s="240">
        <f t="shared" si="0"/>
        <v>0</v>
      </c>
      <c r="H24" s="250"/>
      <c r="I24" s="242">
        <v>21</v>
      </c>
      <c r="J24" s="240">
        <f t="shared" si="1"/>
        <v>0</v>
      </c>
      <c r="L24" s="242">
        <v>33</v>
      </c>
      <c r="M24" s="243">
        <f t="shared" si="2"/>
        <v>0</v>
      </c>
      <c r="O24" s="248">
        <v>45</v>
      </c>
      <c r="P24" s="243">
        <f t="shared" si="3"/>
        <v>0</v>
      </c>
      <c r="R24" s="242">
        <v>57</v>
      </c>
      <c r="S24" s="243">
        <f t="shared" si="4"/>
        <v>0</v>
      </c>
      <c r="U24" s="242">
        <v>69</v>
      </c>
      <c r="V24" s="243">
        <f t="shared" si="5"/>
        <v>0</v>
      </c>
      <c r="X24" s="248">
        <v>81</v>
      </c>
      <c r="Y24" s="243">
        <f t="shared" si="6"/>
        <v>0</v>
      </c>
      <c r="AA24" s="242">
        <v>93</v>
      </c>
      <c r="AB24" s="243">
        <f t="shared" si="7"/>
        <v>0</v>
      </c>
      <c r="AD24" s="242">
        <v>105</v>
      </c>
      <c r="AE24" s="243">
        <f t="shared" si="8"/>
        <v>0</v>
      </c>
      <c r="AG24" s="242">
        <v>117</v>
      </c>
      <c r="AH24" s="244">
        <f t="shared" si="9"/>
        <v>0</v>
      </c>
      <c r="AJ24" s="242">
        <v>129</v>
      </c>
      <c r="AK24" s="244">
        <f t="shared" si="10"/>
        <v>0</v>
      </c>
      <c r="AM24" s="242">
        <v>139</v>
      </c>
      <c r="AN24" s="244">
        <f t="shared" si="11"/>
        <v>0</v>
      </c>
      <c r="AP24" s="242">
        <v>139</v>
      </c>
      <c r="AQ24" s="244">
        <f t="shared" si="12"/>
        <v>0</v>
      </c>
      <c r="AS24" s="242">
        <v>139</v>
      </c>
      <c r="AT24" s="244">
        <f t="shared" si="13"/>
        <v>0</v>
      </c>
      <c r="AV24" s="242">
        <v>139</v>
      </c>
      <c r="AW24" s="244">
        <f t="shared" si="14"/>
        <v>0</v>
      </c>
      <c r="AY24" s="242">
        <v>139</v>
      </c>
      <c r="AZ24" s="244">
        <f t="shared" si="15"/>
        <v>0</v>
      </c>
      <c r="BB24" s="242">
        <v>139</v>
      </c>
      <c r="BC24" s="244">
        <f t="shared" si="16"/>
        <v>0</v>
      </c>
      <c r="BE24" s="242">
        <v>139</v>
      </c>
      <c r="BF24" s="244">
        <f t="shared" si="17"/>
        <v>0</v>
      </c>
    </row>
    <row r="25" spans="3:59" s="209" customFormat="1" x14ac:dyDescent="0.2">
      <c r="C25" s="245" t="s">
        <v>24</v>
      </c>
      <c r="D25" s="240">
        <f>TSGAP!C51</f>
        <v>0</v>
      </c>
      <c r="F25" s="248">
        <v>10</v>
      </c>
      <c r="G25" s="240">
        <f t="shared" si="0"/>
        <v>0</v>
      </c>
      <c r="H25" s="250"/>
      <c r="I25" s="248">
        <v>22</v>
      </c>
      <c r="J25" s="240">
        <f t="shared" si="1"/>
        <v>0</v>
      </c>
      <c r="L25" s="248">
        <v>34</v>
      </c>
      <c r="M25" s="243">
        <f t="shared" si="2"/>
        <v>0</v>
      </c>
      <c r="O25" s="249">
        <v>46</v>
      </c>
      <c r="P25" s="243">
        <f t="shared" si="3"/>
        <v>0</v>
      </c>
      <c r="R25" s="248">
        <v>58</v>
      </c>
      <c r="S25" s="243">
        <f t="shared" si="4"/>
        <v>0</v>
      </c>
      <c r="U25" s="248">
        <v>70</v>
      </c>
      <c r="V25" s="243">
        <f t="shared" si="5"/>
        <v>0</v>
      </c>
      <c r="X25" s="249">
        <v>82</v>
      </c>
      <c r="Y25" s="243">
        <f t="shared" si="6"/>
        <v>0</v>
      </c>
      <c r="AA25" s="242">
        <v>94</v>
      </c>
      <c r="AB25" s="243">
        <f t="shared" si="7"/>
        <v>0</v>
      </c>
      <c r="AD25" s="248">
        <v>106</v>
      </c>
      <c r="AE25" s="243">
        <f t="shared" si="8"/>
        <v>0</v>
      </c>
      <c r="AG25" s="249">
        <v>118</v>
      </c>
      <c r="AH25" s="244">
        <f t="shared" si="9"/>
        <v>0</v>
      </c>
      <c r="AJ25" s="242">
        <v>130</v>
      </c>
      <c r="AK25" s="244">
        <f t="shared" si="10"/>
        <v>0</v>
      </c>
      <c r="AM25" s="248">
        <v>140</v>
      </c>
      <c r="AN25" s="244">
        <f t="shared" si="11"/>
        <v>0</v>
      </c>
      <c r="AP25" s="248">
        <v>140</v>
      </c>
      <c r="AQ25" s="244">
        <f t="shared" si="12"/>
        <v>0</v>
      </c>
      <c r="AS25" s="248">
        <v>140</v>
      </c>
      <c r="AT25" s="244">
        <f t="shared" si="13"/>
        <v>0</v>
      </c>
      <c r="AV25" s="248">
        <v>140</v>
      </c>
      <c r="AW25" s="244">
        <f t="shared" si="14"/>
        <v>0</v>
      </c>
      <c r="AY25" s="248">
        <v>140</v>
      </c>
      <c r="AZ25" s="244">
        <f t="shared" si="15"/>
        <v>0</v>
      </c>
      <c r="BB25" s="248">
        <v>140</v>
      </c>
      <c r="BC25" s="244">
        <f t="shared" si="16"/>
        <v>0</v>
      </c>
      <c r="BE25" s="248">
        <v>140</v>
      </c>
      <c r="BF25" s="244">
        <f t="shared" si="17"/>
        <v>0</v>
      </c>
    </row>
    <row r="26" spans="3:59" s="209" customFormat="1" x14ac:dyDescent="0.2">
      <c r="C26" s="245" t="s">
        <v>25</v>
      </c>
      <c r="D26" s="240">
        <f>TSGAP!C52</f>
        <v>0</v>
      </c>
      <c r="F26" s="242">
        <v>11</v>
      </c>
      <c r="G26" s="240">
        <f t="shared" si="0"/>
        <v>0</v>
      </c>
      <c r="H26" s="250"/>
      <c r="I26" s="242">
        <v>23</v>
      </c>
      <c r="J26" s="240">
        <f t="shared" si="1"/>
        <v>0</v>
      </c>
      <c r="L26" s="242">
        <v>35</v>
      </c>
      <c r="M26" s="243">
        <f t="shared" si="2"/>
        <v>0</v>
      </c>
      <c r="O26" s="248">
        <v>47</v>
      </c>
      <c r="P26" s="243">
        <f t="shared" si="3"/>
        <v>0</v>
      </c>
      <c r="R26" s="242">
        <v>59</v>
      </c>
      <c r="S26" s="243">
        <f t="shared" si="4"/>
        <v>0</v>
      </c>
      <c r="U26" s="242">
        <v>71</v>
      </c>
      <c r="V26" s="243">
        <f t="shared" si="5"/>
        <v>0</v>
      </c>
      <c r="X26" s="248">
        <v>83</v>
      </c>
      <c r="Y26" s="243">
        <f t="shared" si="6"/>
        <v>0</v>
      </c>
      <c r="AA26" s="242">
        <v>95</v>
      </c>
      <c r="AB26" s="243">
        <f t="shared" si="7"/>
        <v>0</v>
      </c>
      <c r="AD26" s="242">
        <v>107</v>
      </c>
      <c r="AE26" s="243">
        <f t="shared" si="8"/>
        <v>0</v>
      </c>
      <c r="AG26" s="242">
        <v>119</v>
      </c>
      <c r="AH26" s="244">
        <f t="shared" si="9"/>
        <v>0</v>
      </c>
      <c r="AJ26" s="242">
        <v>131</v>
      </c>
      <c r="AK26" s="244">
        <f t="shared" si="10"/>
        <v>0</v>
      </c>
      <c r="AM26" s="242">
        <v>141</v>
      </c>
      <c r="AN26" s="244">
        <f t="shared" si="11"/>
        <v>0</v>
      </c>
      <c r="AP26" s="242">
        <v>141</v>
      </c>
      <c r="AQ26" s="244">
        <f t="shared" si="12"/>
        <v>0</v>
      </c>
      <c r="AS26" s="242">
        <v>141</v>
      </c>
      <c r="AT26" s="244">
        <f t="shared" si="13"/>
        <v>0</v>
      </c>
      <c r="AV26" s="242">
        <v>141</v>
      </c>
      <c r="AW26" s="244">
        <f t="shared" si="14"/>
        <v>0</v>
      </c>
      <c r="AY26" s="242">
        <v>141</v>
      </c>
      <c r="AZ26" s="244">
        <f t="shared" si="15"/>
        <v>0</v>
      </c>
      <c r="BB26" s="242">
        <v>141</v>
      </c>
      <c r="BC26" s="244">
        <f t="shared" si="16"/>
        <v>0</v>
      </c>
      <c r="BE26" s="242">
        <v>141</v>
      </c>
      <c r="BF26" s="244">
        <f t="shared" si="17"/>
        <v>0</v>
      </c>
    </row>
    <row r="27" spans="3:59" s="209" customFormat="1" ht="13.5" thickBot="1" x14ac:dyDescent="0.25">
      <c r="C27" s="251" t="s">
        <v>26</v>
      </c>
      <c r="D27" s="240">
        <f>TSGAP!C53</f>
        <v>0</v>
      </c>
      <c r="F27" s="248">
        <v>12</v>
      </c>
      <c r="G27" s="240">
        <f t="shared" si="0"/>
        <v>0</v>
      </c>
      <c r="H27" s="250"/>
      <c r="I27" s="248">
        <v>24</v>
      </c>
      <c r="J27" s="240">
        <f t="shared" si="1"/>
        <v>0</v>
      </c>
      <c r="L27" s="252">
        <v>36</v>
      </c>
      <c r="M27" s="243">
        <f t="shared" si="2"/>
        <v>0</v>
      </c>
      <c r="O27" s="252">
        <v>48</v>
      </c>
      <c r="P27" s="243">
        <f t="shared" si="3"/>
        <v>0</v>
      </c>
      <c r="R27" s="252">
        <v>60</v>
      </c>
      <c r="S27" s="243">
        <f t="shared" si="4"/>
        <v>0</v>
      </c>
      <c r="U27" s="252">
        <v>72</v>
      </c>
      <c r="V27" s="243">
        <f t="shared" si="5"/>
        <v>0</v>
      </c>
      <c r="X27" s="252">
        <v>84</v>
      </c>
      <c r="Y27" s="243">
        <f t="shared" si="6"/>
        <v>0</v>
      </c>
      <c r="AA27" s="252">
        <v>96</v>
      </c>
      <c r="AB27" s="243">
        <f t="shared" si="7"/>
        <v>0</v>
      </c>
      <c r="AD27" s="252">
        <v>108</v>
      </c>
      <c r="AE27" s="243">
        <f t="shared" si="8"/>
        <v>0</v>
      </c>
      <c r="AG27" s="252">
        <v>120</v>
      </c>
      <c r="AH27" s="244">
        <f t="shared" si="9"/>
        <v>0</v>
      </c>
      <c r="AJ27" s="252">
        <v>132</v>
      </c>
      <c r="AK27" s="244">
        <f t="shared" si="10"/>
        <v>0</v>
      </c>
      <c r="AM27" s="252">
        <v>142</v>
      </c>
      <c r="AN27" s="244">
        <f t="shared" si="11"/>
        <v>0</v>
      </c>
      <c r="AP27" s="252">
        <v>142</v>
      </c>
      <c r="AQ27" s="244">
        <f t="shared" si="12"/>
        <v>0</v>
      </c>
      <c r="AS27" s="252">
        <v>142</v>
      </c>
      <c r="AT27" s="244">
        <f t="shared" si="13"/>
        <v>0</v>
      </c>
      <c r="AV27" s="252">
        <v>142</v>
      </c>
      <c r="AW27" s="244">
        <f t="shared" si="14"/>
        <v>0</v>
      </c>
      <c r="AY27" s="252">
        <v>142</v>
      </c>
      <c r="AZ27" s="244">
        <f t="shared" si="15"/>
        <v>0</v>
      </c>
      <c r="BB27" s="252">
        <v>142</v>
      </c>
      <c r="BC27" s="244">
        <f t="shared" si="16"/>
        <v>0</v>
      </c>
      <c r="BE27" s="252">
        <v>142</v>
      </c>
      <c r="BF27" s="244">
        <f t="shared" si="17"/>
        <v>0</v>
      </c>
    </row>
    <row r="28" spans="3:59" s="209" customFormat="1" x14ac:dyDescent="0.2">
      <c r="D28" s="243">
        <f>SUM(D16:D27)</f>
        <v>2000</v>
      </c>
      <c r="F28" s="211"/>
      <c r="G28" s="243">
        <f>SUM(G16:G27)</f>
        <v>400</v>
      </c>
      <c r="I28" s="212"/>
      <c r="J28" s="243">
        <f>SUM(J16:J27)</f>
        <v>400</v>
      </c>
      <c r="L28" s="211"/>
      <c r="M28" s="243">
        <f>SUM(M16:M27)</f>
        <v>400</v>
      </c>
      <c r="O28" s="211"/>
      <c r="P28" s="243">
        <f>SUM(P16:P27)</f>
        <v>400</v>
      </c>
      <c r="R28" s="211"/>
      <c r="S28" s="243">
        <f>SUM(S16:S27)</f>
        <v>400</v>
      </c>
      <c r="V28" s="243">
        <f>SUM(V16:V27)</f>
        <v>400</v>
      </c>
      <c r="Y28" s="243">
        <f>SUM(Y16:Y27)</f>
        <v>400</v>
      </c>
      <c r="AB28" s="243">
        <f>SUM(AB16:AB27)</f>
        <v>400</v>
      </c>
      <c r="AE28" s="243">
        <f>SUM(AE16:AE27)</f>
        <v>400</v>
      </c>
      <c r="AH28" s="243">
        <f>SUM(AH16:AH27)</f>
        <v>0</v>
      </c>
      <c r="AK28" s="243">
        <f>SUM(AK16:AK27)</f>
        <v>0</v>
      </c>
      <c r="AN28" s="243">
        <f>SUM(AN16:AN27)</f>
        <v>0</v>
      </c>
      <c r="AQ28" s="243">
        <f>SUM(AQ16:AQ27)</f>
        <v>0</v>
      </c>
      <c r="AT28" s="243">
        <f>SUM(AT16:AT27)</f>
        <v>0</v>
      </c>
      <c r="AW28" s="243">
        <f>SUM(AW16:AW27)</f>
        <v>0</v>
      </c>
      <c r="AZ28" s="243">
        <f>SUM(AZ16:AZ27)</f>
        <v>0</v>
      </c>
      <c r="BC28" s="243">
        <f>SUM(BC16:BC27)</f>
        <v>0</v>
      </c>
      <c r="BF28" s="243">
        <f>SUM(BF16:BF27)</f>
        <v>0</v>
      </c>
    </row>
    <row r="29" spans="3:59" s="209" customFormat="1" x14ac:dyDescent="0.2">
      <c r="D29" s="210"/>
      <c r="F29" s="211"/>
      <c r="G29" s="210"/>
      <c r="I29" s="212"/>
      <c r="J29" s="210"/>
      <c r="L29" s="211"/>
      <c r="M29" s="210"/>
      <c r="O29" s="211"/>
      <c r="P29" s="210"/>
      <c r="R29" s="211"/>
      <c r="S29" s="210"/>
      <c r="V29" s="210"/>
      <c r="Y29" s="210"/>
      <c r="AB29" s="210"/>
      <c r="AE29" s="210"/>
    </row>
    <row r="30" spans="3:59" s="209" customFormat="1" hidden="1" x14ac:dyDescent="0.2">
      <c r="C30" s="210">
        <v>0</v>
      </c>
      <c r="D30" s="253">
        <f>IF(D16&gt;='TSGAP % slabs'!$B$8,'TSGAP % slabs'!$D$8,IF(D16&gt;='TSGAP % slabs'!$B$7,'TSGAP % slabs'!$D$7,IF(D16&gt;='TSGAP % slabs'!$B$6,'TSGAP % slabs'!$D$6,IF(D16&gt;='TSGAP % slabs'!$B$5,'TSGAP % slabs'!$D$5,IF(D16&gt;='TSGAP % slabs'!$B$4,'TSGAP % slabs'!$D$4,0)))))</f>
        <v>0.2</v>
      </c>
      <c r="E30" s="254"/>
      <c r="F30" s="210">
        <v>1</v>
      </c>
      <c r="G30" s="253">
        <f>IF(G16&gt;='TSGAP % slabs'!$B$8,'TSGAP % slabs'!$D$8,IF(G16&gt;='TSGAP % slabs'!$B$7,'TSGAP % slabs'!$D$7,IF(G16&gt;='TSGAP % slabs'!$B$6,'TSGAP % slabs'!$D$6,IF(G16&gt;='TSGAP % slabs'!$B$5,'TSGAP % slabs'!$D$5,IF(G16&gt;='TSGAP % slabs'!$B$4,'TSGAP % slabs'!$D$4,0)))))</f>
        <v>0.16</v>
      </c>
      <c r="I30" s="210">
        <v>2</v>
      </c>
      <c r="J30" s="253">
        <f>IF(J16&gt;='TSGAP % slabs'!$B$8,'TSGAP % slabs'!$D$8,IF(J16&gt;='TSGAP % slabs'!$B$7,'TSGAP % slabs'!$D$7,IF(J16&gt;='TSGAP % slabs'!$B$6,'TSGAP % slabs'!$D$6,IF(J16&gt;='TSGAP % slabs'!$B$5,'TSGAP % slabs'!$D$5,IF(J16&gt;='TSGAP % slabs'!$B$4,'TSGAP % slabs'!$D$4,0)))))</f>
        <v>0.16</v>
      </c>
      <c r="L30" s="210">
        <v>3</v>
      </c>
      <c r="M30" s="253">
        <f>IF(M16&gt;='TSGAP % slabs'!$B$8,'TSGAP % slabs'!$D$8,IF(M16&gt;='TSGAP % slabs'!$B$7,'TSGAP % slabs'!$D$7,IF(M16&gt;='TSGAP % slabs'!$B$6,'TSGAP % slabs'!$D$6,IF(M16&gt;='TSGAP % slabs'!$B$5,'TSGAP % slabs'!$D$5,IF(M16&gt;='TSGAP % slabs'!$B$4,'TSGAP % slabs'!$D$4,0)))))</f>
        <v>0.16</v>
      </c>
      <c r="O30" s="210">
        <v>4</v>
      </c>
      <c r="P30" s="253">
        <f>IF(P16&gt;='TSGAP % slabs'!$B$8,'TSGAP % slabs'!$D$8,IF(P16&gt;='TSGAP % slabs'!$B$7,'TSGAP % slabs'!$D$7,IF(P16&gt;='TSGAP % slabs'!$B$6,'TSGAP % slabs'!$D$6,IF(P16&gt;='TSGAP % slabs'!$B$5,'TSGAP % slabs'!$D$5,IF(P16&gt;='TSGAP % slabs'!$B$4,'TSGAP % slabs'!$D$4,0)))))</f>
        <v>0.16</v>
      </c>
      <c r="R30" s="210">
        <v>5</v>
      </c>
      <c r="S30" s="253">
        <f>IF(S16&gt;='TSGAP % slabs'!$B$8,'TSGAP % slabs'!$D$8,IF(S16&gt;='TSGAP % slabs'!$B$7,'TSGAP % slabs'!$D$7,IF(S16&gt;='TSGAP % slabs'!$B$6,'TSGAP % slabs'!$D$6,IF(S16&gt;='TSGAP % slabs'!$B$5,'TSGAP % slabs'!$D$5,IF(S16&gt;='TSGAP % slabs'!$B$4,'TSGAP % slabs'!$D$4,0)))))</f>
        <v>0.16</v>
      </c>
      <c r="U30" s="210">
        <v>6</v>
      </c>
      <c r="V30" s="253">
        <f>IF(V16&gt;='TSGAP % slabs'!$B$8,'TSGAP % slabs'!$D$8,IF(V16&gt;='TSGAP % slabs'!$B$7,'TSGAP % slabs'!$D$7,IF(V16&gt;='TSGAP % slabs'!$B$6,'TSGAP % slabs'!$D$6,IF(V16&gt;='TSGAP % slabs'!$B$5,'TSGAP % slabs'!$D$5,IF(V16&gt;='TSGAP % slabs'!$B$4,'TSGAP % slabs'!$D$4,0)))))</f>
        <v>0.16</v>
      </c>
      <c r="X30" s="210">
        <v>7</v>
      </c>
      <c r="Y30" s="253">
        <f>IF(Y16&gt;='TSGAP % slabs'!$B$8,'TSGAP % slabs'!$D$8,IF(Y16&gt;='TSGAP % slabs'!$B$7,'TSGAP % slabs'!$D$7,IF(Y16&gt;='TSGAP % slabs'!$B$6,'TSGAP % slabs'!$D$6,IF(Y16&gt;='TSGAP % slabs'!$B$5,'TSGAP % slabs'!$D$5,IF(Y16&gt;='TSGAP % slabs'!$B$4,'TSGAP % slabs'!$D$4,0)))))</f>
        <v>0.16</v>
      </c>
      <c r="AA30" s="210">
        <v>8</v>
      </c>
      <c r="AB30" s="253">
        <f>IF(AB16&gt;='TSGAP % slabs'!$B$8,'TSGAP % slabs'!$D$8,IF(AB16&gt;='TSGAP % slabs'!$B$7,'TSGAP % slabs'!$D$7,IF(AB16&gt;='TSGAP % slabs'!$B$6,'TSGAP % slabs'!$D$6,IF(AB16&gt;='TSGAP % slabs'!$B$5,'TSGAP % slabs'!$D$5,IF(AB16&gt;='TSGAP % slabs'!$B$4,'TSGAP % slabs'!$D$4,0)))))</f>
        <v>0.16</v>
      </c>
      <c r="AD30" s="210">
        <v>9</v>
      </c>
      <c r="AE30" s="253">
        <f>IF(AE16&gt;='TSGAP % slabs'!$B$8,'TSGAP % slabs'!$D$8,IF(AE16&gt;='TSGAP % slabs'!$B$7,'TSGAP % slabs'!$D$7,IF(AE16&gt;='TSGAP % slabs'!$B$6,'TSGAP % slabs'!$D$6,IF(AE16&gt;='TSGAP % slabs'!$B$5,'TSGAP % slabs'!$D$5,IF(AE16&gt;='TSGAP % slabs'!$B$4,'TSGAP % slabs'!$D$4,0)))))</f>
        <v>0.16</v>
      </c>
      <c r="AG30" s="210">
        <v>10</v>
      </c>
      <c r="AH30" s="253">
        <f>IF(AH16&gt;='TSGAP % slabs'!$B$8,'TSGAP % slabs'!$D$8,IF(AH16&gt;='TSGAP % slabs'!$B$7,'TSGAP % slabs'!$D$7,IF(AH16&gt;='TSGAP % slabs'!$B$6,'TSGAP % slabs'!$D$6,IF(AH16&gt;='TSGAP % slabs'!$B$5,'TSGAP % slabs'!$D$5,IF(AH16&gt;='TSGAP % slabs'!$B$4,'TSGAP % slabs'!$D$4,0)))))</f>
        <v>0</v>
      </c>
      <c r="AJ30" s="255">
        <v>11</v>
      </c>
      <c r="AK30" s="253">
        <f>IF(AK16&gt;='TSGAP % slabs'!$B$8,'TSGAP % slabs'!$D$8,IF(AK16&gt;='TSGAP % slabs'!$B$7,'TSGAP % slabs'!$D$7,IF(AK16&gt;='TSGAP % slabs'!$B$6,'TSGAP % slabs'!$D$6,IF(AK16&gt;='TSGAP % slabs'!$B$5,'TSGAP % slabs'!$D$5,IF(AK16&gt;='TSGAP % slabs'!$B$4,'TSGAP % slabs'!$D$4,0)))))</f>
        <v>0</v>
      </c>
      <c r="AM30" s="209">
        <v>12</v>
      </c>
      <c r="AN30" s="253">
        <f>IF(AN16&gt;='TSGAP % slabs'!$B$8,'TSGAP % slabs'!$D$8,IF(AN16&gt;='TSGAP % slabs'!$B$7,'TSGAP % slabs'!$D$7,IF(AN16&gt;='TSGAP % slabs'!$B$6,'TSGAP % slabs'!$D$6,IF(AN16&gt;='TSGAP % slabs'!$B$5,'TSGAP % slabs'!$D$5,IF(AN16&gt;='TSGAP % slabs'!$B$4,'TSGAP % slabs'!$D$4,0)))))</f>
        <v>0</v>
      </c>
      <c r="AP30" s="209">
        <v>13</v>
      </c>
      <c r="AQ30" s="253">
        <f>IF(AQ16&gt;='TSGAP % slabs'!$B$8,'TSGAP % slabs'!$D$8,IF(AQ16&gt;='TSGAP % slabs'!$B$7,'TSGAP % slabs'!$D$7,IF(AQ16&gt;='TSGAP % slabs'!$B$6,'TSGAP % slabs'!$D$6,IF(AQ16&gt;='TSGAP % slabs'!$B$5,'TSGAP % slabs'!$D$5,IF(AQ16&gt;='TSGAP % slabs'!$B$4,'TSGAP % slabs'!$D$4,0)))))</f>
        <v>0</v>
      </c>
      <c r="AS30" s="209">
        <v>14</v>
      </c>
      <c r="AT30" s="253">
        <f>IF(AT16&gt;='TSGAP % slabs'!$B$8,'TSGAP % slabs'!$D$8,IF(AT16&gt;='TSGAP % slabs'!$B$7,'TSGAP % slabs'!$D$7,IF(AT16&gt;='TSGAP % slabs'!$B$6,'TSGAP % slabs'!$D$6,IF(AT16&gt;='TSGAP % slabs'!$B$5,'TSGAP % slabs'!$D$5,IF(AT16&gt;='TSGAP % slabs'!$B$4,'TSGAP % slabs'!$D$4,0)))))</f>
        <v>0</v>
      </c>
      <c r="AV30" s="209">
        <v>15</v>
      </c>
      <c r="AW30" s="253">
        <f>IF(AW16&gt;='TSGAP % slabs'!$B$8,'TSGAP % slabs'!$D$8,IF(AW16&gt;='TSGAP % slabs'!$B$7,'TSGAP % slabs'!$D$7,IF(AW16&gt;='TSGAP % slabs'!$B$6,'TSGAP % slabs'!$D$6,IF(AW16&gt;='TSGAP % slabs'!$B$5,'TSGAP % slabs'!$D$5,IF(AW16&gt;='TSGAP % slabs'!$B$4,'TSGAP % slabs'!$D$4,0)))))</f>
        <v>0</v>
      </c>
      <c r="AY30" s="209">
        <v>16</v>
      </c>
      <c r="AZ30" s="253">
        <f>IF(AZ16&gt;='TSGAP % slabs'!$B$8,'TSGAP % slabs'!$D$8,IF(AZ16&gt;='TSGAP % slabs'!$B$7,'TSGAP % slabs'!$D$7,IF(AZ16&gt;='TSGAP % slabs'!$B$6,'TSGAP % slabs'!$D$6,IF(AZ16&gt;='TSGAP % slabs'!$B$5,'TSGAP % slabs'!$D$5,IF(AZ16&gt;='TSGAP % slabs'!$B$4,'TSGAP % slabs'!$D$4,0)))))</f>
        <v>0</v>
      </c>
      <c r="BB30" s="209">
        <v>17</v>
      </c>
      <c r="BC30" s="253">
        <f>IF(BC16&gt;='TSGAP % slabs'!$B$8,'TSGAP % slabs'!$D$8,IF(BC16&gt;='TSGAP % slabs'!$B$7,'TSGAP % slabs'!$D$7,IF(BC16&gt;='TSGAP % slabs'!$B$6,'TSGAP % slabs'!$D$6,IF(BC16&gt;='TSGAP % slabs'!$B$5,'TSGAP % slabs'!$D$5,IF(BC16&gt;='TSGAP % slabs'!$B$4,'TSGAP % slabs'!$D$4,0)))))</f>
        <v>0</v>
      </c>
      <c r="BE30" s="209">
        <v>18</v>
      </c>
      <c r="BF30" s="253">
        <f>IF(BF16&gt;='TSGAP % slabs'!$B$8,'TSGAP % slabs'!$D$8,IF(BF16&gt;='TSGAP % slabs'!$B$7,'TSGAP % slabs'!$D$7,IF(BF16&gt;='TSGAP % slabs'!$B$6,'TSGAP % slabs'!$D$6,IF(BF16&gt;='TSGAP % slabs'!$B$5,'TSGAP % slabs'!$D$5,IF(BF16&gt;='TSGAP % slabs'!$B$4,'TSGAP % slabs'!$D$4,0)))))</f>
        <v>0</v>
      </c>
    </row>
    <row r="31" spans="3:59" s="209" customFormat="1" hidden="1" x14ac:dyDescent="0.2">
      <c r="C31" s="211" t="s">
        <v>14</v>
      </c>
      <c r="D31" s="210" t="s">
        <v>128</v>
      </c>
      <c r="F31" s="211" t="s">
        <v>14</v>
      </c>
      <c r="G31" s="210" t="s">
        <v>128</v>
      </c>
      <c r="I31" s="211" t="s">
        <v>14</v>
      </c>
      <c r="J31" s="210" t="s">
        <v>128</v>
      </c>
      <c r="L31" s="211" t="s">
        <v>14</v>
      </c>
      <c r="M31" s="210" t="s">
        <v>128</v>
      </c>
      <c r="O31" s="211" t="s">
        <v>14</v>
      </c>
      <c r="P31" s="210" t="s">
        <v>128</v>
      </c>
      <c r="R31" s="211" t="s">
        <v>14</v>
      </c>
      <c r="S31" s="210" t="s">
        <v>128</v>
      </c>
      <c r="U31" s="211" t="s">
        <v>14</v>
      </c>
      <c r="V31" s="210" t="s">
        <v>128</v>
      </c>
      <c r="X31" s="211" t="s">
        <v>14</v>
      </c>
      <c r="Y31" s="210" t="s">
        <v>128</v>
      </c>
      <c r="AA31" s="211" t="s">
        <v>14</v>
      </c>
      <c r="AB31" s="210" t="s">
        <v>128</v>
      </c>
      <c r="AD31" s="211" t="s">
        <v>14</v>
      </c>
      <c r="AE31" s="210" t="s">
        <v>128</v>
      </c>
      <c r="AG31" s="211" t="s">
        <v>14</v>
      </c>
      <c r="AH31" s="210" t="s">
        <v>128</v>
      </c>
      <c r="AJ31" s="211" t="s">
        <v>14</v>
      </c>
      <c r="AK31" s="210" t="s">
        <v>128</v>
      </c>
      <c r="AM31" s="211" t="s">
        <v>14</v>
      </c>
      <c r="AN31" s="210" t="s">
        <v>128</v>
      </c>
      <c r="AP31" s="211" t="s">
        <v>14</v>
      </c>
      <c r="AQ31" s="210" t="s">
        <v>128</v>
      </c>
      <c r="AS31" s="211" t="s">
        <v>14</v>
      </c>
      <c r="AT31" s="210" t="s">
        <v>128</v>
      </c>
      <c r="AV31" s="211" t="s">
        <v>14</v>
      </c>
      <c r="AW31" s="210" t="s">
        <v>128</v>
      </c>
      <c r="AY31" s="211" t="s">
        <v>14</v>
      </c>
      <c r="AZ31" s="210" t="s">
        <v>128</v>
      </c>
      <c r="BB31" s="211" t="s">
        <v>14</v>
      </c>
      <c r="BC31" s="210" t="s">
        <v>128</v>
      </c>
      <c r="BE31" s="211" t="s">
        <v>14</v>
      </c>
      <c r="BF31" s="210" t="s">
        <v>128</v>
      </c>
    </row>
    <row r="32" spans="3:59" s="209" customFormat="1" hidden="1" x14ac:dyDescent="0.2">
      <c r="C32" s="256">
        <v>1</v>
      </c>
      <c r="D32" s="257">
        <f t="shared" ref="D32:D43" si="18">IF($C$6&gt;=C$30,D16*D$30,0)</f>
        <v>200</v>
      </c>
      <c r="F32" s="256">
        <v>1</v>
      </c>
      <c r="G32" s="257">
        <f t="shared" ref="G32:G43" si="19">IF($C$6&gt;=F$30,G16*G$30,0)</f>
        <v>0</v>
      </c>
      <c r="I32" s="256">
        <v>1</v>
      </c>
      <c r="J32" s="257">
        <f t="shared" ref="J32:J43" si="20">IF($C$6&gt;=I$30,J16*J$30,0)</f>
        <v>0</v>
      </c>
      <c r="L32" s="256">
        <v>1</v>
      </c>
      <c r="M32" s="257">
        <f t="shared" ref="M32:M43" si="21">IF($C$6&gt;=L$30,M16*M$30,0)</f>
        <v>0</v>
      </c>
      <c r="O32" s="256">
        <v>1</v>
      </c>
      <c r="P32" s="257">
        <f t="shared" ref="P32:P43" si="22">IF($C$6&gt;=O$30,P16*P$30,0)</f>
        <v>0</v>
      </c>
      <c r="R32" s="256">
        <v>1</v>
      </c>
      <c r="S32" s="257">
        <f t="shared" ref="S32:S43" si="23">IF($C$6&gt;=R$30,S16*S$30,0)</f>
        <v>0</v>
      </c>
      <c r="U32" s="256">
        <v>1</v>
      </c>
      <c r="V32" s="257">
        <f t="shared" ref="V32:V43" si="24">IF($C$6&gt;=U$30,V16*V$30,0)</f>
        <v>0</v>
      </c>
      <c r="X32" s="256">
        <v>1</v>
      </c>
      <c r="Y32" s="257">
        <f t="shared" ref="Y32:Y43" si="25">IF($C$6&gt;=X$30,Y16*Y$30,0)</f>
        <v>0</v>
      </c>
      <c r="AA32" s="256">
        <v>1</v>
      </c>
      <c r="AB32" s="257">
        <f t="shared" ref="AB32:AB43" si="26">IF($C$6&gt;=AA$30,AB16*AB$30,0)</f>
        <v>0</v>
      </c>
      <c r="AD32" s="256">
        <v>1</v>
      </c>
      <c r="AE32" s="257">
        <f t="shared" ref="AE32:AE43" si="27">IF($C$6&gt;=AD$30,AE16*AE$30,0)</f>
        <v>0</v>
      </c>
      <c r="AF32" s="254">
        <f>-D32</f>
        <v>-200</v>
      </c>
      <c r="AG32" s="256">
        <v>1</v>
      </c>
      <c r="AH32" s="257">
        <f t="shared" ref="AH32:AH43" si="28">IF($C$6&gt;=AG$30,AH16*AH$30,0)</f>
        <v>0</v>
      </c>
      <c r="AI32" s="254">
        <f>-G32</f>
        <v>0</v>
      </c>
      <c r="AJ32" s="256">
        <v>1</v>
      </c>
      <c r="AK32" s="257">
        <f t="shared" ref="AK32:AK43" si="29">IF($C$6&gt;=AJ$30,AK16*AK$30,0)</f>
        <v>0</v>
      </c>
      <c r="AL32" s="254">
        <f>-J32</f>
        <v>0</v>
      </c>
      <c r="AM32" s="256">
        <v>1</v>
      </c>
      <c r="AN32" s="257">
        <f t="shared" ref="AN32:AN43" si="30">IF($C$6&gt;=AM$30,AN16*AN$30,0)</f>
        <v>0</v>
      </c>
      <c r="AO32" s="254">
        <f>-M32</f>
        <v>0</v>
      </c>
      <c r="AP32" s="256">
        <v>1</v>
      </c>
      <c r="AQ32" s="257">
        <f t="shared" ref="AQ32:AQ43" si="31">IF($C$6&gt;=AP$30,AQ16*AQ$30,0)</f>
        <v>0</v>
      </c>
      <c r="AR32" s="254">
        <f>-P32</f>
        <v>0</v>
      </c>
      <c r="AS32" s="256">
        <v>1</v>
      </c>
      <c r="AT32" s="257">
        <f t="shared" ref="AT32:AT43" si="32">IF($C$6&gt;=AS$30,AT16*AT$30,0)</f>
        <v>0</v>
      </c>
      <c r="AU32" s="254">
        <f>-S32</f>
        <v>0</v>
      </c>
      <c r="AV32" s="256">
        <v>1</v>
      </c>
      <c r="AW32" s="257">
        <f t="shared" ref="AW32:AW43" si="33">IF($C$6&gt;=AV$30,AW16*AW$30,0)</f>
        <v>0</v>
      </c>
      <c r="AX32" s="254">
        <f>-V32</f>
        <v>0</v>
      </c>
      <c r="AY32" s="256">
        <v>1</v>
      </c>
      <c r="AZ32" s="257">
        <f t="shared" ref="AZ32:AZ43" si="34">IF($C$6&gt;=AY$30,AZ16*AZ$30,0)</f>
        <v>0</v>
      </c>
      <c r="BA32" s="254">
        <f>-Y32</f>
        <v>0</v>
      </c>
      <c r="BB32" s="256">
        <v>1</v>
      </c>
      <c r="BC32" s="257">
        <f t="shared" ref="BC32:BC43" si="35">IF($C$6&gt;=BB$30,BC16*BC$30,0)</f>
        <v>0</v>
      </c>
      <c r="BD32" s="254">
        <f>-AB32</f>
        <v>0</v>
      </c>
      <c r="BE32" s="256">
        <v>1</v>
      </c>
      <c r="BF32" s="257">
        <f t="shared" ref="BF32:BF43" si="36">IF($C$6&gt;=BE$30,BF16*BF$30,0)</f>
        <v>0</v>
      </c>
      <c r="BG32" s="254">
        <f>-AE32</f>
        <v>0</v>
      </c>
    </row>
    <row r="33" spans="3:59" s="209" customFormat="1" hidden="1" x14ac:dyDescent="0.2">
      <c r="C33" s="212">
        <v>2</v>
      </c>
      <c r="D33" s="257">
        <f t="shared" si="18"/>
        <v>200</v>
      </c>
      <c r="F33" s="212">
        <v>2</v>
      </c>
      <c r="G33" s="257">
        <f t="shared" si="19"/>
        <v>0</v>
      </c>
      <c r="I33" s="212">
        <v>2</v>
      </c>
      <c r="J33" s="257">
        <f t="shared" si="20"/>
        <v>0</v>
      </c>
      <c r="L33" s="212">
        <v>2</v>
      </c>
      <c r="M33" s="257">
        <f t="shared" si="21"/>
        <v>0</v>
      </c>
      <c r="O33" s="212">
        <v>2</v>
      </c>
      <c r="P33" s="257">
        <f t="shared" si="22"/>
        <v>0</v>
      </c>
      <c r="R33" s="212">
        <v>2</v>
      </c>
      <c r="S33" s="257">
        <f t="shared" si="23"/>
        <v>0</v>
      </c>
      <c r="U33" s="212">
        <v>2</v>
      </c>
      <c r="V33" s="257">
        <f t="shared" si="24"/>
        <v>0</v>
      </c>
      <c r="X33" s="212">
        <v>2</v>
      </c>
      <c r="Y33" s="257">
        <f t="shared" si="25"/>
        <v>0</v>
      </c>
      <c r="AA33" s="212">
        <v>2</v>
      </c>
      <c r="AB33" s="257">
        <f t="shared" si="26"/>
        <v>0</v>
      </c>
      <c r="AD33" s="212">
        <v>2</v>
      </c>
      <c r="AE33" s="257">
        <f t="shared" si="27"/>
        <v>0</v>
      </c>
      <c r="AF33" s="254">
        <f t="shared" ref="AF33:AF43" si="37">-D33</f>
        <v>-200</v>
      </c>
      <c r="AG33" s="212">
        <v>2</v>
      </c>
      <c r="AH33" s="257">
        <f t="shared" si="28"/>
        <v>0</v>
      </c>
      <c r="AI33" s="254">
        <f t="shared" ref="AI33:AI43" si="38">-G33</f>
        <v>0</v>
      </c>
      <c r="AJ33" s="212">
        <v>2</v>
      </c>
      <c r="AK33" s="257">
        <f t="shared" si="29"/>
        <v>0</v>
      </c>
      <c r="AL33" s="254">
        <f t="shared" ref="AL33:AL43" si="39">-J33</f>
        <v>0</v>
      </c>
      <c r="AM33" s="212">
        <v>2</v>
      </c>
      <c r="AN33" s="257">
        <f t="shared" si="30"/>
        <v>0</v>
      </c>
      <c r="AO33" s="254">
        <f t="shared" ref="AO33:AO43" si="40">-M33</f>
        <v>0</v>
      </c>
      <c r="AP33" s="212">
        <v>2</v>
      </c>
      <c r="AQ33" s="257">
        <f t="shared" si="31"/>
        <v>0</v>
      </c>
      <c r="AR33" s="254">
        <f t="shared" ref="AR33:AR43" si="41">-P33</f>
        <v>0</v>
      </c>
      <c r="AS33" s="212">
        <v>2</v>
      </c>
      <c r="AT33" s="257">
        <f t="shared" si="32"/>
        <v>0</v>
      </c>
      <c r="AU33" s="254">
        <f t="shared" ref="AU33:AU43" si="42">-S33</f>
        <v>0</v>
      </c>
      <c r="AV33" s="212">
        <v>2</v>
      </c>
      <c r="AW33" s="257">
        <f t="shared" si="33"/>
        <v>0</v>
      </c>
      <c r="AX33" s="254">
        <f t="shared" ref="AX33:AX43" si="43">-V33</f>
        <v>0</v>
      </c>
      <c r="AY33" s="212">
        <v>2</v>
      </c>
      <c r="AZ33" s="257">
        <f t="shared" si="34"/>
        <v>0</v>
      </c>
      <c r="BA33" s="254">
        <f t="shared" ref="BA33:BA43" si="44">-Y33</f>
        <v>0</v>
      </c>
      <c r="BB33" s="212">
        <v>2</v>
      </c>
      <c r="BC33" s="257">
        <f t="shared" si="35"/>
        <v>0</v>
      </c>
      <c r="BD33" s="254">
        <f t="shared" ref="BD33:BD43" si="45">-AB33</f>
        <v>0</v>
      </c>
      <c r="BE33" s="212">
        <v>2</v>
      </c>
      <c r="BF33" s="257">
        <f t="shared" si="36"/>
        <v>0</v>
      </c>
      <c r="BG33" s="254">
        <f t="shared" ref="BG33:BG43" si="46">-AE33</f>
        <v>0</v>
      </c>
    </row>
    <row r="34" spans="3:59" s="209" customFormat="1" hidden="1" x14ac:dyDescent="0.2">
      <c r="C34" s="212">
        <v>3</v>
      </c>
      <c r="D34" s="257">
        <f t="shared" si="18"/>
        <v>0</v>
      </c>
      <c r="F34" s="212">
        <v>3</v>
      </c>
      <c r="G34" s="257">
        <f t="shared" si="19"/>
        <v>0</v>
      </c>
      <c r="I34" s="212">
        <v>3</v>
      </c>
      <c r="J34" s="257">
        <f t="shared" si="20"/>
        <v>0</v>
      </c>
      <c r="L34" s="212">
        <v>3</v>
      </c>
      <c r="M34" s="257">
        <f t="shared" si="21"/>
        <v>0</v>
      </c>
      <c r="O34" s="212">
        <v>3</v>
      </c>
      <c r="P34" s="257">
        <f t="shared" si="22"/>
        <v>0</v>
      </c>
      <c r="R34" s="212">
        <v>3</v>
      </c>
      <c r="S34" s="257">
        <f t="shared" si="23"/>
        <v>0</v>
      </c>
      <c r="U34" s="212">
        <v>3</v>
      </c>
      <c r="V34" s="257">
        <f t="shared" si="24"/>
        <v>0</v>
      </c>
      <c r="X34" s="212">
        <v>3</v>
      </c>
      <c r="Y34" s="257">
        <f t="shared" si="25"/>
        <v>0</v>
      </c>
      <c r="AA34" s="212">
        <v>3</v>
      </c>
      <c r="AB34" s="257">
        <f t="shared" si="26"/>
        <v>0</v>
      </c>
      <c r="AD34" s="212">
        <v>3</v>
      </c>
      <c r="AE34" s="257">
        <f t="shared" si="27"/>
        <v>0</v>
      </c>
      <c r="AF34" s="254">
        <f t="shared" si="37"/>
        <v>0</v>
      </c>
      <c r="AG34" s="212">
        <v>3</v>
      </c>
      <c r="AH34" s="257">
        <f t="shared" si="28"/>
        <v>0</v>
      </c>
      <c r="AI34" s="254">
        <f t="shared" si="38"/>
        <v>0</v>
      </c>
      <c r="AJ34" s="212">
        <v>3</v>
      </c>
      <c r="AK34" s="257">
        <f t="shared" si="29"/>
        <v>0</v>
      </c>
      <c r="AL34" s="254">
        <f t="shared" si="39"/>
        <v>0</v>
      </c>
      <c r="AM34" s="212">
        <v>3</v>
      </c>
      <c r="AN34" s="257">
        <f t="shared" si="30"/>
        <v>0</v>
      </c>
      <c r="AO34" s="254">
        <f t="shared" si="40"/>
        <v>0</v>
      </c>
      <c r="AP34" s="212">
        <v>3</v>
      </c>
      <c r="AQ34" s="257">
        <f t="shared" si="31"/>
        <v>0</v>
      </c>
      <c r="AR34" s="254">
        <f t="shared" si="41"/>
        <v>0</v>
      </c>
      <c r="AS34" s="212">
        <v>3</v>
      </c>
      <c r="AT34" s="257">
        <f t="shared" si="32"/>
        <v>0</v>
      </c>
      <c r="AU34" s="254">
        <f t="shared" si="42"/>
        <v>0</v>
      </c>
      <c r="AV34" s="212">
        <v>3</v>
      </c>
      <c r="AW34" s="257">
        <f t="shared" si="33"/>
        <v>0</v>
      </c>
      <c r="AX34" s="254">
        <f t="shared" si="43"/>
        <v>0</v>
      </c>
      <c r="AY34" s="212">
        <v>3</v>
      </c>
      <c r="AZ34" s="257">
        <f t="shared" si="34"/>
        <v>0</v>
      </c>
      <c r="BA34" s="254">
        <f t="shared" si="44"/>
        <v>0</v>
      </c>
      <c r="BB34" s="212">
        <v>3</v>
      </c>
      <c r="BC34" s="257">
        <f t="shared" si="35"/>
        <v>0</v>
      </c>
      <c r="BD34" s="254">
        <f t="shared" si="45"/>
        <v>0</v>
      </c>
      <c r="BE34" s="212">
        <v>3</v>
      </c>
      <c r="BF34" s="257">
        <f t="shared" si="36"/>
        <v>0</v>
      </c>
      <c r="BG34" s="254">
        <f t="shared" si="46"/>
        <v>0</v>
      </c>
    </row>
    <row r="35" spans="3:59" s="209" customFormat="1" hidden="1" x14ac:dyDescent="0.2">
      <c r="C35" s="212">
        <v>4</v>
      </c>
      <c r="D35" s="257">
        <f t="shared" si="18"/>
        <v>0</v>
      </c>
      <c r="F35" s="212">
        <v>4</v>
      </c>
      <c r="G35" s="257">
        <f t="shared" si="19"/>
        <v>0</v>
      </c>
      <c r="I35" s="212">
        <v>4</v>
      </c>
      <c r="J35" s="257">
        <f t="shared" si="20"/>
        <v>0</v>
      </c>
      <c r="L35" s="212">
        <v>4</v>
      </c>
      <c r="M35" s="257">
        <f t="shared" si="21"/>
        <v>0</v>
      </c>
      <c r="O35" s="212">
        <v>4</v>
      </c>
      <c r="P35" s="257">
        <f t="shared" si="22"/>
        <v>0</v>
      </c>
      <c r="R35" s="212">
        <v>4</v>
      </c>
      <c r="S35" s="257">
        <f t="shared" si="23"/>
        <v>0</v>
      </c>
      <c r="U35" s="212">
        <v>4</v>
      </c>
      <c r="V35" s="257">
        <f t="shared" si="24"/>
        <v>0</v>
      </c>
      <c r="X35" s="212">
        <v>4</v>
      </c>
      <c r="Y35" s="257">
        <f t="shared" si="25"/>
        <v>0</v>
      </c>
      <c r="AA35" s="212">
        <v>4</v>
      </c>
      <c r="AB35" s="257">
        <f t="shared" si="26"/>
        <v>0</v>
      </c>
      <c r="AD35" s="212">
        <v>4</v>
      </c>
      <c r="AE35" s="257">
        <f t="shared" si="27"/>
        <v>0</v>
      </c>
      <c r="AF35" s="254">
        <f t="shared" si="37"/>
        <v>0</v>
      </c>
      <c r="AG35" s="212">
        <v>4</v>
      </c>
      <c r="AH35" s="257">
        <f t="shared" si="28"/>
        <v>0</v>
      </c>
      <c r="AI35" s="254">
        <f t="shared" si="38"/>
        <v>0</v>
      </c>
      <c r="AJ35" s="212">
        <v>4</v>
      </c>
      <c r="AK35" s="257">
        <f t="shared" si="29"/>
        <v>0</v>
      </c>
      <c r="AL35" s="254">
        <f t="shared" si="39"/>
        <v>0</v>
      </c>
      <c r="AM35" s="212">
        <v>4</v>
      </c>
      <c r="AN35" s="257">
        <f t="shared" si="30"/>
        <v>0</v>
      </c>
      <c r="AO35" s="254">
        <f t="shared" si="40"/>
        <v>0</v>
      </c>
      <c r="AP35" s="212">
        <v>4</v>
      </c>
      <c r="AQ35" s="257">
        <f t="shared" si="31"/>
        <v>0</v>
      </c>
      <c r="AR35" s="254">
        <f t="shared" si="41"/>
        <v>0</v>
      </c>
      <c r="AS35" s="212">
        <v>4</v>
      </c>
      <c r="AT35" s="257">
        <f t="shared" si="32"/>
        <v>0</v>
      </c>
      <c r="AU35" s="254">
        <f t="shared" si="42"/>
        <v>0</v>
      </c>
      <c r="AV35" s="212">
        <v>4</v>
      </c>
      <c r="AW35" s="257">
        <f t="shared" si="33"/>
        <v>0</v>
      </c>
      <c r="AX35" s="254">
        <f t="shared" si="43"/>
        <v>0</v>
      </c>
      <c r="AY35" s="212">
        <v>4</v>
      </c>
      <c r="AZ35" s="257">
        <f t="shared" si="34"/>
        <v>0</v>
      </c>
      <c r="BA35" s="254">
        <f t="shared" si="44"/>
        <v>0</v>
      </c>
      <c r="BB35" s="212">
        <v>4</v>
      </c>
      <c r="BC35" s="257">
        <f t="shared" si="35"/>
        <v>0</v>
      </c>
      <c r="BD35" s="254">
        <f t="shared" si="45"/>
        <v>0</v>
      </c>
      <c r="BE35" s="212">
        <v>4</v>
      </c>
      <c r="BF35" s="257">
        <f t="shared" si="36"/>
        <v>0</v>
      </c>
      <c r="BG35" s="254">
        <f t="shared" si="46"/>
        <v>0</v>
      </c>
    </row>
    <row r="36" spans="3:59" s="209" customFormat="1" hidden="1" x14ac:dyDescent="0.2">
      <c r="C36" s="212">
        <v>5</v>
      </c>
      <c r="D36" s="257">
        <f t="shared" si="18"/>
        <v>0</v>
      </c>
      <c r="F36" s="212">
        <v>5</v>
      </c>
      <c r="G36" s="257">
        <f t="shared" si="19"/>
        <v>0</v>
      </c>
      <c r="I36" s="212">
        <v>5</v>
      </c>
      <c r="J36" s="257">
        <f t="shared" si="20"/>
        <v>0</v>
      </c>
      <c r="L36" s="212">
        <v>5</v>
      </c>
      <c r="M36" s="257">
        <f t="shared" si="21"/>
        <v>0</v>
      </c>
      <c r="O36" s="212">
        <v>5</v>
      </c>
      <c r="P36" s="257">
        <f t="shared" si="22"/>
        <v>0</v>
      </c>
      <c r="R36" s="212">
        <v>5</v>
      </c>
      <c r="S36" s="257">
        <f t="shared" si="23"/>
        <v>0</v>
      </c>
      <c r="U36" s="212">
        <v>5</v>
      </c>
      <c r="V36" s="257">
        <f t="shared" si="24"/>
        <v>0</v>
      </c>
      <c r="X36" s="212">
        <v>5</v>
      </c>
      <c r="Y36" s="257">
        <f t="shared" si="25"/>
        <v>0</v>
      </c>
      <c r="AA36" s="212">
        <v>5</v>
      </c>
      <c r="AB36" s="257">
        <f t="shared" si="26"/>
        <v>0</v>
      </c>
      <c r="AD36" s="212">
        <v>5</v>
      </c>
      <c r="AE36" s="257">
        <f t="shared" si="27"/>
        <v>0</v>
      </c>
      <c r="AF36" s="254">
        <f t="shared" si="37"/>
        <v>0</v>
      </c>
      <c r="AG36" s="212">
        <v>5</v>
      </c>
      <c r="AH36" s="257">
        <f t="shared" si="28"/>
        <v>0</v>
      </c>
      <c r="AI36" s="254">
        <f t="shared" si="38"/>
        <v>0</v>
      </c>
      <c r="AJ36" s="212">
        <v>5</v>
      </c>
      <c r="AK36" s="257">
        <f t="shared" si="29"/>
        <v>0</v>
      </c>
      <c r="AL36" s="254">
        <f t="shared" si="39"/>
        <v>0</v>
      </c>
      <c r="AM36" s="212">
        <v>5</v>
      </c>
      <c r="AN36" s="257">
        <f t="shared" si="30"/>
        <v>0</v>
      </c>
      <c r="AO36" s="254">
        <f t="shared" si="40"/>
        <v>0</v>
      </c>
      <c r="AP36" s="212">
        <v>5</v>
      </c>
      <c r="AQ36" s="257">
        <f t="shared" si="31"/>
        <v>0</v>
      </c>
      <c r="AR36" s="254">
        <f t="shared" si="41"/>
        <v>0</v>
      </c>
      <c r="AS36" s="212">
        <v>5</v>
      </c>
      <c r="AT36" s="257">
        <f t="shared" si="32"/>
        <v>0</v>
      </c>
      <c r="AU36" s="254">
        <f t="shared" si="42"/>
        <v>0</v>
      </c>
      <c r="AV36" s="212">
        <v>5</v>
      </c>
      <c r="AW36" s="257">
        <f t="shared" si="33"/>
        <v>0</v>
      </c>
      <c r="AX36" s="254">
        <f t="shared" si="43"/>
        <v>0</v>
      </c>
      <c r="AY36" s="212">
        <v>5</v>
      </c>
      <c r="AZ36" s="257">
        <f t="shared" si="34"/>
        <v>0</v>
      </c>
      <c r="BA36" s="254">
        <f t="shared" si="44"/>
        <v>0</v>
      </c>
      <c r="BB36" s="212">
        <v>5</v>
      </c>
      <c r="BC36" s="257">
        <f t="shared" si="35"/>
        <v>0</v>
      </c>
      <c r="BD36" s="254">
        <f t="shared" si="45"/>
        <v>0</v>
      </c>
      <c r="BE36" s="212">
        <v>5</v>
      </c>
      <c r="BF36" s="257">
        <f t="shared" si="36"/>
        <v>0</v>
      </c>
      <c r="BG36" s="254">
        <f t="shared" si="46"/>
        <v>0</v>
      </c>
    </row>
    <row r="37" spans="3:59" s="209" customFormat="1" hidden="1" x14ac:dyDescent="0.2">
      <c r="C37" s="212">
        <v>6</v>
      </c>
      <c r="D37" s="257">
        <f t="shared" si="18"/>
        <v>0</v>
      </c>
      <c r="F37" s="212">
        <v>6</v>
      </c>
      <c r="G37" s="257">
        <f t="shared" si="19"/>
        <v>0</v>
      </c>
      <c r="I37" s="212">
        <v>6</v>
      </c>
      <c r="J37" s="257">
        <f t="shared" si="20"/>
        <v>0</v>
      </c>
      <c r="L37" s="212">
        <v>6</v>
      </c>
      <c r="M37" s="257">
        <f t="shared" si="21"/>
        <v>0</v>
      </c>
      <c r="O37" s="212">
        <v>6</v>
      </c>
      <c r="P37" s="257">
        <f t="shared" si="22"/>
        <v>0</v>
      </c>
      <c r="R37" s="212">
        <v>6</v>
      </c>
      <c r="S37" s="257">
        <f t="shared" si="23"/>
        <v>0</v>
      </c>
      <c r="U37" s="212">
        <v>6</v>
      </c>
      <c r="V37" s="257">
        <f t="shared" si="24"/>
        <v>0</v>
      </c>
      <c r="X37" s="212">
        <v>6</v>
      </c>
      <c r="Y37" s="257">
        <f t="shared" si="25"/>
        <v>0</v>
      </c>
      <c r="AA37" s="212">
        <v>6</v>
      </c>
      <c r="AB37" s="257">
        <f t="shared" si="26"/>
        <v>0</v>
      </c>
      <c r="AD37" s="212">
        <v>6</v>
      </c>
      <c r="AE37" s="257">
        <f t="shared" si="27"/>
        <v>0</v>
      </c>
      <c r="AF37" s="254">
        <f t="shared" si="37"/>
        <v>0</v>
      </c>
      <c r="AG37" s="212">
        <v>6</v>
      </c>
      <c r="AH37" s="257">
        <f t="shared" si="28"/>
        <v>0</v>
      </c>
      <c r="AI37" s="254">
        <f t="shared" si="38"/>
        <v>0</v>
      </c>
      <c r="AJ37" s="212">
        <v>6</v>
      </c>
      <c r="AK37" s="257">
        <f t="shared" si="29"/>
        <v>0</v>
      </c>
      <c r="AL37" s="254">
        <f t="shared" si="39"/>
        <v>0</v>
      </c>
      <c r="AM37" s="212">
        <v>6</v>
      </c>
      <c r="AN37" s="257">
        <f t="shared" si="30"/>
        <v>0</v>
      </c>
      <c r="AO37" s="254">
        <f t="shared" si="40"/>
        <v>0</v>
      </c>
      <c r="AP37" s="212">
        <v>6</v>
      </c>
      <c r="AQ37" s="257">
        <f t="shared" si="31"/>
        <v>0</v>
      </c>
      <c r="AR37" s="254">
        <f t="shared" si="41"/>
        <v>0</v>
      </c>
      <c r="AS37" s="212">
        <v>6</v>
      </c>
      <c r="AT37" s="257">
        <f t="shared" si="32"/>
        <v>0</v>
      </c>
      <c r="AU37" s="254">
        <f t="shared" si="42"/>
        <v>0</v>
      </c>
      <c r="AV37" s="212">
        <v>6</v>
      </c>
      <c r="AW37" s="257">
        <f t="shared" si="33"/>
        <v>0</v>
      </c>
      <c r="AX37" s="254">
        <f t="shared" si="43"/>
        <v>0</v>
      </c>
      <c r="AY37" s="212">
        <v>6</v>
      </c>
      <c r="AZ37" s="257">
        <f t="shared" si="34"/>
        <v>0</v>
      </c>
      <c r="BA37" s="254">
        <f t="shared" si="44"/>
        <v>0</v>
      </c>
      <c r="BB37" s="212">
        <v>6</v>
      </c>
      <c r="BC37" s="257">
        <f t="shared" si="35"/>
        <v>0</v>
      </c>
      <c r="BD37" s="254">
        <f t="shared" si="45"/>
        <v>0</v>
      </c>
      <c r="BE37" s="212">
        <v>6</v>
      </c>
      <c r="BF37" s="257">
        <f t="shared" si="36"/>
        <v>0</v>
      </c>
      <c r="BG37" s="254">
        <f t="shared" si="46"/>
        <v>0</v>
      </c>
    </row>
    <row r="38" spans="3:59" s="209" customFormat="1" hidden="1" x14ac:dyDescent="0.2">
      <c r="C38" s="212">
        <v>7</v>
      </c>
      <c r="D38" s="257">
        <f t="shared" si="18"/>
        <v>0</v>
      </c>
      <c r="F38" s="212">
        <v>7</v>
      </c>
      <c r="G38" s="257">
        <f t="shared" si="19"/>
        <v>0</v>
      </c>
      <c r="I38" s="212">
        <v>7</v>
      </c>
      <c r="J38" s="257">
        <f t="shared" si="20"/>
        <v>0</v>
      </c>
      <c r="L38" s="212">
        <v>7</v>
      </c>
      <c r="M38" s="257">
        <f t="shared" si="21"/>
        <v>0</v>
      </c>
      <c r="O38" s="212">
        <v>7</v>
      </c>
      <c r="P38" s="257">
        <f t="shared" si="22"/>
        <v>0</v>
      </c>
      <c r="R38" s="212">
        <v>7</v>
      </c>
      <c r="S38" s="257">
        <f t="shared" si="23"/>
        <v>0</v>
      </c>
      <c r="U38" s="212">
        <v>7</v>
      </c>
      <c r="V38" s="257">
        <f t="shared" si="24"/>
        <v>0</v>
      </c>
      <c r="X38" s="212">
        <v>7</v>
      </c>
      <c r="Y38" s="257">
        <f t="shared" si="25"/>
        <v>0</v>
      </c>
      <c r="AA38" s="212">
        <v>7</v>
      </c>
      <c r="AB38" s="257">
        <f t="shared" si="26"/>
        <v>0</v>
      </c>
      <c r="AD38" s="212">
        <v>7</v>
      </c>
      <c r="AE38" s="257">
        <f t="shared" si="27"/>
        <v>0</v>
      </c>
      <c r="AF38" s="254">
        <f t="shared" si="37"/>
        <v>0</v>
      </c>
      <c r="AG38" s="212">
        <v>7</v>
      </c>
      <c r="AH38" s="257">
        <f t="shared" si="28"/>
        <v>0</v>
      </c>
      <c r="AI38" s="254">
        <f t="shared" si="38"/>
        <v>0</v>
      </c>
      <c r="AJ38" s="212">
        <v>7</v>
      </c>
      <c r="AK38" s="257">
        <f t="shared" si="29"/>
        <v>0</v>
      </c>
      <c r="AL38" s="254">
        <f t="shared" si="39"/>
        <v>0</v>
      </c>
      <c r="AM38" s="212">
        <v>7</v>
      </c>
      <c r="AN38" s="257">
        <f t="shared" si="30"/>
        <v>0</v>
      </c>
      <c r="AO38" s="254">
        <f t="shared" si="40"/>
        <v>0</v>
      </c>
      <c r="AP38" s="212">
        <v>7</v>
      </c>
      <c r="AQ38" s="257">
        <f t="shared" si="31"/>
        <v>0</v>
      </c>
      <c r="AR38" s="254">
        <f t="shared" si="41"/>
        <v>0</v>
      </c>
      <c r="AS38" s="212">
        <v>7</v>
      </c>
      <c r="AT38" s="257">
        <f t="shared" si="32"/>
        <v>0</v>
      </c>
      <c r="AU38" s="254">
        <f t="shared" si="42"/>
        <v>0</v>
      </c>
      <c r="AV38" s="212">
        <v>7</v>
      </c>
      <c r="AW38" s="257">
        <f t="shared" si="33"/>
        <v>0</v>
      </c>
      <c r="AX38" s="254">
        <f t="shared" si="43"/>
        <v>0</v>
      </c>
      <c r="AY38" s="212">
        <v>7</v>
      </c>
      <c r="AZ38" s="257">
        <f t="shared" si="34"/>
        <v>0</v>
      </c>
      <c r="BA38" s="254">
        <f t="shared" si="44"/>
        <v>0</v>
      </c>
      <c r="BB38" s="212">
        <v>7</v>
      </c>
      <c r="BC38" s="257">
        <f t="shared" si="35"/>
        <v>0</v>
      </c>
      <c r="BD38" s="254">
        <f t="shared" si="45"/>
        <v>0</v>
      </c>
      <c r="BE38" s="212">
        <v>7</v>
      </c>
      <c r="BF38" s="257">
        <f t="shared" si="36"/>
        <v>0</v>
      </c>
      <c r="BG38" s="254">
        <f t="shared" si="46"/>
        <v>0</v>
      </c>
    </row>
    <row r="39" spans="3:59" s="209" customFormat="1" hidden="1" x14ac:dyDescent="0.2">
      <c r="C39" s="212">
        <v>8</v>
      </c>
      <c r="D39" s="257">
        <f t="shared" si="18"/>
        <v>0</v>
      </c>
      <c r="F39" s="212">
        <v>8</v>
      </c>
      <c r="G39" s="257">
        <f t="shared" si="19"/>
        <v>0</v>
      </c>
      <c r="I39" s="212">
        <v>8</v>
      </c>
      <c r="J39" s="257">
        <f t="shared" si="20"/>
        <v>0</v>
      </c>
      <c r="L39" s="212">
        <v>8</v>
      </c>
      <c r="M39" s="257">
        <f t="shared" si="21"/>
        <v>0</v>
      </c>
      <c r="O39" s="212">
        <v>8</v>
      </c>
      <c r="P39" s="257">
        <f t="shared" si="22"/>
        <v>0</v>
      </c>
      <c r="R39" s="212">
        <v>8</v>
      </c>
      <c r="S39" s="257">
        <f t="shared" si="23"/>
        <v>0</v>
      </c>
      <c r="U39" s="212">
        <v>8</v>
      </c>
      <c r="V39" s="257">
        <f t="shared" si="24"/>
        <v>0</v>
      </c>
      <c r="X39" s="212">
        <v>8</v>
      </c>
      <c r="Y39" s="257">
        <f t="shared" si="25"/>
        <v>0</v>
      </c>
      <c r="AA39" s="212">
        <v>8</v>
      </c>
      <c r="AB39" s="257">
        <f t="shared" si="26"/>
        <v>0</v>
      </c>
      <c r="AD39" s="212">
        <v>8</v>
      </c>
      <c r="AE39" s="257">
        <f t="shared" si="27"/>
        <v>0</v>
      </c>
      <c r="AF39" s="254">
        <f t="shared" si="37"/>
        <v>0</v>
      </c>
      <c r="AG39" s="212">
        <v>8</v>
      </c>
      <c r="AH39" s="257">
        <f t="shared" si="28"/>
        <v>0</v>
      </c>
      <c r="AI39" s="254">
        <f t="shared" si="38"/>
        <v>0</v>
      </c>
      <c r="AJ39" s="212">
        <v>8</v>
      </c>
      <c r="AK39" s="257">
        <f t="shared" si="29"/>
        <v>0</v>
      </c>
      <c r="AL39" s="254">
        <f t="shared" si="39"/>
        <v>0</v>
      </c>
      <c r="AM39" s="212">
        <v>8</v>
      </c>
      <c r="AN39" s="257">
        <f t="shared" si="30"/>
        <v>0</v>
      </c>
      <c r="AO39" s="254">
        <f t="shared" si="40"/>
        <v>0</v>
      </c>
      <c r="AP39" s="212">
        <v>8</v>
      </c>
      <c r="AQ39" s="257">
        <f t="shared" si="31"/>
        <v>0</v>
      </c>
      <c r="AR39" s="254">
        <f t="shared" si="41"/>
        <v>0</v>
      </c>
      <c r="AS39" s="212">
        <v>8</v>
      </c>
      <c r="AT39" s="257">
        <f t="shared" si="32"/>
        <v>0</v>
      </c>
      <c r="AU39" s="254">
        <f t="shared" si="42"/>
        <v>0</v>
      </c>
      <c r="AV39" s="212">
        <v>8</v>
      </c>
      <c r="AW39" s="257">
        <f t="shared" si="33"/>
        <v>0</v>
      </c>
      <c r="AX39" s="254">
        <f t="shared" si="43"/>
        <v>0</v>
      </c>
      <c r="AY39" s="212">
        <v>8</v>
      </c>
      <c r="AZ39" s="257">
        <f t="shared" si="34"/>
        <v>0</v>
      </c>
      <c r="BA39" s="254">
        <f t="shared" si="44"/>
        <v>0</v>
      </c>
      <c r="BB39" s="212">
        <v>8</v>
      </c>
      <c r="BC39" s="257">
        <f t="shared" si="35"/>
        <v>0</v>
      </c>
      <c r="BD39" s="254">
        <f t="shared" si="45"/>
        <v>0</v>
      </c>
      <c r="BE39" s="212">
        <v>8</v>
      </c>
      <c r="BF39" s="257">
        <f t="shared" si="36"/>
        <v>0</v>
      </c>
      <c r="BG39" s="254">
        <f t="shared" si="46"/>
        <v>0</v>
      </c>
    </row>
    <row r="40" spans="3:59" s="209" customFormat="1" hidden="1" x14ac:dyDescent="0.2">
      <c r="C40" s="212">
        <v>9</v>
      </c>
      <c r="D40" s="257">
        <f t="shared" si="18"/>
        <v>0</v>
      </c>
      <c r="F40" s="212">
        <v>9</v>
      </c>
      <c r="G40" s="257">
        <f t="shared" si="19"/>
        <v>0</v>
      </c>
      <c r="I40" s="212">
        <v>9</v>
      </c>
      <c r="J40" s="257">
        <f t="shared" si="20"/>
        <v>0</v>
      </c>
      <c r="L40" s="212">
        <v>9</v>
      </c>
      <c r="M40" s="257">
        <f t="shared" si="21"/>
        <v>0</v>
      </c>
      <c r="O40" s="212">
        <v>9</v>
      </c>
      <c r="P40" s="257">
        <f t="shared" si="22"/>
        <v>0</v>
      </c>
      <c r="R40" s="212">
        <v>9</v>
      </c>
      <c r="S40" s="257">
        <f t="shared" si="23"/>
        <v>0</v>
      </c>
      <c r="U40" s="212">
        <v>9</v>
      </c>
      <c r="V40" s="257">
        <f t="shared" si="24"/>
        <v>0</v>
      </c>
      <c r="X40" s="212">
        <v>9</v>
      </c>
      <c r="Y40" s="257">
        <f t="shared" si="25"/>
        <v>0</v>
      </c>
      <c r="AA40" s="212">
        <v>9</v>
      </c>
      <c r="AB40" s="257">
        <f t="shared" si="26"/>
        <v>0</v>
      </c>
      <c r="AD40" s="212">
        <v>9</v>
      </c>
      <c r="AE40" s="257">
        <f t="shared" si="27"/>
        <v>0</v>
      </c>
      <c r="AF40" s="254">
        <f t="shared" si="37"/>
        <v>0</v>
      </c>
      <c r="AG40" s="212">
        <v>9</v>
      </c>
      <c r="AH40" s="257">
        <f t="shared" si="28"/>
        <v>0</v>
      </c>
      <c r="AI40" s="254">
        <f t="shared" si="38"/>
        <v>0</v>
      </c>
      <c r="AJ40" s="212">
        <v>9</v>
      </c>
      <c r="AK40" s="257">
        <f t="shared" si="29"/>
        <v>0</v>
      </c>
      <c r="AL40" s="254">
        <f t="shared" si="39"/>
        <v>0</v>
      </c>
      <c r="AM40" s="212">
        <v>9</v>
      </c>
      <c r="AN40" s="257">
        <f t="shared" si="30"/>
        <v>0</v>
      </c>
      <c r="AO40" s="254">
        <f t="shared" si="40"/>
        <v>0</v>
      </c>
      <c r="AP40" s="212">
        <v>9</v>
      </c>
      <c r="AQ40" s="257">
        <f t="shared" si="31"/>
        <v>0</v>
      </c>
      <c r="AR40" s="254">
        <f t="shared" si="41"/>
        <v>0</v>
      </c>
      <c r="AS40" s="212">
        <v>9</v>
      </c>
      <c r="AT40" s="257">
        <f t="shared" si="32"/>
        <v>0</v>
      </c>
      <c r="AU40" s="254">
        <f t="shared" si="42"/>
        <v>0</v>
      </c>
      <c r="AV40" s="212">
        <v>9</v>
      </c>
      <c r="AW40" s="257">
        <f t="shared" si="33"/>
        <v>0</v>
      </c>
      <c r="AX40" s="254">
        <f t="shared" si="43"/>
        <v>0</v>
      </c>
      <c r="AY40" s="212">
        <v>9</v>
      </c>
      <c r="AZ40" s="257">
        <f t="shared" si="34"/>
        <v>0</v>
      </c>
      <c r="BA40" s="254">
        <f t="shared" si="44"/>
        <v>0</v>
      </c>
      <c r="BB40" s="212">
        <v>9</v>
      </c>
      <c r="BC40" s="257">
        <f t="shared" si="35"/>
        <v>0</v>
      </c>
      <c r="BD40" s="254">
        <f t="shared" si="45"/>
        <v>0</v>
      </c>
      <c r="BE40" s="212">
        <v>9</v>
      </c>
      <c r="BF40" s="257">
        <f t="shared" si="36"/>
        <v>0</v>
      </c>
      <c r="BG40" s="254">
        <f t="shared" si="46"/>
        <v>0</v>
      </c>
    </row>
    <row r="41" spans="3:59" s="209" customFormat="1" hidden="1" x14ac:dyDescent="0.2">
      <c r="C41" s="212">
        <v>10</v>
      </c>
      <c r="D41" s="257">
        <f t="shared" si="18"/>
        <v>0</v>
      </c>
      <c r="F41" s="212">
        <v>10</v>
      </c>
      <c r="G41" s="257">
        <f t="shared" si="19"/>
        <v>0</v>
      </c>
      <c r="I41" s="212">
        <v>10</v>
      </c>
      <c r="J41" s="257">
        <f t="shared" si="20"/>
        <v>0</v>
      </c>
      <c r="L41" s="212">
        <v>10</v>
      </c>
      <c r="M41" s="257">
        <f t="shared" si="21"/>
        <v>0</v>
      </c>
      <c r="O41" s="212">
        <v>10</v>
      </c>
      <c r="P41" s="257">
        <f t="shared" si="22"/>
        <v>0</v>
      </c>
      <c r="R41" s="212">
        <v>10</v>
      </c>
      <c r="S41" s="257">
        <f t="shared" si="23"/>
        <v>0</v>
      </c>
      <c r="U41" s="212">
        <v>10</v>
      </c>
      <c r="V41" s="257">
        <f t="shared" si="24"/>
        <v>0</v>
      </c>
      <c r="X41" s="212">
        <v>10</v>
      </c>
      <c r="Y41" s="257">
        <f t="shared" si="25"/>
        <v>0</v>
      </c>
      <c r="AA41" s="212">
        <v>10</v>
      </c>
      <c r="AB41" s="257">
        <f t="shared" si="26"/>
        <v>0</v>
      </c>
      <c r="AD41" s="212">
        <v>10</v>
      </c>
      <c r="AE41" s="257">
        <f t="shared" si="27"/>
        <v>0</v>
      </c>
      <c r="AF41" s="254">
        <f t="shared" si="37"/>
        <v>0</v>
      </c>
      <c r="AG41" s="212">
        <v>10</v>
      </c>
      <c r="AH41" s="257">
        <f t="shared" si="28"/>
        <v>0</v>
      </c>
      <c r="AI41" s="254">
        <f t="shared" si="38"/>
        <v>0</v>
      </c>
      <c r="AJ41" s="212">
        <v>10</v>
      </c>
      <c r="AK41" s="257">
        <f t="shared" si="29"/>
        <v>0</v>
      </c>
      <c r="AL41" s="254">
        <f t="shared" si="39"/>
        <v>0</v>
      </c>
      <c r="AM41" s="212">
        <v>10</v>
      </c>
      <c r="AN41" s="257">
        <f t="shared" si="30"/>
        <v>0</v>
      </c>
      <c r="AO41" s="254">
        <f t="shared" si="40"/>
        <v>0</v>
      </c>
      <c r="AP41" s="212">
        <v>10</v>
      </c>
      <c r="AQ41" s="257">
        <f t="shared" si="31"/>
        <v>0</v>
      </c>
      <c r="AR41" s="254">
        <f t="shared" si="41"/>
        <v>0</v>
      </c>
      <c r="AS41" s="212">
        <v>10</v>
      </c>
      <c r="AT41" s="257">
        <f t="shared" si="32"/>
        <v>0</v>
      </c>
      <c r="AU41" s="254">
        <f t="shared" si="42"/>
        <v>0</v>
      </c>
      <c r="AV41" s="212">
        <v>10</v>
      </c>
      <c r="AW41" s="257">
        <f t="shared" si="33"/>
        <v>0</v>
      </c>
      <c r="AX41" s="254">
        <f t="shared" si="43"/>
        <v>0</v>
      </c>
      <c r="AY41" s="212">
        <v>10</v>
      </c>
      <c r="AZ41" s="257">
        <f t="shared" si="34"/>
        <v>0</v>
      </c>
      <c r="BA41" s="254">
        <f t="shared" si="44"/>
        <v>0</v>
      </c>
      <c r="BB41" s="212">
        <v>10</v>
      </c>
      <c r="BC41" s="257">
        <f t="shared" si="35"/>
        <v>0</v>
      </c>
      <c r="BD41" s="254">
        <f t="shared" si="45"/>
        <v>0</v>
      </c>
      <c r="BE41" s="212">
        <v>10</v>
      </c>
      <c r="BF41" s="257">
        <f t="shared" si="36"/>
        <v>0</v>
      </c>
      <c r="BG41" s="254">
        <f t="shared" si="46"/>
        <v>0</v>
      </c>
    </row>
    <row r="42" spans="3:59" s="209" customFormat="1" hidden="1" x14ac:dyDescent="0.2">
      <c r="C42" s="212">
        <v>11</v>
      </c>
      <c r="D42" s="257">
        <f t="shared" si="18"/>
        <v>0</v>
      </c>
      <c r="F42" s="212">
        <v>11</v>
      </c>
      <c r="G42" s="257">
        <f t="shared" si="19"/>
        <v>0</v>
      </c>
      <c r="I42" s="212">
        <v>11</v>
      </c>
      <c r="J42" s="257">
        <f t="shared" si="20"/>
        <v>0</v>
      </c>
      <c r="L42" s="212">
        <v>11</v>
      </c>
      <c r="M42" s="257">
        <f t="shared" si="21"/>
        <v>0</v>
      </c>
      <c r="O42" s="212">
        <v>11</v>
      </c>
      <c r="P42" s="257">
        <f t="shared" si="22"/>
        <v>0</v>
      </c>
      <c r="R42" s="212">
        <v>11</v>
      </c>
      <c r="S42" s="257">
        <f t="shared" si="23"/>
        <v>0</v>
      </c>
      <c r="U42" s="212">
        <v>11</v>
      </c>
      <c r="V42" s="257">
        <f t="shared" si="24"/>
        <v>0</v>
      </c>
      <c r="X42" s="212">
        <v>11</v>
      </c>
      <c r="Y42" s="257">
        <f t="shared" si="25"/>
        <v>0</v>
      </c>
      <c r="AA42" s="212">
        <v>11</v>
      </c>
      <c r="AB42" s="257">
        <f t="shared" si="26"/>
        <v>0</v>
      </c>
      <c r="AD42" s="212">
        <v>11</v>
      </c>
      <c r="AE42" s="257">
        <f t="shared" si="27"/>
        <v>0</v>
      </c>
      <c r="AF42" s="254">
        <f t="shared" si="37"/>
        <v>0</v>
      </c>
      <c r="AG42" s="212">
        <v>11</v>
      </c>
      <c r="AH42" s="257">
        <f t="shared" si="28"/>
        <v>0</v>
      </c>
      <c r="AI42" s="254">
        <f t="shared" si="38"/>
        <v>0</v>
      </c>
      <c r="AJ42" s="212">
        <v>11</v>
      </c>
      <c r="AK42" s="257">
        <f t="shared" si="29"/>
        <v>0</v>
      </c>
      <c r="AL42" s="254">
        <f t="shared" si="39"/>
        <v>0</v>
      </c>
      <c r="AM42" s="212">
        <v>11</v>
      </c>
      <c r="AN42" s="257">
        <f t="shared" si="30"/>
        <v>0</v>
      </c>
      <c r="AO42" s="254">
        <f t="shared" si="40"/>
        <v>0</v>
      </c>
      <c r="AP42" s="212">
        <v>11</v>
      </c>
      <c r="AQ42" s="257">
        <f t="shared" si="31"/>
        <v>0</v>
      </c>
      <c r="AR42" s="254">
        <f t="shared" si="41"/>
        <v>0</v>
      </c>
      <c r="AS42" s="212">
        <v>11</v>
      </c>
      <c r="AT42" s="257">
        <f t="shared" si="32"/>
        <v>0</v>
      </c>
      <c r="AU42" s="254">
        <f t="shared" si="42"/>
        <v>0</v>
      </c>
      <c r="AV42" s="212">
        <v>11</v>
      </c>
      <c r="AW42" s="257">
        <f t="shared" si="33"/>
        <v>0</v>
      </c>
      <c r="AX42" s="254">
        <f t="shared" si="43"/>
        <v>0</v>
      </c>
      <c r="AY42" s="212">
        <v>11</v>
      </c>
      <c r="AZ42" s="257">
        <f t="shared" si="34"/>
        <v>0</v>
      </c>
      <c r="BA42" s="254">
        <f t="shared" si="44"/>
        <v>0</v>
      </c>
      <c r="BB42" s="212">
        <v>11</v>
      </c>
      <c r="BC42" s="257">
        <f t="shared" si="35"/>
        <v>0</v>
      </c>
      <c r="BD42" s="254">
        <f t="shared" si="45"/>
        <v>0</v>
      </c>
      <c r="BE42" s="212">
        <v>11</v>
      </c>
      <c r="BF42" s="257">
        <f t="shared" si="36"/>
        <v>0</v>
      </c>
      <c r="BG42" s="254">
        <f t="shared" si="46"/>
        <v>0</v>
      </c>
    </row>
    <row r="43" spans="3:59" s="209" customFormat="1" hidden="1" x14ac:dyDescent="0.2">
      <c r="C43" s="212">
        <v>12</v>
      </c>
      <c r="D43" s="257">
        <f t="shared" si="18"/>
        <v>0</v>
      </c>
      <c r="F43" s="212">
        <v>12</v>
      </c>
      <c r="G43" s="257">
        <f t="shared" si="19"/>
        <v>0</v>
      </c>
      <c r="I43" s="212">
        <v>12</v>
      </c>
      <c r="J43" s="257">
        <f t="shared" si="20"/>
        <v>0</v>
      </c>
      <c r="L43" s="212">
        <v>12</v>
      </c>
      <c r="M43" s="257">
        <f t="shared" si="21"/>
        <v>0</v>
      </c>
      <c r="O43" s="212">
        <v>12</v>
      </c>
      <c r="P43" s="257">
        <f t="shared" si="22"/>
        <v>0</v>
      </c>
      <c r="R43" s="212">
        <v>12</v>
      </c>
      <c r="S43" s="257">
        <f t="shared" si="23"/>
        <v>0</v>
      </c>
      <c r="U43" s="212">
        <v>12</v>
      </c>
      <c r="V43" s="257">
        <f t="shared" si="24"/>
        <v>0</v>
      </c>
      <c r="X43" s="212">
        <v>12</v>
      </c>
      <c r="Y43" s="257">
        <f t="shared" si="25"/>
        <v>0</v>
      </c>
      <c r="AA43" s="212">
        <v>12</v>
      </c>
      <c r="AB43" s="257">
        <f t="shared" si="26"/>
        <v>0</v>
      </c>
      <c r="AD43" s="212">
        <v>12</v>
      </c>
      <c r="AE43" s="257">
        <f t="shared" si="27"/>
        <v>0</v>
      </c>
      <c r="AF43" s="254">
        <f t="shared" si="37"/>
        <v>0</v>
      </c>
      <c r="AG43" s="212">
        <v>12</v>
      </c>
      <c r="AH43" s="257">
        <f t="shared" si="28"/>
        <v>0</v>
      </c>
      <c r="AI43" s="254">
        <f t="shared" si="38"/>
        <v>0</v>
      </c>
      <c r="AJ43" s="212">
        <v>12</v>
      </c>
      <c r="AK43" s="257">
        <f t="shared" si="29"/>
        <v>0</v>
      </c>
      <c r="AL43" s="254">
        <f t="shared" si="39"/>
        <v>0</v>
      </c>
      <c r="AM43" s="212">
        <v>12</v>
      </c>
      <c r="AN43" s="257">
        <f t="shared" si="30"/>
        <v>0</v>
      </c>
      <c r="AO43" s="254">
        <f t="shared" si="40"/>
        <v>0</v>
      </c>
      <c r="AP43" s="212">
        <v>12</v>
      </c>
      <c r="AQ43" s="257">
        <f t="shared" si="31"/>
        <v>0</v>
      </c>
      <c r="AR43" s="254">
        <f t="shared" si="41"/>
        <v>0</v>
      </c>
      <c r="AS43" s="212">
        <v>12</v>
      </c>
      <c r="AT43" s="257">
        <f t="shared" si="32"/>
        <v>0</v>
      </c>
      <c r="AU43" s="254">
        <f t="shared" si="42"/>
        <v>0</v>
      </c>
      <c r="AV43" s="212">
        <v>12</v>
      </c>
      <c r="AW43" s="257">
        <f t="shared" si="33"/>
        <v>0</v>
      </c>
      <c r="AX43" s="254">
        <f t="shared" si="43"/>
        <v>0</v>
      </c>
      <c r="AY43" s="212">
        <v>12</v>
      </c>
      <c r="AZ43" s="257">
        <f t="shared" si="34"/>
        <v>0</v>
      </c>
      <c r="BA43" s="254">
        <f t="shared" si="44"/>
        <v>0</v>
      </c>
      <c r="BB43" s="212">
        <v>12</v>
      </c>
      <c r="BC43" s="257">
        <f t="shared" si="35"/>
        <v>0</v>
      </c>
      <c r="BD43" s="254">
        <f t="shared" si="45"/>
        <v>0</v>
      </c>
      <c r="BE43" s="212">
        <v>12</v>
      </c>
      <c r="BF43" s="257">
        <f t="shared" si="36"/>
        <v>0</v>
      </c>
      <c r="BG43" s="254">
        <f t="shared" si="46"/>
        <v>0</v>
      </c>
    </row>
    <row r="44" spans="3:59" s="209" customFormat="1" hidden="1" x14ac:dyDescent="0.2"/>
    <row r="45" spans="3:59" s="209" customFormat="1" ht="38.25" hidden="1" x14ac:dyDescent="0.2">
      <c r="C45" s="258" t="s">
        <v>27</v>
      </c>
      <c r="D45" s="259">
        <f>SUM(D16:D27)</f>
        <v>2000</v>
      </c>
      <c r="F45" s="258" t="s">
        <v>28</v>
      </c>
      <c r="G45" s="259">
        <f>G28*9</f>
        <v>3600</v>
      </c>
    </row>
    <row r="46" spans="3:59" s="209" customFormat="1" hidden="1" x14ac:dyDescent="0.2"/>
    <row r="47" spans="3:59" s="209" customFormat="1" ht="13.5" thickBot="1" x14ac:dyDescent="0.25"/>
    <row r="48" spans="3:59" s="209" customFormat="1" x14ac:dyDescent="0.2">
      <c r="C48" s="260" t="s">
        <v>152</v>
      </c>
      <c r="D48" s="261"/>
      <c r="E48" s="262"/>
      <c r="G48" s="263" t="s">
        <v>147</v>
      </c>
      <c r="H48" s="263"/>
    </row>
    <row r="49" spans="3:8" s="209" customFormat="1" x14ac:dyDescent="0.2">
      <c r="C49" s="264" t="s">
        <v>151</v>
      </c>
      <c r="D49" s="265">
        <f>D28</f>
        <v>2000</v>
      </c>
      <c r="E49" s="266"/>
      <c r="G49" s="263" t="s">
        <v>148</v>
      </c>
      <c r="H49" s="263" t="s">
        <v>149</v>
      </c>
    </row>
    <row r="50" spans="3:8" s="209" customFormat="1" x14ac:dyDescent="0.2">
      <c r="C50" s="264" t="s">
        <v>150</v>
      </c>
      <c r="D50" s="265">
        <f ca="1">SUM(D28:OFFSET(D28,0,(C6*3)))</f>
        <v>2000</v>
      </c>
      <c r="E50" s="266"/>
      <c r="G50" s="263">
        <v>1</v>
      </c>
      <c r="H50" s="265">
        <f t="shared" ref="H50:H67" ca="1" si="47">OFFSET(INDEX($C$16:$BG$16,0,MATCH(G50,$C$30:$BG$30,0)),0,1)</f>
        <v>200</v>
      </c>
    </row>
    <row r="51" spans="3:8" s="209" customFormat="1" x14ac:dyDescent="0.2">
      <c r="C51" s="267" t="s">
        <v>153</v>
      </c>
      <c r="D51" s="268"/>
      <c r="E51" s="269"/>
      <c r="G51" s="263">
        <v>2</v>
      </c>
      <c r="H51" s="265">
        <f t="shared" ca="1" si="47"/>
        <v>200</v>
      </c>
    </row>
    <row r="52" spans="3:8" s="209" customFormat="1" x14ac:dyDescent="0.2">
      <c r="C52" s="264" t="s">
        <v>144</v>
      </c>
      <c r="D52" s="265">
        <f ca="1">SUM(OFFSET(E28,0,(C6*3)):AF28)</f>
        <v>3600</v>
      </c>
      <c r="E52" s="270">
        <f ca="1">D52/$D$49</f>
        <v>1.8</v>
      </c>
      <c r="G52" s="263">
        <v>3</v>
      </c>
      <c r="H52" s="265">
        <f t="shared" ca="1" si="47"/>
        <v>200</v>
      </c>
    </row>
    <row r="53" spans="3:8" s="209" customFormat="1" x14ac:dyDescent="0.2">
      <c r="C53" s="264" t="s">
        <v>145</v>
      </c>
      <c r="D53" s="265">
        <f>SUM(M13:AE13)</f>
        <v>2000</v>
      </c>
      <c r="E53" s="270">
        <f>D53/$D$49</f>
        <v>1</v>
      </c>
      <c r="G53" s="263">
        <v>4</v>
      </c>
      <c r="H53" s="265">
        <f t="shared" ca="1" si="47"/>
        <v>200</v>
      </c>
    </row>
    <row r="54" spans="3:8" s="209" customFormat="1" x14ac:dyDescent="0.2">
      <c r="C54" s="264" t="s">
        <v>146</v>
      </c>
      <c r="D54" s="265">
        <f ca="1">D53+D52</f>
        <v>5600</v>
      </c>
      <c r="E54" s="270">
        <f ca="1">D54/$D$49</f>
        <v>2.8</v>
      </c>
      <c r="G54" s="263">
        <v>5</v>
      </c>
      <c r="H54" s="265">
        <f t="shared" ca="1" si="47"/>
        <v>200</v>
      </c>
    </row>
    <row r="55" spans="3:8" s="209" customFormat="1" x14ac:dyDescent="0.2">
      <c r="C55" s="267" t="s">
        <v>154</v>
      </c>
      <c r="D55" s="268"/>
      <c r="E55" s="269"/>
      <c r="G55" s="263">
        <v>6</v>
      </c>
      <c r="H55" s="265">
        <f t="shared" ca="1" si="47"/>
        <v>200</v>
      </c>
    </row>
    <row r="56" spans="3:8" s="209" customFormat="1" x14ac:dyDescent="0.2">
      <c r="C56" s="264" t="s">
        <v>155</v>
      </c>
      <c r="D56" s="265">
        <f>SUM(M13:BF13)</f>
        <v>2000</v>
      </c>
      <c r="E56" s="270">
        <f>D56/$D$49</f>
        <v>1</v>
      </c>
      <c r="G56" s="263">
        <v>7</v>
      </c>
      <c r="H56" s="265">
        <f t="shared" ca="1" si="47"/>
        <v>200</v>
      </c>
    </row>
    <row r="57" spans="3:8" s="209" customFormat="1" x14ac:dyDescent="0.2">
      <c r="C57" s="264" t="s">
        <v>156</v>
      </c>
      <c r="D57" s="265">
        <f ca="1">SUM(OFFSET(G28,0,(C6*3)):BF28)</f>
        <v>3600</v>
      </c>
      <c r="E57" s="270">
        <f ca="1">D57/$D$49</f>
        <v>1.8</v>
      </c>
      <c r="G57" s="263">
        <v>8</v>
      </c>
      <c r="H57" s="265">
        <f t="shared" ca="1" si="47"/>
        <v>200</v>
      </c>
    </row>
    <row r="58" spans="3:8" s="209" customFormat="1" ht="13.5" thickBot="1" x14ac:dyDescent="0.25">
      <c r="C58" s="271" t="s">
        <v>157</v>
      </c>
      <c r="D58" s="272">
        <f ca="1">D57+D56</f>
        <v>5600</v>
      </c>
      <c r="E58" s="273">
        <f ca="1">D58/$D$49</f>
        <v>2.8</v>
      </c>
      <c r="G58" s="263">
        <v>9</v>
      </c>
      <c r="H58" s="265">
        <f t="shared" ca="1" si="47"/>
        <v>200</v>
      </c>
    </row>
    <row r="59" spans="3:8" s="209" customFormat="1" x14ac:dyDescent="0.2">
      <c r="G59" s="263">
        <v>10</v>
      </c>
      <c r="H59" s="265">
        <f t="shared" ca="1" si="47"/>
        <v>0</v>
      </c>
    </row>
    <row r="60" spans="3:8" s="209" customFormat="1" x14ac:dyDescent="0.2">
      <c r="C60" s="209" t="s">
        <v>176</v>
      </c>
      <c r="G60" s="263">
        <v>11</v>
      </c>
      <c r="H60" s="265">
        <f t="shared" ca="1" si="47"/>
        <v>0</v>
      </c>
    </row>
    <row r="61" spans="3:8" s="209" customFormat="1" x14ac:dyDescent="0.2">
      <c r="G61" s="263">
        <v>12</v>
      </c>
      <c r="H61" s="265">
        <f t="shared" ca="1" si="47"/>
        <v>0</v>
      </c>
    </row>
    <row r="62" spans="3:8" s="209" customFormat="1" x14ac:dyDescent="0.2">
      <c r="G62" s="263">
        <v>13</v>
      </c>
      <c r="H62" s="265">
        <f t="shared" ca="1" si="47"/>
        <v>0</v>
      </c>
    </row>
    <row r="63" spans="3:8" s="209" customFormat="1" x14ac:dyDescent="0.2">
      <c r="G63" s="263">
        <v>14</v>
      </c>
      <c r="H63" s="265">
        <f t="shared" ca="1" si="47"/>
        <v>0</v>
      </c>
    </row>
    <row r="64" spans="3:8" s="209" customFormat="1" x14ac:dyDescent="0.2">
      <c r="G64" s="263">
        <v>15</v>
      </c>
      <c r="H64" s="265">
        <f t="shared" ca="1" si="47"/>
        <v>0</v>
      </c>
    </row>
    <row r="65" spans="3:12" s="209" customFormat="1" x14ac:dyDescent="0.2">
      <c r="G65" s="263">
        <v>16</v>
      </c>
      <c r="H65" s="265">
        <f t="shared" ca="1" si="47"/>
        <v>0</v>
      </c>
    </row>
    <row r="66" spans="3:12" s="209" customFormat="1" x14ac:dyDescent="0.2">
      <c r="G66" s="263">
        <v>17</v>
      </c>
      <c r="H66" s="265">
        <f t="shared" ca="1" si="47"/>
        <v>0</v>
      </c>
    </row>
    <row r="67" spans="3:12" s="209" customFormat="1" x14ac:dyDescent="0.2">
      <c r="G67" s="263">
        <v>18</v>
      </c>
      <c r="H67" s="265">
        <f t="shared" ca="1" si="47"/>
        <v>0</v>
      </c>
    </row>
    <row r="74" spans="3:12" s="209" customFormat="1" x14ac:dyDescent="0.2">
      <c r="C74" s="274" t="s">
        <v>32</v>
      </c>
      <c r="D74" s="274"/>
      <c r="E74" s="274"/>
      <c r="F74" s="274"/>
      <c r="G74" s="274"/>
      <c r="H74" s="274"/>
      <c r="I74" s="274"/>
      <c r="J74" s="274"/>
      <c r="K74" s="248" t="s">
        <v>33</v>
      </c>
    </row>
    <row r="75" spans="3:12" s="209" customFormat="1" x14ac:dyDescent="0.2">
      <c r="C75" s="275" t="s">
        <v>34</v>
      </c>
      <c r="D75" s="275"/>
      <c r="E75" s="276" t="s">
        <v>27</v>
      </c>
      <c r="F75" s="276"/>
      <c r="G75" s="276"/>
      <c r="H75" s="276"/>
      <c r="I75" s="276"/>
      <c r="J75" s="276"/>
      <c r="K75" s="277">
        <f>D28</f>
        <v>2000</v>
      </c>
    </row>
    <row r="76" spans="3:12" s="209" customFormat="1" ht="15" x14ac:dyDescent="0.2">
      <c r="C76" s="275" t="s">
        <v>35</v>
      </c>
      <c r="D76" s="275"/>
      <c r="E76" s="276" t="s">
        <v>140</v>
      </c>
      <c r="F76" s="276"/>
      <c r="G76" s="276"/>
      <c r="H76" s="276"/>
      <c r="I76" s="276"/>
      <c r="J76" s="276"/>
      <c r="K76" s="277">
        <f>E17</f>
        <v>21600</v>
      </c>
    </row>
    <row r="77" spans="3:12" s="209" customFormat="1" x14ac:dyDescent="0.2">
      <c r="C77" s="275" t="s">
        <v>37</v>
      </c>
      <c r="D77" s="275"/>
      <c r="E77" s="276" t="s">
        <v>38</v>
      </c>
      <c r="F77" s="276"/>
      <c r="G77" s="276"/>
      <c r="H77" s="276"/>
      <c r="I77" s="276"/>
      <c r="J77" s="276"/>
      <c r="K77" s="277">
        <f>G45</f>
        <v>3600</v>
      </c>
    </row>
    <row r="78" spans="3:12" s="209" customFormat="1" ht="13.5" thickBot="1" x14ac:dyDescent="0.25">
      <c r="C78" s="278" t="s">
        <v>39</v>
      </c>
      <c r="D78" s="278"/>
      <c r="E78" s="279" t="s">
        <v>40</v>
      </c>
      <c r="F78" s="279"/>
      <c r="G78" s="279"/>
      <c r="H78" s="279"/>
      <c r="I78" s="279"/>
      <c r="J78" s="279"/>
      <c r="K78" s="280">
        <f>D28</f>
        <v>2000</v>
      </c>
    </row>
    <row r="79" spans="3:12" s="209" customFormat="1" ht="13.5" thickBot="1" x14ac:dyDescent="0.25">
      <c r="C79" s="281" t="s">
        <v>41</v>
      </c>
      <c r="D79" s="282"/>
      <c r="E79" s="282"/>
      <c r="F79" s="282"/>
      <c r="G79" s="282"/>
      <c r="H79" s="282"/>
      <c r="I79" s="282"/>
      <c r="J79" s="282"/>
      <c r="K79" s="283">
        <f>K78+K77</f>
        <v>5600</v>
      </c>
    </row>
    <row r="80" spans="3:12" s="209" customFormat="1" x14ac:dyDescent="0.2">
      <c r="C80" s="223"/>
      <c r="D80" s="223"/>
      <c r="E80" s="223"/>
      <c r="F80" s="223"/>
      <c r="G80" s="223"/>
      <c r="H80" s="223"/>
      <c r="I80" s="223"/>
      <c r="J80" s="223"/>
      <c r="K80" s="284"/>
      <c r="L80" s="285"/>
    </row>
    <row r="81" spans="3:12" s="209" customFormat="1" x14ac:dyDescent="0.2">
      <c r="C81" s="223"/>
      <c r="D81" s="223"/>
      <c r="E81" s="223"/>
      <c r="F81" s="223"/>
      <c r="G81" s="223"/>
      <c r="H81" s="223"/>
      <c r="I81" s="223"/>
      <c r="J81" s="223"/>
      <c r="K81" s="284"/>
      <c r="L81" s="285"/>
    </row>
    <row r="83" spans="3:12" s="209" customFormat="1" ht="15" customHeight="1" x14ac:dyDescent="0.2">
      <c r="C83" s="286" t="s">
        <v>42</v>
      </c>
      <c r="D83" s="286"/>
      <c r="E83" s="286"/>
      <c r="F83" s="286"/>
      <c r="G83" s="286"/>
      <c r="H83" s="286"/>
      <c r="I83" s="286"/>
      <c r="J83" s="286"/>
    </row>
    <row r="84" spans="3:12" s="209" customFormat="1" ht="15" customHeight="1" x14ac:dyDescent="0.2">
      <c r="C84" s="287" t="s">
        <v>43</v>
      </c>
      <c r="D84" s="287"/>
      <c r="E84" s="287"/>
      <c r="F84" s="287"/>
      <c r="G84" s="287"/>
      <c r="H84" s="287"/>
      <c r="I84" s="287"/>
      <c r="J84" s="287"/>
    </row>
    <row r="85" spans="3:12" s="209" customFormat="1" ht="15" customHeight="1" x14ac:dyDescent="0.2">
      <c r="C85" s="287" t="s">
        <v>44</v>
      </c>
      <c r="D85" s="287"/>
      <c r="E85" s="287"/>
      <c r="F85" s="287"/>
      <c r="G85" s="287"/>
      <c r="H85" s="287"/>
      <c r="I85" s="287"/>
      <c r="J85" s="287"/>
    </row>
    <row r="86" spans="3:12" s="209" customFormat="1" ht="82.5" customHeight="1" x14ac:dyDescent="0.2">
      <c r="C86" s="287" t="s">
        <v>45</v>
      </c>
      <c r="D86" s="287"/>
      <c r="E86" s="287"/>
      <c r="F86" s="287"/>
      <c r="G86" s="287"/>
      <c r="H86" s="287"/>
      <c r="I86" s="287"/>
      <c r="J86" s="287"/>
    </row>
    <row r="87" spans="3:12" s="209" customFormat="1" ht="28.5" customHeight="1" x14ac:dyDescent="0.2">
      <c r="C87" s="287" t="s">
        <v>46</v>
      </c>
      <c r="D87" s="287"/>
      <c r="E87" s="287"/>
      <c r="F87" s="287"/>
      <c r="G87" s="287"/>
      <c r="H87" s="287"/>
      <c r="I87" s="287"/>
      <c r="J87" s="287"/>
    </row>
    <row r="88" spans="3:12" s="209" customFormat="1" ht="28.5" customHeight="1" x14ac:dyDescent="0.2">
      <c r="C88" s="287" t="s">
        <v>47</v>
      </c>
      <c r="D88" s="287"/>
      <c r="E88" s="287"/>
      <c r="F88" s="287"/>
      <c r="G88" s="287"/>
      <c r="H88" s="287"/>
      <c r="I88" s="287"/>
      <c r="J88" s="287"/>
    </row>
    <row r="89" spans="3:12" s="209" customFormat="1" ht="55.5" customHeight="1" x14ac:dyDescent="0.2">
      <c r="C89" s="287" t="s">
        <v>48</v>
      </c>
      <c r="D89" s="287"/>
      <c r="E89" s="287"/>
      <c r="F89" s="287"/>
      <c r="G89" s="287"/>
      <c r="H89" s="287"/>
      <c r="I89" s="287"/>
      <c r="J89" s="287"/>
    </row>
    <row r="90" spans="3:12" s="209" customFormat="1" ht="62.25" customHeight="1" x14ac:dyDescent="0.2">
      <c r="C90" s="287" t="s">
        <v>49</v>
      </c>
      <c r="D90" s="287"/>
      <c r="E90" s="287"/>
      <c r="F90" s="287"/>
      <c r="G90" s="287"/>
      <c r="H90" s="287"/>
      <c r="I90" s="287"/>
      <c r="J90" s="287"/>
    </row>
    <row r="91" spans="3:12" s="209" customFormat="1" ht="15" customHeight="1" x14ac:dyDescent="0.2">
      <c r="C91" s="287" t="s">
        <v>50</v>
      </c>
      <c r="D91" s="287"/>
      <c r="E91" s="287"/>
      <c r="F91" s="287"/>
      <c r="G91" s="287"/>
      <c r="H91" s="287"/>
      <c r="I91" s="287"/>
      <c r="J91" s="287"/>
    </row>
    <row r="92" spans="3:12" s="209" customFormat="1" ht="45.75" customHeight="1" x14ac:dyDescent="0.2">
      <c r="C92" s="287" t="s">
        <v>51</v>
      </c>
      <c r="D92" s="287"/>
      <c r="E92" s="287"/>
      <c r="F92" s="287"/>
      <c r="G92" s="287"/>
      <c r="H92" s="287"/>
      <c r="I92" s="287"/>
      <c r="J92" s="287"/>
    </row>
    <row r="93" spans="3:12" s="209" customFormat="1" ht="28.5" customHeight="1" x14ac:dyDescent="0.2">
      <c r="C93" s="287" t="s">
        <v>52</v>
      </c>
      <c r="D93" s="287"/>
      <c r="E93" s="287"/>
      <c r="F93" s="287"/>
      <c r="G93" s="287"/>
      <c r="H93" s="287"/>
      <c r="I93" s="287"/>
      <c r="J93" s="287"/>
    </row>
    <row r="94" spans="3:12" s="209" customFormat="1" ht="15" customHeight="1" x14ac:dyDescent="0.2">
      <c r="C94" s="287" t="s">
        <v>53</v>
      </c>
      <c r="D94" s="287"/>
      <c r="E94" s="287"/>
      <c r="F94" s="287"/>
      <c r="G94" s="287"/>
      <c r="H94" s="287"/>
      <c r="I94" s="287"/>
      <c r="J94" s="287"/>
    </row>
    <row r="95" spans="3:12" s="209" customFormat="1" ht="55.5" customHeight="1" x14ac:dyDescent="0.2">
      <c r="C95" s="287" t="s">
        <v>54</v>
      </c>
      <c r="D95" s="287"/>
      <c r="E95" s="287"/>
      <c r="F95" s="287"/>
      <c r="G95" s="287"/>
      <c r="H95" s="287"/>
      <c r="I95" s="287"/>
      <c r="J95" s="287"/>
    </row>
    <row r="96" spans="3:12" s="209" customFormat="1" ht="15" customHeight="1" x14ac:dyDescent="0.2">
      <c r="C96" s="287" t="s">
        <v>55</v>
      </c>
      <c r="D96" s="287"/>
      <c r="E96" s="287"/>
      <c r="F96" s="287"/>
      <c r="G96" s="287"/>
      <c r="H96" s="287"/>
      <c r="I96" s="287"/>
      <c r="J96" s="287"/>
    </row>
    <row r="97" spans="3:10" s="209" customFormat="1" ht="15" customHeight="1" x14ac:dyDescent="0.2">
      <c r="C97" s="287" t="s">
        <v>56</v>
      </c>
      <c r="D97" s="287"/>
      <c r="E97" s="287"/>
      <c r="F97" s="287"/>
      <c r="G97" s="287"/>
      <c r="H97" s="287"/>
      <c r="I97" s="287"/>
      <c r="J97" s="287"/>
    </row>
    <row r="98" spans="3:10" s="209" customFormat="1" ht="69" customHeight="1" x14ac:dyDescent="0.2">
      <c r="C98" s="287" t="s">
        <v>57</v>
      </c>
      <c r="D98" s="287"/>
      <c r="E98" s="287"/>
      <c r="F98" s="287"/>
      <c r="G98" s="287"/>
      <c r="H98" s="287"/>
      <c r="I98" s="287"/>
      <c r="J98" s="287"/>
    </row>
    <row r="99" spans="3:10" s="209" customFormat="1" ht="15" customHeight="1" x14ac:dyDescent="0.2">
      <c r="C99" s="287" t="s">
        <v>58</v>
      </c>
      <c r="D99" s="287"/>
      <c r="E99" s="287"/>
      <c r="F99" s="287"/>
      <c r="G99" s="287"/>
      <c r="H99" s="287"/>
      <c r="I99" s="287"/>
      <c r="J99" s="287"/>
    </row>
  </sheetData>
  <sheetProtection algorithmName="SHA-512" hashValue="vJz40fFIowxdeFXulqjuPf4HBp+zcrFPpTaL0+V+JYq+blGwGgHcvBXt5O5+KZLaxBqsfX+N8EDdooAuX2DXWA==" saltValue="KZs00I4brWQLv1YpHB0e8w==" spinCount="100000" sheet="1" objects="1" scenarios="1"/>
  <mergeCells count="56">
    <mergeCell ref="AG14:AH14"/>
    <mergeCell ref="AJ14:AK14"/>
    <mergeCell ref="AM14:AN14"/>
    <mergeCell ref="AD14:AE14"/>
    <mergeCell ref="C74:J74"/>
    <mergeCell ref="R14:S14"/>
    <mergeCell ref="U14:V14"/>
    <mergeCell ref="X14:Y14"/>
    <mergeCell ref="AA14:AB14"/>
    <mergeCell ref="Q14:Q15"/>
    <mergeCell ref="T14:T15"/>
    <mergeCell ref="W14:W15"/>
    <mergeCell ref="Z14:Z15"/>
    <mergeCell ref="AC14:AC15"/>
    <mergeCell ref="AF14:AF15"/>
    <mergeCell ref="C75:D75"/>
    <mergeCell ref="E75:J75"/>
    <mergeCell ref="C76:D76"/>
    <mergeCell ref="E76:J76"/>
    <mergeCell ref="O14:P14"/>
    <mergeCell ref="C14:D14"/>
    <mergeCell ref="E14:E15"/>
    <mergeCell ref="F14:G14"/>
    <mergeCell ref="I14:J14"/>
    <mergeCell ref="L14:M14"/>
    <mergeCell ref="H14:H15"/>
    <mergeCell ref="K14:K15"/>
    <mergeCell ref="N14:N15"/>
    <mergeCell ref="C77:D77"/>
    <mergeCell ref="E77:J77"/>
    <mergeCell ref="C78:D78"/>
    <mergeCell ref="E78:J78"/>
    <mergeCell ref="C79:J79"/>
    <mergeCell ref="C83:J83"/>
    <mergeCell ref="C84:J84"/>
    <mergeCell ref="C85:J85"/>
    <mergeCell ref="C86:J86"/>
    <mergeCell ref="C87:J87"/>
    <mergeCell ref="C88:J88"/>
    <mergeCell ref="C89:J89"/>
    <mergeCell ref="C90:J90"/>
    <mergeCell ref="C91:J91"/>
    <mergeCell ref="C92:J92"/>
    <mergeCell ref="C98:J98"/>
    <mergeCell ref="C99:J99"/>
    <mergeCell ref="C93:J93"/>
    <mergeCell ref="C94:J94"/>
    <mergeCell ref="C95:J95"/>
    <mergeCell ref="C96:J96"/>
    <mergeCell ref="C97:J97"/>
    <mergeCell ref="BE14:BF14"/>
    <mergeCell ref="AP14:AQ14"/>
    <mergeCell ref="AS14:AT14"/>
    <mergeCell ref="AV14:AW14"/>
    <mergeCell ref="AY14:AZ14"/>
    <mergeCell ref="BB14:BC14"/>
  </mergeCells>
  <conditionalFormatting sqref="D16:D27">
    <cfRule type="expression" dxfId="45" priority="42">
      <formula>$C$6&gt;=C$30</formula>
    </cfRule>
  </conditionalFormatting>
  <conditionalFormatting sqref="G16:G27">
    <cfRule type="expression" dxfId="44" priority="41">
      <formula>$C$6&gt;=F$30</formula>
    </cfRule>
  </conditionalFormatting>
  <conditionalFormatting sqref="J16:J27">
    <cfRule type="expression" dxfId="43" priority="40">
      <formula>$C$6&gt;=I$30</formula>
    </cfRule>
  </conditionalFormatting>
  <conditionalFormatting sqref="M16:M27">
    <cfRule type="expression" dxfId="42" priority="39">
      <formula>$C$6&gt;=L$30</formula>
    </cfRule>
  </conditionalFormatting>
  <conditionalFormatting sqref="P16:P27">
    <cfRule type="expression" dxfId="41" priority="36">
      <formula>$C$6&gt;=O$30</formula>
    </cfRule>
  </conditionalFormatting>
  <conditionalFormatting sqref="S16:S27">
    <cfRule type="expression" dxfId="40" priority="35">
      <formula>$C$6&gt;=R$30</formula>
    </cfRule>
  </conditionalFormatting>
  <conditionalFormatting sqref="V16:V27">
    <cfRule type="expression" dxfId="39" priority="34">
      <formula>$C$6&gt;=U$30</formula>
    </cfRule>
  </conditionalFormatting>
  <conditionalFormatting sqref="Y16:Y27">
    <cfRule type="expression" dxfId="38" priority="33">
      <formula>$C$6&gt;=X$30</formula>
    </cfRule>
  </conditionalFormatting>
  <conditionalFormatting sqref="AB16:AB27">
    <cfRule type="expression" dxfId="37" priority="32">
      <formula>$C$6&gt;=AA$30</formula>
    </cfRule>
  </conditionalFormatting>
  <conditionalFormatting sqref="AE16:AE27">
    <cfRule type="expression" dxfId="36" priority="26">
      <formula>$C$6&gt;=AD$30</formula>
    </cfRule>
  </conditionalFormatting>
  <conditionalFormatting sqref="AK28">
    <cfRule type="expression" dxfId="35" priority="9">
      <formula>$C$6&gt;=AJ$30</formula>
    </cfRule>
  </conditionalFormatting>
  <conditionalFormatting sqref="AQ28">
    <cfRule type="expression" dxfId="34" priority="7">
      <formula>$C$6&gt;=AP$30</formula>
    </cfRule>
  </conditionalFormatting>
  <conditionalFormatting sqref="AW28">
    <cfRule type="expression" dxfId="33" priority="5">
      <formula>$C$6&gt;=AV$30</formula>
    </cfRule>
  </conditionalFormatting>
  <conditionalFormatting sqref="M28">
    <cfRule type="expression" dxfId="32" priority="22">
      <formula>$C$6&gt;=L$30</formula>
    </cfRule>
  </conditionalFormatting>
  <conditionalFormatting sqref="AT28">
    <cfRule type="expression" dxfId="31" priority="6">
      <formula>$C$6&gt;=AS$30</formula>
    </cfRule>
  </conditionalFormatting>
  <conditionalFormatting sqref="J28">
    <cfRule type="expression" dxfId="30" priority="19">
      <formula>$C$6&gt;=I$30</formula>
    </cfRule>
  </conditionalFormatting>
  <conditionalFormatting sqref="G28">
    <cfRule type="expression" dxfId="29" priority="18">
      <formula>$C$6&gt;=F$30</formula>
    </cfRule>
  </conditionalFormatting>
  <conditionalFormatting sqref="D28">
    <cfRule type="expression" dxfId="28" priority="17">
      <formula>$C$6&gt;=C$30</formula>
    </cfRule>
  </conditionalFormatting>
  <conditionalFormatting sqref="P28">
    <cfRule type="expression" dxfId="27" priority="16">
      <formula>$C$6&gt;=O$30</formula>
    </cfRule>
  </conditionalFormatting>
  <conditionalFormatting sqref="S28">
    <cfRule type="expression" dxfId="26" priority="15">
      <formula>$C$6&gt;=R$30</formula>
    </cfRule>
  </conditionalFormatting>
  <conditionalFormatting sqref="V28">
    <cfRule type="expression" dxfId="25" priority="14">
      <formula>$C$6&gt;=U$30</formula>
    </cfRule>
  </conditionalFormatting>
  <conditionalFormatting sqref="Y28">
    <cfRule type="expression" dxfId="24" priority="13">
      <formula>$C$6&gt;=X$30</formula>
    </cfRule>
  </conditionalFormatting>
  <conditionalFormatting sqref="AB28">
    <cfRule type="expression" dxfId="23" priority="12">
      <formula>$C$6&gt;=AA$30</formula>
    </cfRule>
  </conditionalFormatting>
  <conditionalFormatting sqref="AE28">
    <cfRule type="expression" dxfId="22" priority="11">
      <formula>$C$6&gt;=AD$30</formula>
    </cfRule>
  </conditionalFormatting>
  <conditionalFormatting sqref="AH28">
    <cfRule type="expression" dxfId="21" priority="10">
      <formula>$C$6&gt;=AG$30</formula>
    </cfRule>
  </conditionalFormatting>
  <conditionalFormatting sqref="AN28">
    <cfRule type="expression" dxfId="20" priority="8">
      <formula>$C$6&gt;=AM$30</formula>
    </cfRule>
  </conditionalFormatting>
  <conditionalFormatting sqref="AZ28">
    <cfRule type="expression" dxfId="19" priority="4">
      <formula>$C$6&gt;=AY$30</formula>
    </cfRule>
  </conditionalFormatting>
  <conditionalFormatting sqref="BC28">
    <cfRule type="expression" dxfId="18" priority="3">
      <formula>$C$6&gt;=BB$30</formula>
    </cfRule>
  </conditionalFormatting>
  <conditionalFormatting sqref="BF28">
    <cfRule type="expression" dxfId="17" priority="2">
      <formula>$C$6&gt;=BE$30</formula>
    </cfRule>
  </conditionalFormatting>
  <conditionalFormatting sqref="H50:H67">
    <cfRule type="expression" dxfId="16" priority="1">
      <formula>$C$6&gt;=$G50</formula>
    </cfRule>
  </conditionalFormatting>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60DB2-E58C-437A-9C9B-44B99E807C9D}">
  <dimension ref="B1:BF86"/>
  <sheetViews>
    <sheetView showGridLines="0" zoomScale="80" zoomScaleNormal="80" workbookViewId="0">
      <pane xSplit="7" topLeftCell="H1" activePane="topRight" state="frozen"/>
      <selection sqref="A1:XFD1048576"/>
      <selection pane="topRight"/>
    </sheetView>
  </sheetViews>
  <sheetFormatPr defaultRowHeight="12.75" x14ac:dyDescent="0.2"/>
  <cols>
    <col min="1" max="1" width="9.140625" style="55"/>
    <col min="2" max="2" width="21.7109375" style="55" customWidth="1"/>
    <col min="3" max="3" width="20.7109375" style="55" bestFit="1" customWidth="1"/>
    <col min="4" max="4" width="18.85546875" style="55" customWidth="1"/>
    <col min="5" max="5" width="40" style="55" bestFit="1" customWidth="1"/>
    <col min="6" max="6" width="15.28515625" style="55" bestFit="1" customWidth="1"/>
    <col min="7" max="7" width="21.5703125" style="55" bestFit="1" customWidth="1"/>
    <col min="8" max="8" width="16" style="55" customWidth="1"/>
    <col min="9" max="9" width="12.140625" style="55" bestFit="1" customWidth="1"/>
    <col min="10" max="10" width="19.28515625" style="55" customWidth="1"/>
    <col min="11" max="11" width="16.42578125" style="55" bestFit="1" customWidth="1"/>
    <col min="12" max="12" width="11.7109375" style="55" bestFit="1" customWidth="1"/>
    <col min="13" max="13" width="19.42578125" style="55" customWidth="1"/>
    <col min="14" max="14" width="16.42578125" style="55" bestFit="1" customWidth="1"/>
    <col min="15" max="15" width="11.7109375" style="55" bestFit="1" customWidth="1"/>
    <col min="16" max="16" width="19.5703125" style="55" customWidth="1"/>
    <col min="17" max="17" width="16.42578125" style="55" bestFit="1" customWidth="1"/>
    <col min="18" max="18" width="11.7109375" style="55" bestFit="1" customWidth="1"/>
    <col min="19" max="19" width="19.42578125" style="55" bestFit="1" customWidth="1"/>
    <col min="20" max="20" width="16.42578125" style="55" bestFit="1" customWidth="1"/>
    <col min="21" max="21" width="11.7109375" style="55" bestFit="1" customWidth="1"/>
    <col min="22" max="22" width="19.42578125" style="55" bestFit="1" customWidth="1"/>
    <col min="23" max="23" width="16.42578125" style="55" bestFit="1" customWidth="1"/>
    <col min="24" max="24" width="11.7109375" style="55" bestFit="1" customWidth="1"/>
    <col min="25" max="25" width="19.42578125" style="55" customWidth="1"/>
    <col min="26" max="26" width="16.42578125" style="55" bestFit="1" customWidth="1"/>
    <col min="27" max="27" width="11.7109375" style="55" bestFit="1" customWidth="1"/>
    <col min="28" max="28" width="19.42578125" style="55" bestFit="1" customWidth="1"/>
    <col min="29" max="29" width="16.42578125" style="55" bestFit="1" customWidth="1"/>
    <col min="30" max="30" width="11.7109375" style="55" bestFit="1" customWidth="1"/>
    <col min="31" max="31" width="19.140625" style="55" customWidth="1"/>
    <col min="32" max="32" width="16.42578125" style="55" bestFit="1" customWidth="1"/>
    <col min="33" max="33" width="11.7109375" style="55" bestFit="1" customWidth="1"/>
    <col min="34" max="34" width="10.85546875" style="55" bestFit="1" customWidth="1"/>
    <col min="35" max="35" width="19.28515625" style="55" customWidth="1"/>
    <col min="36" max="36" width="11.7109375" style="55" bestFit="1" customWidth="1"/>
    <col min="37" max="37" width="12.42578125" style="55" bestFit="1" customWidth="1"/>
    <col min="38" max="38" width="16.42578125" style="55" bestFit="1" customWidth="1"/>
    <col min="39" max="39" width="11.7109375" style="55" bestFit="1" customWidth="1"/>
    <col min="40" max="40" width="10.85546875" style="55" bestFit="1" customWidth="1"/>
    <col min="41" max="41" width="16.42578125" style="55" bestFit="1" customWidth="1"/>
    <col min="42" max="42" width="11.7109375" style="55" customWidth="1"/>
    <col min="43" max="43" width="12.140625" style="55" bestFit="1" customWidth="1"/>
    <col min="44" max="44" width="16.42578125" style="55" bestFit="1" customWidth="1"/>
    <col min="45" max="45" width="11.7109375" style="55" customWidth="1"/>
    <col min="46" max="46" width="12.140625" style="55" bestFit="1" customWidth="1"/>
    <col min="47" max="47" width="16.42578125" style="55" bestFit="1" customWidth="1"/>
    <col min="48" max="48" width="11.7109375" style="55" customWidth="1"/>
    <col min="49" max="49" width="10.85546875" style="55" bestFit="1" customWidth="1"/>
    <col min="50" max="50" width="16.42578125" style="55" bestFit="1" customWidth="1"/>
    <col min="51" max="51" width="11.7109375" style="55" bestFit="1" customWidth="1"/>
    <col min="52" max="52" width="10.85546875" style="55" bestFit="1" customWidth="1"/>
    <col min="53" max="53" width="16.42578125" style="55" bestFit="1" customWidth="1"/>
    <col min="54" max="54" width="17.28515625" style="55" bestFit="1" customWidth="1"/>
    <col min="55" max="55" width="9.140625" style="55" customWidth="1"/>
    <col min="56" max="56" width="16.42578125" style="55" bestFit="1" customWidth="1"/>
    <col min="57" max="57" width="11.7109375" style="55" bestFit="1" customWidth="1"/>
    <col min="58" max="1025" width="9.140625" style="55" customWidth="1"/>
    <col min="1026" max="16384" width="9.140625" style="55"/>
  </cols>
  <sheetData>
    <row r="1" spans="2:31" ht="13.5" thickBot="1" x14ac:dyDescent="0.25">
      <c r="D1" s="56"/>
      <c r="F1" s="57"/>
      <c r="G1" s="56"/>
      <c r="I1" s="58"/>
      <c r="J1" s="56"/>
      <c r="L1" s="57"/>
      <c r="M1" s="56"/>
      <c r="P1" s="56"/>
      <c r="S1" s="56"/>
      <c r="V1" s="56"/>
      <c r="Y1" s="56"/>
    </row>
    <row r="2" spans="2:31" ht="13.5" thickBot="1" x14ac:dyDescent="0.25">
      <c r="B2" s="107"/>
      <c r="C2" s="59" t="s">
        <v>74</v>
      </c>
      <c r="D2" s="56"/>
      <c r="E2" s="60" t="s">
        <v>59</v>
      </c>
      <c r="F2" s="61"/>
      <c r="G2" s="62"/>
      <c r="J2" s="56"/>
      <c r="M2" s="56"/>
    </row>
    <row r="3" spans="2:31" ht="13.5" thickBot="1" x14ac:dyDescent="0.25">
      <c r="B3" s="63" t="s">
        <v>143</v>
      </c>
      <c r="C3" s="64">
        <v>100000</v>
      </c>
      <c r="E3" s="65" t="s">
        <v>14</v>
      </c>
      <c r="F3" s="65" t="s">
        <v>120</v>
      </c>
      <c r="G3" s="65" t="s">
        <v>194</v>
      </c>
      <c r="J3" s="56"/>
      <c r="M3" s="56"/>
    </row>
    <row r="4" spans="2:31" x14ac:dyDescent="0.2">
      <c r="B4" s="63" t="s">
        <v>169</v>
      </c>
      <c r="C4" s="189">
        <v>1</v>
      </c>
      <c r="D4" s="56"/>
      <c r="E4" s="67">
        <v>1</v>
      </c>
      <c r="F4" s="69" t="s">
        <v>60</v>
      </c>
      <c r="G4" s="70"/>
      <c r="J4" s="56"/>
      <c r="M4" s="56"/>
    </row>
    <row r="5" spans="2:31" x14ac:dyDescent="0.2">
      <c r="B5" s="63" t="s">
        <v>75</v>
      </c>
      <c r="C5" s="72">
        <f>IF(C4=1,C3*0.005416666666,C3*0.00625)</f>
        <v>541.66666659999999</v>
      </c>
      <c r="D5" s="56"/>
      <c r="E5" s="67">
        <v>2</v>
      </c>
      <c r="F5" s="69" t="s">
        <v>60</v>
      </c>
      <c r="G5" s="70"/>
      <c r="J5" s="56"/>
      <c r="M5" s="56"/>
    </row>
    <row r="6" spans="2:31" x14ac:dyDescent="0.2">
      <c r="B6" s="73" t="s">
        <v>77</v>
      </c>
      <c r="C6" s="74">
        <f>IF(C5&gt;='TSGAP % slabs'!B8,'TSGAP % slabs'!D8,IF(C5&gt;='TSGAP % slabs'!B7,'TSGAP % slabs'!D7,IF(C5&gt;='TSGAP % slabs'!B6,'TSGAP % slabs'!D6,IF(C5&gt;='TSGAP % slabs'!B5,'TSGAP % slabs'!D5,IF(C5&gt;='TSGAP % slabs'!B4,'TSGAP % slabs'!D4,0)))))</f>
        <v>0.18</v>
      </c>
      <c r="D6" s="56"/>
      <c r="E6" s="67">
        <v>3</v>
      </c>
      <c r="F6" s="69" t="s">
        <v>60</v>
      </c>
      <c r="G6" s="70"/>
      <c r="J6" s="56"/>
      <c r="M6" s="56"/>
    </row>
    <row r="7" spans="2:31" x14ac:dyDescent="0.2">
      <c r="D7" s="56"/>
      <c r="E7" s="67">
        <v>4</v>
      </c>
      <c r="F7" s="69" t="s">
        <v>60</v>
      </c>
      <c r="G7" s="70"/>
      <c r="M7" s="56"/>
    </row>
    <row r="8" spans="2:31" x14ac:dyDescent="0.2">
      <c r="B8" s="35" t="s">
        <v>124</v>
      </c>
      <c r="C8" s="192" t="s">
        <v>80</v>
      </c>
      <c r="D8" s="56"/>
      <c r="E8" s="67">
        <v>5</v>
      </c>
      <c r="F8" s="69" t="s">
        <v>60</v>
      </c>
      <c r="G8" s="70"/>
      <c r="M8" s="56"/>
      <c r="P8" s="56"/>
      <c r="S8" s="56"/>
    </row>
    <row r="9" spans="2:31" ht="13.5" thickBot="1" x14ac:dyDescent="0.25">
      <c r="D9" s="56"/>
      <c r="E9" s="67">
        <v>6</v>
      </c>
      <c r="F9" s="69" t="s">
        <v>60</v>
      </c>
      <c r="G9" s="70"/>
      <c r="M9" s="56"/>
      <c r="P9" s="56"/>
      <c r="S9" s="56"/>
      <c r="V9" s="56"/>
      <c r="Y9" s="56"/>
    </row>
    <row r="10" spans="2:31" ht="13.5" thickBot="1" x14ac:dyDescent="0.25">
      <c r="B10" s="150" t="s">
        <v>127</v>
      </c>
      <c r="C10" s="188">
        <v>0</v>
      </c>
      <c r="D10" s="56"/>
      <c r="E10" s="67">
        <v>7</v>
      </c>
      <c r="F10" s="69" t="s">
        <v>60</v>
      </c>
      <c r="G10" s="70"/>
      <c r="M10" s="57"/>
      <c r="N10" s="56"/>
      <c r="R10" s="57"/>
      <c r="S10" s="56"/>
      <c r="V10" s="56"/>
      <c r="Y10" s="56"/>
      <c r="AB10" s="56"/>
      <c r="AE10" s="56"/>
    </row>
    <row r="11" spans="2:31" ht="13.5" thickBot="1" x14ac:dyDescent="0.25">
      <c r="B11" s="33"/>
      <c r="C11" s="76"/>
      <c r="D11" s="56"/>
      <c r="E11" s="67">
        <v>8</v>
      </c>
      <c r="F11" s="69" t="s">
        <v>60</v>
      </c>
      <c r="G11" s="70"/>
      <c r="M11" s="57"/>
      <c r="N11" s="56"/>
      <c r="R11" s="57"/>
      <c r="S11" s="56"/>
      <c r="V11" s="56"/>
      <c r="Y11" s="56"/>
      <c r="AB11" s="56"/>
      <c r="AE11" s="56"/>
    </row>
    <row r="12" spans="2:31" ht="13.5" thickBot="1" x14ac:dyDescent="0.25">
      <c r="B12" s="152" t="s">
        <v>147</v>
      </c>
      <c r="C12" s="153"/>
      <c r="D12" s="56"/>
      <c r="E12" s="67">
        <v>9</v>
      </c>
      <c r="F12" s="69" t="s">
        <v>60</v>
      </c>
      <c r="G12" s="70"/>
      <c r="M12" s="57"/>
      <c r="N12" s="56"/>
      <c r="R12" s="57"/>
      <c r="S12" s="56"/>
      <c r="V12" s="56"/>
      <c r="Y12" s="56"/>
      <c r="AB12" s="56"/>
      <c r="AE12" s="56"/>
    </row>
    <row r="13" spans="2:31" x14ac:dyDescent="0.2">
      <c r="B13" s="65" t="s">
        <v>148</v>
      </c>
      <c r="C13" s="65" t="s">
        <v>149</v>
      </c>
      <c r="D13" s="56"/>
      <c r="E13" s="67">
        <v>10</v>
      </c>
      <c r="F13" s="69" t="s">
        <v>60</v>
      </c>
      <c r="G13" s="70"/>
      <c r="M13" s="57"/>
      <c r="N13" s="56"/>
      <c r="R13" s="57"/>
      <c r="S13" s="56"/>
      <c r="V13" s="56"/>
      <c r="Y13" s="56"/>
      <c r="AB13" s="56"/>
      <c r="AE13" s="56"/>
    </row>
    <row r="14" spans="2:31" x14ac:dyDescent="0.2">
      <c r="B14" s="67">
        <v>1</v>
      </c>
      <c r="C14" s="66">
        <f ca="1">OFFSET(INDEX($B$42:$BF$42,0,MATCH(B14,$B$56:$BF$56,0)),0,1)</f>
        <v>97.499999987999999</v>
      </c>
      <c r="D14" s="56"/>
      <c r="E14" s="67">
        <v>11</v>
      </c>
      <c r="F14" s="69" t="s">
        <v>60</v>
      </c>
      <c r="G14" s="70"/>
      <c r="M14" s="57"/>
      <c r="N14" s="56"/>
      <c r="R14" s="57"/>
      <c r="S14" s="56"/>
      <c r="V14" s="56"/>
      <c r="Y14" s="56"/>
      <c r="AB14" s="56"/>
      <c r="AE14" s="56"/>
    </row>
    <row r="15" spans="2:31" x14ac:dyDescent="0.2">
      <c r="B15" s="67">
        <v>2</v>
      </c>
      <c r="C15" s="66">
        <f ca="1">OFFSET(INDEX($B$42:$BF$42,0,MATCH(B15,$B$56:$BF$56,0)),0,1)</f>
        <v>97.499999987999999</v>
      </c>
      <c r="D15" s="56"/>
      <c r="E15" s="67">
        <v>12</v>
      </c>
      <c r="F15" s="69" t="s">
        <v>60</v>
      </c>
      <c r="G15" s="70"/>
      <c r="M15" s="57"/>
      <c r="N15" s="56"/>
      <c r="R15" s="57"/>
      <c r="S15" s="56"/>
      <c r="V15" s="56"/>
      <c r="Y15" s="56"/>
      <c r="AB15" s="56"/>
      <c r="AE15" s="56"/>
    </row>
    <row r="16" spans="2:31" ht="13.5" thickBot="1" x14ac:dyDescent="0.25">
      <c r="B16" s="67">
        <v>3</v>
      </c>
      <c r="C16" s="66">
        <f ca="1">OFFSET(INDEX($B$42:$BF$42,0,MATCH(B16,$B$56:$BF$56,0)),0,1)</f>
        <v>97.499999987999999</v>
      </c>
      <c r="D16" s="56"/>
      <c r="F16" s="57"/>
      <c r="G16" s="56"/>
      <c r="I16" s="58"/>
      <c r="M16" s="56"/>
      <c r="O16" s="57"/>
      <c r="P16" s="56"/>
      <c r="R16" s="57"/>
      <c r="S16" s="56"/>
      <c r="V16" s="56"/>
      <c r="Y16" s="56"/>
      <c r="AB16" s="56"/>
      <c r="AE16" s="56"/>
    </row>
    <row r="17" spans="2:31" x14ac:dyDescent="0.2">
      <c r="B17" s="67">
        <v>4</v>
      </c>
      <c r="C17" s="66">
        <f ca="1">OFFSET(INDEX($B$42:$BF$42,0,MATCH(B17,$B$56:$BF$56,0)),0,1)</f>
        <v>97.499999987999999</v>
      </c>
      <c r="E17" s="154" t="s">
        <v>152</v>
      </c>
      <c r="F17" s="155"/>
      <c r="G17" s="156"/>
      <c r="I17" s="58"/>
      <c r="M17" s="56"/>
      <c r="O17" s="57"/>
      <c r="P17" s="56"/>
      <c r="R17" s="57"/>
      <c r="S17" s="56"/>
      <c r="V17" s="56"/>
      <c r="Y17" s="56"/>
      <c r="AB17" s="56"/>
      <c r="AE17" s="56"/>
    </row>
    <row r="18" spans="2:31" x14ac:dyDescent="0.2">
      <c r="B18" s="67">
        <v>5</v>
      </c>
      <c r="C18" s="66">
        <f ca="1">OFFSET(INDEX($B$42:$BF$42,0,MATCH(B18,$B$56:$BF$56,0)),0,1)</f>
        <v>97.499999987999999</v>
      </c>
      <c r="E18" s="157" t="s">
        <v>200</v>
      </c>
      <c r="F18" s="66">
        <f>C3</f>
        <v>100000</v>
      </c>
      <c r="G18" s="158"/>
      <c r="I18" s="58"/>
      <c r="M18" s="56"/>
      <c r="O18" s="57"/>
      <c r="P18" s="56"/>
      <c r="R18" s="57"/>
      <c r="S18" s="56"/>
      <c r="V18" s="56"/>
      <c r="Y18" s="56"/>
      <c r="AB18" s="56"/>
      <c r="AE18" s="56"/>
    </row>
    <row r="19" spans="2:31" x14ac:dyDescent="0.2">
      <c r="B19" s="67">
        <v>6</v>
      </c>
      <c r="C19" s="66">
        <f ca="1">OFFSET(INDEX($B$42:$BF$42,0,MATCH(B19,$B$56:$BF$56,0)),0,1)</f>
        <v>97.499999987999999</v>
      </c>
      <c r="E19" s="157" t="s">
        <v>196</v>
      </c>
      <c r="F19" s="66">
        <f ca="1">SUM(C54:OFFSET(C54,0,(C10*3)))+C3</f>
        <v>106499.99999919999</v>
      </c>
      <c r="G19" s="158"/>
      <c r="I19" s="58"/>
      <c r="M19" s="56"/>
      <c r="O19" s="57"/>
      <c r="P19" s="56"/>
      <c r="R19" s="57"/>
      <c r="S19" s="56"/>
      <c r="V19" s="56"/>
      <c r="Y19" s="56"/>
      <c r="AB19" s="56"/>
      <c r="AE19" s="56"/>
    </row>
    <row r="20" spans="2:31" x14ac:dyDescent="0.2">
      <c r="B20" s="67">
        <v>7</v>
      </c>
      <c r="C20" s="66">
        <f ca="1">OFFSET(INDEX($B$42:$BF$42,0,MATCH(B20,$B$56:$BF$56,0)),0,1)</f>
        <v>97.499999987999999</v>
      </c>
      <c r="E20" s="159" t="s">
        <v>153</v>
      </c>
      <c r="F20" s="160"/>
      <c r="G20" s="161"/>
      <c r="I20" s="58"/>
      <c r="J20" s="56"/>
      <c r="L20" s="57"/>
      <c r="M20" s="56"/>
      <c r="O20" s="57"/>
      <c r="P20" s="56"/>
      <c r="R20" s="57"/>
      <c r="S20" s="56"/>
      <c r="V20" s="56"/>
      <c r="Y20" s="56"/>
      <c r="AB20" s="56"/>
      <c r="AE20" s="56"/>
    </row>
    <row r="21" spans="2:31" x14ac:dyDescent="0.2">
      <c r="B21" s="67">
        <v>8</v>
      </c>
      <c r="C21" s="66">
        <f ca="1">OFFSET(INDEX($B$42:$BF$42,0,MATCH(B21,$B$56:$BF$56,0)),0,1)</f>
        <v>97.499999987999999</v>
      </c>
      <c r="E21" s="157" t="s">
        <v>144</v>
      </c>
      <c r="F21" s="66">
        <f ca="1">SUM(OFFSET(D54,0,(C10*3)):AE54)</f>
        <v>10529.999998703999</v>
      </c>
      <c r="G21" s="162">
        <f ca="1">F21/$F$18</f>
        <v>0.10529999998704</v>
      </c>
      <c r="I21" s="58"/>
      <c r="J21" s="56"/>
      <c r="L21" s="57"/>
      <c r="M21" s="56"/>
      <c r="O21" s="57"/>
      <c r="P21" s="56"/>
      <c r="R21" s="57"/>
      <c r="S21" s="56"/>
      <c r="V21" s="56"/>
      <c r="Y21" s="56"/>
      <c r="AB21" s="56"/>
      <c r="AE21" s="56"/>
    </row>
    <row r="22" spans="2:31" x14ac:dyDescent="0.2">
      <c r="B22" s="67">
        <v>9</v>
      </c>
      <c r="C22" s="66">
        <f ca="1">OFFSET(INDEX($B$42:$BF$42,0,MATCH(B22,$B$56:$BF$56,0)),0,1)</f>
        <v>97.499999987999999</v>
      </c>
      <c r="E22" s="157" t="s">
        <v>145</v>
      </c>
      <c r="F22" s="66">
        <f>SUM(L39:AD39)</f>
        <v>6499.9999991999994</v>
      </c>
      <c r="G22" s="162">
        <f>F22/$F$18</f>
        <v>6.4999999991999999E-2</v>
      </c>
      <c r="I22" s="58"/>
      <c r="L22" s="57"/>
      <c r="M22" s="56"/>
      <c r="O22" s="57"/>
      <c r="P22" s="56"/>
      <c r="R22" s="57"/>
      <c r="S22" s="56"/>
      <c r="V22" s="56"/>
      <c r="Y22" s="56"/>
      <c r="AB22" s="56"/>
      <c r="AE22" s="56"/>
    </row>
    <row r="23" spans="2:31" x14ac:dyDescent="0.2">
      <c r="B23" s="67">
        <v>10</v>
      </c>
      <c r="C23" s="66">
        <f ca="1">OFFSET(INDEX($B$42:$BF$42,0,MATCH(B23,$B$56:$BF$56,0)),0,1)</f>
        <v>0</v>
      </c>
      <c r="E23" s="157" t="s">
        <v>146</v>
      </c>
      <c r="F23" s="66">
        <f ca="1">F22+F21</f>
        <v>17029.999997904</v>
      </c>
      <c r="G23" s="162">
        <f ca="1">F23/$F$18</f>
        <v>0.17029999997904</v>
      </c>
      <c r="I23" s="58"/>
      <c r="J23" s="56"/>
      <c r="L23" s="57"/>
      <c r="M23" s="56"/>
      <c r="O23" s="57"/>
      <c r="P23" s="56"/>
      <c r="R23" s="57"/>
      <c r="S23" s="56"/>
      <c r="V23" s="56"/>
      <c r="Y23" s="56"/>
      <c r="AB23" s="56"/>
      <c r="AE23" s="56"/>
    </row>
    <row r="24" spans="2:31" x14ac:dyDescent="0.2">
      <c r="B24" s="67">
        <v>11</v>
      </c>
      <c r="C24" s="66">
        <f ca="1">OFFSET(INDEX($B$42:$BF$42,0,MATCH(B24,$B$56:$BF$56,0)),0,1)</f>
        <v>0</v>
      </c>
      <c r="E24" s="159" t="s">
        <v>178</v>
      </c>
      <c r="F24" s="160"/>
      <c r="G24" s="161"/>
      <c r="I24" s="58"/>
      <c r="J24" s="56"/>
      <c r="L24" s="57"/>
      <c r="M24" s="56"/>
      <c r="O24" s="57"/>
      <c r="P24" s="56"/>
      <c r="R24" s="57"/>
      <c r="S24" s="56"/>
      <c r="V24" s="56"/>
      <c r="Y24" s="56"/>
      <c r="AB24" s="56"/>
      <c r="AE24" s="56"/>
    </row>
    <row r="25" spans="2:31" x14ac:dyDescent="0.2">
      <c r="B25" s="67">
        <v>12</v>
      </c>
      <c r="C25" s="66">
        <f ca="1">OFFSET(INDEX($B$42:$BF$42,0,MATCH(B25,$B$56:$BF$56,0)),0,1)</f>
        <v>0</v>
      </c>
      <c r="E25" s="157" t="s">
        <v>155</v>
      </c>
      <c r="F25" s="66">
        <f>SUM(L39:BE39)</f>
        <v>6499.9999991999994</v>
      </c>
      <c r="G25" s="162">
        <f>F25/$F$18</f>
        <v>6.4999999991999999E-2</v>
      </c>
      <c r="I25" s="58"/>
      <c r="J25" s="56"/>
      <c r="L25" s="57"/>
      <c r="M25" s="56"/>
      <c r="O25" s="57"/>
      <c r="P25" s="56"/>
      <c r="R25" s="57"/>
      <c r="S25" s="56"/>
      <c r="V25" s="56"/>
      <c r="Y25" s="56"/>
      <c r="AB25" s="56"/>
      <c r="AE25" s="56"/>
    </row>
    <row r="26" spans="2:31" x14ac:dyDescent="0.2">
      <c r="B26" s="67">
        <v>13</v>
      </c>
      <c r="C26" s="66">
        <f ca="1">OFFSET(INDEX($B$42:$BF$42,0,MATCH(B26,$B$56:$BF$56,0)),0,1)</f>
        <v>0</v>
      </c>
      <c r="E26" s="157" t="s">
        <v>198</v>
      </c>
      <c r="F26" s="66">
        <f ca="1">SUM(OFFSET(F54,0,(C10*3)):BE54)</f>
        <v>10529.999998703999</v>
      </c>
      <c r="G26" s="162">
        <f ca="1">F26/$F$18</f>
        <v>0.10529999998704</v>
      </c>
      <c r="I26" s="58"/>
      <c r="J26" s="56"/>
      <c r="L26" s="57"/>
      <c r="M26" s="56"/>
      <c r="O26" s="57"/>
      <c r="P26" s="56"/>
      <c r="R26" s="57"/>
      <c r="S26" s="56"/>
      <c r="V26" s="56"/>
      <c r="Y26" s="56"/>
      <c r="AB26" s="56"/>
      <c r="AE26" s="56"/>
    </row>
    <row r="27" spans="2:31" ht="13.5" thickBot="1" x14ac:dyDescent="0.25">
      <c r="B27" s="67">
        <v>14</v>
      </c>
      <c r="C27" s="66">
        <f ca="1">OFFSET(INDEX($B$42:$BF$42,0,MATCH(B27,$B$56:$BF$56,0)),0,1)</f>
        <v>0</v>
      </c>
      <c r="E27" s="163" t="s">
        <v>157</v>
      </c>
      <c r="F27" s="164">
        <f ca="1">F26+F25</f>
        <v>17029.999997904</v>
      </c>
      <c r="G27" s="165">
        <f ca="1">F27/$F$18</f>
        <v>0.17029999997904</v>
      </c>
      <c r="I27" s="58"/>
      <c r="J27" s="56"/>
      <c r="L27" s="57"/>
      <c r="M27" s="56"/>
      <c r="O27" s="57"/>
      <c r="P27" s="56"/>
      <c r="R27" s="57"/>
      <c r="S27" s="56"/>
      <c r="V27" s="56"/>
      <c r="Y27" s="56"/>
      <c r="AB27" s="56"/>
      <c r="AE27" s="56"/>
    </row>
    <row r="28" spans="2:31" x14ac:dyDescent="0.2">
      <c r="B28" s="67">
        <v>15</v>
      </c>
      <c r="C28" s="66">
        <f ca="1">OFFSET(INDEX($B$42:$BF$42,0,MATCH(B28,$B$56:$BF$56,0)),0,1)</f>
        <v>0</v>
      </c>
      <c r="I28" s="58"/>
      <c r="J28" s="56"/>
      <c r="L28" s="57"/>
      <c r="M28" s="56"/>
      <c r="O28" s="57"/>
      <c r="P28" s="56"/>
      <c r="R28" s="57"/>
      <c r="S28" s="56"/>
      <c r="V28" s="56"/>
      <c r="Y28" s="56"/>
      <c r="AB28" s="56"/>
      <c r="AE28" s="56"/>
    </row>
    <row r="29" spans="2:31" x14ac:dyDescent="0.2">
      <c r="B29" s="67">
        <v>16</v>
      </c>
      <c r="C29" s="66">
        <f ca="1">OFFSET(INDEX($B$42:$BF$42,0,MATCH(B29,$B$56:$BF$56,0)),0,1)</f>
        <v>0</v>
      </c>
      <c r="E29" s="191" t="s">
        <v>163</v>
      </c>
      <c r="F29" s="191"/>
      <c r="G29" s="191"/>
      <c r="I29" s="58"/>
      <c r="J29" s="56"/>
      <c r="L29" s="57"/>
      <c r="M29" s="56"/>
      <c r="O29" s="57"/>
      <c r="P29" s="56"/>
      <c r="R29" s="57"/>
      <c r="S29" s="56"/>
      <c r="V29" s="56"/>
      <c r="Y29" s="56"/>
      <c r="AB29" s="56"/>
      <c r="AE29" s="56"/>
    </row>
    <row r="30" spans="2:31" x14ac:dyDescent="0.2">
      <c r="B30" s="67">
        <v>17</v>
      </c>
      <c r="C30" s="66">
        <f ca="1">OFFSET(INDEX($B$42:$BF$42,0,MATCH(B30,$B$56:$BF$56,0)),0,1)</f>
        <v>0</v>
      </c>
      <c r="E30" s="191" t="s">
        <v>180</v>
      </c>
      <c r="F30" s="191"/>
      <c r="G30" s="191"/>
      <c r="I30" s="58"/>
      <c r="J30" s="56"/>
      <c r="L30" s="57"/>
      <c r="M30" s="56"/>
      <c r="O30" s="57"/>
      <c r="P30" s="56"/>
      <c r="R30" s="57"/>
      <c r="S30" s="56"/>
      <c r="V30" s="56"/>
      <c r="Y30" s="56"/>
      <c r="AB30" s="56"/>
      <c r="AE30" s="56"/>
    </row>
    <row r="31" spans="2:31" x14ac:dyDescent="0.2">
      <c r="B31" s="67">
        <v>18</v>
      </c>
      <c r="C31" s="66">
        <f ca="1">OFFSET(INDEX($B$42:$BF$42,0,MATCH(B31,$B$56:$BF$56,0)),0,1)</f>
        <v>0</v>
      </c>
      <c r="I31" s="58"/>
      <c r="J31" s="56"/>
      <c r="L31" s="57"/>
      <c r="M31" s="56"/>
      <c r="O31" s="57"/>
      <c r="P31" s="56"/>
      <c r="R31" s="57"/>
      <c r="S31" s="56"/>
      <c r="V31" s="56"/>
      <c r="Y31" s="56"/>
      <c r="AB31" s="56"/>
      <c r="AE31" s="56"/>
    </row>
    <row r="32" spans="2:31" hidden="1" x14ac:dyDescent="0.2">
      <c r="I32" s="58"/>
      <c r="J32" s="56"/>
      <c r="L32" s="57"/>
      <c r="M32" s="56"/>
      <c r="O32" s="57"/>
      <c r="P32" s="56"/>
      <c r="R32" s="57"/>
      <c r="S32" s="56"/>
      <c r="V32" s="56"/>
      <c r="Y32" s="56"/>
      <c r="AB32" s="56"/>
      <c r="AE32" s="56"/>
    </row>
    <row r="33" spans="2:57" hidden="1" x14ac:dyDescent="0.2">
      <c r="I33" s="58"/>
      <c r="J33" s="56"/>
      <c r="L33" s="57"/>
      <c r="M33" s="56"/>
      <c r="O33" s="57"/>
      <c r="P33" s="56"/>
      <c r="R33" s="57"/>
      <c r="S33" s="56"/>
      <c r="V33" s="56"/>
      <c r="Y33" s="56"/>
      <c r="AB33" s="56"/>
      <c r="AE33" s="56"/>
    </row>
    <row r="34" spans="2:57" hidden="1" x14ac:dyDescent="0.2">
      <c r="I34" s="58"/>
      <c r="J34" s="56"/>
      <c r="L34" s="57"/>
      <c r="M34" s="56"/>
      <c r="O34" s="57"/>
      <c r="P34" s="56"/>
      <c r="R34" s="57"/>
      <c r="S34" s="56"/>
      <c r="V34" s="56"/>
      <c r="Y34" s="56"/>
      <c r="AB34" s="56"/>
      <c r="AE34" s="56"/>
    </row>
    <row r="35" spans="2:57" hidden="1" x14ac:dyDescent="0.2">
      <c r="I35" s="58"/>
      <c r="J35" s="56"/>
      <c r="L35" s="57"/>
      <c r="M35" s="56"/>
      <c r="O35" s="57"/>
      <c r="P35" s="56"/>
      <c r="R35" s="57"/>
      <c r="S35" s="56"/>
      <c r="V35" s="56"/>
      <c r="Y35" s="56"/>
      <c r="AB35" s="56"/>
      <c r="AE35" s="56"/>
    </row>
    <row r="36" spans="2:57" hidden="1" x14ac:dyDescent="0.2">
      <c r="I36" s="58"/>
      <c r="J36" s="56"/>
      <c r="L36" s="57"/>
      <c r="M36" s="56"/>
      <c r="O36" s="57"/>
      <c r="P36" s="56"/>
      <c r="R36" s="57"/>
      <c r="S36" s="56"/>
      <c r="V36" s="56"/>
      <c r="Y36" s="56"/>
      <c r="AB36" s="56"/>
      <c r="AE36" s="56"/>
    </row>
    <row r="37" spans="2:57" hidden="1" x14ac:dyDescent="0.2">
      <c r="F37" s="57"/>
      <c r="G37" s="56"/>
      <c r="I37" s="58"/>
      <c r="J37" s="56"/>
      <c r="L37" s="57"/>
      <c r="M37" s="56"/>
      <c r="O37" s="57"/>
      <c r="P37" s="56"/>
      <c r="R37" s="57"/>
      <c r="S37" s="56"/>
      <c r="V37" s="56"/>
      <c r="Y37" s="56"/>
      <c r="AB37" s="56"/>
      <c r="AE37" s="56"/>
    </row>
    <row r="38" spans="2:57" ht="13.5" thickBot="1" x14ac:dyDescent="0.25">
      <c r="E38" s="57"/>
      <c r="F38" s="56"/>
      <c r="H38" s="58"/>
      <c r="I38" s="56"/>
      <c r="K38" s="57"/>
      <c r="L38" s="56"/>
      <c r="N38" s="57"/>
      <c r="O38" s="56"/>
      <c r="Q38" s="57"/>
      <c r="R38" s="56"/>
      <c r="U38" s="56"/>
      <c r="X38" s="56"/>
      <c r="AA38" s="56"/>
      <c r="AD38" s="56"/>
    </row>
    <row r="39" spans="2:57" ht="13.5" thickBot="1" x14ac:dyDescent="0.25">
      <c r="F39" s="56"/>
      <c r="I39" s="56"/>
      <c r="K39" s="77" t="s">
        <v>30</v>
      </c>
      <c r="L39" s="166">
        <f>'TimeAlly + TSGAP compounded'!M14-('TimeAlly + TSGAP compounded'!M14*0.01*((L71*1)+(L73*2)))</f>
        <v>2166.6666663999999</v>
      </c>
      <c r="N39" s="77" t="s">
        <v>30</v>
      </c>
      <c r="O39" s="166">
        <f>'TimeAlly + TSGAP compounded'!P14</f>
        <v>0</v>
      </c>
      <c r="Q39" s="77" t="s">
        <v>30</v>
      </c>
      <c r="R39" s="166">
        <f>'TimeAlly + TSGAP compounded'!S14</f>
        <v>0</v>
      </c>
      <c r="T39" s="77" t="s">
        <v>30</v>
      </c>
      <c r="U39" s="166">
        <f>'TimeAlly + TSGAP compounded'!V14</f>
        <v>2166.6666663999999</v>
      </c>
      <c r="W39" s="77" t="s">
        <v>30</v>
      </c>
      <c r="X39" s="166">
        <f>'TimeAlly + TSGAP compounded'!Y14</f>
        <v>0</v>
      </c>
      <c r="Z39" s="77" t="s">
        <v>30</v>
      </c>
      <c r="AA39" s="166">
        <f>'TimeAlly + TSGAP compounded'!AB14</f>
        <v>0</v>
      </c>
      <c r="AC39" s="77" t="s">
        <v>30</v>
      </c>
      <c r="AD39" s="166">
        <f>'TimeAlly + TSGAP compounded'!AE14</f>
        <v>2166.6666663999999</v>
      </c>
      <c r="AF39" s="77" t="s">
        <v>30</v>
      </c>
      <c r="AG39" s="166">
        <f>'TimeAlly + TSGAP compounded'!AH14</f>
        <v>0</v>
      </c>
      <c r="AI39" s="77" t="s">
        <v>30</v>
      </c>
      <c r="AJ39" s="166">
        <f>'TimeAlly + TSGAP compounded'!AK14</f>
        <v>0</v>
      </c>
      <c r="AL39" s="77" t="s">
        <v>30</v>
      </c>
      <c r="AM39" s="166">
        <f>'TimeAlly + TSGAP compounded'!AN14</f>
        <v>0</v>
      </c>
      <c r="AO39" s="77" t="s">
        <v>30</v>
      </c>
      <c r="AP39" s="166">
        <f>'TimeAlly + TSGAP compounded'!AQ14</f>
        <v>0</v>
      </c>
      <c r="AR39" s="77" t="s">
        <v>30</v>
      </c>
      <c r="AS39" s="166">
        <f>'TimeAlly + TSGAP compounded'!AT14</f>
        <v>0</v>
      </c>
      <c r="AU39" s="77" t="s">
        <v>30</v>
      </c>
      <c r="AV39" s="166">
        <f>'TimeAlly + TSGAP compounded'!AW14</f>
        <v>0</v>
      </c>
      <c r="AX39" s="77" t="s">
        <v>30</v>
      </c>
      <c r="AY39" s="166">
        <f>'TimeAlly + TSGAP compounded'!AZ14</f>
        <v>0</v>
      </c>
      <c r="BA39" s="77" t="s">
        <v>30</v>
      </c>
      <c r="BB39" s="166">
        <f>'TimeAlly + TSGAP compounded'!BC14</f>
        <v>0</v>
      </c>
      <c r="BD39" s="77" t="s">
        <v>30</v>
      </c>
      <c r="BE39" s="166">
        <f>'TimeAlly + TSGAP compounded'!BF14</f>
        <v>0</v>
      </c>
    </row>
    <row r="40" spans="2:57" ht="22.35" customHeight="1" thickBot="1" x14ac:dyDescent="0.25">
      <c r="B40" s="167" t="s">
        <v>1</v>
      </c>
      <c r="C40" s="168"/>
      <c r="E40" s="169" t="s">
        <v>3</v>
      </c>
      <c r="F40" s="170"/>
      <c r="H40" s="171" t="s">
        <v>4</v>
      </c>
      <c r="I40" s="172"/>
      <c r="K40" s="173" t="s">
        <v>5</v>
      </c>
      <c r="L40" s="174"/>
      <c r="N40" s="173" t="s">
        <v>6</v>
      </c>
      <c r="O40" s="174"/>
      <c r="Q40" s="175" t="s">
        <v>7</v>
      </c>
      <c r="R40" s="175"/>
      <c r="T40" s="176" t="s">
        <v>8</v>
      </c>
      <c r="U40" s="176"/>
      <c r="W40" s="175" t="s">
        <v>9</v>
      </c>
      <c r="X40" s="175"/>
      <c r="Z40" s="175" t="s">
        <v>10</v>
      </c>
      <c r="AA40" s="175"/>
      <c r="AC40" s="176" t="s">
        <v>11</v>
      </c>
      <c r="AD40" s="176"/>
      <c r="AF40" s="175" t="s">
        <v>129</v>
      </c>
      <c r="AG40" s="175"/>
      <c r="AI40" s="175" t="s">
        <v>130</v>
      </c>
      <c r="AJ40" s="175"/>
      <c r="AL40" s="176" t="s">
        <v>131</v>
      </c>
      <c r="AM40" s="176"/>
      <c r="AO40" s="176" t="s">
        <v>132</v>
      </c>
      <c r="AP40" s="176"/>
      <c r="AR40" s="176" t="s">
        <v>133</v>
      </c>
      <c r="AS40" s="176"/>
      <c r="AU40" s="176" t="s">
        <v>134</v>
      </c>
      <c r="AV40" s="176"/>
      <c r="AX40" s="176" t="s">
        <v>135</v>
      </c>
      <c r="AY40" s="176"/>
      <c r="BA40" s="176" t="s">
        <v>136</v>
      </c>
      <c r="BB40" s="176"/>
      <c r="BD40" s="176" t="s">
        <v>137</v>
      </c>
      <c r="BE40" s="176"/>
    </row>
    <row r="41" spans="2:57" ht="51.75" thickBot="1" x14ac:dyDescent="0.25">
      <c r="B41" s="83" t="s">
        <v>12</v>
      </c>
      <c r="C41" s="84" t="s">
        <v>13</v>
      </c>
      <c r="D41" s="177" t="s">
        <v>138</v>
      </c>
      <c r="E41" s="85" t="s">
        <v>14</v>
      </c>
      <c r="F41" s="86" t="s">
        <v>76</v>
      </c>
      <c r="G41" s="177" t="s">
        <v>138</v>
      </c>
      <c r="H41" s="85" t="s">
        <v>14</v>
      </c>
      <c r="I41" s="86" t="s">
        <v>76</v>
      </c>
      <c r="J41" s="177" t="s">
        <v>138</v>
      </c>
      <c r="K41" s="85" t="s">
        <v>14</v>
      </c>
      <c r="L41" s="86" t="s">
        <v>76</v>
      </c>
      <c r="M41" s="177" t="s">
        <v>138</v>
      </c>
      <c r="N41" s="85" t="s">
        <v>14</v>
      </c>
      <c r="O41" s="86" t="s">
        <v>76</v>
      </c>
      <c r="P41" s="177" t="s">
        <v>138</v>
      </c>
      <c r="Q41" s="85" t="s">
        <v>14</v>
      </c>
      <c r="R41" s="86" t="s">
        <v>76</v>
      </c>
      <c r="S41" s="177" t="s">
        <v>138</v>
      </c>
      <c r="T41" s="85" t="s">
        <v>14</v>
      </c>
      <c r="U41" s="86" t="s">
        <v>76</v>
      </c>
      <c r="V41" s="177" t="s">
        <v>138</v>
      </c>
      <c r="W41" s="85" t="s">
        <v>14</v>
      </c>
      <c r="X41" s="86" t="s">
        <v>76</v>
      </c>
      <c r="Y41" s="177" t="s">
        <v>138</v>
      </c>
      <c r="Z41" s="85" t="s">
        <v>14</v>
      </c>
      <c r="AA41" s="86" t="s">
        <v>76</v>
      </c>
      <c r="AB41" s="177" t="s">
        <v>138</v>
      </c>
      <c r="AC41" s="85" t="s">
        <v>14</v>
      </c>
      <c r="AD41" s="86" t="s">
        <v>76</v>
      </c>
      <c r="AE41" s="177" t="s">
        <v>138</v>
      </c>
      <c r="AF41" s="85" t="s">
        <v>14</v>
      </c>
      <c r="AG41" s="86" t="s">
        <v>76</v>
      </c>
      <c r="AI41" s="85" t="s">
        <v>14</v>
      </c>
      <c r="AJ41" s="86" t="s">
        <v>76</v>
      </c>
      <c r="AL41" s="85" t="s">
        <v>14</v>
      </c>
      <c r="AM41" s="86" t="s">
        <v>76</v>
      </c>
      <c r="AO41" s="85" t="s">
        <v>14</v>
      </c>
      <c r="AP41" s="86" t="s">
        <v>76</v>
      </c>
      <c r="AR41" s="85" t="s">
        <v>14</v>
      </c>
      <c r="AS41" s="86" t="s">
        <v>76</v>
      </c>
      <c r="AU41" s="85" t="s">
        <v>14</v>
      </c>
      <c r="AV41" s="86" t="s">
        <v>76</v>
      </c>
      <c r="AX41" s="85" t="s">
        <v>14</v>
      </c>
      <c r="AY41" s="86" t="s">
        <v>76</v>
      </c>
      <c r="BA41" s="85" t="s">
        <v>14</v>
      </c>
      <c r="BB41" s="86" t="s">
        <v>76</v>
      </c>
      <c r="BD41" s="85" t="s">
        <v>14</v>
      </c>
      <c r="BE41" s="86" t="s">
        <v>76</v>
      </c>
    </row>
    <row r="42" spans="2:57" ht="13.5" thickBot="1" x14ac:dyDescent="0.25">
      <c r="B42" s="88" t="s">
        <v>15</v>
      </c>
      <c r="C42" s="178">
        <f>IF(F4=$I$73,0,IF(G4="",$C$5,IF(G4&lt;$C$5,0,G4)))</f>
        <v>541.66666659999999</v>
      </c>
      <c r="D42" s="77" t="s">
        <v>31</v>
      </c>
      <c r="E42" s="90">
        <v>1</v>
      </c>
      <c r="F42" s="178">
        <f>$C42*$C$6</f>
        <v>97.499999987999999</v>
      </c>
      <c r="G42" s="77" t="s">
        <v>31</v>
      </c>
      <c r="H42" s="91">
        <v>13</v>
      </c>
      <c r="I42" s="178">
        <f>F58+F42</f>
        <v>97.499999987999999</v>
      </c>
      <c r="J42" s="77" t="s">
        <v>31</v>
      </c>
      <c r="K42" s="91">
        <v>25</v>
      </c>
      <c r="L42" s="178">
        <f>I58+I42</f>
        <v>97.499999987999999</v>
      </c>
      <c r="M42" s="77" t="s">
        <v>31</v>
      </c>
      <c r="N42" s="91">
        <v>37</v>
      </c>
      <c r="O42" s="178">
        <f>L58+L42</f>
        <v>97.499999987999999</v>
      </c>
      <c r="P42" s="77" t="s">
        <v>31</v>
      </c>
      <c r="Q42" s="91">
        <v>49</v>
      </c>
      <c r="R42" s="178">
        <f>O58+O42</f>
        <v>97.499999987999999</v>
      </c>
      <c r="S42" s="77" t="s">
        <v>31</v>
      </c>
      <c r="T42" s="91">
        <v>61</v>
      </c>
      <c r="U42" s="178">
        <f>R58+R42</f>
        <v>97.499999987999999</v>
      </c>
      <c r="V42" s="77" t="s">
        <v>31</v>
      </c>
      <c r="W42" s="91">
        <v>73</v>
      </c>
      <c r="X42" s="178">
        <f>U58+U42</f>
        <v>97.499999987999999</v>
      </c>
      <c r="Y42" s="77" t="s">
        <v>31</v>
      </c>
      <c r="Z42" s="91">
        <v>85</v>
      </c>
      <c r="AA42" s="178">
        <f>X58+X42</f>
        <v>97.499999987999999</v>
      </c>
      <c r="AB42" s="77" t="s">
        <v>31</v>
      </c>
      <c r="AC42" s="91">
        <v>97</v>
      </c>
      <c r="AD42" s="178">
        <f>AA58+AA42</f>
        <v>97.499999987999999</v>
      </c>
      <c r="AE42" s="77" t="s">
        <v>31</v>
      </c>
      <c r="AF42" s="91">
        <v>109</v>
      </c>
      <c r="AG42" s="89">
        <f>AD58+AD42+AE58</f>
        <v>0</v>
      </c>
      <c r="AI42" s="91">
        <v>121</v>
      </c>
      <c r="AJ42" s="89">
        <f>AG58+AG42+AH58</f>
        <v>0</v>
      </c>
      <c r="AL42" s="91">
        <v>131</v>
      </c>
      <c r="AM42" s="89">
        <f>AJ58+AJ42+AK58</f>
        <v>0</v>
      </c>
      <c r="AO42" s="91">
        <v>131</v>
      </c>
      <c r="AP42" s="89">
        <f>AM58+AM42+AN58</f>
        <v>0</v>
      </c>
      <c r="AR42" s="91">
        <v>131</v>
      </c>
      <c r="AS42" s="89">
        <f>AP58+AP42+AQ58</f>
        <v>0</v>
      </c>
      <c r="AU42" s="91">
        <v>131</v>
      </c>
      <c r="AV42" s="89">
        <f>AS58+AS42+AT58</f>
        <v>0</v>
      </c>
      <c r="AX42" s="91">
        <v>131</v>
      </c>
      <c r="AY42" s="89">
        <f>AV58+AV42+AW58</f>
        <v>0</v>
      </c>
      <c r="BA42" s="91">
        <v>131</v>
      </c>
      <c r="BB42" s="89">
        <f>AY58+AY42+AZ58</f>
        <v>0</v>
      </c>
      <c r="BD42" s="91">
        <v>131</v>
      </c>
      <c r="BE42" s="89">
        <f>BB58+BB42+BC58</f>
        <v>0</v>
      </c>
    </row>
    <row r="43" spans="2:57" ht="13.5" thickBot="1" x14ac:dyDescent="0.25">
      <c r="B43" s="93" t="s">
        <v>16</v>
      </c>
      <c r="C43" s="178">
        <f>IF(F5=$I$73,0,IF(G5="",$C$5,IF(G5&lt;$C$5,0,G5)))</f>
        <v>541.66666659999999</v>
      </c>
      <c r="D43" s="94">
        <f>C58*108</f>
        <v>10529.999998703999</v>
      </c>
      <c r="E43" s="95">
        <v>2</v>
      </c>
      <c r="F43" s="178">
        <f>$C43*$C$6</f>
        <v>97.499999987999999</v>
      </c>
      <c r="G43" s="94">
        <f>F58*108</f>
        <v>0</v>
      </c>
      <c r="H43" s="35">
        <v>14</v>
      </c>
      <c r="I43" s="178">
        <f>F59+F43</f>
        <v>97.499999987999999</v>
      </c>
      <c r="J43" s="94">
        <f>I58*108</f>
        <v>0</v>
      </c>
      <c r="K43" s="35">
        <v>26</v>
      </c>
      <c r="L43" s="178">
        <f>I59+I43</f>
        <v>97.499999987999999</v>
      </c>
      <c r="M43" s="94">
        <f>L58*108</f>
        <v>0</v>
      </c>
      <c r="N43" s="65">
        <v>38</v>
      </c>
      <c r="O43" s="178">
        <f>L59+L43</f>
        <v>97.499999987999999</v>
      </c>
      <c r="P43" s="94">
        <f>O58*108</f>
        <v>0</v>
      </c>
      <c r="Q43" s="35">
        <v>50</v>
      </c>
      <c r="R43" s="178">
        <f>O59+O43</f>
        <v>97.499999987999999</v>
      </c>
      <c r="S43" s="94">
        <f>R58*108</f>
        <v>0</v>
      </c>
      <c r="T43" s="35">
        <v>62</v>
      </c>
      <c r="U43" s="178">
        <f>R59+R43</f>
        <v>97.499999987999999</v>
      </c>
      <c r="V43" s="94">
        <f>U58*108</f>
        <v>0</v>
      </c>
      <c r="W43" s="65">
        <v>74</v>
      </c>
      <c r="X43" s="178">
        <f>U59+U43</f>
        <v>97.499999987999999</v>
      </c>
      <c r="Y43" s="94">
        <f>X58*108</f>
        <v>0</v>
      </c>
      <c r="Z43" s="91">
        <v>86</v>
      </c>
      <c r="AA43" s="178">
        <f>X59+X43</f>
        <v>97.499999987999999</v>
      </c>
      <c r="AB43" s="94">
        <f>AA58*108</f>
        <v>0</v>
      </c>
      <c r="AC43" s="35">
        <v>98</v>
      </c>
      <c r="AD43" s="178">
        <f>AA59+AA43</f>
        <v>97.499999987999999</v>
      </c>
      <c r="AE43" s="94">
        <f>AD58*108</f>
        <v>0</v>
      </c>
      <c r="AF43" s="65">
        <v>110</v>
      </c>
      <c r="AG43" s="89">
        <f>AD59+AD43+AE59</f>
        <v>0</v>
      </c>
      <c r="AI43" s="91">
        <v>122</v>
      </c>
      <c r="AJ43" s="89">
        <f>AG59+AG43+AH59</f>
        <v>0</v>
      </c>
      <c r="AL43" s="35">
        <v>132</v>
      </c>
      <c r="AM43" s="89">
        <f>AJ59+AJ43+AK59</f>
        <v>0</v>
      </c>
      <c r="AO43" s="35">
        <v>132</v>
      </c>
      <c r="AP43" s="89">
        <f>AM59+AM43+AN59</f>
        <v>0</v>
      </c>
      <c r="AR43" s="35">
        <v>132</v>
      </c>
      <c r="AS43" s="89">
        <f>AP59+AP43+AQ59</f>
        <v>0</v>
      </c>
      <c r="AU43" s="35">
        <v>132</v>
      </c>
      <c r="AV43" s="89">
        <f>AS59+AS43+AT59</f>
        <v>0</v>
      </c>
      <c r="AX43" s="35">
        <v>132</v>
      </c>
      <c r="AY43" s="89">
        <f>AV59+AV43+AW59</f>
        <v>0</v>
      </c>
      <c r="BA43" s="35">
        <v>132</v>
      </c>
      <c r="BB43" s="89">
        <f>AY59+AY43+AZ59</f>
        <v>0</v>
      </c>
      <c r="BD43" s="35">
        <v>132</v>
      </c>
      <c r="BE43" s="89">
        <f>BB59+BB43+BC59</f>
        <v>0</v>
      </c>
    </row>
    <row r="44" spans="2:57" x14ac:dyDescent="0.2">
      <c r="B44" s="93" t="s">
        <v>17</v>
      </c>
      <c r="C44" s="178">
        <f>IF(F6=$I$73,0,IF(G6="",$C$5,IF(G6&lt;$C$5,0,G6)))</f>
        <v>541.66666659999999</v>
      </c>
      <c r="E44" s="91">
        <v>3</v>
      </c>
      <c r="F44" s="178">
        <f>$C44*$C$6</f>
        <v>97.499999987999999</v>
      </c>
      <c r="G44" s="87"/>
      <c r="H44" s="91">
        <v>15</v>
      </c>
      <c r="I44" s="178">
        <f>F60+F44</f>
        <v>97.499999987999999</v>
      </c>
      <c r="K44" s="91">
        <v>27</v>
      </c>
      <c r="L44" s="178">
        <f>I60+I44</f>
        <v>97.499999987999999</v>
      </c>
      <c r="N44" s="35">
        <v>39</v>
      </c>
      <c r="O44" s="178">
        <f>L60+L44</f>
        <v>97.499999987999999</v>
      </c>
      <c r="Q44" s="91">
        <v>51</v>
      </c>
      <c r="R44" s="178">
        <f>O60+O44</f>
        <v>97.499999987999999</v>
      </c>
      <c r="T44" s="91">
        <v>63</v>
      </c>
      <c r="U44" s="178">
        <f>R60+R44</f>
        <v>97.499999987999999</v>
      </c>
      <c r="W44" s="35">
        <v>75</v>
      </c>
      <c r="X44" s="178">
        <f>U60+U44</f>
        <v>97.499999987999999</v>
      </c>
      <c r="Z44" s="91">
        <v>87</v>
      </c>
      <c r="AA44" s="178">
        <f>X60+X44</f>
        <v>97.499999987999999</v>
      </c>
      <c r="AC44" s="91">
        <v>99</v>
      </c>
      <c r="AD44" s="178">
        <f>AA60+AA44</f>
        <v>97.499999987999999</v>
      </c>
      <c r="AF44" s="91">
        <v>111</v>
      </c>
      <c r="AG44" s="89">
        <f>AD60+AD44+AE60</f>
        <v>0</v>
      </c>
      <c r="AI44" s="91">
        <v>123</v>
      </c>
      <c r="AJ44" s="89">
        <f>AG60+AG44+AH60</f>
        <v>0</v>
      </c>
      <c r="AL44" s="91">
        <v>133</v>
      </c>
      <c r="AM44" s="89">
        <f>AJ60+AJ44+AK60</f>
        <v>0</v>
      </c>
      <c r="AO44" s="91">
        <v>133</v>
      </c>
      <c r="AP44" s="89">
        <f>AM60+AM44+AN60</f>
        <v>0</v>
      </c>
      <c r="AR44" s="91">
        <v>133</v>
      </c>
      <c r="AS44" s="89">
        <f>AP60+AP44+AQ60</f>
        <v>0</v>
      </c>
      <c r="AU44" s="91">
        <v>133</v>
      </c>
      <c r="AV44" s="89">
        <f>AS60+AS44+AT60</f>
        <v>0</v>
      </c>
      <c r="AX44" s="91">
        <v>133</v>
      </c>
      <c r="AY44" s="89">
        <f>AV60+AV44+AW60</f>
        <v>0</v>
      </c>
      <c r="BA44" s="91">
        <v>133</v>
      </c>
      <c r="BB44" s="89">
        <f>AY60+AY44+AZ60</f>
        <v>0</v>
      </c>
      <c r="BD44" s="91">
        <v>133</v>
      </c>
      <c r="BE44" s="89">
        <f>BB60+BB44+BC60</f>
        <v>0</v>
      </c>
    </row>
    <row r="45" spans="2:57" x14ac:dyDescent="0.2">
      <c r="B45" s="93" t="s">
        <v>18</v>
      </c>
      <c r="C45" s="178">
        <f>IF(F7=$I$73,0,IF(G7="",$C$5,IF(G7&lt;$C$5,0,G7)))</f>
        <v>541.66666659999999</v>
      </c>
      <c r="E45" s="35">
        <v>4</v>
      </c>
      <c r="F45" s="178">
        <f>$C45*$C$6</f>
        <v>97.499999987999999</v>
      </c>
      <c r="G45" s="87"/>
      <c r="H45" s="35">
        <v>16</v>
      </c>
      <c r="I45" s="178">
        <f>F61+F45</f>
        <v>97.499999987999999</v>
      </c>
      <c r="K45" s="35">
        <v>28</v>
      </c>
      <c r="L45" s="178">
        <f>I61+I45</f>
        <v>97.499999987999999</v>
      </c>
      <c r="N45" s="65">
        <v>40</v>
      </c>
      <c r="O45" s="178">
        <f>L61+L45</f>
        <v>97.499999987999999</v>
      </c>
      <c r="Q45" s="35">
        <v>52</v>
      </c>
      <c r="R45" s="178">
        <f>O61+O45</f>
        <v>97.499999987999999</v>
      </c>
      <c r="T45" s="35">
        <v>64</v>
      </c>
      <c r="U45" s="178">
        <f>R61+R45</f>
        <v>97.499999987999999</v>
      </c>
      <c r="W45" s="65">
        <v>76</v>
      </c>
      <c r="X45" s="178">
        <f>U61+U45</f>
        <v>97.499999987999999</v>
      </c>
      <c r="Z45" s="91">
        <v>88</v>
      </c>
      <c r="AA45" s="178">
        <f>X61+X45</f>
        <v>97.499999987999999</v>
      </c>
      <c r="AC45" s="35">
        <v>100</v>
      </c>
      <c r="AD45" s="178">
        <f>AA61+AA45</f>
        <v>97.499999987999999</v>
      </c>
      <c r="AF45" s="65">
        <v>112</v>
      </c>
      <c r="AG45" s="89">
        <f>AD61+AD45+AE61</f>
        <v>0</v>
      </c>
      <c r="AI45" s="91">
        <v>124</v>
      </c>
      <c r="AJ45" s="89">
        <f>AG61+AG45+AH61</f>
        <v>0</v>
      </c>
      <c r="AL45" s="35">
        <v>134</v>
      </c>
      <c r="AM45" s="89">
        <f>AJ61+AJ45+AK61</f>
        <v>0</v>
      </c>
      <c r="AO45" s="35">
        <v>134</v>
      </c>
      <c r="AP45" s="89">
        <f>AM61+AM45+AN61</f>
        <v>0</v>
      </c>
      <c r="AR45" s="35">
        <v>134</v>
      </c>
      <c r="AS45" s="89">
        <f>AP61+AP45+AQ61</f>
        <v>0</v>
      </c>
      <c r="AU45" s="35">
        <v>134</v>
      </c>
      <c r="AV45" s="89">
        <f>AS61+AS45+AT61</f>
        <v>0</v>
      </c>
      <c r="AX45" s="35">
        <v>134</v>
      </c>
      <c r="AY45" s="89">
        <f>AV61+AV45+AW61</f>
        <v>0</v>
      </c>
      <c r="BA45" s="35">
        <v>134</v>
      </c>
      <c r="BB45" s="89">
        <f>AY61+AY45+AZ61</f>
        <v>0</v>
      </c>
      <c r="BD45" s="35">
        <v>134</v>
      </c>
      <c r="BE45" s="89">
        <f>BB61+BB45+BC61</f>
        <v>0</v>
      </c>
    </row>
    <row r="46" spans="2:57" x14ac:dyDescent="0.2">
      <c r="B46" s="93" t="s">
        <v>19</v>
      </c>
      <c r="C46" s="178">
        <f>IF(F8=$I$73,0,IF(G8="",$C$5,IF(G8&lt;$C$5,0,G8)))</f>
        <v>541.66666659999999</v>
      </c>
      <c r="E46" s="91">
        <v>5</v>
      </c>
      <c r="F46" s="178">
        <f>$C46*$C$6</f>
        <v>97.499999987999999</v>
      </c>
      <c r="G46" s="87"/>
      <c r="H46" s="91">
        <v>17</v>
      </c>
      <c r="I46" s="178">
        <f>F62+F46</f>
        <v>97.499999987999999</v>
      </c>
      <c r="K46" s="91">
        <v>29</v>
      </c>
      <c r="L46" s="178">
        <f>I62+I46</f>
        <v>97.499999987999999</v>
      </c>
      <c r="N46" s="35">
        <v>41</v>
      </c>
      <c r="O46" s="178">
        <f>L62+L46</f>
        <v>97.499999987999999</v>
      </c>
      <c r="Q46" s="91">
        <v>53</v>
      </c>
      <c r="R46" s="178">
        <f>O62+O46</f>
        <v>97.499999987999999</v>
      </c>
      <c r="T46" s="91">
        <v>65</v>
      </c>
      <c r="U46" s="178">
        <f>R62+R46</f>
        <v>97.499999987999999</v>
      </c>
      <c r="W46" s="35">
        <v>77</v>
      </c>
      <c r="X46" s="178">
        <f>U62+U46</f>
        <v>97.499999987999999</v>
      </c>
      <c r="Z46" s="91">
        <v>89</v>
      </c>
      <c r="AA46" s="178">
        <f>X62+X46</f>
        <v>97.499999987999999</v>
      </c>
      <c r="AC46" s="91">
        <v>101</v>
      </c>
      <c r="AD46" s="178">
        <f>AA62+AA46</f>
        <v>97.499999987999999</v>
      </c>
      <c r="AF46" s="91">
        <v>113</v>
      </c>
      <c r="AG46" s="89">
        <f>AD62+AD46+AE62</f>
        <v>0</v>
      </c>
      <c r="AI46" s="91">
        <v>125</v>
      </c>
      <c r="AJ46" s="89">
        <f>AG62+AG46+AH62</f>
        <v>0</v>
      </c>
      <c r="AL46" s="91">
        <v>135</v>
      </c>
      <c r="AM46" s="89">
        <f>AJ62+AJ46+AK62</f>
        <v>0</v>
      </c>
      <c r="AO46" s="91">
        <v>135</v>
      </c>
      <c r="AP46" s="89">
        <f>AM62+AM46+AN62</f>
        <v>0</v>
      </c>
      <c r="AR46" s="91">
        <v>135</v>
      </c>
      <c r="AS46" s="89">
        <f>AP62+AP46+AQ62</f>
        <v>0</v>
      </c>
      <c r="AU46" s="91">
        <v>135</v>
      </c>
      <c r="AV46" s="89">
        <f>AS62+AS46+AT62</f>
        <v>0</v>
      </c>
      <c r="AX46" s="91">
        <v>135</v>
      </c>
      <c r="AY46" s="89">
        <f>AV62+AV46+AW62</f>
        <v>0</v>
      </c>
      <c r="BA46" s="91">
        <v>135</v>
      </c>
      <c r="BB46" s="89">
        <f>AY62+AY46+AZ62</f>
        <v>0</v>
      </c>
      <c r="BD46" s="91">
        <v>135</v>
      </c>
      <c r="BE46" s="89">
        <f>BB62+BB46+BC62</f>
        <v>0</v>
      </c>
    </row>
    <row r="47" spans="2:57" x14ac:dyDescent="0.2">
      <c r="B47" s="93" t="s">
        <v>20</v>
      </c>
      <c r="C47" s="178">
        <f>IF(F9=$I$73,0,IF(G9="",$C$5,IF(G9&lt;$C$5,0,G9)))</f>
        <v>541.66666659999999</v>
      </c>
      <c r="E47" s="35">
        <v>6</v>
      </c>
      <c r="F47" s="178">
        <f>$C47*$C$6</f>
        <v>97.499999987999999</v>
      </c>
      <c r="G47" s="87"/>
      <c r="H47" s="35">
        <v>18</v>
      </c>
      <c r="I47" s="178">
        <f>F63+F47</f>
        <v>97.499999987999999</v>
      </c>
      <c r="K47" s="35">
        <v>30</v>
      </c>
      <c r="L47" s="178">
        <f>I63+I47</f>
        <v>97.499999987999999</v>
      </c>
      <c r="N47" s="65">
        <v>42</v>
      </c>
      <c r="O47" s="178">
        <f>L63+L47</f>
        <v>97.499999987999999</v>
      </c>
      <c r="Q47" s="35">
        <v>54</v>
      </c>
      <c r="R47" s="178">
        <f>O63+O47</f>
        <v>97.499999987999999</v>
      </c>
      <c r="T47" s="35">
        <v>66</v>
      </c>
      <c r="U47" s="178">
        <f>R63+R47</f>
        <v>97.499999987999999</v>
      </c>
      <c r="W47" s="65">
        <v>78</v>
      </c>
      <c r="X47" s="178">
        <f>U63+U47</f>
        <v>97.499999987999999</v>
      </c>
      <c r="Z47" s="91">
        <v>90</v>
      </c>
      <c r="AA47" s="178">
        <f>X63+X47</f>
        <v>97.499999987999999</v>
      </c>
      <c r="AC47" s="35">
        <v>102</v>
      </c>
      <c r="AD47" s="178">
        <f>AA63+AA47</f>
        <v>97.499999987999999</v>
      </c>
      <c r="AF47" s="65">
        <v>114</v>
      </c>
      <c r="AG47" s="89">
        <f>AD63+AD47+AE63</f>
        <v>0</v>
      </c>
      <c r="AI47" s="91">
        <v>126</v>
      </c>
      <c r="AJ47" s="89">
        <f>AG63+AG47+AH63</f>
        <v>0</v>
      </c>
      <c r="AL47" s="35">
        <v>136</v>
      </c>
      <c r="AM47" s="89">
        <f>AJ63+AJ47+AK63</f>
        <v>0</v>
      </c>
      <c r="AO47" s="35">
        <v>136</v>
      </c>
      <c r="AP47" s="89">
        <f>AM63+AM47+AN63</f>
        <v>0</v>
      </c>
      <c r="AR47" s="35">
        <v>136</v>
      </c>
      <c r="AS47" s="89">
        <f>AP63+AP47+AQ63</f>
        <v>0</v>
      </c>
      <c r="AU47" s="35">
        <v>136</v>
      </c>
      <c r="AV47" s="89">
        <f>AS63+AS47+AT63</f>
        <v>0</v>
      </c>
      <c r="AX47" s="35">
        <v>136</v>
      </c>
      <c r="AY47" s="89">
        <f>AV63+AV47+AW63</f>
        <v>0</v>
      </c>
      <c r="BA47" s="35">
        <v>136</v>
      </c>
      <c r="BB47" s="89">
        <f>AY63+AY47+AZ63</f>
        <v>0</v>
      </c>
      <c r="BD47" s="35">
        <v>136</v>
      </c>
      <c r="BE47" s="89">
        <f>BB63+BB47+BC63</f>
        <v>0</v>
      </c>
    </row>
    <row r="48" spans="2:57" x14ac:dyDescent="0.2">
      <c r="B48" s="93" t="s">
        <v>21</v>
      </c>
      <c r="C48" s="178">
        <f>IF(F10=$I$73,0,IF(G10="",$C$5,IF(G10&lt;$C$5,0,G10)))</f>
        <v>541.66666659999999</v>
      </c>
      <c r="E48" s="91">
        <v>7</v>
      </c>
      <c r="F48" s="178">
        <f>$C48*$C$6</f>
        <v>97.499999987999999</v>
      </c>
      <c r="G48" s="87"/>
      <c r="H48" s="91">
        <v>19</v>
      </c>
      <c r="I48" s="178">
        <f>F64+F48</f>
        <v>97.499999987999999</v>
      </c>
      <c r="K48" s="91">
        <v>31</v>
      </c>
      <c r="L48" s="178">
        <f>I64+I48</f>
        <v>97.499999987999999</v>
      </c>
      <c r="N48" s="35">
        <v>43</v>
      </c>
      <c r="O48" s="178">
        <f>L64+L48</f>
        <v>97.499999987999999</v>
      </c>
      <c r="Q48" s="91">
        <v>55</v>
      </c>
      <c r="R48" s="178">
        <f>O64+O48</f>
        <v>97.499999987999999</v>
      </c>
      <c r="T48" s="91">
        <v>67</v>
      </c>
      <c r="U48" s="178">
        <f>R64+R48</f>
        <v>97.499999987999999</v>
      </c>
      <c r="W48" s="35">
        <v>79</v>
      </c>
      <c r="X48" s="178">
        <f>U64+U48</f>
        <v>97.499999987999999</v>
      </c>
      <c r="Z48" s="91">
        <v>91</v>
      </c>
      <c r="AA48" s="178">
        <f>X64+X48</f>
        <v>97.499999987999999</v>
      </c>
      <c r="AC48" s="91">
        <v>103</v>
      </c>
      <c r="AD48" s="178">
        <f>AA64+AA48</f>
        <v>97.499999987999999</v>
      </c>
      <c r="AF48" s="91">
        <v>115</v>
      </c>
      <c r="AG48" s="89">
        <f>AD64+AD48+AE64</f>
        <v>0</v>
      </c>
      <c r="AI48" s="91">
        <v>127</v>
      </c>
      <c r="AJ48" s="89">
        <f>AG64+AG48+AH64</f>
        <v>0</v>
      </c>
      <c r="AL48" s="91">
        <v>137</v>
      </c>
      <c r="AM48" s="89">
        <f>AJ64+AJ48+AK64</f>
        <v>0</v>
      </c>
      <c r="AO48" s="91">
        <v>137</v>
      </c>
      <c r="AP48" s="89">
        <f>AM64+AM48+AN64</f>
        <v>0</v>
      </c>
      <c r="AR48" s="91">
        <v>137</v>
      </c>
      <c r="AS48" s="89">
        <f>AP64+AP48+AQ64</f>
        <v>0</v>
      </c>
      <c r="AU48" s="91">
        <v>137</v>
      </c>
      <c r="AV48" s="89">
        <f>AS64+AS48+AT64</f>
        <v>0</v>
      </c>
      <c r="AX48" s="91">
        <v>137</v>
      </c>
      <c r="AY48" s="89">
        <f>AV64+AV48+AW64</f>
        <v>0</v>
      </c>
      <c r="BA48" s="91">
        <v>137</v>
      </c>
      <c r="BB48" s="89">
        <f>AY64+AY48+AZ64</f>
        <v>0</v>
      </c>
      <c r="BD48" s="91">
        <v>137</v>
      </c>
      <c r="BE48" s="89">
        <f>BB64+BB48+BC64</f>
        <v>0</v>
      </c>
    </row>
    <row r="49" spans="2:58" x14ac:dyDescent="0.2">
      <c r="B49" s="93" t="s">
        <v>22</v>
      </c>
      <c r="C49" s="178">
        <f>IF(F11=$I$73,0,IF(G11="",$C$5,IF(G11&lt;$C$5,0,G11)))</f>
        <v>541.66666659999999</v>
      </c>
      <c r="E49" s="35">
        <v>8</v>
      </c>
      <c r="F49" s="178">
        <f>$C49*$C$6</f>
        <v>97.499999987999999</v>
      </c>
      <c r="G49" s="87"/>
      <c r="H49" s="35">
        <v>20</v>
      </c>
      <c r="I49" s="178">
        <f>F65+F49</f>
        <v>97.499999987999999</v>
      </c>
      <c r="K49" s="35">
        <v>32</v>
      </c>
      <c r="L49" s="178">
        <f>I65+I49</f>
        <v>97.499999987999999</v>
      </c>
      <c r="N49" s="65">
        <v>44</v>
      </c>
      <c r="O49" s="178">
        <f>L65+L49</f>
        <v>97.499999987999999</v>
      </c>
      <c r="Q49" s="35">
        <v>56</v>
      </c>
      <c r="R49" s="178">
        <f>O65+O49</f>
        <v>97.499999987999999</v>
      </c>
      <c r="T49" s="35">
        <v>68</v>
      </c>
      <c r="U49" s="178">
        <f>R65+R49</f>
        <v>97.499999987999999</v>
      </c>
      <c r="W49" s="65">
        <v>80</v>
      </c>
      <c r="X49" s="178">
        <f>U65+U49</f>
        <v>97.499999987999999</v>
      </c>
      <c r="Z49" s="91">
        <v>92</v>
      </c>
      <c r="AA49" s="178">
        <f>X65+X49</f>
        <v>97.499999987999999</v>
      </c>
      <c r="AC49" s="35">
        <v>104</v>
      </c>
      <c r="AD49" s="178">
        <f>AA65+AA49</f>
        <v>97.499999987999999</v>
      </c>
      <c r="AF49" s="65">
        <v>116</v>
      </c>
      <c r="AG49" s="89">
        <f>AD65+AD49+AE65</f>
        <v>0</v>
      </c>
      <c r="AI49" s="91">
        <v>128</v>
      </c>
      <c r="AJ49" s="89">
        <f>AG65+AG49+AH65</f>
        <v>0</v>
      </c>
      <c r="AL49" s="35">
        <v>138</v>
      </c>
      <c r="AM49" s="89">
        <f>AJ65+AJ49+AK65</f>
        <v>0</v>
      </c>
      <c r="AO49" s="35">
        <v>138</v>
      </c>
      <c r="AP49" s="89">
        <f>AM65+AM49+AN65</f>
        <v>0</v>
      </c>
      <c r="AR49" s="35">
        <v>138</v>
      </c>
      <c r="AS49" s="89">
        <f>AP65+AP49+AQ65</f>
        <v>0</v>
      </c>
      <c r="AU49" s="35">
        <v>138</v>
      </c>
      <c r="AV49" s="89">
        <f>AS65+AS49+AT65</f>
        <v>0</v>
      </c>
      <c r="AX49" s="35">
        <v>138</v>
      </c>
      <c r="AY49" s="89">
        <f>AV65+AV49+AW65</f>
        <v>0</v>
      </c>
      <c r="BA49" s="35">
        <v>138</v>
      </c>
      <c r="BB49" s="89">
        <f>AY65+AY49+AZ65</f>
        <v>0</v>
      </c>
      <c r="BD49" s="35">
        <v>138</v>
      </c>
      <c r="BE49" s="89">
        <f>BB65+BB49+BC65</f>
        <v>0</v>
      </c>
    </row>
    <row r="50" spans="2:58" x14ac:dyDescent="0.2">
      <c r="B50" s="93" t="s">
        <v>23</v>
      </c>
      <c r="C50" s="178">
        <f>IF(F12=$I$73,0,IF(G12="",$C$5,IF(G12&lt;$C$5,0,G12)))</f>
        <v>541.66666659999999</v>
      </c>
      <c r="E50" s="91">
        <v>9</v>
      </c>
      <c r="F50" s="178">
        <f>$C50*$C$6</f>
        <v>97.499999987999999</v>
      </c>
      <c r="G50" s="87"/>
      <c r="H50" s="91">
        <v>21</v>
      </c>
      <c r="I50" s="178">
        <f>F66+F50</f>
        <v>97.499999987999999</v>
      </c>
      <c r="K50" s="91">
        <v>33</v>
      </c>
      <c r="L50" s="178">
        <f>I66+I50</f>
        <v>97.499999987999999</v>
      </c>
      <c r="N50" s="35">
        <v>45</v>
      </c>
      <c r="O50" s="178">
        <f>L66+L50</f>
        <v>97.499999987999999</v>
      </c>
      <c r="Q50" s="91">
        <v>57</v>
      </c>
      <c r="R50" s="178">
        <f>O66+O50</f>
        <v>97.499999987999999</v>
      </c>
      <c r="T50" s="91">
        <v>69</v>
      </c>
      <c r="U50" s="178">
        <f>R66+R50</f>
        <v>97.499999987999999</v>
      </c>
      <c r="W50" s="35">
        <v>81</v>
      </c>
      <c r="X50" s="178">
        <f>U66+U50</f>
        <v>97.499999987999999</v>
      </c>
      <c r="Z50" s="91">
        <v>93</v>
      </c>
      <c r="AA50" s="178">
        <f>X66+X50</f>
        <v>97.499999987999999</v>
      </c>
      <c r="AC50" s="91">
        <v>105</v>
      </c>
      <c r="AD50" s="178">
        <f>AA66+AA50</f>
        <v>97.499999987999999</v>
      </c>
      <c r="AF50" s="91">
        <v>117</v>
      </c>
      <c r="AG50" s="89">
        <f>AD66+AD50+AE66</f>
        <v>0</v>
      </c>
      <c r="AI50" s="91">
        <v>129</v>
      </c>
      <c r="AJ50" s="89">
        <f>AG66+AG50+AH66</f>
        <v>0</v>
      </c>
      <c r="AL50" s="91">
        <v>139</v>
      </c>
      <c r="AM50" s="89">
        <f>AJ66+AJ50+AK66</f>
        <v>0</v>
      </c>
      <c r="AO50" s="91">
        <v>139</v>
      </c>
      <c r="AP50" s="89">
        <f>AM66+AM50+AN66</f>
        <v>0</v>
      </c>
      <c r="AR50" s="91">
        <v>139</v>
      </c>
      <c r="AS50" s="89">
        <f>AP66+AP50+AQ66</f>
        <v>0</v>
      </c>
      <c r="AU50" s="91">
        <v>139</v>
      </c>
      <c r="AV50" s="89">
        <f>AS66+AS50+AT66</f>
        <v>0</v>
      </c>
      <c r="AX50" s="91">
        <v>139</v>
      </c>
      <c r="AY50" s="89">
        <f>AV66+AV50+AW66</f>
        <v>0</v>
      </c>
      <c r="BA50" s="91">
        <v>139</v>
      </c>
      <c r="BB50" s="89">
        <f>AY66+AY50+AZ66</f>
        <v>0</v>
      </c>
      <c r="BD50" s="91">
        <v>139</v>
      </c>
      <c r="BE50" s="89">
        <f>BB66+BB50+BC66</f>
        <v>0</v>
      </c>
    </row>
    <row r="51" spans="2:58" x14ac:dyDescent="0.2">
      <c r="B51" s="93" t="s">
        <v>24</v>
      </c>
      <c r="C51" s="178">
        <f>IF(F13=$I$73,0,IF(G13="",$C$5,IF(G13&lt;$C$5,0,G13)))</f>
        <v>541.66666659999999</v>
      </c>
      <c r="E51" s="35">
        <v>10</v>
      </c>
      <c r="F51" s="178">
        <f>$C51*$C$6</f>
        <v>97.499999987999999</v>
      </c>
      <c r="G51" s="87"/>
      <c r="H51" s="35">
        <v>22</v>
      </c>
      <c r="I51" s="178">
        <f>F67+F51</f>
        <v>97.499999987999999</v>
      </c>
      <c r="K51" s="35">
        <v>34</v>
      </c>
      <c r="L51" s="178">
        <f>I67+I51</f>
        <v>97.499999987999999</v>
      </c>
      <c r="N51" s="65">
        <v>46</v>
      </c>
      <c r="O51" s="178">
        <f>L67+L51</f>
        <v>97.499999987999999</v>
      </c>
      <c r="Q51" s="35">
        <v>58</v>
      </c>
      <c r="R51" s="178">
        <f>O67+O51</f>
        <v>97.499999987999999</v>
      </c>
      <c r="T51" s="35">
        <v>70</v>
      </c>
      <c r="U51" s="178">
        <f>R67+R51</f>
        <v>97.499999987999999</v>
      </c>
      <c r="W51" s="65">
        <v>82</v>
      </c>
      <c r="X51" s="178">
        <f>U67+U51</f>
        <v>97.499999987999999</v>
      </c>
      <c r="Z51" s="91">
        <v>94</v>
      </c>
      <c r="AA51" s="178">
        <f>X67+X51</f>
        <v>97.499999987999999</v>
      </c>
      <c r="AC51" s="35">
        <v>106</v>
      </c>
      <c r="AD51" s="178">
        <f>AA67+AA51</f>
        <v>97.499999987999999</v>
      </c>
      <c r="AF51" s="65">
        <v>118</v>
      </c>
      <c r="AG51" s="89">
        <f>AD67+AD51+AE67</f>
        <v>0</v>
      </c>
      <c r="AI51" s="91">
        <v>130</v>
      </c>
      <c r="AJ51" s="89">
        <f>AG67+AG51+AH67</f>
        <v>0</v>
      </c>
      <c r="AL51" s="35">
        <v>140</v>
      </c>
      <c r="AM51" s="89">
        <f>AJ67+AJ51+AK67</f>
        <v>0</v>
      </c>
      <c r="AO51" s="35">
        <v>140</v>
      </c>
      <c r="AP51" s="89">
        <f>AM67+AM51+AN67</f>
        <v>0</v>
      </c>
      <c r="AR51" s="35">
        <v>140</v>
      </c>
      <c r="AS51" s="89">
        <f>AP67+AP51+AQ67</f>
        <v>0</v>
      </c>
      <c r="AU51" s="35">
        <v>140</v>
      </c>
      <c r="AV51" s="89">
        <f>AS67+AS51+AT67</f>
        <v>0</v>
      </c>
      <c r="AX51" s="35">
        <v>140</v>
      </c>
      <c r="AY51" s="89">
        <f>AV67+AV51+AW67</f>
        <v>0</v>
      </c>
      <c r="BA51" s="35">
        <v>140</v>
      </c>
      <c r="BB51" s="89">
        <f>AY67+AY51+AZ67</f>
        <v>0</v>
      </c>
      <c r="BD51" s="35">
        <v>140</v>
      </c>
      <c r="BE51" s="89">
        <f>BB67+BB51+BC67</f>
        <v>0</v>
      </c>
    </row>
    <row r="52" spans="2:58" x14ac:dyDescent="0.2">
      <c r="B52" s="93" t="s">
        <v>25</v>
      </c>
      <c r="C52" s="178">
        <f>IF(F14=$I$73,0,IF(G14="",$C$5,IF(G14&lt;$C$5,0,G14)))</f>
        <v>541.66666659999999</v>
      </c>
      <c r="E52" s="91">
        <v>11</v>
      </c>
      <c r="F52" s="178">
        <f>$C52*$C$6</f>
        <v>97.499999987999999</v>
      </c>
      <c r="G52" s="87"/>
      <c r="H52" s="91">
        <v>23</v>
      </c>
      <c r="I52" s="178">
        <f>F68+F52</f>
        <v>97.499999987999999</v>
      </c>
      <c r="K52" s="91">
        <v>35</v>
      </c>
      <c r="L52" s="178">
        <f>I68+I52</f>
        <v>97.499999987999999</v>
      </c>
      <c r="N52" s="35">
        <v>47</v>
      </c>
      <c r="O52" s="178">
        <f>L68+L52</f>
        <v>97.499999987999999</v>
      </c>
      <c r="Q52" s="91">
        <v>59</v>
      </c>
      <c r="R52" s="178">
        <f>O68+O52</f>
        <v>97.499999987999999</v>
      </c>
      <c r="T52" s="91">
        <v>71</v>
      </c>
      <c r="U52" s="178">
        <f>R68+R52</f>
        <v>97.499999987999999</v>
      </c>
      <c r="W52" s="35">
        <v>83</v>
      </c>
      <c r="X52" s="178">
        <f>U68+U52</f>
        <v>97.499999987999999</v>
      </c>
      <c r="Z52" s="91">
        <v>95</v>
      </c>
      <c r="AA52" s="178">
        <f>X68+X52</f>
        <v>97.499999987999999</v>
      </c>
      <c r="AC52" s="91">
        <v>107</v>
      </c>
      <c r="AD52" s="178">
        <f>AA68+AA52</f>
        <v>97.499999987999999</v>
      </c>
      <c r="AF52" s="91">
        <v>119</v>
      </c>
      <c r="AG52" s="89">
        <f>AD68+AD52+AE68</f>
        <v>0</v>
      </c>
      <c r="AI52" s="91">
        <v>131</v>
      </c>
      <c r="AJ52" s="89">
        <f>AG68+AG52+AH68</f>
        <v>0</v>
      </c>
      <c r="AL52" s="91">
        <v>141</v>
      </c>
      <c r="AM52" s="89">
        <f>AJ68+AJ52+AK68</f>
        <v>0</v>
      </c>
      <c r="AO52" s="91">
        <v>141</v>
      </c>
      <c r="AP52" s="89">
        <f>AM68+AM52+AN68</f>
        <v>0</v>
      </c>
      <c r="AR52" s="91">
        <v>141</v>
      </c>
      <c r="AS52" s="89">
        <f>AP68+AP52+AQ68</f>
        <v>0</v>
      </c>
      <c r="AU52" s="91">
        <v>141</v>
      </c>
      <c r="AV52" s="89">
        <f>AS68+AS52+AT68</f>
        <v>0</v>
      </c>
      <c r="AX52" s="91">
        <v>141</v>
      </c>
      <c r="AY52" s="89">
        <f>AV68+AV52+AW68</f>
        <v>0</v>
      </c>
      <c r="BA52" s="91">
        <v>141</v>
      </c>
      <c r="BB52" s="89">
        <f>AY68+AY52+AZ68</f>
        <v>0</v>
      </c>
      <c r="BD52" s="91">
        <v>141</v>
      </c>
      <c r="BE52" s="89">
        <f>BB68+BB52+BC68</f>
        <v>0</v>
      </c>
    </row>
    <row r="53" spans="2:58" ht="13.5" thickBot="1" x14ac:dyDescent="0.25">
      <c r="B53" s="108" t="s">
        <v>26</v>
      </c>
      <c r="C53" s="178">
        <f>IF(F15=$I$73,0,IF(G15="",$C$5,IF(G15&lt;$C$5,0,G15)))</f>
        <v>541.66666659999999</v>
      </c>
      <c r="E53" s="35">
        <v>12</v>
      </c>
      <c r="F53" s="178">
        <f>$C53*$C$6</f>
        <v>97.499999987999999</v>
      </c>
      <c r="G53" s="87"/>
      <c r="H53" s="35">
        <v>24</v>
      </c>
      <c r="I53" s="178">
        <f>F69+F53</f>
        <v>97.499999987999999</v>
      </c>
      <c r="K53" s="96">
        <v>36</v>
      </c>
      <c r="L53" s="178">
        <f>I69+I53</f>
        <v>97.499999987999999</v>
      </c>
      <c r="N53" s="96">
        <v>48</v>
      </c>
      <c r="O53" s="178">
        <f>L69+L53</f>
        <v>97.499999987999999</v>
      </c>
      <c r="Q53" s="96">
        <v>60</v>
      </c>
      <c r="R53" s="178">
        <f>O69+O53</f>
        <v>97.499999987999999</v>
      </c>
      <c r="T53" s="96">
        <v>72</v>
      </c>
      <c r="U53" s="178">
        <f>R69+R53</f>
        <v>97.499999987999999</v>
      </c>
      <c r="W53" s="96">
        <v>84</v>
      </c>
      <c r="X53" s="178">
        <f>U69+U53</f>
        <v>97.499999987999999</v>
      </c>
      <c r="Z53" s="96">
        <v>96</v>
      </c>
      <c r="AA53" s="178">
        <f>X69+X53</f>
        <v>97.499999987999999</v>
      </c>
      <c r="AC53" s="96">
        <v>108</v>
      </c>
      <c r="AD53" s="178">
        <f>AA69+AA53</f>
        <v>97.499999987999999</v>
      </c>
      <c r="AF53" s="96">
        <v>120</v>
      </c>
      <c r="AG53" s="89">
        <f>AD69+AD53+AE69</f>
        <v>0</v>
      </c>
      <c r="AI53" s="96">
        <v>132</v>
      </c>
      <c r="AJ53" s="89">
        <f>AG69+AG53+AH69</f>
        <v>0</v>
      </c>
      <c r="AL53" s="96">
        <v>142</v>
      </c>
      <c r="AM53" s="89">
        <f>AJ69+AJ53+AK69</f>
        <v>0</v>
      </c>
      <c r="AO53" s="96">
        <v>142</v>
      </c>
      <c r="AP53" s="89">
        <f>AM69+AM53+AN69</f>
        <v>0</v>
      </c>
      <c r="AR53" s="96">
        <v>142</v>
      </c>
      <c r="AS53" s="89">
        <f>AP69+AP53+AQ69</f>
        <v>0</v>
      </c>
      <c r="AU53" s="96">
        <v>142</v>
      </c>
      <c r="AV53" s="89">
        <f>AS69+AS53+AT69</f>
        <v>0</v>
      </c>
      <c r="AX53" s="96">
        <v>142</v>
      </c>
      <c r="AY53" s="89">
        <f>AV69+AV53+AW69</f>
        <v>0</v>
      </c>
      <c r="BA53" s="96">
        <v>142</v>
      </c>
      <c r="BB53" s="89">
        <f>AY69+AY53+AZ69</f>
        <v>0</v>
      </c>
      <c r="BD53" s="96">
        <v>142</v>
      </c>
      <c r="BE53" s="89">
        <f>BB69+BB53+BC69</f>
        <v>0</v>
      </c>
    </row>
    <row r="54" spans="2:58" x14ac:dyDescent="0.2">
      <c r="C54" s="178">
        <f>SUM(C42:C53)</f>
        <v>6499.9999992000003</v>
      </c>
      <c r="E54" s="57"/>
      <c r="F54" s="178">
        <f>SUM(F42:F53)</f>
        <v>1169.9999998559999</v>
      </c>
      <c r="H54" s="58"/>
      <c r="I54" s="178">
        <f>SUM(I42:I53)</f>
        <v>1169.9999998559999</v>
      </c>
      <c r="K54" s="57"/>
      <c r="L54" s="178">
        <f>SUM(L42:L53)</f>
        <v>1169.9999998559999</v>
      </c>
      <c r="N54" s="57"/>
      <c r="O54" s="178">
        <f>SUM(O42:O53)</f>
        <v>1169.9999998559999</v>
      </c>
      <c r="Q54" s="57"/>
      <c r="R54" s="178">
        <f>SUM(R42:R53)</f>
        <v>1169.9999998559999</v>
      </c>
      <c r="U54" s="178">
        <f>SUM(U42:U53)</f>
        <v>1169.9999998559999</v>
      </c>
      <c r="X54" s="178">
        <f>SUM(X42:X53)</f>
        <v>1169.9999998559999</v>
      </c>
      <c r="AA54" s="178">
        <f>SUM(AA42:AA53)</f>
        <v>1169.9999998559999</v>
      </c>
      <c r="AD54" s="178">
        <f>SUM(AD42:AD53)</f>
        <v>1169.9999998559999</v>
      </c>
      <c r="AG54" s="178">
        <f>SUM(AG42:AG53)</f>
        <v>0</v>
      </c>
      <c r="AJ54" s="178">
        <f>SUM(AJ42:AJ53)</f>
        <v>0</v>
      </c>
      <c r="AM54" s="178">
        <f>SUM(AM42:AM53)</f>
        <v>0</v>
      </c>
      <c r="AP54" s="178">
        <f>SUM(AP42:AP53)</f>
        <v>0</v>
      </c>
      <c r="AS54" s="178">
        <f>SUM(AS42:AS53)</f>
        <v>0</v>
      </c>
      <c r="AV54" s="178">
        <f>SUM(AV42:AV53)</f>
        <v>0</v>
      </c>
      <c r="AY54" s="178">
        <f>SUM(AY42:AY53)</f>
        <v>0</v>
      </c>
      <c r="BB54" s="178">
        <f>SUM(BB42:BB53)</f>
        <v>0</v>
      </c>
      <c r="BE54" s="178">
        <f>SUM(BE42:BE53)</f>
        <v>0</v>
      </c>
    </row>
    <row r="55" spans="2:58" x14ac:dyDescent="0.2">
      <c r="C55" s="56"/>
      <c r="E55" s="57"/>
      <c r="F55" s="56"/>
      <c r="H55" s="58"/>
      <c r="I55" s="56"/>
      <c r="K55" s="57"/>
      <c r="L55" s="56"/>
      <c r="N55" s="57"/>
      <c r="O55" s="56"/>
      <c r="Q55" s="57"/>
      <c r="R55" s="56"/>
      <c r="U55" s="56"/>
      <c r="X55" s="56"/>
      <c r="AA55" s="56"/>
      <c r="AD55" s="56"/>
    </row>
    <row r="56" spans="2:58" hidden="1" x14ac:dyDescent="0.2">
      <c r="B56" s="56">
        <v>0</v>
      </c>
      <c r="C56" s="179">
        <f>IF(C42&gt;='TSGAP % slabs'!$B$8,'TSGAP % slabs'!$D$8,IF(C42&gt;='TSGAP % slabs'!$B$7,'TSGAP % slabs'!$D$7,IF(C42&gt;='TSGAP % slabs'!$B$6,'TSGAP % slabs'!$D$6,IF(C42&gt;='TSGAP % slabs'!$B$5,'TSGAP % slabs'!$D$5,IF(C42&gt;='TSGAP % slabs'!$B$4,'TSGAP % slabs'!$D$4,0)))))</f>
        <v>0.18</v>
      </c>
      <c r="D56" s="99"/>
      <c r="E56" s="56">
        <v>1</v>
      </c>
      <c r="F56" s="179">
        <f>IF(F42&gt;='TSGAP % slabs'!$B$8,'TSGAP % slabs'!$D$8,IF(F42&gt;='TSGAP % slabs'!$B$7,'TSGAP % slabs'!$D$7,IF(F42&gt;='TSGAP % slabs'!$B$6,'TSGAP % slabs'!$D$6,IF(F42&gt;='TSGAP % slabs'!$B$5,'TSGAP % slabs'!$D$5,IF(F42&gt;='TSGAP % slabs'!$B$4,'TSGAP % slabs'!$D$4,0)))))</f>
        <v>0</v>
      </c>
      <c r="H56" s="56">
        <v>2</v>
      </c>
      <c r="I56" s="179">
        <f>IF(I42&gt;='TSGAP % slabs'!$B$8,'TSGAP % slabs'!$D$8,IF(I42&gt;='TSGAP % slabs'!$B$7,'TSGAP % slabs'!$D$7,IF(I42&gt;='TSGAP % slabs'!$B$6,'TSGAP % slabs'!$D$6,IF(I42&gt;='TSGAP % slabs'!$B$5,'TSGAP % slabs'!$D$5,IF(I42&gt;='TSGAP % slabs'!$B$4,'TSGAP % slabs'!$D$4,0)))))</f>
        <v>0</v>
      </c>
      <c r="K56" s="56">
        <v>3</v>
      </c>
      <c r="L56" s="179">
        <f>IF(L42&gt;='TSGAP % slabs'!$B$8,'TSGAP % slabs'!$D$8,IF(L42&gt;='TSGAP % slabs'!$B$7,'TSGAP % slabs'!$D$7,IF(L42&gt;='TSGAP % slabs'!$B$6,'TSGAP % slabs'!$D$6,IF(L42&gt;='TSGAP % slabs'!$B$5,'TSGAP % slabs'!$D$5,IF(L42&gt;='TSGAP % slabs'!$B$4,'TSGAP % slabs'!$D$4,0)))))</f>
        <v>0</v>
      </c>
      <c r="N56" s="56">
        <v>4</v>
      </c>
      <c r="O56" s="179">
        <f>IF(O42&gt;='TSGAP % slabs'!$B$8,'TSGAP % slabs'!$D$8,IF(O42&gt;='TSGAP % slabs'!$B$7,'TSGAP % slabs'!$D$7,IF(O42&gt;='TSGAP % slabs'!$B$6,'TSGAP % slabs'!$D$6,IF(O42&gt;='TSGAP % slabs'!$B$5,'TSGAP % slabs'!$D$5,IF(O42&gt;='TSGAP % slabs'!$B$4,'TSGAP % slabs'!$D$4,0)))))</f>
        <v>0</v>
      </c>
      <c r="Q56" s="56">
        <v>5</v>
      </c>
      <c r="R56" s="179">
        <f>IF(R42&gt;='TSGAP % slabs'!$B$8,'TSGAP % slabs'!$D$8,IF(R42&gt;='TSGAP % slabs'!$B$7,'TSGAP % slabs'!$D$7,IF(R42&gt;='TSGAP % slabs'!$B$6,'TSGAP % slabs'!$D$6,IF(R42&gt;='TSGAP % slabs'!$B$5,'TSGAP % slabs'!$D$5,IF(R42&gt;='TSGAP % slabs'!$B$4,'TSGAP % slabs'!$D$4,0)))))</f>
        <v>0</v>
      </c>
      <c r="T56" s="56">
        <v>6</v>
      </c>
      <c r="U56" s="179">
        <f>IF(U42&gt;='TSGAP % slabs'!$B$8,'TSGAP % slabs'!$D$8,IF(U42&gt;='TSGAP % slabs'!$B$7,'TSGAP % slabs'!$D$7,IF(U42&gt;='TSGAP % slabs'!$B$6,'TSGAP % slabs'!$D$6,IF(U42&gt;='TSGAP % slabs'!$B$5,'TSGAP % slabs'!$D$5,IF(U42&gt;='TSGAP % slabs'!$B$4,'TSGAP % slabs'!$D$4,0)))))</f>
        <v>0</v>
      </c>
      <c r="W56" s="56">
        <v>7</v>
      </c>
      <c r="X56" s="179">
        <f>IF(X42&gt;='TSGAP % slabs'!$B$8,'TSGAP % slabs'!$D$8,IF(X42&gt;='TSGAP % slabs'!$B$7,'TSGAP % slabs'!$D$7,IF(X42&gt;='TSGAP % slabs'!$B$6,'TSGAP % slabs'!$D$6,IF(X42&gt;='TSGAP % slabs'!$B$5,'TSGAP % slabs'!$D$5,IF(X42&gt;='TSGAP % slabs'!$B$4,'TSGAP % slabs'!$D$4,0)))))</f>
        <v>0</v>
      </c>
      <c r="Z56" s="56">
        <v>8</v>
      </c>
      <c r="AA56" s="179">
        <f>IF(AA42&gt;='TSGAP % slabs'!$B$8,'TSGAP % slabs'!$D$8,IF(AA42&gt;='TSGAP % slabs'!$B$7,'TSGAP % slabs'!$D$7,IF(AA42&gt;='TSGAP % slabs'!$B$6,'TSGAP % slabs'!$D$6,IF(AA42&gt;='TSGAP % slabs'!$B$5,'TSGAP % slabs'!$D$5,IF(AA42&gt;='TSGAP % slabs'!$B$4,'TSGAP % slabs'!$D$4,0)))))</f>
        <v>0</v>
      </c>
      <c r="AC56" s="56">
        <v>9</v>
      </c>
      <c r="AD56" s="179">
        <f>IF(AD42&gt;='TSGAP % slabs'!$B$8,'TSGAP % slabs'!$D$8,IF(AD42&gt;='TSGAP % slabs'!$B$7,'TSGAP % slabs'!$D$7,IF(AD42&gt;='TSGAP % slabs'!$B$6,'TSGAP % slabs'!$D$6,IF(AD42&gt;='TSGAP % slabs'!$B$5,'TSGAP % slabs'!$D$5,IF(AD42&gt;='TSGAP % slabs'!$B$4,'TSGAP % slabs'!$D$4,0)))))</f>
        <v>0</v>
      </c>
      <c r="AF56" s="56">
        <v>10</v>
      </c>
      <c r="AG56" s="179">
        <f>IF(AG42&gt;='TSGAP % slabs'!$B$8,'TSGAP % slabs'!$D$8,IF(AG42&gt;='TSGAP % slabs'!$B$7,'TSGAP % slabs'!$D$7,IF(AG42&gt;='TSGAP % slabs'!$B$6,'TSGAP % slabs'!$D$6,IF(AG42&gt;='TSGAP % slabs'!$B$5,'TSGAP % slabs'!$D$5,IF(AG42&gt;='TSGAP % slabs'!$B$4,'TSGAP % slabs'!$D$4,0)))))</f>
        <v>0</v>
      </c>
      <c r="AI56" s="180">
        <v>11</v>
      </c>
      <c r="AJ56" s="179">
        <f>IF(AJ42&gt;='TSGAP % slabs'!$B$8,'TSGAP % slabs'!$D$8,IF(AJ42&gt;='TSGAP % slabs'!$B$7,'TSGAP % slabs'!$D$7,IF(AJ42&gt;='TSGAP % slabs'!$B$6,'TSGAP % slabs'!$D$6,IF(AJ42&gt;='TSGAP % slabs'!$B$5,'TSGAP % slabs'!$D$5,IF(AJ42&gt;='TSGAP % slabs'!$B$4,'TSGAP % slabs'!$D$4,0)))))</f>
        <v>0</v>
      </c>
      <c r="AL56" s="55">
        <v>12</v>
      </c>
      <c r="AM56" s="179">
        <f>IF(AM42&gt;='TSGAP % slabs'!$B$8,'TSGAP % slabs'!$D$8,IF(AM42&gt;='TSGAP % slabs'!$B$7,'TSGAP % slabs'!$D$7,IF(AM42&gt;='TSGAP % slabs'!$B$6,'TSGAP % slabs'!$D$6,IF(AM42&gt;='TSGAP % slabs'!$B$5,'TSGAP % slabs'!$D$5,IF(AM42&gt;='TSGAP % slabs'!$B$4,'TSGAP % slabs'!$D$4,0)))))</f>
        <v>0</v>
      </c>
      <c r="AO56" s="55">
        <v>13</v>
      </c>
      <c r="AP56" s="179">
        <f>IF(AP42&gt;='TSGAP % slabs'!$B$8,'TSGAP % slabs'!$D$8,IF(AP42&gt;='TSGAP % slabs'!$B$7,'TSGAP % slabs'!$D$7,IF(AP42&gt;='TSGAP % slabs'!$B$6,'TSGAP % slabs'!$D$6,IF(AP42&gt;='TSGAP % slabs'!$B$5,'TSGAP % slabs'!$D$5,IF(AP42&gt;='TSGAP % slabs'!$B$4,'TSGAP % slabs'!$D$4,0)))))</f>
        <v>0</v>
      </c>
      <c r="AR56" s="55">
        <v>14</v>
      </c>
      <c r="AS56" s="179">
        <f>IF(AS42&gt;='TSGAP % slabs'!$B$8,'TSGAP % slabs'!$D$8,IF(AS42&gt;='TSGAP % slabs'!$B$7,'TSGAP % slabs'!$D$7,IF(AS42&gt;='TSGAP % slabs'!$B$6,'TSGAP % slabs'!$D$6,IF(AS42&gt;='TSGAP % slabs'!$B$5,'TSGAP % slabs'!$D$5,IF(AS42&gt;='TSGAP % slabs'!$B$4,'TSGAP % slabs'!$D$4,0)))))</f>
        <v>0</v>
      </c>
      <c r="AU56" s="55">
        <v>15</v>
      </c>
      <c r="AV56" s="179">
        <f>IF(AV42&gt;='TSGAP % slabs'!$B$8,'TSGAP % slabs'!$D$8,IF(AV42&gt;='TSGAP % slabs'!$B$7,'TSGAP % slabs'!$D$7,IF(AV42&gt;='TSGAP % slabs'!$B$6,'TSGAP % slabs'!$D$6,IF(AV42&gt;='TSGAP % slabs'!$B$5,'TSGAP % slabs'!$D$5,IF(AV42&gt;='TSGAP % slabs'!$B$4,'TSGAP % slabs'!$D$4,0)))))</f>
        <v>0</v>
      </c>
      <c r="AX56" s="55">
        <v>16</v>
      </c>
      <c r="AY56" s="179">
        <f>IF(AY42&gt;='TSGAP % slabs'!$B$8,'TSGAP % slabs'!$D$8,IF(AY42&gt;='TSGAP % slabs'!$B$7,'TSGAP % slabs'!$D$7,IF(AY42&gt;='TSGAP % slabs'!$B$6,'TSGAP % slabs'!$D$6,IF(AY42&gt;='TSGAP % slabs'!$B$5,'TSGAP % slabs'!$D$5,IF(AY42&gt;='TSGAP % slabs'!$B$4,'TSGAP % slabs'!$D$4,0)))))</f>
        <v>0</v>
      </c>
      <c r="BA56" s="55">
        <v>17</v>
      </c>
      <c r="BB56" s="179">
        <f>IF(BB42&gt;='TSGAP % slabs'!$B$8,'TSGAP % slabs'!$D$8,IF(BB42&gt;='TSGAP % slabs'!$B$7,'TSGAP % slabs'!$D$7,IF(BB42&gt;='TSGAP % slabs'!$B$6,'TSGAP % slabs'!$D$6,IF(BB42&gt;='TSGAP % slabs'!$B$5,'TSGAP % slabs'!$D$5,IF(BB42&gt;='TSGAP % slabs'!$B$4,'TSGAP % slabs'!$D$4,0)))))</f>
        <v>0</v>
      </c>
      <c r="BD56" s="55">
        <v>18</v>
      </c>
      <c r="BE56" s="179">
        <f>IF(BE42&gt;='TSGAP % slabs'!$B$8,'TSGAP % slabs'!$D$8,IF(BE42&gt;='TSGAP % slabs'!$B$7,'TSGAP % slabs'!$D$7,IF(BE42&gt;='TSGAP % slabs'!$B$6,'TSGAP % slabs'!$D$6,IF(BE42&gt;='TSGAP % slabs'!$B$5,'TSGAP % slabs'!$D$5,IF(BE42&gt;='TSGAP % slabs'!$B$4,'TSGAP % slabs'!$D$4,0)))))</f>
        <v>0</v>
      </c>
    </row>
    <row r="57" spans="2:58" hidden="1" x14ac:dyDescent="0.2">
      <c r="B57" s="57">
        <v>0</v>
      </c>
      <c r="C57" s="56" t="s">
        <v>128</v>
      </c>
      <c r="E57" s="57" t="s">
        <v>14</v>
      </c>
      <c r="F57" s="56" t="s">
        <v>128</v>
      </c>
      <c r="H57" s="57" t="s">
        <v>14</v>
      </c>
      <c r="I57" s="56" t="s">
        <v>128</v>
      </c>
      <c r="K57" s="57" t="s">
        <v>14</v>
      </c>
      <c r="L57" s="56" t="s">
        <v>128</v>
      </c>
      <c r="N57" s="57" t="s">
        <v>14</v>
      </c>
      <c r="O57" s="56" t="s">
        <v>128</v>
      </c>
      <c r="Q57" s="57" t="s">
        <v>14</v>
      </c>
      <c r="R57" s="56" t="s">
        <v>128</v>
      </c>
      <c r="T57" s="57" t="s">
        <v>14</v>
      </c>
      <c r="U57" s="56" t="s">
        <v>128</v>
      </c>
      <c r="W57" s="57" t="s">
        <v>14</v>
      </c>
      <c r="X57" s="56" t="s">
        <v>128</v>
      </c>
      <c r="Z57" s="57" t="s">
        <v>14</v>
      </c>
      <c r="AA57" s="56" t="s">
        <v>128</v>
      </c>
      <c r="AC57" s="57" t="s">
        <v>14</v>
      </c>
      <c r="AD57" s="56" t="s">
        <v>128</v>
      </c>
      <c r="AF57" s="57" t="s">
        <v>14</v>
      </c>
      <c r="AG57" s="56" t="s">
        <v>128</v>
      </c>
      <c r="AI57" s="57" t="s">
        <v>14</v>
      </c>
      <c r="AJ57" s="56" t="s">
        <v>128</v>
      </c>
      <c r="AL57" s="57" t="s">
        <v>14</v>
      </c>
      <c r="AM57" s="56" t="s">
        <v>128</v>
      </c>
      <c r="AO57" s="57" t="s">
        <v>14</v>
      </c>
      <c r="AP57" s="56" t="s">
        <v>128</v>
      </c>
      <c r="AR57" s="57" t="s">
        <v>14</v>
      </c>
      <c r="AS57" s="56" t="s">
        <v>128</v>
      </c>
      <c r="AU57" s="57" t="s">
        <v>14</v>
      </c>
      <c r="AV57" s="56" t="s">
        <v>128</v>
      </c>
      <c r="AX57" s="57" t="s">
        <v>14</v>
      </c>
      <c r="AY57" s="56" t="s">
        <v>128</v>
      </c>
      <c r="BA57" s="57" t="s">
        <v>14</v>
      </c>
      <c r="BB57" s="56" t="s">
        <v>128</v>
      </c>
      <c r="BD57" s="57" t="s">
        <v>14</v>
      </c>
      <c r="BE57" s="56" t="s">
        <v>128</v>
      </c>
    </row>
    <row r="58" spans="2:58" hidden="1" x14ac:dyDescent="0.2">
      <c r="B58" s="57">
        <v>1</v>
      </c>
      <c r="C58" s="17">
        <f>IF($C$10&gt;=B$56,C42*C$56,0)</f>
        <v>97.499999987999999</v>
      </c>
      <c r="D58" s="56"/>
      <c r="E58" s="57">
        <v>1</v>
      </c>
      <c r="F58" s="17">
        <f>IF($C$10&gt;=E$56,F42*F$56,0)</f>
        <v>0</v>
      </c>
      <c r="G58" s="56"/>
      <c r="H58" s="57">
        <v>1</v>
      </c>
      <c r="I58" s="17">
        <f>IF($C$10&gt;=H$56,I42*I$56,0)</f>
        <v>0</v>
      </c>
      <c r="J58" s="56"/>
      <c r="K58" s="57">
        <v>1</v>
      </c>
      <c r="L58" s="17">
        <f>IF($C$10&gt;=K$56,L42*L$56,0)</f>
        <v>0</v>
      </c>
      <c r="M58" s="56"/>
      <c r="N58" s="57">
        <v>1</v>
      </c>
      <c r="O58" s="17">
        <f>IF($C$10&gt;=N$56,O42*O$56,0)</f>
        <v>0</v>
      </c>
      <c r="P58" s="56"/>
      <c r="Q58" s="57">
        <v>1</v>
      </c>
      <c r="R58" s="17">
        <f>IF($C$10&gt;=Q$56,R42*R$56,0)</f>
        <v>0</v>
      </c>
      <c r="S58" s="56"/>
      <c r="T58" s="57">
        <v>1</v>
      </c>
      <c r="U58" s="17">
        <f>IF($C$10&gt;=T$56,U42*U$56,0)</f>
        <v>0</v>
      </c>
      <c r="V58" s="56"/>
      <c r="W58" s="57">
        <v>1</v>
      </c>
      <c r="X58" s="17">
        <f>IF($C$10&gt;=W$56,X42*X$56,0)</f>
        <v>0</v>
      </c>
      <c r="Y58" s="56"/>
      <c r="Z58" s="57">
        <v>1</v>
      </c>
      <c r="AA58" s="17">
        <f>IF($C$10&gt;=Z$56,AA42*AA$56,0)</f>
        <v>0</v>
      </c>
      <c r="AB58" s="56"/>
      <c r="AC58" s="57">
        <v>1</v>
      </c>
      <c r="AD58" s="17">
        <f>IF($C$10&gt;=AC$56,AD42*AD$56,0)</f>
        <v>0</v>
      </c>
      <c r="AE58" s="181">
        <f>-C58</f>
        <v>-97.499999987999999</v>
      </c>
      <c r="AF58" s="57">
        <v>1</v>
      </c>
      <c r="AG58" s="17">
        <f>IF($C$10&gt;=AF$56,AG42*AG$56,0)</f>
        <v>0</v>
      </c>
      <c r="AH58" s="181">
        <f>-F58</f>
        <v>0</v>
      </c>
      <c r="AI58" s="57">
        <v>1</v>
      </c>
      <c r="AJ58" s="17">
        <f>IF($C$10&gt;=AI$56,AJ42*AJ$56,0)</f>
        <v>0</v>
      </c>
      <c r="AK58" s="181">
        <f>-I58</f>
        <v>0</v>
      </c>
      <c r="AL58" s="57">
        <v>1</v>
      </c>
      <c r="AM58" s="17">
        <f>IF($C$10&gt;=AL$56,AM42*AM$56,0)</f>
        <v>0</v>
      </c>
      <c r="AN58" s="181">
        <f>-L58</f>
        <v>0</v>
      </c>
      <c r="AO58" s="57">
        <v>1</v>
      </c>
      <c r="AP58" s="17">
        <f>IF($C$10&gt;=AO$56,AP42*AP$56,0)</f>
        <v>0</v>
      </c>
      <c r="AQ58" s="181">
        <f>-O58</f>
        <v>0</v>
      </c>
      <c r="AR58" s="57">
        <v>1</v>
      </c>
      <c r="AS58" s="17">
        <f>IF($C$10&gt;=AR$56,AS42*AS$56,0)</f>
        <v>0</v>
      </c>
      <c r="AT58" s="181">
        <f>-R58</f>
        <v>0</v>
      </c>
      <c r="AU58" s="57">
        <v>1</v>
      </c>
      <c r="AV58" s="17">
        <f>IF($C$10&gt;=AU$56,AV42*AV$56,0)</f>
        <v>0</v>
      </c>
      <c r="AW58" s="181">
        <f>-U58</f>
        <v>0</v>
      </c>
      <c r="AX58" s="57">
        <v>1</v>
      </c>
      <c r="AY58" s="17">
        <f>IF($C$10&gt;=AX$56,AY42*AY$56,0)</f>
        <v>0</v>
      </c>
      <c r="AZ58" s="181">
        <f>-X58</f>
        <v>0</v>
      </c>
      <c r="BA58" s="57">
        <v>1</v>
      </c>
      <c r="BB58" s="17">
        <f>IF($C$10&gt;=BA$56,BB42*BB$56,0)</f>
        <v>0</v>
      </c>
      <c r="BC58" s="181">
        <f>-AA58</f>
        <v>0</v>
      </c>
      <c r="BD58" s="57">
        <v>1</v>
      </c>
      <c r="BE58" s="17">
        <f>IF($C$10&gt;=BD$56,BE42*BE$56,0)</f>
        <v>0</v>
      </c>
      <c r="BF58" s="181">
        <f>-AD58</f>
        <v>0</v>
      </c>
    </row>
    <row r="59" spans="2:58" hidden="1" x14ac:dyDescent="0.2">
      <c r="B59" s="57">
        <v>2</v>
      </c>
      <c r="C59" s="17">
        <f>IF($C$10&gt;=B$56,C43*C$56,0)</f>
        <v>97.499999987999999</v>
      </c>
      <c r="D59" s="56"/>
      <c r="E59" s="57">
        <v>2</v>
      </c>
      <c r="F59" s="17">
        <f>IF($C$10&gt;=E$56,F43*F$56,0)</f>
        <v>0</v>
      </c>
      <c r="G59" s="56"/>
      <c r="H59" s="57">
        <v>2</v>
      </c>
      <c r="I59" s="17">
        <f>IF($C$10&gt;=H$56,I43*I$56,0)</f>
        <v>0</v>
      </c>
      <c r="J59" s="56"/>
      <c r="K59" s="57">
        <v>2</v>
      </c>
      <c r="L59" s="17">
        <f>IF($C$10&gt;=K$56,L43*L$56,0)</f>
        <v>0</v>
      </c>
      <c r="M59" s="56"/>
      <c r="N59" s="57">
        <v>2</v>
      </c>
      <c r="O59" s="17">
        <f>IF($C$10&gt;=N$56,O43*O$56,0)</f>
        <v>0</v>
      </c>
      <c r="P59" s="56"/>
      <c r="Q59" s="57">
        <v>2</v>
      </c>
      <c r="R59" s="17">
        <f>IF($C$10&gt;=Q$56,R43*R$56,0)</f>
        <v>0</v>
      </c>
      <c r="S59" s="56"/>
      <c r="T59" s="57">
        <v>2</v>
      </c>
      <c r="U59" s="17">
        <f>IF($C$10&gt;=T$56,U43*U$56,0)</f>
        <v>0</v>
      </c>
      <c r="V59" s="56"/>
      <c r="W59" s="57">
        <v>2</v>
      </c>
      <c r="X59" s="17">
        <f>IF($C$10&gt;=W$56,X43*X$56,0)</f>
        <v>0</v>
      </c>
      <c r="Y59" s="56"/>
      <c r="Z59" s="57">
        <v>2</v>
      </c>
      <c r="AA59" s="17">
        <f>IF($C$10&gt;=Z$56,AA43*AA$56,0)</f>
        <v>0</v>
      </c>
      <c r="AB59" s="56"/>
      <c r="AC59" s="57">
        <v>2</v>
      </c>
      <c r="AD59" s="17">
        <f>IF($C$10&gt;=AC$56,AD43*AD$56,0)</f>
        <v>0</v>
      </c>
      <c r="AE59" s="181">
        <f t="shared" ref="AE59:AE69" si="0">-C59</f>
        <v>-97.499999987999999</v>
      </c>
      <c r="AF59" s="57">
        <v>2</v>
      </c>
      <c r="AG59" s="17">
        <f>IF($C$10&gt;=AF$56,AG43*AG$56,0)</f>
        <v>0</v>
      </c>
      <c r="AH59" s="181">
        <f t="shared" ref="AH59:AH69" si="1">-F59</f>
        <v>0</v>
      </c>
      <c r="AI59" s="57">
        <v>2</v>
      </c>
      <c r="AJ59" s="17">
        <f>IF($C$10&gt;=AI$56,AJ43*AJ$56,0)</f>
        <v>0</v>
      </c>
      <c r="AK59" s="181">
        <f t="shared" ref="AK59:AK69" si="2">-I59</f>
        <v>0</v>
      </c>
      <c r="AL59" s="57">
        <v>2</v>
      </c>
      <c r="AM59" s="17">
        <f>IF($C$10&gt;=AL$56,AM43*AM$56,0)</f>
        <v>0</v>
      </c>
      <c r="AN59" s="181">
        <f t="shared" ref="AN59:AN69" si="3">-L59</f>
        <v>0</v>
      </c>
      <c r="AO59" s="57">
        <v>2</v>
      </c>
      <c r="AP59" s="17">
        <f>IF($C$10&gt;=AO$56,AP43*AP$56,0)</f>
        <v>0</v>
      </c>
      <c r="AQ59" s="181">
        <f t="shared" ref="AQ59:AQ69" si="4">-O59</f>
        <v>0</v>
      </c>
      <c r="AR59" s="57">
        <v>2</v>
      </c>
      <c r="AS59" s="17">
        <f>IF($C$10&gt;=AR$56,AS43*AS$56,0)</f>
        <v>0</v>
      </c>
      <c r="AT59" s="181">
        <f t="shared" ref="AT59:AT69" si="5">-R59</f>
        <v>0</v>
      </c>
      <c r="AU59" s="57">
        <v>2</v>
      </c>
      <c r="AV59" s="17">
        <f>IF($C$10&gt;=AU$56,AV43*AV$56,0)</f>
        <v>0</v>
      </c>
      <c r="AW59" s="181">
        <f t="shared" ref="AW59:AW69" si="6">-U59</f>
        <v>0</v>
      </c>
      <c r="AX59" s="57">
        <v>2</v>
      </c>
      <c r="AY59" s="17">
        <f>IF($C$10&gt;=AX$56,AY43*AY$56,0)</f>
        <v>0</v>
      </c>
      <c r="AZ59" s="181">
        <f t="shared" ref="AZ59:AZ69" si="7">-X59</f>
        <v>0</v>
      </c>
      <c r="BA59" s="57">
        <v>2</v>
      </c>
      <c r="BB59" s="17">
        <f>IF($C$10&gt;=BA$56,BB43*BB$56,0)</f>
        <v>0</v>
      </c>
      <c r="BC59" s="181">
        <f t="shared" ref="BC59:BC69" si="8">-AA59</f>
        <v>0</v>
      </c>
      <c r="BD59" s="57">
        <v>2</v>
      </c>
      <c r="BE59" s="17">
        <f>IF($C$10&gt;=BD$56,BE43*BE$56,0)</f>
        <v>0</v>
      </c>
      <c r="BF59" s="181">
        <f t="shared" ref="BF59:BF69" si="9">-AD59</f>
        <v>0</v>
      </c>
    </row>
    <row r="60" spans="2:58" hidden="1" x14ac:dyDescent="0.2">
      <c r="B60" s="57">
        <v>3</v>
      </c>
      <c r="C60" s="17">
        <f>IF($C$10&gt;=B$56,C44*C$56,0)</f>
        <v>97.499999987999999</v>
      </c>
      <c r="D60" s="56"/>
      <c r="E60" s="57">
        <v>3</v>
      </c>
      <c r="F60" s="17">
        <f>IF($C$10&gt;=E$56,F44*F$56,0)</f>
        <v>0</v>
      </c>
      <c r="G60" s="56"/>
      <c r="H60" s="57">
        <v>3</v>
      </c>
      <c r="I60" s="17">
        <f>IF($C$10&gt;=H$56,I44*I$56,0)</f>
        <v>0</v>
      </c>
      <c r="J60" s="56"/>
      <c r="K60" s="57">
        <v>3</v>
      </c>
      <c r="L60" s="17">
        <f>IF($C$10&gt;=K$56,L44*L$56,0)</f>
        <v>0</v>
      </c>
      <c r="M60" s="56"/>
      <c r="N60" s="57">
        <v>3</v>
      </c>
      <c r="O60" s="17">
        <f>IF($C$10&gt;=N$56,O44*O$56,0)</f>
        <v>0</v>
      </c>
      <c r="P60" s="56"/>
      <c r="Q60" s="57">
        <v>3</v>
      </c>
      <c r="R60" s="17">
        <f>IF($C$10&gt;=Q$56,R44*R$56,0)</f>
        <v>0</v>
      </c>
      <c r="S60" s="56"/>
      <c r="T60" s="57">
        <v>3</v>
      </c>
      <c r="U60" s="17">
        <f>IF($C$10&gt;=T$56,U44*U$56,0)</f>
        <v>0</v>
      </c>
      <c r="V60" s="56"/>
      <c r="W60" s="57">
        <v>3</v>
      </c>
      <c r="X60" s="17">
        <f>IF($C$10&gt;=W$56,X44*X$56,0)</f>
        <v>0</v>
      </c>
      <c r="Y60" s="56"/>
      <c r="Z60" s="57">
        <v>3</v>
      </c>
      <c r="AA60" s="17">
        <f>IF($C$10&gt;=Z$56,AA44*AA$56,0)</f>
        <v>0</v>
      </c>
      <c r="AB60" s="56"/>
      <c r="AC60" s="57">
        <v>3</v>
      </c>
      <c r="AD60" s="17">
        <f>IF($C$10&gt;=AC$56,AD44*AD$56,0)</f>
        <v>0</v>
      </c>
      <c r="AE60" s="181">
        <f t="shared" si="0"/>
        <v>-97.499999987999999</v>
      </c>
      <c r="AF60" s="57">
        <v>3</v>
      </c>
      <c r="AG60" s="17">
        <f>IF($C$10&gt;=AF$56,AG44*AG$56,0)</f>
        <v>0</v>
      </c>
      <c r="AH60" s="181">
        <f t="shared" si="1"/>
        <v>0</v>
      </c>
      <c r="AI60" s="57">
        <v>3</v>
      </c>
      <c r="AJ60" s="17">
        <f>IF($C$10&gt;=AI$56,AJ44*AJ$56,0)</f>
        <v>0</v>
      </c>
      <c r="AK60" s="181">
        <f t="shared" si="2"/>
        <v>0</v>
      </c>
      <c r="AL60" s="57">
        <v>3</v>
      </c>
      <c r="AM60" s="17">
        <f>IF($C$10&gt;=AL$56,AM44*AM$56,0)</f>
        <v>0</v>
      </c>
      <c r="AN60" s="181">
        <f t="shared" si="3"/>
        <v>0</v>
      </c>
      <c r="AO60" s="57">
        <v>3</v>
      </c>
      <c r="AP60" s="17">
        <f>IF($C$10&gt;=AO$56,AP44*AP$56,0)</f>
        <v>0</v>
      </c>
      <c r="AQ60" s="181">
        <f t="shared" si="4"/>
        <v>0</v>
      </c>
      <c r="AR60" s="57">
        <v>3</v>
      </c>
      <c r="AS60" s="17">
        <f>IF($C$10&gt;=AR$56,AS44*AS$56,0)</f>
        <v>0</v>
      </c>
      <c r="AT60" s="181">
        <f t="shared" si="5"/>
        <v>0</v>
      </c>
      <c r="AU60" s="57">
        <v>3</v>
      </c>
      <c r="AV60" s="17">
        <f>IF($C$10&gt;=AU$56,AV44*AV$56,0)</f>
        <v>0</v>
      </c>
      <c r="AW60" s="181">
        <f t="shared" si="6"/>
        <v>0</v>
      </c>
      <c r="AX60" s="57">
        <v>3</v>
      </c>
      <c r="AY60" s="17">
        <f>IF($C$10&gt;=AX$56,AY44*AY$56,0)</f>
        <v>0</v>
      </c>
      <c r="AZ60" s="181">
        <f t="shared" si="7"/>
        <v>0</v>
      </c>
      <c r="BA60" s="57">
        <v>3</v>
      </c>
      <c r="BB60" s="17">
        <f>IF($C$10&gt;=BA$56,BB44*BB$56,0)</f>
        <v>0</v>
      </c>
      <c r="BC60" s="181">
        <f t="shared" si="8"/>
        <v>0</v>
      </c>
      <c r="BD60" s="57">
        <v>3</v>
      </c>
      <c r="BE60" s="17">
        <f>IF($C$10&gt;=BD$56,BE44*BE$56,0)</f>
        <v>0</v>
      </c>
      <c r="BF60" s="181">
        <f t="shared" si="9"/>
        <v>0</v>
      </c>
    </row>
    <row r="61" spans="2:58" hidden="1" x14ac:dyDescent="0.2">
      <c r="B61" s="57">
        <v>4</v>
      </c>
      <c r="C61" s="17">
        <f>IF($C$10&gt;=B$56,C45*C$56,0)</f>
        <v>97.499999987999999</v>
      </c>
      <c r="D61" s="56"/>
      <c r="E61" s="57">
        <v>4</v>
      </c>
      <c r="F61" s="17">
        <f>IF($C$10&gt;=E$56,F45*F$56,0)</f>
        <v>0</v>
      </c>
      <c r="G61" s="56"/>
      <c r="H61" s="57">
        <v>4</v>
      </c>
      <c r="I61" s="17">
        <f>IF($C$10&gt;=H$56,I45*I$56,0)</f>
        <v>0</v>
      </c>
      <c r="J61" s="56"/>
      <c r="K61" s="57">
        <v>4</v>
      </c>
      <c r="L61" s="17">
        <f>IF($C$10&gt;=K$56,L45*L$56,0)</f>
        <v>0</v>
      </c>
      <c r="M61" s="56"/>
      <c r="N61" s="57">
        <v>4</v>
      </c>
      <c r="O61" s="17">
        <f>IF($C$10&gt;=N$56,O45*O$56,0)</f>
        <v>0</v>
      </c>
      <c r="P61" s="56"/>
      <c r="Q61" s="57">
        <v>4</v>
      </c>
      <c r="R61" s="17">
        <f>IF($C$10&gt;=Q$56,R45*R$56,0)</f>
        <v>0</v>
      </c>
      <c r="S61" s="56"/>
      <c r="T61" s="57">
        <v>4</v>
      </c>
      <c r="U61" s="17">
        <f>IF($C$10&gt;=T$56,U45*U$56,0)</f>
        <v>0</v>
      </c>
      <c r="V61" s="56"/>
      <c r="W61" s="57">
        <v>4</v>
      </c>
      <c r="X61" s="17">
        <f>IF($C$10&gt;=W$56,X45*X$56,0)</f>
        <v>0</v>
      </c>
      <c r="Y61" s="56"/>
      <c r="Z61" s="57">
        <v>4</v>
      </c>
      <c r="AA61" s="17">
        <f>IF($C$10&gt;=Z$56,AA45*AA$56,0)</f>
        <v>0</v>
      </c>
      <c r="AB61" s="56"/>
      <c r="AC61" s="57">
        <v>4</v>
      </c>
      <c r="AD61" s="17">
        <f>IF($C$10&gt;=AC$56,AD45*AD$56,0)</f>
        <v>0</v>
      </c>
      <c r="AE61" s="181">
        <f t="shared" si="0"/>
        <v>-97.499999987999999</v>
      </c>
      <c r="AF61" s="57">
        <v>4</v>
      </c>
      <c r="AG61" s="17">
        <f>IF($C$10&gt;=AF$56,AG45*AG$56,0)</f>
        <v>0</v>
      </c>
      <c r="AH61" s="181">
        <f t="shared" si="1"/>
        <v>0</v>
      </c>
      <c r="AI61" s="57">
        <v>4</v>
      </c>
      <c r="AJ61" s="17">
        <f>IF($C$10&gt;=AI$56,AJ45*AJ$56,0)</f>
        <v>0</v>
      </c>
      <c r="AK61" s="181">
        <f t="shared" si="2"/>
        <v>0</v>
      </c>
      <c r="AL61" s="57">
        <v>4</v>
      </c>
      <c r="AM61" s="17">
        <f>IF($C$10&gt;=AL$56,AM45*AM$56,0)</f>
        <v>0</v>
      </c>
      <c r="AN61" s="181">
        <f t="shared" si="3"/>
        <v>0</v>
      </c>
      <c r="AO61" s="57">
        <v>4</v>
      </c>
      <c r="AP61" s="17">
        <f>IF($C$10&gt;=AO$56,AP45*AP$56,0)</f>
        <v>0</v>
      </c>
      <c r="AQ61" s="181">
        <f t="shared" si="4"/>
        <v>0</v>
      </c>
      <c r="AR61" s="57">
        <v>4</v>
      </c>
      <c r="AS61" s="17">
        <f>IF($C$10&gt;=AR$56,AS45*AS$56,0)</f>
        <v>0</v>
      </c>
      <c r="AT61" s="181">
        <f t="shared" si="5"/>
        <v>0</v>
      </c>
      <c r="AU61" s="57">
        <v>4</v>
      </c>
      <c r="AV61" s="17">
        <f>IF($C$10&gt;=AU$56,AV45*AV$56,0)</f>
        <v>0</v>
      </c>
      <c r="AW61" s="181">
        <f t="shared" si="6"/>
        <v>0</v>
      </c>
      <c r="AX61" s="57">
        <v>4</v>
      </c>
      <c r="AY61" s="17">
        <f>IF($C$10&gt;=AX$56,AY45*AY$56,0)</f>
        <v>0</v>
      </c>
      <c r="AZ61" s="181">
        <f t="shared" si="7"/>
        <v>0</v>
      </c>
      <c r="BA61" s="57">
        <v>4</v>
      </c>
      <c r="BB61" s="17">
        <f>IF($C$10&gt;=BA$56,BB45*BB$56,0)</f>
        <v>0</v>
      </c>
      <c r="BC61" s="181">
        <f t="shared" si="8"/>
        <v>0</v>
      </c>
      <c r="BD61" s="57">
        <v>4</v>
      </c>
      <c r="BE61" s="17">
        <f>IF($C$10&gt;=BD$56,BE45*BE$56,0)</f>
        <v>0</v>
      </c>
      <c r="BF61" s="181">
        <f t="shared" si="9"/>
        <v>0</v>
      </c>
    </row>
    <row r="62" spans="2:58" hidden="1" x14ac:dyDescent="0.2">
      <c r="B62" s="57">
        <v>5</v>
      </c>
      <c r="C62" s="17">
        <f>IF($C$10&gt;=B$56,C46*C$56,0)</f>
        <v>97.499999987999999</v>
      </c>
      <c r="D62" s="56"/>
      <c r="E62" s="57">
        <v>5</v>
      </c>
      <c r="F62" s="17">
        <f>IF($C$10&gt;=E$56,F46*F$56,0)</f>
        <v>0</v>
      </c>
      <c r="G62" s="56"/>
      <c r="H62" s="57">
        <v>5</v>
      </c>
      <c r="I62" s="17">
        <f>IF($C$10&gt;=H$56,I46*I$56,0)</f>
        <v>0</v>
      </c>
      <c r="J62" s="56"/>
      <c r="K62" s="57">
        <v>5</v>
      </c>
      <c r="L62" s="17">
        <f>IF($C$10&gt;=K$56,L46*L$56,0)</f>
        <v>0</v>
      </c>
      <c r="M62" s="56"/>
      <c r="N62" s="57">
        <v>5</v>
      </c>
      <c r="O62" s="17">
        <f>IF($C$10&gt;=N$56,O46*O$56,0)</f>
        <v>0</v>
      </c>
      <c r="P62" s="56"/>
      <c r="Q62" s="57">
        <v>5</v>
      </c>
      <c r="R62" s="17">
        <f>IF($C$10&gt;=Q$56,R46*R$56,0)</f>
        <v>0</v>
      </c>
      <c r="S62" s="56"/>
      <c r="T62" s="57">
        <v>5</v>
      </c>
      <c r="U62" s="17">
        <f>IF($C$10&gt;=T$56,U46*U$56,0)</f>
        <v>0</v>
      </c>
      <c r="V62" s="56"/>
      <c r="W62" s="57">
        <v>5</v>
      </c>
      <c r="X62" s="17">
        <f>IF($C$10&gt;=W$56,X46*X$56,0)</f>
        <v>0</v>
      </c>
      <c r="Y62" s="56"/>
      <c r="Z62" s="57">
        <v>5</v>
      </c>
      <c r="AA62" s="17">
        <f>IF($C$10&gt;=Z$56,AA46*AA$56,0)</f>
        <v>0</v>
      </c>
      <c r="AB62" s="56"/>
      <c r="AC62" s="57">
        <v>5</v>
      </c>
      <c r="AD62" s="17">
        <f>IF($C$10&gt;=AC$56,AD46*AD$56,0)</f>
        <v>0</v>
      </c>
      <c r="AE62" s="181">
        <f t="shared" si="0"/>
        <v>-97.499999987999999</v>
      </c>
      <c r="AF62" s="57">
        <v>5</v>
      </c>
      <c r="AG62" s="17">
        <f>IF($C$10&gt;=AF$56,AG46*AG$56,0)</f>
        <v>0</v>
      </c>
      <c r="AH62" s="181">
        <f t="shared" si="1"/>
        <v>0</v>
      </c>
      <c r="AI62" s="57">
        <v>5</v>
      </c>
      <c r="AJ62" s="17">
        <f>IF($C$10&gt;=AI$56,AJ46*AJ$56,0)</f>
        <v>0</v>
      </c>
      <c r="AK62" s="181">
        <f t="shared" si="2"/>
        <v>0</v>
      </c>
      <c r="AL62" s="57">
        <v>5</v>
      </c>
      <c r="AM62" s="17">
        <f>IF($C$10&gt;=AL$56,AM46*AM$56,0)</f>
        <v>0</v>
      </c>
      <c r="AN62" s="181">
        <f t="shared" si="3"/>
        <v>0</v>
      </c>
      <c r="AO62" s="57">
        <v>5</v>
      </c>
      <c r="AP62" s="17">
        <f>IF($C$10&gt;=AO$56,AP46*AP$56,0)</f>
        <v>0</v>
      </c>
      <c r="AQ62" s="181">
        <f t="shared" si="4"/>
        <v>0</v>
      </c>
      <c r="AR62" s="57">
        <v>5</v>
      </c>
      <c r="AS62" s="17">
        <f>IF($C$10&gt;=AR$56,AS46*AS$56,0)</f>
        <v>0</v>
      </c>
      <c r="AT62" s="181">
        <f t="shared" si="5"/>
        <v>0</v>
      </c>
      <c r="AU62" s="57">
        <v>5</v>
      </c>
      <c r="AV62" s="17">
        <f>IF($C$10&gt;=AU$56,AV46*AV$56,0)</f>
        <v>0</v>
      </c>
      <c r="AW62" s="181">
        <f t="shared" si="6"/>
        <v>0</v>
      </c>
      <c r="AX62" s="57">
        <v>5</v>
      </c>
      <c r="AY62" s="17">
        <f>IF($C$10&gt;=AX$56,AY46*AY$56,0)</f>
        <v>0</v>
      </c>
      <c r="AZ62" s="181">
        <f t="shared" si="7"/>
        <v>0</v>
      </c>
      <c r="BA62" s="57">
        <v>5</v>
      </c>
      <c r="BB62" s="17">
        <f>IF($C$10&gt;=BA$56,BB46*BB$56,0)</f>
        <v>0</v>
      </c>
      <c r="BC62" s="181">
        <f t="shared" si="8"/>
        <v>0</v>
      </c>
      <c r="BD62" s="57">
        <v>5</v>
      </c>
      <c r="BE62" s="17">
        <f>IF($C$10&gt;=BD$56,BE46*BE$56,0)</f>
        <v>0</v>
      </c>
      <c r="BF62" s="181">
        <f t="shared" si="9"/>
        <v>0</v>
      </c>
    </row>
    <row r="63" spans="2:58" hidden="1" x14ac:dyDescent="0.2">
      <c r="B63" s="57">
        <v>6</v>
      </c>
      <c r="C63" s="17">
        <f>IF($C$10&gt;=B$56,C47*C$56,0)</f>
        <v>97.499999987999999</v>
      </c>
      <c r="D63" s="56"/>
      <c r="E63" s="57">
        <v>6</v>
      </c>
      <c r="F63" s="17">
        <f>IF($C$10&gt;=E$56,F47*F$56,0)</f>
        <v>0</v>
      </c>
      <c r="G63" s="56"/>
      <c r="H63" s="57">
        <v>6</v>
      </c>
      <c r="I63" s="17">
        <f>IF($C$10&gt;=H$56,I47*I$56,0)</f>
        <v>0</v>
      </c>
      <c r="J63" s="56"/>
      <c r="K63" s="57">
        <v>6</v>
      </c>
      <c r="L63" s="17">
        <f>IF($C$10&gt;=K$56,L47*L$56,0)</f>
        <v>0</v>
      </c>
      <c r="M63" s="56"/>
      <c r="N63" s="57">
        <v>6</v>
      </c>
      <c r="O63" s="17">
        <f>IF($C$10&gt;=N$56,O47*O$56,0)</f>
        <v>0</v>
      </c>
      <c r="P63" s="56"/>
      <c r="Q63" s="57">
        <v>6</v>
      </c>
      <c r="R63" s="17">
        <f>IF($C$10&gt;=Q$56,R47*R$56,0)</f>
        <v>0</v>
      </c>
      <c r="S63" s="56"/>
      <c r="T63" s="57">
        <v>6</v>
      </c>
      <c r="U63" s="17">
        <f>IF($C$10&gt;=T$56,U47*U$56,0)</f>
        <v>0</v>
      </c>
      <c r="V63" s="56"/>
      <c r="W63" s="57">
        <v>6</v>
      </c>
      <c r="X63" s="17">
        <f>IF($C$10&gt;=W$56,X47*X$56,0)</f>
        <v>0</v>
      </c>
      <c r="Y63" s="56"/>
      <c r="Z63" s="57">
        <v>6</v>
      </c>
      <c r="AA63" s="17">
        <f>IF($C$10&gt;=Z$56,AA47*AA$56,0)</f>
        <v>0</v>
      </c>
      <c r="AB63" s="56"/>
      <c r="AC63" s="57">
        <v>6</v>
      </c>
      <c r="AD63" s="17">
        <f>IF($C$10&gt;=AC$56,AD47*AD$56,0)</f>
        <v>0</v>
      </c>
      <c r="AE63" s="181">
        <f t="shared" si="0"/>
        <v>-97.499999987999999</v>
      </c>
      <c r="AF63" s="57">
        <v>6</v>
      </c>
      <c r="AG63" s="17">
        <f>IF($C$10&gt;=AF$56,AG47*AG$56,0)</f>
        <v>0</v>
      </c>
      <c r="AH63" s="181">
        <f t="shared" si="1"/>
        <v>0</v>
      </c>
      <c r="AI63" s="57">
        <v>6</v>
      </c>
      <c r="AJ63" s="17">
        <f>IF($C$10&gt;=AI$56,AJ47*AJ$56,0)</f>
        <v>0</v>
      </c>
      <c r="AK63" s="181">
        <f t="shared" si="2"/>
        <v>0</v>
      </c>
      <c r="AL63" s="57">
        <v>6</v>
      </c>
      <c r="AM63" s="17">
        <f>IF($C$10&gt;=AL$56,AM47*AM$56,0)</f>
        <v>0</v>
      </c>
      <c r="AN63" s="181">
        <f t="shared" si="3"/>
        <v>0</v>
      </c>
      <c r="AO63" s="57">
        <v>6</v>
      </c>
      <c r="AP63" s="17">
        <f>IF($C$10&gt;=AO$56,AP47*AP$56,0)</f>
        <v>0</v>
      </c>
      <c r="AQ63" s="181">
        <f t="shared" si="4"/>
        <v>0</v>
      </c>
      <c r="AR63" s="57">
        <v>6</v>
      </c>
      <c r="AS63" s="17">
        <f>IF($C$10&gt;=AR$56,AS47*AS$56,0)</f>
        <v>0</v>
      </c>
      <c r="AT63" s="181">
        <f t="shared" si="5"/>
        <v>0</v>
      </c>
      <c r="AU63" s="57">
        <v>6</v>
      </c>
      <c r="AV63" s="17">
        <f>IF($C$10&gt;=AU$56,AV47*AV$56,0)</f>
        <v>0</v>
      </c>
      <c r="AW63" s="181">
        <f t="shared" si="6"/>
        <v>0</v>
      </c>
      <c r="AX63" s="57">
        <v>6</v>
      </c>
      <c r="AY63" s="17">
        <f>IF($C$10&gt;=AX$56,AY47*AY$56,0)</f>
        <v>0</v>
      </c>
      <c r="AZ63" s="181">
        <f t="shared" si="7"/>
        <v>0</v>
      </c>
      <c r="BA63" s="57">
        <v>6</v>
      </c>
      <c r="BB63" s="17">
        <f>IF($C$10&gt;=BA$56,BB47*BB$56,0)</f>
        <v>0</v>
      </c>
      <c r="BC63" s="181">
        <f t="shared" si="8"/>
        <v>0</v>
      </c>
      <c r="BD63" s="57">
        <v>6</v>
      </c>
      <c r="BE63" s="17">
        <f>IF($C$10&gt;=BD$56,BE47*BE$56,0)</f>
        <v>0</v>
      </c>
      <c r="BF63" s="181">
        <f t="shared" si="9"/>
        <v>0</v>
      </c>
    </row>
    <row r="64" spans="2:58" hidden="1" x14ac:dyDescent="0.2">
      <c r="B64" s="57">
        <v>7</v>
      </c>
      <c r="C64" s="17">
        <f>IF($C$10&gt;=B$56,C48*C$56,0)</f>
        <v>97.499999987999999</v>
      </c>
      <c r="D64" s="56"/>
      <c r="E64" s="57">
        <v>7</v>
      </c>
      <c r="F64" s="17">
        <f>IF($C$10&gt;=E$56,F48*F$56,0)</f>
        <v>0</v>
      </c>
      <c r="G64" s="56"/>
      <c r="H64" s="57">
        <v>7</v>
      </c>
      <c r="I64" s="17">
        <f>IF($C$10&gt;=H$56,I48*I$56,0)</f>
        <v>0</v>
      </c>
      <c r="J64" s="56"/>
      <c r="K64" s="57">
        <v>7</v>
      </c>
      <c r="L64" s="17">
        <f>IF($C$10&gt;=K$56,L48*L$56,0)</f>
        <v>0</v>
      </c>
      <c r="M64" s="56"/>
      <c r="N64" s="57">
        <v>7</v>
      </c>
      <c r="O64" s="17">
        <f>IF($C$10&gt;=N$56,O48*O$56,0)</f>
        <v>0</v>
      </c>
      <c r="P64" s="56"/>
      <c r="Q64" s="57">
        <v>7</v>
      </c>
      <c r="R64" s="17">
        <f>IF($C$10&gt;=Q$56,R48*R$56,0)</f>
        <v>0</v>
      </c>
      <c r="S64" s="56"/>
      <c r="T64" s="57">
        <v>7</v>
      </c>
      <c r="U64" s="17">
        <f>IF($C$10&gt;=T$56,U48*U$56,0)</f>
        <v>0</v>
      </c>
      <c r="V64" s="56"/>
      <c r="W64" s="57">
        <v>7</v>
      </c>
      <c r="X64" s="17">
        <f>IF($C$10&gt;=W$56,X48*X$56,0)</f>
        <v>0</v>
      </c>
      <c r="Y64" s="56"/>
      <c r="Z64" s="57">
        <v>7</v>
      </c>
      <c r="AA64" s="17">
        <f>IF($C$10&gt;=Z$56,AA48*AA$56,0)</f>
        <v>0</v>
      </c>
      <c r="AB64" s="56"/>
      <c r="AC64" s="57">
        <v>7</v>
      </c>
      <c r="AD64" s="17">
        <f>IF($C$10&gt;=AC$56,AD48*AD$56,0)</f>
        <v>0</v>
      </c>
      <c r="AE64" s="181">
        <f t="shared" si="0"/>
        <v>-97.499999987999999</v>
      </c>
      <c r="AF64" s="57">
        <v>7</v>
      </c>
      <c r="AG64" s="17">
        <f>IF($C$10&gt;=AF$56,AG48*AG$56,0)</f>
        <v>0</v>
      </c>
      <c r="AH64" s="181">
        <f t="shared" si="1"/>
        <v>0</v>
      </c>
      <c r="AI64" s="57">
        <v>7</v>
      </c>
      <c r="AJ64" s="17">
        <f>IF($C$10&gt;=AI$56,AJ48*AJ$56,0)</f>
        <v>0</v>
      </c>
      <c r="AK64" s="181">
        <f t="shared" si="2"/>
        <v>0</v>
      </c>
      <c r="AL64" s="57">
        <v>7</v>
      </c>
      <c r="AM64" s="17">
        <f>IF($C$10&gt;=AL$56,AM48*AM$56,0)</f>
        <v>0</v>
      </c>
      <c r="AN64" s="181">
        <f t="shared" si="3"/>
        <v>0</v>
      </c>
      <c r="AO64" s="57">
        <v>7</v>
      </c>
      <c r="AP64" s="17">
        <f>IF($C$10&gt;=AO$56,AP48*AP$56,0)</f>
        <v>0</v>
      </c>
      <c r="AQ64" s="181">
        <f t="shared" si="4"/>
        <v>0</v>
      </c>
      <c r="AR64" s="57">
        <v>7</v>
      </c>
      <c r="AS64" s="17">
        <f>IF($C$10&gt;=AR$56,AS48*AS$56,0)</f>
        <v>0</v>
      </c>
      <c r="AT64" s="181">
        <f t="shared" si="5"/>
        <v>0</v>
      </c>
      <c r="AU64" s="57">
        <v>7</v>
      </c>
      <c r="AV64" s="17">
        <f>IF($C$10&gt;=AU$56,AV48*AV$56,0)</f>
        <v>0</v>
      </c>
      <c r="AW64" s="181">
        <f t="shared" si="6"/>
        <v>0</v>
      </c>
      <c r="AX64" s="57">
        <v>7</v>
      </c>
      <c r="AY64" s="17">
        <f>IF($C$10&gt;=AX$56,AY48*AY$56,0)</f>
        <v>0</v>
      </c>
      <c r="AZ64" s="181">
        <f t="shared" si="7"/>
        <v>0</v>
      </c>
      <c r="BA64" s="57">
        <v>7</v>
      </c>
      <c r="BB64" s="17">
        <f>IF($C$10&gt;=BA$56,BB48*BB$56,0)</f>
        <v>0</v>
      </c>
      <c r="BC64" s="181">
        <f t="shared" si="8"/>
        <v>0</v>
      </c>
      <c r="BD64" s="57">
        <v>7</v>
      </c>
      <c r="BE64" s="17">
        <f>IF($C$10&gt;=BD$56,BE48*BE$56,0)</f>
        <v>0</v>
      </c>
      <c r="BF64" s="181">
        <f t="shared" si="9"/>
        <v>0</v>
      </c>
    </row>
    <row r="65" spans="2:58" hidden="1" x14ac:dyDescent="0.2">
      <c r="B65" s="57">
        <v>8</v>
      </c>
      <c r="C65" s="17">
        <f>IF($C$10&gt;=B$56,C49*C$56,0)</f>
        <v>97.499999987999999</v>
      </c>
      <c r="D65" s="56"/>
      <c r="E65" s="57">
        <v>8</v>
      </c>
      <c r="F65" s="17">
        <f>IF($C$10&gt;=E$56,F49*F$56,0)</f>
        <v>0</v>
      </c>
      <c r="G65" s="56"/>
      <c r="H65" s="57">
        <v>8</v>
      </c>
      <c r="I65" s="17">
        <f>IF($C$10&gt;=H$56,I49*I$56,0)</f>
        <v>0</v>
      </c>
      <c r="J65" s="56"/>
      <c r="K65" s="57">
        <v>8</v>
      </c>
      <c r="L65" s="17">
        <f>IF($C$10&gt;=K$56,L49*L$56,0)</f>
        <v>0</v>
      </c>
      <c r="M65" s="56"/>
      <c r="N65" s="57">
        <v>8</v>
      </c>
      <c r="O65" s="17">
        <f>IF($C$10&gt;=N$56,O49*O$56,0)</f>
        <v>0</v>
      </c>
      <c r="P65" s="56"/>
      <c r="Q65" s="57">
        <v>8</v>
      </c>
      <c r="R65" s="17">
        <f>IF($C$10&gt;=Q$56,R49*R$56,0)</f>
        <v>0</v>
      </c>
      <c r="S65" s="56"/>
      <c r="T65" s="57">
        <v>8</v>
      </c>
      <c r="U65" s="17">
        <f>IF($C$10&gt;=T$56,U49*U$56,0)</f>
        <v>0</v>
      </c>
      <c r="V65" s="56"/>
      <c r="W65" s="57">
        <v>8</v>
      </c>
      <c r="X65" s="17">
        <f>IF($C$10&gt;=W$56,X49*X$56,0)</f>
        <v>0</v>
      </c>
      <c r="Y65" s="56"/>
      <c r="Z65" s="57">
        <v>8</v>
      </c>
      <c r="AA65" s="17">
        <f>IF($C$10&gt;=Z$56,AA49*AA$56,0)</f>
        <v>0</v>
      </c>
      <c r="AB65" s="56"/>
      <c r="AC65" s="57">
        <v>8</v>
      </c>
      <c r="AD65" s="17">
        <f>IF($C$10&gt;=AC$56,AD49*AD$56,0)</f>
        <v>0</v>
      </c>
      <c r="AE65" s="181">
        <f t="shared" si="0"/>
        <v>-97.499999987999999</v>
      </c>
      <c r="AF65" s="57">
        <v>8</v>
      </c>
      <c r="AG65" s="17">
        <f>IF($C$10&gt;=AF$56,AG49*AG$56,0)</f>
        <v>0</v>
      </c>
      <c r="AH65" s="181">
        <f t="shared" si="1"/>
        <v>0</v>
      </c>
      <c r="AI65" s="57">
        <v>8</v>
      </c>
      <c r="AJ65" s="17">
        <f>IF($C$10&gt;=AI$56,AJ49*AJ$56,0)</f>
        <v>0</v>
      </c>
      <c r="AK65" s="181">
        <f t="shared" si="2"/>
        <v>0</v>
      </c>
      <c r="AL65" s="57">
        <v>8</v>
      </c>
      <c r="AM65" s="17">
        <f>IF($C$10&gt;=AL$56,AM49*AM$56,0)</f>
        <v>0</v>
      </c>
      <c r="AN65" s="181">
        <f t="shared" si="3"/>
        <v>0</v>
      </c>
      <c r="AO65" s="57">
        <v>8</v>
      </c>
      <c r="AP65" s="17">
        <f>IF($C$10&gt;=AO$56,AP49*AP$56,0)</f>
        <v>0</v>
      </c>
      <c r="AQ65" s="181">
        <f t="shared" si="4"/>
        <v>0</v>
      </c>
      <c r="AR65" s="57">
        <v>8</v>
      </c>
      <c r="AS65" s="17">
        <f>IF($C$10&gt;=AR$56,AS49*AS$56,0)</f>
        <v>0</v>
      </c>
      <c r="AT65" s="181">
        <f t="shared" si="5"/>
        <v>0</v>
      </c>
      <c r="AU65" s="57">
        <v>8</v>
      </c>
      <c r="AV65" s="17">
        <f>IF($C$10&gt;=AU$56,AV49*AV$56,0)</f>
        <v>0</v>
      </c>
      <c r="AW65" s="181">
        <f t="shared" si="6"/>
        <v>0</v>
      </c>
      <c r="AX65" s="57">
        <v>8</v>
      </c>
      <c r="AY65" s="17">
        <f>IF($C$10&gt;=AX$56,AY49*AY$56,0)</f>
        <v>0</v>
      </c>
      <c r="AZ65" s="181">
        <f t="shared" si="7"/>
        <v>0</v>
      </c>
      <c r="BA65" s="57">
        <v>8</v>
      </c>
      <c r="BB65" s="17">
        <f>IF($C$10&gt;=BA$56,BB49*BB$56,0)</f>
        <v>0</v>
      </c>
      <c r="BC65" s="181">
        <f t="shared" si="8"/>
        <v>0</v>
      </c>
      <c r="BD65" s="57">
        <v>8</v>
      </c>
      <c r="BE65" s="17">
        <f>IF($C$10&gt;=BD$56,BE49*BE$56,0)</f>
        <v>0</v>
      </c>
      <c r="BF65" s="181">
        <f t="shared" si="9"/>
        <v>0</v>
      </c>
    </row>
    <row r="66" spans="2:58" hidden="1" x14ac:dyDescent="0.2">
      <c r="B66" s="57">
        <v>9</v>
      </c>
      <c r="C66" s="17">
        <f>IF($C$10&gt;=B$56,C50*C$56,0)</f>
        <v>97.499999987999999</v>
      </c>
      <c r="D66" s="56"/>
      <c r="E66" s="57">
        <v>9</v>
      </c>
      <c r="F66" s="17">
        <f>IF($C$10&gt;=E$56,F50*F$56,0)</f>
        <v>0</v>
      </c>
      <c r="G66" s="56"/>
      <c r="H66" s="57">
        <v>9</v>
      </c>
      <c r="I66" s="17">
        <f>IF($C$10&gt;=H$56,I50*I$56,0)</f>
        <v>0</v>
      </c>
      <c r="J66" s="56"/>
      <c r="K66" s="57">
        <v>9</v>
      </c>
      <c r="L66" s="17">
        <f>IF($C$10&gt;=K$56,L50*L$56,0)</f>
        <v>0</v>
      </c>
      <c r="M66" s="56"/>
      <c r="N66" s="57">
        <v>9</v>
      </c>
      <c r="O66" s="17">
        <f>IF($C$10&gt;=N$56,O50*O$56,0)</f>
        <v>0</v>
      </c>
      <c r="P66" s="56"/>
      <c r="Q66" s="57">
        <v>9</v>
      </c>
      <c r="R66" s="17">
        <f>IF($C$10&gt;=Q$56,R50*R$56,0)</f>
        <v>0</v>
      </c>
      <c r="S66" s="56"/>
      <c r="T66" s="57">
        <v>9</v>
      </c>
      <c r="U66" s="17">
        <f>IF($C$10&gt;=T$56,U50*U$56,0)</f>
        <v>0</v>
      </c>
      <c r="V66" s="56"/>
      <c r="W66" s="57">
        <v>9</v>
      </c>
      <c r="X66" s="17">
        <f>IF($C$10&gt;=W$56,X50*X$56,0)</f>
        <v>0</v>
      </c>
      <c r="Y66" s="56"/>
      <c r="Z66" s="57">
        <v>9</v>
      </c>
      <c r="AA66" s="17">
        <f>IF($C$10&gt;=Z$56,AA50*AA$56,0)</f>
        <v>0</v>
      </c>
      <c r="AB66" s="56"/>
      <c r="AC66" s="57">
        <v>9</v>
      </c>
      <c r="AD66" s="17">
        <f>IF($C$10&gt;=AC$56,AD50*AD$56,0)</f>
        <v>0</v>
      </c>
      <c r="AE66" s="181">
        <f t="shared" si="0"/>
        <v>-97.499999987999999</v>
      </c>
      <c r="AF66" s="57">
        <v>9</v>
      </c>
      <c r="AG66" s="17">
        <f>IF($C$10&gt;=AF$56,AG50*AG$56,0)</f>
        <v>0</v>
      </c>
      <c r="AH66" s="181">
        <f t="shared" si="1"/>
        <v>0</v>
      </c>
      <c r="AI66" s="57">
        <v>9</v>
      </c>
      <c r="AJ66" s="17">
        <f>IF($C$10&gt;=AI$56,AJ50*AJ$56,0)</f>
        <v>0</v>
      </c>
      <c r="AK66" s="181">
        <f t="shared" si="2"/>
        <v>0</v>
      </c>
      <c r="AL66" s="57">
        <v>9</v>
      </c>
      <c r="AM66" s="17">
        <f>IF($C$10&gt;=AL$56,AM50*AM$56,0)</f>
        <v>0</v>
      </c>
      <c r="AN66" s="181">
        <f t="shared" si="3"/>
        <v>0</v>
      </c>
      <c r="AO66" s="57">
        <v>9</v>
      </c>
      <c r="AP66" s="17">
        <f>IF($C$10&gt;=AO$56,AP50*AP$56,0)</f>
        <v>0</v>
      </c>
      <c r="AQ66" s="181">
        <f t="shared" si="4"/>
        <v>0</v>
      </c>
      <c r="AR66" s="57">
        <v>9</v>
      </c>
      <c r="AS66" s="17">
        <f>IF($C$10&gt;=AR$56,AS50*AS$56,0)</f>
        <v>0</v>
      </c>
      <c r="AT66" s="181">
        <f t="shared" si="5"/>
        <v>0</v>
      </c>
      <c r="AU66" s="57">
        <v>9</v>
      </c>
      <c r="AV66" s="17">
        <f>IF($C$10&gt;=AU$56,AV50*AV$56,0)</f>
        <v>0</v>
      </c>
      <c r="AW66" s="181">
        <f t="shared" si="6"/>
        <v>0</v>
      </c>
      <c r="AX66" s="57">
        <v>9</v>
      </c>
      <c r="AY66" s="17">
        <f>IF($C$10&gt;=AX$56,AY50*AY$56,0)</f>
        <v>0</v>
      </c>
      <c r="AZ66" s="181">
        <f t="shared" si="7"/>
        <v>0</v>
      </c>
      <c r="BA66" s="57">
        <v>9</v>
      </c>
      <c r="BB66" s="17">
        <f>IF($C$10&gt;=BA$56,BB50*BB$56,0)</f>
        <v>0</v>
      </c>
      <c r="BC66" s="181">
        <f t="shared" si="8"/>
        <v>0</v>
      </c>
      <c r="BD66" s="57">
        <v>9</v>
      </c>
      <c r="BE66" s="17">
        <f>IF($C$10&gt;=BD$56,BE50*BE$56,0)</f>
        <v>0</v>
      </c>
      <c r="BF66" s="181">
        <f t="shared" si="9"/>
        <v>0</v>
      </c>
    </row>
    <row r="67" spans="2:58" hidden="1" x14ac:dyDescent="0.2">
      <c r="B67" s="57">
        <v>10</v>
      </c>
      <c r="C67" s="17">
        <f>IF($C$10&gt;=B$56,C51*C$56,0)</f>
        <v>97.499999987999999</v>
      </c>
      <c r="D67" s="56"/>
      <c r="E67" s="57">
        <v>10</v>
      </c>
      <c r="F67" s="17">
        <f>IF($C$10&gt;=E$56,F51*F$56,0)</f>
        <v>0</v>
      </c>
      <c r="G67" s="56"/>
      <c r="H67" s="57">
        <v>10</v>
      </c>
      <c r="I67" s="17">
        <f>IF($C$10&gt;=H$56,I51*I$56,0)</f>
        <v>0</v>
      </c>
      <c r="J67" s="56"/>
      <c r="K67" s="57">
        <v>10</v>
      </c>
      <c r="L67" s="17">
        <f>IF($C$10&gt;=K$56,L51*L$56,0)</f>
        <v>0</v>
      </c>
      <c r="M67" s="56"/>
      <c r="N67" s="57">
        <v>10</v>
      </c>
      <c r="O67" s="17">
        <f>IF($C$10&gt;=N$56,O51*O$56,0)</f>
        <v>0</v>
      </c>
      <c r="P67" s="56"/>
      <c r="Q67" s="57">
        <v>10</v>
      </c>
      <c r="R67" s="17">
        <f>IF($C$10&gt;=Q$56,R51*R$56,0)</f>
        <v>0</v>
      </c>
      <c r="S67" s="56"/>
      <c r="T67" s="57">
        <v>10</v>
      </c>
      <c r="U67" s="17">
        <f>IF($C$10&gt;=T$56,U51*U$56,0)</f>
        <v>0</v>
      </c>
      <c r="V67" s="56"/>
      <c r="W67" s="57">
        <v>10</v>
      </c>
      <c r="X67" s="17">
        <f>IF($C$10&gt;=W$56,X51*X$56,0)</f>
        <v>0</v>
      </c>
      <c r="Y67" s="56"/>
      <c r="Z67" s="57">
        <v>10</v>
      </c>
      <c r="AA67" s="17">
        <f>IF($C$10&gt;=Z$56,AA51*AA$56,0)</f>
        <v>0</v>
      </c>
      <c r="AB67" s="56"/>
      <c r="AC67" s="57">
        <v>10</v>
      </c>
      <c r="AD67" s="17">
        <f>IF($C$10&gt;=AC$56,AD51*AD$56,0)</f>
        <v>0</v>
      </c>
      <c r="AE67" s="181">
        <f t="shared" si="0"/>
        <v>-97.499999987999999</v>
      </c>
      <c r="AF67" s="57">
        <v>10</v>
      </c>
      <c r="AG67" s="17">
        <f>IF($C$10&gt;=AF$56,AG51*AG$56,0)</f>
        <v>0</v>
      </c>
      <c r="AH67" s="181">
        <f t="shared" si="1"/>
        <v>0</v>
      </c>
      <c r="AI67" s="57">
        <v>10</v>
      </c>
      <c r="AJ67" s="17">
        <f>IF($C$10&gt;=AI$56,AJ51*AJ$56,0)</f>
        <v>0</v>
      </c>
      <c r="AK67" s="181">
        <f t="shared" si="2"/>
        <v>0</v>
      </c>
      <c r="AL67" s="57">
        <v>10</v>
      </c>
      <c r="AM67" s="17">
        <f>IF($C$10&gt;=AL$56,AM51*AM$56,0)</f>
        <v>0</v>
      </c>
      <c r="AN67" s="181">
        <f t="shared" si="3"/>
        <v>0</v>
      </c>
      <c r="AO67" s="57">
        <v>10</v>
      </c>
      <c r="AP67" s="17">
        <f>IF($C$10&gt;=AO$56,AP51*AP$56,0)</f>
        <v>0</v>
      </c>
      <c r="AQ67" s="181">
        <f t="shared" si="4"/>
        <v>0</v>
      </c>
      <c r="AR67" s="57">
        <v>10</v>
      </c>
      <c r="AS67" s="17">
        <f>IF($C$10&gt;=AR$56,AS51*AS$56,0)</f>
        <v>0</v>
      </c>
      <c r="AT67" s="181">
        <f t="shared" si="5"/>
        <v>0</v>
      </c>
      <c r="AU67" s="57">
        <v>10</v>
      </c>
      <c r="AV67" s="17">
        <f>IF($C$10&gt;=AU$56,AV51*AV$56,0)</f>
        <v>0</v>
      </c>
      <c r="AW67" s="181">
        <f t="shared" si="6"/>
        <v>0</v>
      </c>
      <c r="AX67" s="57">
        <v>10</v>
      </c>
      <c r="AY67" s="17">
        <f>IF($C$10&gt;=AX$56,AY51*AY$56,0)</f>
        <v>0</v>
      </c>
      <c r="AZ67" s="181">
        <f t="shared" si="7"/>
        <v>0</v>
      </c>
      <c r="BA67" s="57">
        <v>10</v>
      </c>
      <c r="BB67" s="17">
        <f>IF($C$10&gt;=BA$56,BB51*BB$56,0)</f>
        <v>0</v>
      </c>
      <c r="BC67" s="181">
        <f t="shared" si="8"/>
        <v>0</v>
      </c>
      <c r="BD67" s="57">
        <v>10</v>
      </c>
      <c r="BE67" s="17">
        <f>IF($C$10&gt;=BD$56,BE51*BE$56,0)</f>
        <v>0</v>
      </c>
      <c r="BF67" s="181">
        <f t="shared" si="9"/>
        <v>0</v>
      </c>
    </row>
    <row r="68" spans="2:58" hidden="1" x14ac:dyDescent="0.2">
      <c r="B68" s="57">
        <v>11</v>
      </c>
      <c r="C68" s="17">
        <f>IF($C$10&gt;=B$56,C52*C$56,0)</f>
        <v>97.499999987999999</v>
      </c>
      <c r="D68" s="56"/>
      <c r="E68" s="57">
        <v>11</v>
      </c>
      <c r="F68" s="17">
        <f>IF($C$10&gt;=E$56,F52*F$56,0)</f>
        <v>0</v>
      </c>
      <c r="G68" s="56"/>
      <c r="H68" s="57">
        <v>11</v>
      </c>
      <c r="I68" s="17">
        <f>IF($C$10&gt;=H$56,I52*I$56,0)</f>
        <v>0</v>
      </c>
      <c r="J68" s="56"/>
      <c r="K68" s="57">
        <v>11</v>
      </c>
      <c r="L68" s="17">
        <f>IF($C$10&gt;=K$56,L52*L$56,0)</f>
        <v>0</v>
      </c>
      <c r="M68" s="56"/>
      <c r="N68" s="57">
        <v>11</v>
      </c>
      <c r="O68" s="17">
        <f>IF($C$10&gt;=N$56,O52*O$56,0)</f>
        <v>0</v>
      </c>
      <c r="P68" s="56"/>
      <c r="Q68" s="57">
        <v>11</v>
      </c>
      <c r="R68" s="17">
        <f>IF($C$10&gt;=Q$56,R52*R$56,0)</f>
        <v>0</v>
      </c>
      <c r="S68" s="56"/>
      <c r="T68" s="57">
        <v>11</v>
      </c>
      <c r="U68" s="17">
        <f>IF($C$10&gt;=T$56,U52*U$56,0)</f>
        <v>0</v>
      </c>
      <c r="V68" s="56"/>
      <c r="W68" s="57">
        <v>11</v>
      </c>
      <c r="X68" s="17">
        <f>IF($C$10&gt;=W$56,X52*X$56,0)</f>
        <v>0</v>
      </c>
      <c r="Y68" s="56"/>
      <c r="Z68" s="57">
        <v>11</v>
      </c>
      <c r="AA68" s="17">
        <f>IF($C$10&gt;=Z$56,AA52*AA$56,0)</f>
        <v>0</v>
      </c>
      <c r="AB68" s="56"/>
      <c r="AC68" s="57">
        <v>11</v>
      </c>
      <c r="AD68" s="17">
        <f>IF($C$10&gt;=AC$56,AD52*AD$56,0)</f>
        <v>0</v>
      </c>
      <c r="AE68" s="181">
        <f t="shared" si="0"/>
        <v>-97.499999987999999</v>
      </c>
      <c r="AF68" s="57">
        <v>11</v>
      </c>
      <c r="AG68" s="17">
        <f>IF($C$10&gt;=AF$56,AG52*AG$56,0)</f>
        <v>0</v>
      </c>
      <c r="AH68" s="181">
        <f t="shared" si="1"/>
        <v>0</v>
      </c>
      <c r="AI68" s="57">
        <v>11</v>
      </c>
      <c r="AJ68" s="17">
        <f>IF($C$10&gt;=AI$56,AJ52*AJ$56,0)</f>
        <v>0</v>
      </c>
      <c r="AK68" s="181">
        <f t="shared" si="2"/>
        <v>0</v>
      </c>
      <c r="AL68" s="57">
        <v>11</v>
      </c>
      <c r="AM68" s="17">
        <f>IF($C$10&gt;=AL$56,AM52*AM$56,0)</f>
        <v>0</v>
      </c>
      <c r="AN68" s="181">
        <f t="shared" si="3"/>
        <v>0</v>
      </c>
      <c r="AO68" s="57">
        <v>11</v>
      </c>
      <c r="AP68" s="17">
        <f>IF($C$10&gt;=AO$56,AP52*AP$56,0)</f>
        <v>0</v>
      </c>
      <c r="AQ68" s="181">
        <f t="shared" si="4"/>
        <v>0</v>
      </c>
      <c r="AR68" s="57">
        <v>11</v>
      </c>
      <c r="AS68" s="17">
        <f>IF($C$10&gt;=AR$56,AS52*AS$56,0)</f>
        <v>0</v>
      </c>
      <c r="AT68" s="181">
        <f t="shared" si="5"/>
        <v>0</v>
      </c>
      <c r="AU68" s="57">
        <v>11</v>
      </c>
      <c r="AV68" s="17">
        <f>IF($C$10&gt;=AU$56,AV52*AV$56,0)</f>
        <v>0</v>
      </c>
      <c r="AW68" s="181">
        <f t="shared" si="6"/>
        <v>0</v>
      </c>
      <c r="AX68" s="57">
        <v>11</v>
      </c>
      <c r="AY68" s="17">
        <f>IF($C$10&gt;=AX$56,AY52*AY$56,0)</f>
        <v>0</v>
      </c>
      <c r="AZ68" s="181">
        <f t="shared" si="7"/>
        <v>0</v>
      </c>
      <c r="BA68" s="57">
        <v>11</v>
      </c>
      <c r="BB68" s="17">
        <f>IF($C$10&gt;=BA$56,BB52*BB$56,0)</f>
        <v>0</v>
      </c>
      <c r="BC68" s="181">
        <f t="shared" si="8"/>
        <v>0</v>
      </c>
      <c r="BD68" s="57">
        <v>11</v>
      </c>
      <c r="BE68" s="17">
        <f>IF($C$10&gt;=BD$56,BE52*BE$56,0)</f>
        <v>0</v>
      </c>
      <c r="BF68" s="181">
        <f t="shared" si="9"/>
        <v>0</v>
      </c>
    </row>
    <row r="69" spans="2:58" hidden="1" x14ac:dyDescent="0.2">
      <c r="B69" s="57">
        <v>12</v>
      </c>
      <c r="C69" s="17">
        <f>IF($C$10&gt;=B$56,C53*C$56,0)</f>
        <v>97.499999987999999</v>
      </c>
      <c r="D69" s="56"/>
      <c r="E69" s="57">
        <v>12</v>
      </c>
      <c r="F69" s="17">
        <f>IF($C$10&gt;=E$56,F53*F$56,0)</f>
        <v>0</v>
      </c>
      <c r="G69" s="56"/>
      <c r="H69" s="57">
        <v>12</v>
      </c>
      <c r="I69" s="17">
        <f>IF($C$10&gt;=H$56,I53*I$56,0)</f>
        <v>0</v>
      </c>
      <c r="J69" s="56"/>
      <c r="K69" s="57">
        <v>12</v>
      </c>
      <c r="L69" s="17">
        <f>IF($C$10&gt;=K$56,L53*L$56,0)</f>
        <v>0</v>
      </c>
      <c r="M69" s="56"/>
      <c r="N69" s="57">
        <v>12</v>
      </c>
      <c r="O69" s="17">
        <f>IF($C$10&gt;=N$56,O53*O$56,0)</f>
        <v>0</v>
      </c>
      <c r="P69" s="56"/>
      <c r="Q69" s="57">
        <v>12</v>
      </c>
      <c r="R69" s="17">
        <f>IF($C$10&gt;=Q$56,R53*R$56,0)</f>
        <v>0</v>
      </c>
      <c r="S69" s="56"/>
      <c r="T69" s="57">
        <v>12</v>
      </c>
      <c r="U69" s="17">
        <f>IF($C$10&gt;=T$56,U53*U$56,0)</f>
        <v>0</v>
      </c>
      <c r="V69" s="56"/>
      <c r="W69" s="57">
        <v>12</v>
      </c>
      <c r="X69" s="17">
        <f>IF($C$10&gt;=W$56,X53*X$56,0)</f>
        <v>0</v>
      </c>
      <c r="Y69" s="56"/>
      <c r="Z69" s="57">
        <v>12</v>
      </c>
      <c r="AA69" s="17">
        <f>IF($C$10&gt;=Z$56,AA53*AA$56,0)</f>
        <v>0</v>
      </c>
      <c r="AB69" s="56"/>
      <c r="AC69" s="57">
        <v>12</v>
      </c>
      <c r="AD69" s="17">
        <f>IF($C$10&gt;=AC$56,AD53*AD$56,0)</f>
        <v>0</v>
      </c>
      <c r="AE69" s="181">
        <f t="shared" si="0"/>
        <v>-97.499999987999999</v>
      </c>
      <c r="AF69" s="57">
        <v>12</v>
      </c>
      <c r="AG69" s="17">
        <f>IF($C$10&gt;=AF$56,AG53*AG$56,0)</f>
        <v>0</v>
      </c>
      <c r="AH69" s="181">
        <f t="shared" si="1"/>
        <v>0</v>
      </c>
      <c r="AI69" s="57">
        <v>12</v>
      </c>
      <c r="AJ69" s="17">
        <f>IF($C$10&gt;=AI$56,AJ53*AJ$56,0)</f>
        <v>0</v>
      </c>
      <c r="AK69" s="181">
        <f t="shared" si="2"/>
        <v>0</v>
      </c>
      <c r="AL69" s="57">
        <v>12</v>
      </c>
      <c r="AM69" s="17">
        <f>IF($C$10&gt;=AL$56,AM53*AM$56,0)</f>
        <v>0</v>
      </c>
      <c r="AN69" s="181">
        <f t="shared" si="3"/>
        <v>0</v>
      </c>
      <c r="AO69" s="57">
        <v>12</v>
      </c>
      <c r="AP69" s="17">
        <f>IF($C$10&gt;=AO$56,AP53*AP$56,0)</f>
        <v>0</v>
      </c>
      <c r="AQ69" s="181">
        <f t="shared" si="4"/>
        <v>0</v>
      </c>
      <c r="AR69" s="57">
        <v>12</v>
      </c>
      <c r="AS69" s="17">
        <f>IF($C$10&gt;=AR$56,AS53*AS$56,0)</f>
        <v>0</v>
      </c>
      <c r="AT69" s="181">
        <f t="shared" si="5"/>
        <v>0</v>
      </c>
      <c r="AU69" s="57">
        <v>12</v>
      </c>
      <c r="AV69" s="17">
        <f>IF($C$10&gt;=AU$56,AV53*AV$56,0)</f>
        <v>0</v>
      </c>
      <c r="AW69" s="181">
        <f t="shared" si="6"/>
        <v>0</v>
      </c>
      <c r="AX69" s="57">
        <v>12</v>
      </c>
      <c r="AY69" s="17">
        <f>IF($C$10&gt;=AX$56,AY53*AY$56,0)</f>
        <v>0</v>
      </c>
      <c r="AZ69" s="181">
        <f t="shared" si="7"/>
        <v>0</v>
      </c>
      <c r="BA69" s="57">
        <v>12</v>
      </c>
      <c r="BB69" s="17">
        <f>IF($C$10&gt;=BA$56,BB53*BB$56,0)</f>
        <v>0</v>
      </c>
      <c r="BC69" s="181">
        <f t="shared" si="8"/>
        <v>0</v>
      </c>
      <c r="BD69" s="57">
        <v>12</v>
      </c>
      <c r="BE69" s="17">
        <f>IF($C$10&gt;=BD$56,BE53*BE$56,0)</f>
        <v>0</v>
      </c>
      <c r="BF69" s="181">
        <f t="shared" si="9"/>
        <v>0</v>
      </c>
    </row>
    <row r="70" spans="2:58" hidden="1" x14ac:dyDescent="0.2"/>
    <row r="71" spans="2:58" hidden="1" x14ac:dyDescent="0.2">
      <c r="I71" s="56" t="s">
        <v>60</v>
      </c>
      <c r="K71" s="100" t="s">
        <v>64</v>
      </c>
      <c r="L71" s="56">
        <f>COUNTIF(F4:F15,I72)</f>
        <v>0</v>
      </c>
      <c r="N71" s="57" t="s">
        <v>62</v>
      </c>
    </row>
    <row r="72" spans="2:58" hidden="1" x14ac:dyDescent="0.2">
      <c r="I72" s="56" t="s">
        <v>61</v>
      </c>
      <c r="L72" s="56"/>
      <c r="N72" s="57" t="s">
        <v>63</v>
      </c>
    </row>
    <row r="73" spans="2:58" hidden="1" x14ac:dyDescent="0.2">
      <c r="I73" s="56" t="s">
        <v>119</v>
      </c>
      <c r="K73" s="100" t="s">
        <v>65</v>
      </c>
      <c r="L73" s="56">
        <f>COUNTIF(C42:C53,0)</f>
        <v>0</v>
      </c>
      <c r="N73" s="57"/>
    </row>
    <row r="74" spans="2:58" hidden="1" x14ac:dyDescent="0.2"/>
    <row r="75" spans="2:58" hidden="1" x14ac:dyDescent="0.2"/>
    <row r="76" spans="2:58" ht="25.5" hidden="1" x14ac:dyDescent="0.2">
      <c r="B76" s="97" t="s">
        <v>27</v>
      </c>
      <c r="C76" s="98">
        <f>SUM(C42:C53)</f>
        <v>6499.9999992000003</v>
      </c>
      <c r="E76" s="97" t="s">
        <v>28</v>
      </c>
      <c r="F76" s="98">
        <f>F54*9</f>
        <v>10529.999998703999</v>
      </c>
    </row>
    <row r="77" spans="2:58" hidden="1" x14ac:dyDescent="0.2"/>
    <row r="78" spans="2:58" hidden="1" x14ac:dyDescent="0.2"/>
    <row r="79" spans="2:58" hidden="1" x14ac:dyDescent="0.2">
      <c r="B79" s="101" t="s">
        <v>32</v>
      </c>
      <c r="C79" s="101"/>
      <c r="D79" s="101"/>
      <c r="E79" s="101"/>
      <c r="F79" s="101"/>
      <c r="G79" s="35" t="s">
        <v>33</v>
      </c>
    </row>
    <row r="80" spans="2:58" hidden="1" x14ac:dyDescent="0.2">
      <c r="B80" s="92" t="s">
        <v>34</v>
      </c>
      <c r="C80" s="71" t="s">
        <v>27</v>
      </c>
      <c r="D80" s="71"/>
      <c r="E80" s="71"/>
      <c r="F80" s="71"/>
      <c r="G80" s="67">
        <f>C54</f>
        <v>6499.9999992000003</v>
      </c>
    </row>
    <row r="81" spans="2:7" ht="15" hidden="1" x14ac:dyDescent="0.2">
      <c r="B81" s="92" t="s">
        <v>35</v>
      </c>
      <c r="C81" s="71" t="s">
        <v>140</v>
      </c>
      <c r="D81" s="71"/>
      <c r="E81" s="71"/>
      <c r="F81" s="71"/>
      <c r="G81" s="67">
        <f>D43</f>
        <v>10529.999998703999</v>
      </c>
    </row>
    <row r="82" spans="2:7" hidden="1" x14ac:dyDescent="0.2">
      <c r="B82" s="92" t="s">
        <v>37</v>
      </c>
      <c r="C82" s="71" t="s">
        <v>38</v>
      </c>
      <c r="D82" s="71"/>
      <c r="E82" s="71"/>
      <c r="F82" s="71"/>
      <c r="G82" s="67">
        <f>F76</f>
        <v>10529.999998703999</v>
      </c>
    </row>
    <row r="83" spans="2:7" ht="13.5" hidden="1" thickBot="1" x14ac:dyDescent="0.25">
      <c r="B83" s="92" t="s">
        <v>39</v>
      </c>
      <c r="C83" s="71" t="s">
        <v>40</v>
      </c>
      <c r="D83" s="71"/>
      <c r="E83" s="71"/>
      <c r="F83" s="71"/>
      <c r="G83" s="104">
        <f>C54</f>
        <v>6499.9999992000003</v>
      </c>
    </row>
    <row r="84" spans="2:7" ht="15.75" hidden="1" customHeight="1" thickBot="1" x14ac:dyDescent="0.25">
      <c r="B84" s="182" t="s">
        <v>41</v>
      </c>
      <c r="C84" s="183"/>
      <c r="D84" s="183"/>
      <c r="E84" s="183"/>
      <c r="F84" s="184"/>
      <c r="G84" s="185">
        <f>G83+G82</f>
        <v>17029.999997904</v>
      </c>
    </row>
    <row r="85" spans="2:7" hidden="1" x14ac:dyDescent="0.2"/>
    <row r="86" spans="2:7" ht="15" customHeight="1" x14ac:dyDescent="0.2"/>
  </sheetData>
  <sheetProtection algorithmName="SHA-512" hashValue="xPy5t9K3W6cHs9QrN2be/YVYDdpKBVM4o6GsyjmQloyQ1dlcfdSnCDdZfJYeLHzHRuu1YKJXLd+zxjJYZuYtBw==" saltValue="l3wLDHcD0jTmmmtnUpPDfA==" spinCount="100000" sheet="1" objects="1" scenarios="1"/>
  <mergeCells count="10">
    <mergeCell ref="C81:F81"/>
    <mergeCell ref="C82:F82"/>
    <mergeCell ref="C83:F83"/>
    <mergeCell ref="B84:F84"/>
    <mergeCell ref="B40:C40"/>
    <mergeCell ref="E40:F40"/>
    <mergeCell ref="K40:L40"/>
    <mergeCell ref="N40:O40"/>
    <mergeCell ref="B79:F79"/>
    <mergeCell ref="C80:F80"/>
  </mergeCells>
  <conditionalFormatting sqref="G4:G15">
    <cfRule type="cellIs" dxfId="15" priority="125" operator="lessThan">
      <formula>$C$5</formula>
    </cfRule>
  </conditionalFormatting>
  <conditionalFormatting sqref="C3">
    <cfRule type="cellIs" dxfId="14" priority="8" operator="lessThan">
      <formula>100</formula>
    </cfRule>
  </conditionalFormatting>
  <conditionalFormatting sqref="C5">
    <cfRule type="cellIs" dxfId="13" priority="7" operator="lessThan">
      <formula>100</formula>
    </cfRule>
  </conditionalFormatting>
  <conditionalFormatting sqref="C42:C53 I42:I53 F42:F53 L42:L53 O42:O53 R42:R53 U42:U53 X42:X53 AA42:AA53 AD42:AD53">
    <cfRule type="expression" dxfId="12" priority="186">
      <formula>$C$10&gt;=B$56</formula>
    </cfRule>
  </conditionalFormatting>
  <conditionalFormatting sqref="C54 I54 F54 L54 O54 R54 U54 X54 AA54 AD54 AJ54 AP54 AV54 AS54 AG54 AM54 AY54 BB54 BE54">
    <cfRule type="expression" dxfId="11" priority="196">
      <formula>$C$10&gt;=B$56</formula>
    </cfRule>
  </conditionalFormatting>
  <conditionalFormatting sqref="C14:C31">
    <cfRule type="expression" dxfId="10" priority="215">
      <formula>$C$10&gt;=$B14</formula>
    </cfRule>
  </conditionalFormatting>
  <dataValidations count="2">
    <dataValidation type="list" operator="lessThan" allowBlank="1" showInputMessage="1" showErrorMessage="1" sqref="C10" xr:uid="{FAB772D4-4EC2-4877-B687-0543494F704B}">
      <formula1>$B$57:$B$66</formula1>
    </dataValidation>
    <dataValidation type="list" allowBlank="1" showInputMessage="1" showErrorMessage="1" sqref="F4:F15" xr:uid="{1DEFB5B0-48C6-40C6-94E0-6FB5A0EF00D6}">
      <formula1>$I$71:$I$73</formula1>
    </dataValidation>
  </dataValidations>
  <hyperlinks>
    <hyperlink ref="C8" location="'USER GUIDE'!A1" display="USER GUIDE" xr:uid="{FAEEC655-9F7C-4AB5-BDE2-6180A7F6FF65}"/>
  </hyperlink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59C2C-F1D2-4CD7-B9ED-69F79361114C}">
  <dimension ref="B1:BG102"/>
  <sheetViews>
    <sheetView showGridLines="0" zoomScale="80" zoomScaleNormal="80" workbookViewId="0">
      <pane xSplit="5" topLeftCell="F1" activePane="topRight" state="frozen"/>
      <selection sqref="A1:XFD1048576"/>
      <selection pane="topRight" sqref="A1:XFD1048576"/>
    </sheetView>
  </sheetViews>
  <sheetFormatPr defaultRowHeight="12.75" x14ac:dyDescent="0.2"/>
  <cols>
    <col min="1" max="1" width="9.140625" style="55"/>
    <col min="2" max="2" width="19.5703125" style="55" customWidth="1"/>
    <col min="3" max="3" width="40.140625" style="55" bestFit="1" customWidth="1"/>
    <col min="4" max="4" width="10.42578125" style="55" customWidth="1"/>
    <col min="5" max="5" width="18.85546875" style="55" customWidth="1"/>
    <col min="6" max="6" width="13.5703125" style="55" customWidth="1"/>
    <col min="7" max="7" width="11" style="55" bestFit="1" customWidth="1"/>
    <col min="8" max="8" width="19.140625" style="55" customWidth="1"/>
    <col min="9" max="9" width="12.28515625" style="55" bestFit="1" customWidth="1"/>
    <col min="10" max="10" width="10.85546875" style="55" customWidth="1"/>
    <col min="11" max="11" width="19.7109375" style="55" customWidth="1"/>
    <col min="12" max="12" width="9.5703125" style="55" customWidth="1"/>
    <col min="13" max="13" width="12.42578125" style="55" bestFit="1" customWidth="1"/>
    <col min="14" max="14" width="18.42578125" style="55" customWidth="1"/>
    <col min="15" max="15" width="9.85546875" style="55" customWidth="1"/>
    <col min="16" max="16" width="11" style="55" bestFit="1" customWidth="1"/>
    <col min="17" max="17" width="19.5703125" style="55" customWidth="1"/>
    <col min="18" max="18" width="9.42578125" style="55" customWidth="1"/>
    <col min="19" max="19" width="11" style="55" bestFit="1" customWidth="1"/>
    <col min="20" max="20" width="19.5703125" style="55" customWidth="1"/>
    <col min="21" max="21" width="10.7109375" style="55" customWidth="1"/>
    <col min="22" max="22" width="12.42578125" style="55" bestFit="1" customWidth="1"/>
    <col min="23" max="23" width="18.85546875" style="55" customWidth="1"/>
    <col min="24" max="24" width="11" style="55" customWidth="1"/>
    <col min="25" max="25" width="11" style="55" bestFit="1" customWidth="1"/>
    <col min="26" max="26" width="19" style="55" customWidth="1"/>
    <col min="27" max="27" width="10.7109375" style="55" customWidth="1"/>
    <col min="28" max="28" width="12.5703125" style="55" bestFit="1" customWidth="1"/>
    <col min="29" max="29" width="19.7109375" style="55" customWidth="1"/>
    <col min="30" max="30" width="9.5703125" style="55" customWidth="1"/>
    <col min="31" max="31" width="12.42578125" style="55" bestFit="1" customWidth="1"/>
    <col min="32" max="32" width="19.5703125" style="55" customWidth="1"/>
    <col min="33" max="33" width="9.140625" style="55" customWidth="1"/>
    <col min="34" max="34" width="11" style="55" bestFit="1" customWidth="1"/>
    <col min="35" max="35" width="19.28515625" style="55" customWidth="1"/>
    <col min="36" max="36" width="9.140625" style="55" customWidth="1"/>
    <col min="37" max="37" width="12.5703125" style="55" bestFit="1" customWidth="1"/>
    <col min="38" max="38" width="18.85546875" style="55" customWidth="1"/>
    <col min="39" max="39" width="9.140625" style="55" customWidth="1"/>
    <col min="40" max="40" width="11" style="55" bestFit="1" customWidth="1"/>
    <col min="41" max="42" width="9.140625" style="55" customWidth="1"/>
    <col min="43" max="43" width="12.28515625" style="55" bestFit="1" customWidth="1"/>
    <col min="44" max="45" width="9.140625" style="55" customWidth="1"/>
    <col min="46" max="46" width="12.28515625" style="55" bestFit="1" customWidth="1"/>
    <col min="47" max="48" width="9.140625" style="55" customWidth="1"/>
    <col min="49" max="49" width="11" style="55" bestFit="1" customWidth="1"/>
    <col min="50" max="51" width="9.140625" style="55" customWidth="1"/>
    <col min="52" max="52" width="11" style="55" bestFit="1" customWidth="1"/>
    <col min="53" max="1025" width="9.140625" style="55" customWidth="1"/>
    <col min="1026" max="16384" width="9.140625" style="55"/>
  </cols>
  <sheetData>
    <row r="1" spans="2:58" s="55" customFormat="1" ht="13.5" thickBot="1" x14ac:dyDescent="0.25">
      <c r="D1" s="56"/>
      <c r="F1" s="57"/>
      <c r="G1" s="56"/>
      <c r="I1" s="58"/>
      <c r="J1" s="56"/>
      <c r="L1" s="57"/>
      <c r="M1" s="56"/>
      <c r="O1" s="57"/>
      <c r="P1" s="56"/>
      <c r="R1" s="57"/>
      <c r="S1" s="56"/>
      <c r="V1" s="56"/>
      <c r="Y1" s="56"/>
      <c r="AB1" s="56"/>
      <c r="AE1" s="56"/>
    </row>
    <row r="2" spans="2:58" s="55" customFormat="1" ht="13.5" thickBot="1" x14ac:dyDescent="0.25">
      <c r="B2" s="107"/>
      <c r="C2" s="59" t="s">
        <v>74</v>
      </c>
      <c r="D2" s="56"/>
      <c r="F2" s="57"/>
      <c r="G2" s="56"/>
      <c r="J2" s="56"/>
      <c r="M2" s="56"/>
      <c r="P2" s="56"/>
      <c r="S2" s="56"/>
    </row>
    <row r="3" spans="2:58" s="55" customFormat="1" ht="13.5" thickBot="1" x14ac:dyDescent="0.25">
      <c r="B3" s="63" t="s">
        <v>143</v>
      </c>
      <c r="C3" s="149">
        <f>'TimeAlly - TSGAP'!C3</f>
        <v>100000</v>
      </c>
      <c r="F3" s="57"/>
      <c r="G3" s="56"/>
      <c r="J3" s="56"/>
      <c r="M3" s="56"/>
      <c r="P3" s="56"/>
      <c r="S3" s="56"/>
    </row>
    <row r="4" spans="2:58" s="55" customFormat="1" x14ac:dyDescent="0.2">
      <c r="B4" s="63" t="s">
        <v>169</v>
      </c>
      <c r="C4" s="68">
        <f>'TimeAlly - TSGAP'!C4</f>
        <v>1</v>
      </c>
      <c r="F4" s="57"/>
      <c r="G4" s="56"/>
      <c r="J4" s="56"/>
      <c r="M4" s="56"/>
      <c r="P4" s="56"/>
      <c r="S4" s="56"/>
    </row>
    <row r="5" spans="2:58" s="55" customFormat="1" x14ac:dyDescent="0.2">
      <c r="B5" s="63" t="s">
        <v>75</v>
      </c>
      <c r="C5" s="109">
        <f>IF(C4=1,C3*0.005416666666,C3*0.00625)</f>
        <v>541.66666659999999</v>
      </c>
      <c r="D5" s="56"/>
      <c r="F5" s="57"/>
      <c r="G5" s="56"/>
      <c r="J5" s="56"/>
      <c r="M5" s="56"/>
      <c r="P5" s="56"/>
      <c r="S5" s="56"/>
    </row>
    <row r="6" spans="2:58" s="55" customFormat="1" x14ac:dyDescent="0.2">
      <c r="B6" s="73" t="s">
        <v>177</v>
      </c>
      <c r="C6" s="74">
        <f>IF(C5&gt;='TSGAP % slabs'!B8,'TSGAP % slabs'!D8,IF(C5&gt;='TSGAP % slabs'!B7,'TSGAP % slabs'!D7,IF(C5&gt;='TSGAP % slabs'!B6,'TSGAP % slabs'!D6,IF(C5&gt;='TSGAP % slabs'!B5,'TSGAP % slabs'!D5,IF(C5&gt;='TSGAP % slabs'!B4,'TSGAP % slabs'!D4,0)))))</f>
        <v>0.18</v>
      </c>
      <c r="D6" s="56"/>
      <c r="F6" s="57"/>
      <c r="G6" s="56"/>
      <c r="J6" s="56"/>
      <c r="M6" s="56"/>
      <c r="P6" s="56"/>
      <c r="S6" s="56"/>
    </row>
    <row r="7" spans="2:58" s="55" customFormat="1" ht="13.5" thickBot="1" x14ac:dyDescent="0.25">
      <c r="D7" s="56"/>
      <c r="F7" s="57"/>
      <c r="G7" s="56"/>
      <c r="J7" s="56"/>
      <c r="M7" s="56"/>
      <c r="P7" s="56"/>
      <c r="S7" s="56"/>
    </row>
    <row r="8" spans="2:58" s="55" customFormat="1" ht="13.5" thickBot="1" x14ac:dyDescent="0.25">
      <c r="B8" s="194" t="s">
        <v>127</v>
      </c>
      <c r="C8" s="151">
        <v>0</v>
      </c>
      <c r="D8" s="56"/>
      <c r="F8" s="57"/>
      <c r="G8" s="56"/>
      <c r="J8" s="56"/>
      <c r="M8" s="56"/>
      <c r="P8" s="56"/>
      <c r="S8" s="56"/>
    </row>
    <row r="9" spans="2:58" s="55" customFormat="1" x14ac:dyDescent="0.2">
      <c r="B9" s="33"/>
      <c r="C9" s="76"/>
      <c r="D9" s="56"/>
      <c r="L9" s="57"/>
      <c r="M9" s="56"/>
      <c r="P9" s="56"/>
      <c r="S9" s="56"/>
      <c r="V9" s="56"/>
      <c r="Y9" s="56"/>
    </row>
    <row r="10" spans="2:58" s="55" customFormat="1" x14ac:dyDescent="0.2">
      <c r="B10" s="33"/>
      <c r="C10" s="76" t="s">
        <v>163</v>
      </c>
      <c r="D10" s="56"/>
      <c r="F10" s="13"/>
      <c r="G10" s="13"/>
      <c r="H10" s="13"/>
      <c r="I10" s="14"/>
      <c r="J10" s="15"/>
      <c r="R10" s="57"/>
      <c r="S10" s="56"/>
      <c r="V10" s="56"/>
      <c r="Y10" s="56"/>
      <c r="AB10" s="56"/>
      <c r="AE10" s="56"/>
    </row>
    <row r="11" spans="2:58" s="55" customFormat="1" x14ac:dyDescent="0.2">
      <c r="B11" s="33"/>
      <c r="C11" s="76"/>
      <c r="D11" s="56"/>
      <c r="F11" s="13"/>
      <c r="G11" s="13"/>
      <c r="H11" s="13"/>
      <c r="I11" s="14"/>
      <c r="J11" s="15"/>
      <c r="R11" s="57"/>
      <c r="S11" s="56"/>
      <c r="V11" s="56"/>
      <c r="Y11" s="56"/>
      <c r="AB11" s="56"/>
      <c r="AE11" s="56"/>
    </row>
    <row r="12" spans="2:58" s="55" customFormat="1" x14ac:dyDescent="0.2">
      <c r="B12" s="33"/>
      <c r="C12" s="76"/>
      <c r="D12" s="56"/>
      <c r="F12" s="13"/>
      <c r="G12" s="13"/>
      <c r="H12" s="13"/>
      <c r="I12" s="14"/>
      <c r="J12" s="15"/>
      <c r="R12" s="57"/>
      <c r="S12" s="56"/>
      <c r="V12" s="56"/>
      <c r="Y12" s="56"/>
      <c r="AB12" s="56"/>
      <c r="AE12" s="56"/>
    </row>
    <row r="13" spans="2:58" s="55" customFormat="1" ht="13.5" thickBot="1" x14ac:dyDescent="0.25">
      <c r="B13" s="33"/>
      <c r="C13" s="76"/>
      <c r="D13" s="56"/>
      <c r="F13" s="57"/>
      <c r="G13" s="56"/>
      <c r="I13" s="58"/>
      <c r="J13" s="56"/>
      <c r="L13" s="57"/>
      <c r="M13" s="56"/>
      <c r="O13" s="57"/>
      <c r="P13" s="56"/>
      <c r="R13" s="57"/>
      <c r="S13" s="56"/>
      <c r="V13" s="56"/>
      <c r="Y13" s="56"/>
      <c r="AB13" s="56"/>
      <c r="AE13" s="56"/>
    </row>
    <row r="14" spans="2:58" s="55" customFormat="1" ht="26.25" thickBot="1" x14ac:dyDescent="0.25">
      <c r="C14" s="77" t="s">
        <v>173</v>
      </c>
      <c r="D14" s="78">
        <f>C3</f>
        <v>100000</v>
      </c>
      <c r="G14" s="56"/>
      <c r="J14" s="56"/>
      <c r="L14" s="77" t="s">
        <v>30</v>
      </c>
      <c r="M14" s="79">
        <f>D29/3</f>
        <v>2166.6666663999999</v>
      </c>
      <c r="O14" s="77" t="s">
        <v>30</v>
      </c>
      <c r="P14" s="79">
        <f>IF($C$8&gt;0,G29/3,0)</f>
        <v>0</v>
      </c>
      <c r="R14" s="77" t="s">
        <v>30</v>
      </c>
      <c r="S14" s="79">
        <f>IF($C$8&gt;1,J29/3,0)</f>
        <v>0</v>
      </c>
      <c r="U14" s="77" t="s">
        <v>30</v>
      </c>
      <c r="V14" s="79">
        <f>IF($C$8&gt;2,M29/3,0)+M14</f>
        <v>2166.6666663999999</v>
      </c>
      <c r="X14" s="77" t="s">
        <v>30</v>
      </c>
      <c r="Y14" s="79">
        <f>IF($C$8&gt;3,P29/3,0)+P14</f>
        <v>0</v>
      </c>
      <c r="AA14" s="77" t="s">
        <v>30</v>
      </c>
      <c r="AB14" s="79">
        <f>IF($C$8&gt;4,S29/3,0)+S14</f>
        <v>0</v>
      </c>
      <c r="AD14" s="77" t="s">
        <v>30</v>
      </c>
      <c r="AE14" s="79">
        <f>IF($C$8&gt;5,V29/3,0)+V14</f>
        <v>2166.6666663999999</v>
      </c>
      <c r="AG14" s="77" t="s">
        <v>30</v>
      </c>
      <c r="AH14" s="79">
        <f>IF($C$8&gt;6,Y29/3,0)+Y14</f>
        <v>0</v>
      </c>
      <c r="AJ14" s="77" t="s">
        <v>30</v>
      </c>
      <c r="AK14" s="79">
        <f>IF($C$8&gt;7,AB29/3,0)+AB14</f>
        <v>0</v>
      </c>
      <c r="AM14" s="77" t="s">
        <v>30</v>
      </c>
      <c r="AN14" s="195">
        <f>IF((IF($C$8&gt;8,AE29/3,0)+AE14)&lt;=0,0,(IF($C$8&gt;8,AE29/3,0)+ AE14-(D29/3)))</f>
        <v>0</v>
      </c>
      <c r="AP14" s="77" t="s">
        <v>30</v>
      </c>
      <c r="AQ14" s="195">
        <f>IF((IF($C$8&gt;8,AH29/3,0)+AH14)&lt;=0,0,(IF($C$8&gt;8,AH29/3,0)+ AH14-(G29/3)))</f>
        <v>0</v>
      </c>
      <c r="AS14" s="77" t="s">
        <v>30</v>
      </c>
      <c r="AT14" s="195">
        <f>IF((IF($C$8&gt;8,AK29/3,0)+AK14)&lt;=0,0,(IF($C$8&gt;8,AK29/3,0)+ AK14-(J29/3)))</f>
        <v>0</v>
      </c>
      <c r="AV14" s="77" t="s">
        <v>30</v>
      </c>
      <c r="AW14" s="195">
        <f>IF((IF($C$8&gt;8,AN29/3,0)+AN14)&lt;=0,0,(IF($C$8&gt;8,AN29/3,0)+ AN14-(M29/3)))</f>
        <v>0</v>
      </c>
      <c r="AY14" s="77" t="s">
        <v>30</v>
      </c>
      <c r="AZ14" s="195">
        <f>IF((IF($C$8&gt;8,AQ29/3,0)+AQ14)&lt;=0,0,(IF($C$8&gt;8,AQ29/3,0)+ AQ14-(P29/3)))</f>
        <v>0</v>
      </c>
      <c r="BB14" s="77" t="s">
        <v>30</v>
      </c>
      <c r="BC14" s="195">
        <f>IF((IF($C$8&gt;8,AT29/3,0)+AT14)&lt;=0,0,(IF($C$8&gt;8,AT29/3,0)+ AT14-(S29/3)))</f>
        <v>0</v>
      </c>
      <c r="BE14" s="77" t="s">
        <v>30</v>
      </c>
      <c r="BF14" s="195">
        <f>IF((IF($C$8&gt;8,AW29/3,0)+AW14)&lt;=0,0,(IF($C$8&gt;8,AW29/3,0)+ AW14-(V29/3)))</f>
        <v>0</v>
      </c>
    </row>
    <row r="15" spans="2:58" s="55" customFormat="1" ht="22.35" customHeight="1" thickBot="1" x14ac:dyDescent="0.25">
      <c r="C15" s="80" t="s">
        <v>1</v>
      </c>
      <c r="D15" s="80"/>
      <c r="E15" s="196" t="s">
        <v>138</v>
      </c>
      <c r="F15" s="169" t="s">
        <v>3</v>
      </c>
      <c r="G15" s="170"/>
      <c r="H15" s="196" t="s">
        <v>138</v>
      </c>
      <c r="I15" s="169" t="s">
        <v>4</v>
      </c>
      <c r="J15" s="170"/>
      <c r="K15" s="196" t="s">
        <v>138</v>
      </c>
      <c r="L15" s="82" t="s">
        <v>5</v>
      </c>
      <c r="M15" s="82"/>
      <c r="N15" s="196" t="s">
        <v>138</v>
      </c>
      <c r="O15" s="81" t="s">
        <v>6</v>
      </c>
      <c r="P15" s="81"/>
      <c r="Q15" s="196" t="s">
        <v>138</v>
      </c>
      <c r="R15" s="81" t="s">
        <v>7</v>
      </c>
      <c r="S15" s="81"/>
      <c r="T15" s="196" t="s">
        <v>138</v>
      </c>
      <c r="U15" s="82" t="s">
        <v>8</v>
      </c>
      <c r="V15" s="82"/>
      <c r="W15" s="196" t="s">
        <v>138</v>
      </c>
      <c r="X15" s="81" t="s">
        <v>9</v>
      </c>
      <c r="Y15" s="81"/>
      <c r="Z15" s="196" t="s">
        <v>138</v>
      </c>
      <c r="AA15" s="81" t="s">
        <v>10</v>
      </c>
      <c r="AB15" s="81"/>
      <c r="AC15" s="196" t="s">
        <v>138</v>
      </c>
      <c r="AD15" s="82" t="s">
        <v>11</v>
      </c>
      <c r="AE15" s="82"/>
      <c r="AF15" s="196" t="s">
        <v>138</v>
      </c>
      <c r="AG15" s="81" t="s">
        <v>129</v>
      </c>
      <c r="AH15" s="81"/>
      <c r="AJ15" s="81" t="s">
        <v>130</v>
      </c>
      <c r="AK15" s="81"/>
      <c r="AM15" s="82" t="s">
        <v>131</v>
      </c>
      <c r="AN15" s="82"/>
      <c r="AP15" s="82" t="s">
        <v>132</v>
      </c>
      <c r="AQ15" s="82"/>
      <c r="AS15" s="82" t="s">
        <v>133</v>
      </c>
      <c r="AT15" s="82"/>
      <c r="AV15" s="82" t="s">
        <v>134</v>
      </c>
      <c r="AW15" s="82"/>
      <c r="AY15" s="82" t="s">
        <v>135</v>
      </c>
      <c r="AZ15" s="82"/>
      <c r="BB15" s="82" t="s">
        <v>136</v>
      </c>
      <c r="BC15" s="82"/>
      <c r="BE15" s="82" t="s">
        <v>137</v>
      </c>
      <c r="BF15" s="82"/>
    </row>
    <row r="16" spans="2:58" s="55" customFormat="1" ht="51.75" thickBot="1" x14ac:dyDescent="0.25">
      <c r="C16" s="83" t="s">
        <v>12</v>
      </c>
      <c r="D16" s="84" t="s">
        <v>13</v>
      </c>
      <c r="E16" s="196"/>
      <c r="F16" s="85" t="s">
        <v>14</v>
      </c>
      <c r="G16" s="86" t="s">
        <v>76</v>
      </c>
      <c r="H16" s="196"/>
      <c r="I16" s="85" t="s">
        <v>14</v>
      </c>
      <c r="J16" s="86" t="s">
        <v>76</v>
      </c>
      <c r="K16" s="196"/>
      <c r="L16" s="85" t="s">
        <v>14</v>
      </c>
      <c r="M16" s="86" t="s">
        <v>76</v>
      </c>
      <c r="N16" s="196"/>
      <c r="O16" s="85" t="s">
        <v>14</v>
      </c>
      <c r="P16" s="86" t="s">
        <v>76</v>
      </c>
      <c r="Q16" s="196"/>
      <c r="R16" s="85" t="s">
        <v>14</v>
      </c>
      <c r="S16" s="86" t="s">
        <v>76</v>
      </c>
      <c r="T16" s="196"/>
      <c r="U16" s="85" t="s">
        <v>14</v>
      </c>
      <c r="V16" s="86" t="s">
        <v>76</v>
      </c>
      <c r="W16" s="196"/>
      <c r="X16" s="85" t="s">
        <v>14</v>
      </c>
      <c r="Y16" s="86" t="s">
        <v>76</v>
      </c>
      <c r="Z16" s="196"/>
      <c r="AA16" s="85" t="s">
        <v>14</v>
      </c>
      <c r="AB16" s="86" t="s">
        <v>76</v>
      </c>
      <c r="AC16" s="196"/>
      <c r="AD16" s="85" t="s">
        <v>14</v>
      </c>
      <c r="AE16" s="86" t="s">
        <v>76</v>
      </c>
      <c r="AF16" s="196"/>
      <c r="AG16" s="85" t="s">
        <v>14</v>
      </c>
      <c r="AH16" s="86" t="s">
        <v>76</v>
      </c>
      <c r="AJ16" s="85" t="s">
        <v>14</v>
      </c>
      <c r="AK16" s="86" t="s">
        <v>76</v>
      </c>
      <c r="AM16" s="85" t="s">
        <v>14</v>
      </c>
      <c r="AN16" s="86" t="s">
        <v>76</v>
      </c>
      <c r="AP16" s="85" t="s">
        <v>14</v>
      </c>
      <c r="AQ16" s="86" t="s">
        <v>76</v>
      </c>
      <c r="AS16" s="85" t="s">
        <v>14</v>
      </c>
      <c r="AT16" s="86" t="s">
        <v>76</v>
      </c>
      <c r="AV16" s="85" t="s">
        <v>14</v>
      </c>
      <c r="AW16" s="86" t="s">
        <v>76</v>
      </c>
      <c r="AY16" s="85" t="s">
        <v>14</v>
      </c>
      <c r="AZ16" s="86" t="s">
        <v>76</v>
      </c>
      <c r="BB16" s="85" t="s">
        <v>14</v>
      </c>
      <c r="BC16" s="86" t="s">
        <v>76</v>
      </c>
      <c r="BE16" s="85" t="s">
        <v>14</v>
      </c>
      <c r="BF16" s="86" t="s">
        <v>76</v>
      </c>
    </row>
    <row r="17" spans="3:58" s="55" customFormat="1" ht="13.5" thickBot="1" x14ac:dyDescent="0.25">
      <c r="C17" s="88" t="s">
        <v>15</v>
      </c>
      <c r="D17" s="178">
        <f>'TimeAlly - TSGAP'!C42</f>
        <v>541.66666659999999</v>
      </c>
      <c r="E17" s="77" t="s">
        <v>31</v>
      </c>
      <c r="F17" s="90">
        <v>1</v>
      </c>
      <c r="G17" s="178">
        <f t="shared" ref="G17:G28" si="0">$D17*$C$6</f>
        <v>97.499999987999999</v>
      </c>
      <c r="H17" s="77" t="s">
        <v>31</v>
      </c>
      <c r="I17" s="91">
        <v>13</v>
      </c>
      <c r="J17" s="178">
        <f>G33+G17</f>
        <v>97.499999987999999</v>
      </c>
      <c r="K17" s="77" t="s">
        <v>31</v>
      </c>
      <c r="L17" s="91">
        <v>25</v>
      </c>
      <c r="M17" s="178">
        <f>J33+J17</f>
        <v>97.499999987999999</v>
      </c>
      <c r="N17" s="77" t="s">
        <v>31</v>
      </c>
      <c r="O17" s="91">
        <v>37</v>
      </c>
      <c r="P17" s="178">
        <f>M33+M17</f>
        <v>97.499999987999999</v>
      </c>
      <c r="Q17" s="77" t="s">
        <v>31</v>
      </c>
      <c r="R17" s="91">
        <v>49</v>
      </c>
      <c r="S17" s="178">
        <f>P33+P17</f>
        <v>97.499999987999999</v>
      </c>
      <c r="T17" s="77" t="s">
        <v>31</v>
      </c>
      <c r="U17" s="91">
        <v>61</v>
      </c>
      <c r="V17" s="178">
        <f>S33+S17</f>
        <v>97.499999987999999</v>
      </c>
      <c r="W17" s="77" t="s">
        <v>31</v>
      </c>
      <c r="X17" s="91">
        <v>73</v>
      </c>
      <c r="Y17" s="178">
        <f>V33+V17</f>
        <v>97.499999987999999</v>
      </c>
      <c r="Z17" s="77" t="s">
        <v>31</v>
      </c>
      <c r="AA17" s="91">
        <v>85</v>
      </c>
      <c r="AB17" s="178">
        <f>Y33+Y17</f>
        <v>97.499999987999999</v>
      </c>
      <c r="AC17" s="77" t="s">
        <v>31</v>
      </c>
      <c r="AD17" s="91">
        <v>97</v>
      </c>
      <c r="AE17" s="178">
        <f>AB33+AB17</f>
        <v>97.499999987999999</v>
      </c>
      <c r="AF17" s="77" t="s">
        <v>31</v>
      </c>
      <c r="AG17" s="91">
        <v>109</v>
      </c>
      <c r="AH17" s="89">
        <f>AE33+AE17+AF33</f>
        <v>0</v>
      </c>
      <c r="AJ17" s="91">
        <v>121</v>
      </c>
      <c r="AK17" s="89">
        <f>AH33+AH17+AI33</f>
        <v>0</v>
      </c>
      <c r="AM17" s="91">
        <v>131</v>
      </c>
      <c r="AN17" s="89">
        <f>AK33+AK17+AL33</f>
        <v>0</v>
      </c>
      <c r="AP17" s="91">
        <v>131</v>
      </c>
      <c r="AQ17" s="89">
        <f>AN33+AN17+AO33</f>
        <v>0</v>
      </c>
      <c r="AS17" s="91">
        <v>131</v>
      </c>
      <c r="AT17" s="89">
        <f>AQ33+AQ17+AR33</f>
        <v>0</v>
      </c>
      <c r="AV17" s="91">
        <v>131</v>
      </c>
      <c r="AW17" s="89">
        <f>AT33+AT17+AU33</f>
        <v>0</v>
      </c>
      <c r="AY17" s="91">
        <v>131</v>
      </c>
      <c r="AZ17" s="89">
        <f>AW33+AW17+AX33</f>
        <v>0</v>
      </c>
      <c r="BB17" s="91">
        <v>131</v>
      </c>
      <c r="BC17" s="89">
        <f>AZ33+AZ17+BA33</f>
        <v>0</v>
      </c>
      <c r="BE17" s="91">
        <v>131</v>
      </c>
      <c r="BF17" s="89">
        <f>BC33+BC17+BD33</f>
        <v>0</v>
      </c>
    </row>
    <row r="18" spans="3:58" s="55" customFormat="1" ht="13.5" thickBot="1" x14ac:dyDescent="0.25">
      <c r="C18" s="93" t="s">
        <v>16</v>
      </c>
      <c r="D18" s="178">
        <f>'TimeAlly - TSGAP'!C43</f>
        <v>541.66666659999999</v>
      </c>
      <c r="E18" s="94">
        <f>D33*108</f>
        <v>10529.999998703999</v>
      </c>
      <c r="F18" s="95">
        <v>2</v>
      </c>
      <c r="G18" s="178">
        <f t="shared" si="0"/>
        <v>97.499999987999999</v>
      </c>
      <c r="H18" s="94">
        <f>G33*108</f>
        <v>0</v>
      </c>
      <c r="I18" s="35">
        <v>14</v>
      </c>
      <c r="J18" s="178">
        <f t="shared" ref="J18:J28" si="1">G34+G18</f>
        <v>97.499999987999999</v>
      </c>
      <c r="K18" s="94">
        <f>J33*108</f>
        <v>0</v>
      </c>
      <c r="L18" s="35">
        <v>26</v>
      </c>
      <c r="M18" s="178">
        <f t="shared" ref="M18:M28" si="2">J34+J18</f>
        <v>97.499999987999999</v>
      </c>
      <c r="N18" s="94">
        <f>M33*108</f>
        <v>0</v>
      </c>
      <c r="O18" s="65">
        <v>38</v>
      </c>
      <c r="P18" s="178">
        <f t="shared" ref="P18:P28" si="3">M34+M18</f>
        <v>97.499999987999999</v>
      </c>
      <c r="Q18" s="94">
        <f>P33*108</f>
        <v>0</v>
      </c>
      <c r="R18" s="35">
        <v>50</v>
      </c>
      <c r="S18" s="178">
        <f t="shared" ref="S18:S28" si="4">P34+P18</f>
        <v>97.499999987999999</v>
      </c>
      <c r="T18" s="94">
        <f>S33*108</f>
        <v>0</v>
      </c>
      <c r="U18" s="35">
        <v>62</v>
      </c>
      <c r="V18" s="178">
        <f t="shared" ref="V18:V28" si="5">S34+S18</f>
        <v>97.499999987999999</v>
      </c>
      <c r="W18" s="94">
        <f>V33*108</f>
        <v>0</v>
      </c>
      <c r="X18" s="65">
        <v>74</v>
      </c>
      <c r="Y18" s="178">
        <f t="shared" ref="Y18:Y28" si="6">V34+V18</f>
        <v>97.499999987999999</v>
      </c>
      <c r="Z18" s="94">
        <f>Y33*108</f>
        <v>0</v>
      </c>
      <c r="AA18" s="91">
        <v>86</v>
      </c>
      <c r="AB18" s="178">
        <f t="shared" ref="AB18:AB28" si="7">Y34+Y18</f>
        <v>97.499999987999999</v>
      </c>
      <c r="AC18" s="94">
        <f>AB33*108</f>
        <v>0</v>
      </c>
      <c r="AD18" s="35">
        <v>98</v>
      </c>
      <c r="AE18" s="178">
        <f t="shared" ref="AE18:AE28" si="8">AB34+AB18</f>
        <v>97.499999987999999</v>
      </c>
      <c r="AF18" s="94">
        <f>AE33*108</f>
        <v>0</v>
      </c>
      <c r="AG18" s="65">
        <v>110</v>
      </c>
      <c r="AH18" s="89">
        <f t="shared" ref="AH18:AH28" si="9">AE34+AE18+AF34</f>
        <v>0</v>
      </c>
      <c r="AJ18" s="91">
        <v>122</v>
      </c>
      <c r="AK18" s="89">
        <f t="shared" ref="AK18:AK28" si="10">AH34+AH18+AI34</f>
        <v>0</v>
      </c>
      <c r="AM18" s="35">
        <v>132</v>
      </c>
      <c r="AN18" s="89">
        <f t="shared" ref="AN18:AN28" si="11">AK34+AK18+AL34</f>
        <v>0</v>
      </c>
      <c r="AP18" s="35">
        <v>132</v>
      </c>
      <c r="AQ18" s="89">
        <f t="shared" ref="AQ18:AQ28" si="12">AN34+AN18+AO34</f>
        <v>0</v>
      </c>
      <c r="AS18" s="35">
        <v>132</v>
      </c>
      <c r="AT18" s="89">
        <f t="shared" ref="AT18:AT28" si="13">AQ34+AQ18+AR34</f>
        <v>0</v>
      </c>
      <c r="AV18" s="35">
        <v>132</v>
      </c>
      <c r="AW18" s="89">
        <f t="shared" ref="AW18:AW28" si="14">AT34+AT18+AU34</f>
        <v>0</v>
      </c>
      <c r="AY18" s="35">
        <v>132</v>
      </c>
      <c r="AZ18" s="89">
        <f t="shared" ref="AZ18:AZ28" si="15">AW34+AW18+AX34</f>
        <v>0</v>
      </c>
      <c r="BB18" s="35">
        <v>132</v>
      </c>
      <c r="BC18" s="89">
        <f t="shared" ref="BC18:BC28" si="16">AZ34+AZ18+BA34</f>
        <v>0</v>
      </c>
      <c r="BE18" s="35">
        <v>132</v>
      </c>
      <c r="BF18" s="89">
        <f t="shared" ref="BF18:BF28" si="17">BC34+BC18+BD34</f>
        <v>0</v>
      </c>
    </row>
    <row r="19" spans="3:58" s="55" customFormat="1" x14ac:dyDescent="0.2">
      <c r="C19" s="93" t="s">
        <v>17</v>
      </c>
      <c r="D19" s="178">
        <f>'TimeAlly - TSGAP'!C44</f>
        <v>541.66666659999999</v>
      </c>
      <c r="F19" s="91">
        <v>3</v>
      </c>
      <c r="G19" s="178">
        <f t="shared" si="0"/>
        <v>97.499999987999999</v>
      </c>
      <c r="H19" s="87"/>
      <c r="I19" s="91">
        <v>15</v>
      </c>
      <c r="J19" s="178">
        <f t="shared" si="1"/>
        <v>97.499999987999999</v>
      </c>
      <c r="L19" s="91">
        <v>27</v>
      </c>
      <c r="M19" s="178">
        <f t="shared" si="2"/>
        <v>97.499999987999999</v>
      </c>
      <c r="O19" s="35">
        <v>39</v>
      </c>
      <c r="P19" s="178">
        <f t="shared" si="3"/>
        <v>97.499999987999999</v>
      </c>
      <c r="R19" s="91">
        <v>51</v>
      </c>
      <c r="S19" s="178">
        <f t="shared" si="4"/>
        <v>97.499999987999999</v>
      </c>
      <c r="U19" s="91">
        <v>63</v>
      </c>
      <c r="V19" s="178">
        <f t="shared" si="5"/>
        <v>97.499999987999999</v>
      </c>
      <c r="X19" s="35">
        <v>75</v>
      </c>
      <c r="Y19" s="178">
        <f t="shared" si="6"/>
        <v>97.499999987999999</v>
      </c>
      <c r="AA19" s="91">
        <v>87</v>
      </c>
      <c r="AB19" s="178">
        <f t="shared" si="7"/>
        <v>97.499999987999999</v>
      </c>
      <c r="AD19" s="91">
        <v>99</v>
      </c>
      <c r="AE19" s="178">
        <f t="shared" si="8"/>
        <v>97.499999987999999</v>
      </c>
      <c r="AG19" s="91">
        <v>111</v>
      </c>
      <c r="AH19" s="89">
        <f t="shared" si="9"/>
        <v>0</v>
      </c>
      <c r="AJ19" s="91">
        <v>123</v>
      </c>
      <c r="AK19" s="89">
        <f t="shared" si="10"/>
        <v>0</v>
      </c>
      <c r="AM19" s="91">
        <v>133</v>
      </c>
      <c r="AN19" s="89">
        <f t="shared" si="11"/>
        <v>0</v>
      </c>
      <c r="AP19" s="91">
        <v>133</v>
      </c>
      <c r="AQ19" s="89">
        <f t="shared" si="12"/>
        <v>0</v>
      </c>
      <c r="AS19" s="91">
        <v>133</v>
      </c>
      <c r="AT19" s="89">
        <f t="shared" si="13"/>
        <v>0</v>
      </c>
      <c r="AV19" s="91">
        <v>133</v>
      </c>
      <c r="AW19" s="89">
        <f t="shared" si="14"/>
        <v>0</v>
      </c>
      <c r="AY19" s="91">
        <v>133</v>
      </c>
      <c r="AZ19" s="89">
        <f t="shared" si="15"/>
        <v>0</v>
      </c>
      <c r="BB19" s="91">
        <v>133</v>
      </c>
      <c r="BC19" s="89">
        <f t="shared" si="16"/>
        <v>0</v>
      </c>
      <c r="BE19" s="91">
        <v>133</v>
      </c>
      <c r="BF19" s="89">
        <f t="shared" si="17"/>
        <v>0</v>
      </c>
    </row>
    <row r="20" spans="3:58" s="55" customFormat="1" x14ac:dyDescent="0.2">
      <c r="C20" s="93" t="s">
        <v>18</v>
      </c>
      <c r="D20" s="178">
        <f>'TimeAlly - TSGAP'!C45</f>
        <v>541.66666659999999</v>
      </c>
      <c r="F20" s="35">
        <v>4</v>
      </c>
      <c r="G20" s="178">
        <f t="shared" si="0"/>
        <v>97.499999987999999</v>
      </c>
      <c r="H20" s="87"/>
      <c r="I20" s="35">
        <v>16</v>
      </c>
      <c r="J20" s="178">
        <f t="shared" si="1"/>
        <v>97.499999987999999</v>
      </c>
      <c r="L20" s="35">
        <v>28</v>
      </c>
      <c r="M20" s="178">
        <f t="shared" si="2"/>
        <v>97.499999987999999</v>
      </c>
      <c r="O20" s="65">
        <v>40</v>
      </c>
      <c r="P20" s="178">
        <f t="shared" si="3"/>
        <v>97.499999987999999</v>
      </c>
      <c r="R20" s="35">
        <v>52</v>
      </c>
      <c r="S20" s="178">
        <f t="shared" si="4"/>
        <v>97.499999987999999</v>
      </c>
      <c r="U20" s="35">
        <v>64</v>
      </c>
      <c r="V20" s="178">
        <f t="shared" si="5"/>
        <v>97.499999987999999</v>
      </c>
      <c r="X20" s="65">
        <v>76</v>
      </c>
      <c r="Y20" s="178">
        <f t="shared" si="6"/>
        <v>97.499999987999999</v>
      </c>
      <c r="AA20" s="91">
        <v>88</v>
      </c>
      <c r="AB20" s="178">
        <f t="shared" si="7"/>
        <v>97.499999987999999</v>
      </c>
      <c r="AD20" s="35">
        <v>100</v>
      </c>
      <c r="AE20" s="178">
        <f t="shared" si="8"/>
        <v>97.499999987999999</v>
      </c>
      <c r="AG20" s="65">
        <v>112</v>
      </c>
      <c r="AH20" s="89">
        <f t="shared" si="9"/>
        <v>0</v>
      </c>
      <c r="AJ20" s="91">
        <v>124</v>
      </c>
      <c r="AK20" s="89">
        <f t="shared" si="10"/>
        <v>0</v>
      </c>
      <c r="AM20" s="35">
        <v>134</v>
      </c>
      <c r="AN20" s="89">
        <f t="shared" si="11"/>
        <v>0</v>
      </c>
      <c r="AP20" s="35">
        <v>134</v>
      </c>
      <c r="AQ20" s="89">
        <f t="shared" si="12"/>
        <v>0</v>
      </c>
      <c r="AS20" s="35">
        <v>134</v>
      </c>
      <c r="AT20" s="89">
        <f t="shared" si="13"/>
        <v>0</v>
      </c>
      <c r="AV20" s="35">
        <v>134</v>
      </c>
      <c r="AW20" s="89">
        <f t="shared" si="14"/>
        <v>0</v>
      </c>
      <c r="AY20" s="35">
        <v>134</v>
      </c>
      <c r="AZ20" s="89">
        <f t="shared" si="15"/>
        <v>0</v>
      </c>
      <c r="BB20" s="35">
        <v>134</v>
      </c>
      <c r="BC20" s="89">
        <f t="shared" si="16"/>
        <v>0</v>
      </c>
      <c r="BE20" s="35">
        <v>134</v>
      </c>
      <c r="BF20" s="89">
        <f t="shared" si="17"/>
        <v>0</v>
      </c>
    </row>
    <row r="21" spans="3:58" s="55" customFormat="1" x14ac:dyDescent="0.2">
      <c r="C21" s="93" t="s">
        <v>19</v>
      </c>
      <c r="D21" s="178">
        <f>'TimeAlly - TSGAP'!C46</f>
        <v>541.66666659999999</v>
      </c>
      <c r="F21" s="91">
        <v>5</v>
      </c>
      <c r="G21" s="178">
        <f t="shared" si="0"/>
        <v>97.499999987999999</v>
      </c>
      <c r="H21" s="87"/>
      <c r="I21" s="91">
        <v>17</v>
      </c>
      <c r="J21" s="178">
        <f t="shared" si="1"/>
        <v>97.499999987999999</v>
      </c>
      <c r="L21" s="91">
        <v>29</v>
      </c>
      <c r="M21" s="178">
        <f t="shared" si="2"/>
        <v>97.499999987999999</v>
      </c>
      <c r="O21" s="35">
        <v>41</v>
      </c>
      <c r="P21" s="178">
        <f t="shared" si="3"/>
        <v>97.499999987999999</v>
      </c>
      <c r="R21" s="91">
        <v>53</v>
      </c>
      <c r="S21" s="178">
        <f t="shared" si="4"/>
        <v>97.499999987999999</v>
      </c>
      <c r="U21" s="91">
        <v>65</v>
      </c>
      <c r="V21" s="178">
        <f t="shared" si="5"/>
        <v>97.499999987999999</v>
      </c>
      <c r="X21" s="35">
        <v>77</v>
      </c>
      <c r="Y21" s="178">
        <f t="shared" si="6"/>
        <v>97.499999987999999</v>
      </c>
      <c r="AA21" s="91">
        <v>89</v>
      </c>
      <c r="AB21" s="178">
        <f t="shared" si="7"/>
        <v>97.499999987999999</v>
      </c>
      <c r="AD21" s="91">
        <v>101</v>
      </c>
      <c r="AE21" s="178">
        <f t="shared" si="8"/>
        <v>97.499999987999999</v>
      </c>
      <c r="AG21" s="91">
        <v>113</v>
      </c>
      <c r="AH21" s="89">
        <f t="shared" si="9"/>
        <v>0</v>
      </c>
      <c r="AJ21" s="91">
        <v>125</v>
      </c>
      <c r="AK21" s="89">
        <f t="shared" si="10"/>
        <v>0</v>
      </c>
      <c r="AM21" s="91">
        <v>135</v>
      </c>
      <c r="AN21" s="89">
        <f t="shared" si="11"/>
        <v>0</v>
      </c>
      <c r="AP21" s="91">
        <v>135</v>
      </c>
      <c r="AQ21" s="89">
        <f t="shared" si="12"/>
        <v>0</v>
      </c>
      <c r="AS21" s="91">
        <v>135</v>
      </c>
      <c r="AT21" s="89">
        <f t="shared" si="13"/>
        <v>0</v>
      </c>
      <c r="AV21" s="91">
        <v>135</v>
      </c>
      <c r="AW21" s="89">
        <f t="shared" si="14"/>
        <v>0</v>
      </c>
      <c r="AY21" s="91">
        <v>135</v>
      </c>
      <c r="AZ21" s="89">
        <f t="shared" si="15"/>
        <v>0</v>
      </c>
      <c r="BB21" s="91">
        <v>135</v>
      </c>
      <c r="BC21" s="89">
        <f t="shared" si="16"/>
        <v>0</v>
      </c>
      <c r="BE21" s="91">
        <v>135</v>
      </c>
      <c r="BF21" s="89">
        <f t="shared" si="17"/>
        <v>0</v>
      </c>
    </row>
    <row r="22" spans="3:58" s="55" customFormat="1" x14ac:dyDescent="0.2">
      <c r="C22" s="93" t="s">
        <v>20</v>
      </c>
      <c r="D22" s="178">
        <f>'TimeAlly - TSGAP'!C47</f>
        <v>541.66666659999999</v>
      </c>
      <c r="F22" s="35">
        <v>6</v>
      </c>
      <c r="G22" s="178">
        <f t="shared" si="0"/>
        <v>97.499999987999999</v>
      </c>
      <c r="H22" s="87"/>
      <c r="I22" s="35">
        <v>18</v>
      </c>
      <c r="J22" s="178">
        <f t="shared" si="1"/>
        <v>97.499999987999999</v>
      </c>
      <c r="L22" s="35">
        <v>30</v>
      </c>
      <c r="M22" s="178">
        <f t="shared" si="2"/>
        <v>97.499999987999999</v>
      </c>
      <c r="O22" s="65">
        <v>42</v>
      </c>
      <c r="P22" s="178">
        <f t="shared" si="3"/>
        <v>97.499999987999999</v>
      </c>
      <c r="R22" s="35">
        <v>54</v>
      </c>
      <c r="S22" s="178">
        <f t="shared" si="4"/>
        <v>97.499999987999999</v>
      </c>
      <c r="U22" s="35">
        <v>66</v>
      </c>
      <c r="V22" s="178">
        <f t="shared" si="5"/>
        <v>97.499999987999999</v>
      </c>
      <c r="X22" s="65">
        <v>78</v>
      </c>
      <c r="Y22" s="178">
        <f t="shared" si="6"/>
        <v>97.499999987999999</v>
      </c>
      <c r="AA22" s="91">
        <v>90</v>
      </c>
      <c r="AB22" s="178">
        <f t="shared" si="7"/>
        <v>97.499999987999999</v>
      </c>
      <c r="AD22" s="35">
        <v>102</v>
      </c>
      <c r="AE22" s="178">
        <f t="shared" si="8"/>
        <v>97.499999987999999</v>
      </c>
      <c r="AG22" s="65">
        <v>114</v>
      </c>
      <c r="AH22" s="89">
        <f t="shared" si="9"/>
        <v>0</v>
      </c>
      <c r="AJ22" s="91">
        <v>126</v>
      </c>
      <c r="AK22" s="89">
        <f t="shared" si="10"/>
        <v>0</v>
      </c>
      <c r="AM22" s="35">
        <v>136</v>
      </c>
      <c r="AN22" s="89">
        <f t="shared" si="11"/>
        <v>0</v>
      </c>
      <c r="AP22" s="35">
        <v>136</v>
      </c>
      <c r="AQ22" s="89">
        <f t="shared" si="12"/>
        <v>0</v>
      </c>
      <c r="AS22" s="35">
        <v>136</v>
      </c>
      <c r="AT22" s="89">
        <f t="shared" si="13"/>
        <v>0</v>
      </c>
      <c r="AV22" s="35">
        <v>136</v>
      </c>
      <c r="AW22" s="89">
        <f t="shared" si="14"/>
        <v>0</v>
      </c>
      <c r="AY22" s="35">
        <v>136</v>
      </c>
      <c r="AZ22" s="89">
        <f t="shared" si="15"/>
        <v>0</v>
      </c>
      <c r="BB22" s="35">
        <v>136</v>
      </c>
      <c r="BC22" s="89">
        <f t="shared" si="16"/>
        <v>0</v>
      </c>
      <c r="BE22" s="35">
        <v>136</v>
      </c>
      <c r="BF22" s="89">
        <f t="shared" si="17"/>
        <v>0</v>
      </c>
    </row>
    <row r="23" spans="3:58" s="55" customFormat="1" x14ac:dyDescent="0.2">
      <c r="C23" s="93" t="s">
        <v>21</v>
      </c>
      <c r="D23" s="178">
        <f>'TimeAlly - TSGAP'!C48</f>
        <v>541.66666659999999</v>
      </c>
      <c r="F23" s="91">
        <v>7</v>
      </c>
      <c r="G23" s="178">
        <f t="shared" si="0"/>
        <v>97.499999987999999</v>
      </c>
      <c r="H23" s="87"/>
      <c r="I23" s="91">
        <v>19</v>
      </c>
      <c r="J23" s="178">
        <f t="shared" si="1"/>
        <v>97.499999987999999</v>
      </c>
      <c r="L23" s="91">
        <v>31</v>
      </c>
      <c r="M23" s="178">
        <f t="shared" si="2"/>
        <v>97.499999987999999</v>
      </c>
      <c r="O23" s="35">
        <v>43</v>
      </c>
      <c r="P23" s="178">
        <f t="shared" si="3"/>
        <v>97.499999987999999</v>
      </c>
      <c r="R23" s="91">
        <v>55</v>
      </c>
      <c r="S23" s="178">
        <f t="shared" si="4"/>
        <v>97.499999987999999</v>
      </c>
      <c r="U23" s="91">
        <v>67</v>
      </c>
      <c r="V23" s="178">
        <f t="shared" si="5"/>
        <v>97.499999987999999</v>
      </c>
      <c r="X23" s="35">
        <v>79</v>
      </c>
      <c r="Y23" s="178">
        <f t="shared" si="6"/>
        <v>97.499999987999999</v>
      </c>
      <c r="AA23" s="91">
        <v>91</v>
      </c>
      <c r="AB23" s="178">
        <f t="shared" si="7"/>
        <v>97.499999987999999</v>
      </c>
      <c r="AD23" s="91">
        <v>103</v>
      </c>
      <c r="AE23" s="178">
        <f t="shared" si="8"/>
        <v>97.499999987999999</v>
      </c>
      <c r="AG23" s="91">
        <v>115</v>
      </c>
      <c r="AH23" s="89">
        <f t="shared" si="9"/>
        <v>0</v>
      </c>
      <c r="AJ23" s="91">
        <v>127</v>
      </c>
      <c r="AK23" s="89">
        <f t="shared" si="10"/>
        <v>0</v>
      </c>
      <c r="AM23" s="91">
        <v>137</v>
      </c>
      <c r="AN23" s="89">
        <f t="shared" si="11"/>
        <v>0</v>
      </c>
      <c r="AP23" s="91">
        <v>137</v>
      </c>
      <c r="AQ23" s="89">
        <f t="shared" si="12"/>
        <v>0</v>
      </c>
      <c r="AS23" s="91">
        <v>137</v>
      </c>
      <c r="AT23" s="89">
        <f t="shared" si="13"/>
        <v>0</v>
      </c>
      <c r="AV23" s="91">
        <v>137</v>
      </c>
      <c r="AW23" s="89">
        <f t="shared" si="14"/>
        <v>0</v>
      </c>
      <c r="AY23" s="91">
        <v>137</v>
      </c>
      <c r="AZ23" s="89">
        <f t="shared" si="15"/>
        <v>0</v>
      </c>
      <c r="BB23" s="91">
        <v>137</v>
      </c>
      <c r="BC23" s="89">
        <f t="shared" si="16"/>
        <v>0</v>
      </c>
      <c r="BE23" s="91">
        <v>137</v>
      </c>
      <c r="BF23" s="89">
        <f t="shared" si="17"/>
        <v>0</v>
      </c>
    </row>
    <row r="24" spans="3:58" s="55" customFormat="1" x14ac:dyDescent="0.2">
      <c r="C24" s="93" t="s">
        <v>22</v>
      </c>
      <c r="D24" s="178">
        <f>'TimeAlly - TSGAP'!C49</f>
        <v>541.66666659999999</v>
      </c>
      <c r="F24" s="35">
        <v>8</v>
      </c>
      <c r="G24" s="178">
        <f t="shared" si="0"/>
        <v>97.499999987999999</v>
      </c>
      <c r="H24" s="87"/>
      <c r="I24" s="35">
        <v>20</v>
      </c>
      <c r="J24" s="178">
        <f t="shared" si="1"/>
        <v>97.499999987999999</v>
      </c>
      <c r="L24" s="35">
        <v>32</v>
      </c>
      <c r="M24" s="178">
        <f t="shared" si="2"/>
        <v>97.499999987999999</v>
      </c>
      <c r="O24" s="65">
        <v>44</v>
      </c>
      <c r="P24" s="178">
        <f t="shared" si="3"/>
        <v>97.499999987999999</v>
      </c>
      <c r="R24" s="35">
        <v>56</v>
      </c>
      <c r="S24" s="178">
        <f t="shared" si="4"/>
        <v>97.499999987999999</v>
      </c>
      <c r="U24" s="35">
        <v>68</v>
      </c>
      <c r="V24" s="178">
        <f t="shared" si="5"/>
        <v>97.499999987999999</v>
      </c>
      <c r="X24" s="65">
        <v>80</v>
      </c>
      <c r="Y24" s="178">
        <f t="shared" si="6"/>
        <v>97.499999987999999</v>
      </c>
      <c r="AA24" s="91">
        <v>92</v>
      </c>
      <c r="AB24" s="178">
        <f t="shared" si="7"/>
        <v>97.499999987999999</v>
      </c>
      <c r="AD24" s="35">
        <v>104</v>
      </c>
      <c r="AE24" s="178">
        <f t="shared" si="8"/>
        <v>97.499999987999999</v>
      </c>
      <c r="AG24" s="65">
        <v>116</v>
      </c>
      <c r="AH24" s="89">
        <f t="shared" si="9"/>
        <v>0</v>
      </c>
      <c r="AJ24" s="91">
        <v>128</v>
      </c>
      <c r="AK24" s="89">
        <f t="shared" si="10"/>
        <v>0</v>
      </c>
      <c r="AM24" s="35">
        <v>138</v>
      </c>
      <c r="AN24" s="89">
        <f t="shared" si="11"/>
        <v>0</v>
      </c>
      <c r="AP24" s="35">
        <v>138</v>
      </c>
      <c r="AQ24" s="89">
        <f t="shared" si="12"/>
        <v>0</v>
      </c>
      <c r="AS24" s="35">
        <v>138</v>
      </c>
      <c r="AT24" s="89">
        <f t="shared" si="13"/>
        <v>0</v>
      </c>
      <c r="AV24" s="35">
        <v>138</v>
      </c>
      <c r="AW24" s="89">
        <f t="shared" si="14"/>
        <v>0</v>
      </c>
      <c r="AY24" s="35">
        <v>138</v>
      </c>
      <c r="AZ24" s="89">
        <f t="shared" si="15"/>
        <v>0</v>
      </c>
      <c r="BB24" s="35">
        <v>138</v>
      </c>
      <c r="BC24" s="89">
        <f t="shared" si="16"/>
        <v>0</v>
      </c>
      <c r="BE24" s="35">
        <v>138</v>
      </c>
      <c r="BF24" s="89">
        <f t="shared" si="17"/>
        <v>0</v>
      </c>
    </row>
    <row r="25" spans="3:58" s="55" customFormat="1" x14ac:dyDescent="0.2">
      <c r="C25" s="93" t="s">
        <v>23</v>
      </c>
      <c r="D25" s="178">
        <f>'TimeAlly - TSGAP'!C50</f>
        <v>541.66666659999999</v>
      </c>
      <c r="F25" s="91">
        <v>9</v>
      </c>
      <c r="G25" s="178">
        <f t="shared" si="0"/>
        <v>97.499999987999999</v>
      </c>
      <c r="H25" s="87"/>
      <c r="I25" s="91">
        <v>21</v>
      </c>
      <c r="J25" s="178">
        <f t="shared" si="1"/>
        <v>97.499999987999999</v>
      </c>
      <c r="L25" s="91">
        <v>33</v>
      </c>
      <c r="M25" s="178">
        <f t="shared" si="2"/>
        <v>97.499999987999999</v>
      </c>
      <c r="O25" s="35">
        <v>45</v>
      </c>
      <c r="P25" s="178">
        <f t="shared" si="3"/>
        <v>97.499999987999999</v>
      </c>
      <c r="R25" s="91">
        <v>57</v>
      </c>
      <c r="S25" s="178">
        <f t="shared" si="4"/>
        <v>97.499999987999999</v>
      </c>
      <c r="U25" s="91">
        <v>69</v>
      </c>
      <c r="V25" s="178">
        <f t="shared" si="5"/>
        <v>97.499999987999999</v>
      </c>
      <c r="X25" s="35">
        <v>81</v>
      </c>
      <c r="Y25" s="178">
        <f t="shared" si="6"/>
        <v>97.499999987999999</v>
      </c>
      <c r="AA25" s="91">
        <v>93</v>
      </c>
      <c r="AB25" s="178">
        <f t="shared" si="7"/>
        <v>97.499999987999999</v>
      </c>
      <c r="AD25" s="91">
        <v>105</v>
      </c>
      <c r="AE25" s="178">
        <f t="shared" si="8"/>
        <v>97.499999987999999</v>
      </c>
      <c r="AG25" s="91">
        <v>117</v>
      </c>
      <c r="AH25" s="89">
        <f t="shared" si="9"/>
        <v>0</v>
      </c>
      <c r="AJ25" s="91">
        <v>129</v>
      </c>
      <c r="AK25" s="89">
        <f t="shared" si="10"/>
        <v>0</v>
      </c>
      <c r="AM25" s="91">
        <v>139</v>
      </c>
      <c r="AN25" s="89">
        <f t="shared" si="11"/>
        <v>0</v>
      </c>
      <c r="AP25" s="91">
        <v>139</v>
      </c>
      <c r="AQ25" s="89">
        <f t="shared" si="12"/>
        <v>0</v>
      </c>
      <c r="AS25" s="91">
        <v>139</v>
      </c>
      <c r="AT25" s="89">
        <f t="shared" si="13"/>
        <v>0</v>
      </c>
      <c r="AV25" s="91">
        <v>139</v>
      </c>
      <c r="AW25" s="89">
        <f t="shared" si="14"/>
        <v>0</v>
      </c>
      <c r="AY25" s="91">
        <v>139</v>
      </c>
      <c r="AZ25" s="89">
        <f t="shared" si="15"/>
        <v>0</v>
      </c>
      <c r="BB25" s="91">
        <v>139</v>
      </c>
      <c r="BC25" s="89">
        <f t="shared" si="16"/>
        <v>0</v>
      </c>
      <c r="BE25" s="91">
        <v>139</v>
      </c>
      <c r="BF25" s="89">
        <f t="shared" si="17"/>
        <v>0</v>
      </c>
    </row>
    <row r="26" spans="3:58" s="55" customFormat="1" x14ac:dyDescent="0.2">
      <c r="C26" s="93" t="s">
        <v>24</v>
      </c>
      <c r="D26" s="178">
        <f>'TimeAlly - TSGAP'!C51</f>
        <v>541.66666659999999</v>
      </c>
      <c r="F26" s="35">
        <v>10</v>
      </c>
      <c r="G26" s="178">
        <f t="shared" si="0"/>
        <v>97.499999987999999</v>
      </c>
      <c r="H26" s="87"/>
      <c r="I26" s="35">
        <v>22</v>
      </c>
      <c r="J26" s="178">
        <f t="shared" si="1"/>
        <v>97.499999987999999</v>
      </c>
      <c r="L26" s="35">
        <v>34</v>
      </c>
      <c r="M26" s="178">
        <f t="shared" si="2"/>
        <v>97.499999987999999</v>
      </c>
      <c r="O26" s="65">
        <v>46</v>
      </c>
      <c r="P26" s="178">
        <f t="shared" si="3"/>
        <v>97.499999987999999</v>
      </c>
      <c r="R26" s="35">
        <v>58</v>
      </c>
      <c r="S26" s="178">
        <f t="shared" si="4"/>
        <v>97.499999987999999</v>
      </c>
      <c r="U26" s="35">
        <v>70</v>
      </c>
      <c r="V26" s="178">
        <f t="shared" si="5"/>
        <v>97.499999987999999</v>
      </c>
      <c r="X26" s="65">
        <v>82</v>
      </c>
      <c r="Y26" s="178">
        <f t="shared" si="6"/>
        <v>97.499999987999999</v>
      </c>
      <c r="AA26" s="91">
        <v>94</v>
      </c>
      <c r="AB26" s="178">
        <f t="shared" si="7"/>
        <v>97.499999987999999</v>
      </c>
      <c r="AD26" s="35">
        <v>106</v>
      </c>
      <c r="AE26" s="178">
        <f t="shared" si="8"/>
        <v>97.499999987999999</v>
      </c>
      <c r="AG26" s="65">
        <v>118</v>
      </c>
      <c r="AH26" s="89">
        <f t="shared" si="9"/>
        <v>0</v>
      </c>
      <c r="AJ26" s="91">
        <v>130</v>
      </c>
      <c r="AK26" s="89">
        <f t="shared" si="10"/>
        <v>0</v>
      </c>
      <c r="AM26" s="35">
        <v>140</v>
      </c>
      <c r="AN26" s="89">
        <f t="shared" si="11"/>
        <v>0</v>
      </c>
      <c r="AP26" s="35">
        <v>140</v>
      </c>
      <c r="AQ26" s="89">
        <f t="shared" si="12"/>
        <v>0</v>
      </c>
      <c r="AS26" s="35">
        <v>140</v>
      </c>
      <c r="AT26" s="89">
        <f t="shared" si="13"/>
        <v>0</v>
      </c>
      <c r="AV26" s="35">
        <v>140</v>
      </c>
      <c r="AW26" s="89">
        <f t="shared" si="14"/>
        <v>0</v>
      </c>
      <c r="AY26" s="35">
        <v>140</v>
      </c>
      <c r="AZ26" s="89">
        <f t="shared" si="15"/>
        <v>0</v>
      </c>
      <c r="BB26" s="35">
        <v>140</v>
      </c>
      <c r="BC26" s="89">
        <f t="shared" si="16"/>
        <v>0</v>
      </c>
      <c r="BE26" s="35">
        <v>140</v>
      </c>
      <c r="BF26" s="89">
        <f t="shared" si="17"/>
        <v>0</v>
      </c>
    </row>
    <row r="27" spans="3:58" s="55" customFormat="1" x14ac:dyDescent="0.2">
      <c r="C27" s="93" t="s">
        <v>25</v>
      </c>
      <c r="D27" s="178">
        <f>'TimeAlly - TSGAP'!C52</f>
        <v>541.66666659999999</v>
      </c>
      <c r="F27" s="91">
        <v>11</v>
      </c>
      <c r="G27" s="178">
        <f t="shared" si="0"/>
        <v>97.499999987999999</v>
      </c>
      <c r="H27" s="87"/>
      <c r="I27" s="91">
        <v>23</v>
      </c>
      <c r="J27" s="178">
        <f t="shared" si="1"/>
        <v>97.499999987999999</v>
      </c>
      <c r="L27" s="91">
        <v>35</v>
      </c>
      <c r="M27" s="178">
        <f t="shared" si="2"/>
        <v>97.499999987999999</v>
      </c>
      <c r="O27" s="35">
        <v>47</v>
      </c>
      <c r="P27" s="178">
        <f t="shared" si="3"/>
        <v>97.499999987999999</v>
      </c>
      <c r="R27" s="91">
        <v>59</v>
      </c>
      <c r="S27" s="178">
        <f t="shared" si="4"/>
        <v>97.499999987999999</v>
      </c>
      <c r="U27" s="91">
        <v>71</v>
      </c>
      <c r="V27" s="178">
        <f t="shared" si="5"/>
        <v>97.499999987999999</v>
      </c>
      <c r="X27" s="35">
        <v>83</v>
      </c>
      <c r="Y27" s="178">
        <f t="shared" si="6"/>
        <v>97.499999987999999</v>
      </c>
      <c r="AA27" s="91">
        <v>95</v>
      </c>
      <c r="AB27" s="178">
        <f t="shared" si="7"/>
        <v>97.499999987999999</v>
      </c>
      <c r="AD27" s="91">
        <v>107</v>
      </c>
      <c r="AE27" s="178">
        <f t="shared" si="8"/>
        <v>97.499999987999999</v>
      </c>
      <c r="AG27" s="91">
        <v>119</v>
      </c>
      <c r="AH27" s="89">
        <f t="shared" si="9"/>
        <v>0</v>
      </c>
      <c r="AJ27" s="91">
        <v>131</v>
      </c>
      <c r="AK27" s="89">
        <f t="shared" si="10"/>
        <v>0</v>
      </c>
      <c r="AM27" s="91">
        <v>141</v>
      </c>
      <c r="AN27" s="89">
        <f t="shared" si="11"/>
        <v>0</v>
      </c>
      <c r="AP27" s="91">
        <v>141</v>
      </c>
      <c r="AQ27" s="89">
        <f t="shared" si="12"/>
        <v>0</v>
      </c>
      <c r="AS27" s="91">
        <v>141</v>
      </c>
      <c r="AT27" s="89">
        <f t="shared" si="13"/>
        <v>0</v>
      </c>
      <c r="AV27" s="91">
        <v>141</v>
      </c>
      <c r="AW27" s="89">
        <f t="shared" si="14"/>
        <v>0</v>
      </c>
      <c r="AY27" s="91">
        <v>141</v>
      </c>
      <c r="AZ27" s="89">
        <f t="shared" si="15"/>
        <v>0</v>
      </c>
      <c r="BB27" s="91">
        <v>141</v>
      </c>
      <c r="BC27" s="89">
        <f t="shared" si="16"/>
        <v>0</v>
      </c>
      <c r="BE27" s="91">
        <v>141</v>
      </c>
      <c r="BF27" s="89">
        <f t="shared" si="17"/>
        <v>0</v>
      </c>
    </row>
    <row r="28" spans="3:58" s="55" customFormat="1" ht="13.5" thickBot="1" x14ac:dyDescent="0.25">
      <c r="C28" s="108" t="s">
        <v>26</v>
      </c>
      <c r="D28" s="178">
        <f>'TimeAlly - TSGAP'!C53</f>
        <v>541.66666659999999</v>
      </c>
      <c r="F28" s="35">
        <v>12</v>
      </c>
      <c r="G28" s="178">
        <f t="shared" si="0"/>
        <v>97.499999987999999</v>
      </c>
      <c r="H28" s="87"/>
      <c r="I28" s="35">
        <v>24</v>
      </c>
      <c r="J28" s="178">
        <f t="shared" si="1"/>
        <v>97.499999987999999</v>
      </c>
      <c r="L28" s="96">
        <v>36</v>
      </c>
      <c r="M28" s="178">
        <f t="shared" si="2"/>
        <v>97.499999987999999</v>
      </c>
      <c r="O28" s="96">
        <v>48</v>
      </c>
      <c r="P28" s="178">
        <f t="shared" si="3"/>
        <v>97.499999987999999</v>
      </c>
      <c r="R28" s="96">
        <v>60</v>
      </c>
      <c r="S28" s="178">
        <f t="shared" si="4"/>
        <v>97.499999987999999</v>
      </c>
      <c r="U28" s="96">
        <v>72</v>
      </c>
      <c r="V28" s="178">
        <f t="shared" si="5"/>
        <v>97.499999987999999</v>
      </c>
      <c r="X28" s="96">
        <v>84</v>
      </c>
      <c r="Y28" s="178">
        <f t="shared" si="6"/>
        <v>97.499999987999999</v>
      </c>
      <c r="AA28" s="96">
        <v>96</v>
      </c>
      <c r="AB28" s="178">
        <f t="shared" si="7"/>
        <v>97.499999987999999</v>
      </c>
      <c r="AD28" s="96">
        <v>108</v>
      </c>
      <c r="AE28" s="178">
        <f t="shared" si="8"/>
        <v>97.499999987999999</v>
      </c>
      <c r="AG28" s="96">
        <v>120</v>
      </c>
      <c r="AH28" s="89">
        <f t="shared" si="9"/>
        <v>0</v>
      </c>
      <c r="AJ28" s="96">
        <v>132</v>
      </c>
      <c r="AK28" s="89">
        <f t="shared" si="10"/>
        <v>0</v>
      </c>
      <c r="AM28" s="96">
        <v>142</v>
      </c>
      <c r="AN28" s="89">
        <f t="shared" si="11"/>
        <v>0</v>
      </c>
      <c r="AP28" s="96">
        <v>142</v>
      </c>
      <c r="AQ28" s="89">
        <f t="shared" si="12"/>
        <v>0</v>
      </c>
      <c r="AS28" s="96">
        <v>142</v>
      </c>
      <c r="AT28" s="89">
        <f t="shared" si="13"/>
        <v>0</v>
      </c>
      <c r="AV28" s="96">
        <v>142</v>
      </c>
      <c r="AW28" s="89">
        <f t="shared" si="14"/>
        <v>0</v>
      </c>
      <c r="AY28" s="96">
        <v>142</v>
      </c>
      <c r="AZ28" s="89">
        <f t="shared" si="15"/>
        <v>0</v>
      </c>
      <c r="BB28" s="96">
        <v>142</v>
      </c>
      <c r="BC28" s="89">
        <f t="shared" si="16"/>
        <v>0</v>
      </c>
      <c r="BE28" s="96">
        <v>142</v>
      </c>
      <c r="BF28" s="89">
        <f t="shared" si="17"/>
        <v>0</v>
      </c>
    </row>
    <row r="29" spans="3:58" s="55" customFormat="1" x14ac:dyDescent="0.2">
      <c r="D29" s="178">
        <f>SUM(D17:D28)</f>
        <v>6499.9999992000003</v>
      </c>
      <c r="F29" s="57"/>
      <c r="G29" s="178">
        <f>SUM(G17:G28)</f>
        <v>1169.9999998559999</v>
      </c>
      <c r="I29" s="58"/>
      <c r="J29" s="178">
        <f>SUM(J17:J28)</f>
        <v>1169.9999998559999</v>
      </c>
      <c r="L29" s="57"/>
      <c r="M29" s="178">
        <f>SUM(M17:M28)</f>
        <v>1169.9999998559999</v>
      </c>
      <c r="O29" s="57"/>
      <c r="P29" s="178">
        <f>SUM(P17:P28)</f>
        <v>1169.9999998559999</v>
      </c>
      <c r="R29" s="57"/>
      <c r="S29" s="178">
        <f>SUM(S17:S28)</f>
        <v>1169.9999998559999</v>
      </c>
      <c r="V29" s="178">
        <f>SUM(V17:V28)</f>
        <v>1169.9999998559999</v>
      </c>
      <c r="Y29" s="178">
        <f>SUM(Y17:Y28)</f>
        <v>1169.9999998559999</v>
      </c>
      <c r="AB29" s="178">
        <f>SUM(AB17:AB28)</f>
        <v>1169.9999998559999</v>
      </c>
      <c r="AE29" s="178">
        <f>SUM(AE17:AE28)</f>
        <v>1169.9999998559999</v>
      </c>
      <c r="AH29" s="178">
        <f>SUM(AH17:AH28)</f>
        <v>0</v>
      </c>
      <c r="AK29" s="178">
        <f>SUM(AK17:AK28)</f>
        <v>0</v>
      </c>
      <c r="AN29" s="178">
        <f>SUM(AN17:AN28)</f>
        <v>0</v>
      </c>
      <c r="AQ29" s="178">
        <f>SUM(AQ17:AQ28)</f>
        <v>0</v>
      </c>
      <c r="AT29" s="178">
        <f>SUM(AT17:AT28)</f>
        <v>0</v>
      </c>
      <c r="AW29" s="178">
        <f>SUM(AW17:AW28)</f>
        <v>0</v>
      </c>
      <c r="AZ29" s="178">
        <f>SUM(AZ17:AZ28)</f>
        <v>0</v>
      </c>
      <c r="BC29" s="178">
        <f>SUM(BC17:BC28)</f>
        <v>0</v>
      </c>
      <c r="BF29" s="178">
        <f>SUM(BF17:BF28)</f>
        <v>0</v>
      </c>
    </row>
    <row r="30" spans="3:58" s="55" customFormat="1" x14ac:dyDescent="0.2">
      <c r="D30" s="56"/>
      <c r="F30" s="57"/>
      <c r="G30" s="56"/>
      <c r="I30" s="58"/>
      <c r="J30" s="56"/>
      <c r="L30" s="57"/>
      <c r="M30" s="56"/>
      <c r="O30" s="57"/>
      <c r="P30" s="56"/>
      <c r="R30" s="57"/>
      <c r="S30" s="56"/>
      <c r="V30" s="56"/>
      <c r="Y30" s="56"/>
      <c r="AB30" s="56"/>
      <c r="AE30" s="56"/>
    </row>
    <row r="31" spans="3:58" s="55" customFormat="1" hidden="1" x14ac:dyDescent="0.2">
      <c r="C31" s="56">
        <v>0</v>
      </c>
      <c r="D31" s="179">
        <f>IF(D17&gt;='TSGAP % slabs'!$B$8,'TSGAP % slabs'!$D$8,IF(D17&gt;='TSGAP % slabs'!$B$7,'TSGAP % slabs'!$D$7,IF(D17&gt;='TSGAP % slabs'!$B$6,'TSGAP % slabs'!$D$6,IF(D17&gt;='TSGAP % slabs'!$B$5,'TSGAP % slabs'!$D$5,IF(D17&gt;='TSGAP % slabs'!$B$4,'TSGAP % slabs'!$D$4,0)))))</f>
        <v>0.18</v>
      </c>
      <c r="E31" s="99"/>
      <c r="F31" s="56">
        <v>1</v>
      </c>
      <c r="G31" s="179">
        <f>IF(E33&gt;='TSGAP % slabs'!$B$8,'TSGAP % slabs'!$D$8,IF(E33&gt;='TSGAP % slabs'!$B$7,'TSGAP % slabs'!$D$7,IF(E33&gt;='TSGAP % slabs'!$B$6,'TSGAP % slabs'!$D$6,IF(E33&gt;='TSGAP % slabs'!$B$5,'TSGAP % slabs'!$D$5,IF(E33&gt;='TSGAP % slabs'!$B$4,'TSGAP % slabs'!$D$4,0)))))</f>
        <v>0.18</v>
      </c>
      <c r="I31" s="56">
        <v>2</v>
      </c>
      <c r="J31" s="179">
        <f>IF(J17&gt;='TSGAP % slabs'!$B$8,'TSGAP % slabs'!$D$8,IF(J17&gt;='TSGAP % slabs'!$B$7,'TSGAP % slabs'!$D$7,IF(J17&gt;='TSGAP % slabs'!$B$6,'TSGAP % slabs'!$D$6,IF(J17&gt;='TSGAP % slabs'!$B$5,'TSGAP % slabs'!$D$5,IF(J17&gt;='TSGAP % slabs'!$B$4,'TSGAP % slabs'!$D$4,0)))))</f>
        <v>0</v>
      </c>
      <c r="L31" s="56">
        <v>3</v>
      </c>
      <c r="M31" s="179">
        <f>IF(M17&gt;='TSGAP % slabs'!$B$8,'TSGAP % slabs'!$D$8,IF(M17&gt;='TSGAP % slabs'!$B$7,'TSGAP % slabs'!$D$7,IF(M17&gt;='TSGAP % slabs'!$B$6,'TSGAP % slabs'!$D$6,IF(M17&gt;='TSGAP % slabs'!$B$5,'TSGAP % slabs'!$D$5,IF(M17&gt;='TSGAP % slabs'!$B$4,'TSGAP % slabs'!$D$4,0)))))</f>
        <v>0</v>
      </c>
      <c r="O31" s="56">
        <v>4</v>
      </c>
      <c r="P31" s="179">
        <f>IF(P17&gt;='TSGAP % slabs'!$B$8,'TSGAP % slabs'!$D$8,IF(P17&gt;='TSGAP % slabs'!$B$7,'TSGAP % slabs'!$D$7,IF(P17&gt;='TSGAP % slabs'!$B$6,'TSGAP % slabs'!$D$6,IF(P17&gt;='TSGAP % slabs'!$B$5,'TSGAP % slabs'!$D$5,IF(P17&gt;='TSGAP % slabs'!$B$4,'TSGAP % slabs'!$D$4,0)))))</f>
        <v>0</v>
      </c>
      <c r="R31" s="56">
        <v>5</v>
      </c>
      <c r="S31" s="179">
        <f>IF(S17&gt;='TSGAP % slabs'!$B$8,'TSGAP % slabs'!$D$8,IF(S17&gt;='TSGAP % slabs'!$B$7,'TSGAP % slabs'!$D$7,IF(S17&gt;='TSGAP % slabs'!$B$6,'TSGAP % slabs'!$D$6,IF(S17&gt;='TSGAP % slabs'!$B$5,'TSGAP % slabs'!$D$5,IF(S17&gt;='TSGAP % slabs'!$B$4,'TSGAP % slabs'!$D$4,0)))))</f>
        <v>0</v>
      </c>
      <c r="U31" s="56">
        <v>6</v>
      </c>
      <c r="V31" s="179">
        <f>IF(V17&gt;='TSGAP % slabs'!$B$8,'TSGAP % slabs'!$D$8,IF(V17&gt;='TSGAP % slabs'!$B$7,'TSGAP % slabs'!$D$7,IF(V17&gt;='TSGAP % slabs'!$B$6,'TSGAP % slabs'!$D$6,IF(V17&gt;='TSGAP % slabs'!$B$5,'TSGAP % slabs'!$D$5,IF(V17&gt;='TSGAP % slabs'!$B$4,'TSGAP % slabs'!$D$4,0)))))</f>
        <v>0</v>
      </c>
      <c r="X31" s="56">
        <v>7</v>
      </c>
      <c r="Y31" s="179">
        <f>IF(Y17&gt;='TSGAP % slabs'!$B$8,'TSGAP % slabs'!$D$8,IF(Y17&gt;='TSGAP % slabs'!$B$7,'TSGAP % slabs'!$D$7,IF(Y17&gt;='TSGAP % slabs'!$B$6,'TSGAP % slabs'!$D$6,IF(Y17&gt;='TSGAP % slabs'!$B$5,'TSGAP % slabs'!$D$5,IF(Y17&gt;='TSGAP % slabs'!$B$4,'TSGAP % slabs'!$D$4,0)))))</f>
        <v>0</v>
      </c>
      <c r="AA31" s="56">
        <v>8</v>
      </c>
      <c r="AB31" s="179">
        <f>IF(AB17&gt;='TSGAP % slabs'!$B$8,'TSGAP % slabs'!$D$8,IF(AB17&gt;='TSGAP % slabs'!$B$7,'TSGAP % slabs'!$D$7,IF(AB17&gt;='TSGAP % slabs'!$B$6,'TSGAP % slabs'!$D$6,IF(AB17&gt;='TSGAP % slabs'!$B$5,'TSGAP % slabs'!$D$5,IF(AB17&gt;='TSGAP % slabs'!$B$4,'TSGAP % slabs'!$D$4,0)))))</f>
        <v>0</v>
      </c>
      <c r="AD31" s="56">
        <v>9</v>
      </c>
      <c r="AE31" s="179">
        <f>IF(AE17&gt;='TSGAP % slabs'!$B$8,'TSGAP % slabs'!$D$8,IF(AE17&gt;='TSGAP % slabs'!$B$7,'TSGAP % slabs'!$D$7,IF(AE17&gt;='TSGAP % slabs'!$B$6,'TSGAP % slabs'!$D$6,IF(AE17&gt;='TSGAP % slabs'!$B$5,'TSGAP % slabs'!$D$5,IF(AE17&gt;='TSGAP % slabs'!$B$4,'TSGAP % slabs'!$D$4,0)))))</f>
        <v>0</v>
      </c>
      <c r="AG31" s="56">
        <v>10</v>
      </c>
      <c r="AH31" s="179">
        <f>IF(AH17&gt;='TSGAP % slabs'!$B$8,'TSGAP % slabs'!$D$8,IF(AH17&gt;='TSGAP % slabs'!$B$7,'TSGAP % slabs'!$D$7,IF(AH17&gt;='TSGAP % slabs'!$B$6,'TSGAP % slabs'!$D$6,IF(AH17&gt;='TSGAP % slabs'!$B$5,'TSGAP % slabs'!$D$5,IF(AH17&gt;='TSGAP % slabs'!$B$4,'TSGAP % slabs'!$D$4,0)))))</f>
        <v>0</v>
      </c>
      <c r="AJ31" s="180">
        <v>11</v>
      </c>
      <c r="AK31" s="179">
        <f>IF(AK17&gt;='TSGAP % slabs'!$B$8,'TSGAP % slabs'!$D$8,IF(AK17&gt;='TSGAP % slabs'!$B$7,'TSGAP % slabs'!$D$7,IF(AK17&gt;='TSGAP % slabs'!$B$6,'TSGAP % slabs'!$D$6,IF(AK17&gt;='TSGAP % slabs'!$B$5,'TSGAP % slabs'!$D$5,IF(AK17&gt;='TSGAP % slabs'!$B$4,'TSGAP % slabs'!$D$4,0)))))</f>
        <v>0</v>
      </c>
      <c r="AM31" s="55">
        <v>12</v>
      </c>
      <c r="AN31" s="179">
        <f>IF(AN17&gt;='TSGAP % slabs'!$B$8,'TSGAP % slabs'!$D$8,IF(AN17&gt;='TSGAP % slabs'!$B$7,'TSGAP % slabs'!$D$7,IF(AN17&gt;='TSGAP % slabs'!$B$6,'TSGAP % slabs'!$D$6,IF(AN17&gt;='TSGAP % slabs'!$B$5,'TSGAP % slabs'!$D$5,IF(AN17&gt;='TSGAP % slabs'!$B$4,'TSGAP % slabs'!$D$4,0)))))</f>
        <v>0</v>
      </c>
      <c r="AP31" s="55">
        <v>13</v>
      </c>
      <c r="AQ31" s="179">
        <f>IF(AQ17&gt;='TSGAP % slabs'!$B$8,'TSGAP % slabs'!$D$8,IF(AQ17&gt;='TSGAP % slabs'!$B$7,'TSGAP % slabs'!$D$7,IF(AQ17&gt;='TSGAP % slabs'!$B$6,'TSGAP % slabs'!$D$6,IF(AQ17&gt;='TSGAP % slabs'!$B$5,'TSGAP % slabs'!$D$5,IF(AQ17&gt;='TSGAP % slabs'!$B$4,'TSGAP % slabs'!$D$4,0)))))</f>
        <v>0</v>
      </c>
      <c r="AS31" s="55">
        <v>14</v>
      </c>
      <c r="AT31" s="179">
        <f>IF(AT17&gt;='TSGAP % slabs'!$B$8,'TSGAP % slabs'!$D$8,IF(AT17&gt;='TSGAP % slabs'!$B$7,'TSGAP % slabs'!$D$7,IF(AT17&gt;='TSGAP % slabs'!$B$6,'TSGAP % slabs'!$D$6,IF(AT17&gt;='TSGAP % slabs'!$B$5,'TSGAP % slabs'!$D$5,IF(AT17&gt;='TSGAP % slabs'!$B$4,'TSGAP % slabs'!$D$4,0)))))</f>
        <v>0</v>
      </c>
      <c r="AV31" s="55">
        <v>15</v>
      </c>
      <c r="AW31" s="179">
        <f>IF(AW17&gt;='TSGAP % slabs'!$B$8,'TSGAP % slabs'!$D$8,IF(AW17&gt;='TSGAP % slabs'!$B$7,'TSGAP % slabs'!$D$7,IF(AW17&gt;='TSGAP % slabs'!$B$6,'TSGAP % slabs'!$D$6,IF(AW17&gt;='TSGAP % slabs'!$B$5,'TSGAP % slabs'!$D$5,IF(AW17&gt;='TSGAP % slabs'!$B$4,'TSGAP % slabs'!$D$4,0)))))</f>
        <v>0</v>
      </c>
      <c r="AY31" s="55">
        <v>16</v>
      </c>
      <c r="AZ31" s="179">
        <f>IF(AZ17&gt;='TSGAP % slabs'!$B$8,'TSGAP % slabs'!$D$8,IF(AZ17&gt;='TSGAP % slabs'!$B$7,'TSGAP % slabs'!$D$7,IF(AZ17&gt;='TSGAP % slabs'!$B$6,'TSGAP % slabs'!$D$6,IF(AZ17&gt;='TSGAP % slabs'!$B$5,'TSGAP % slabs'!$D$5,IF(AZ17&gt;='TSGAP % slabs'!$B$4,'TSGAP % slabs'!$D$4,0)))))</f>
        <v>0</v>
      </c>
      <c r="BB31" s="55">
        <v>17</v>
      </c>
      <c r="BC31" s="179">
        <f>IF(BC17&gt;='TSGAP % slabs'!$B$8,'TSGAP % slabs'!$D$8,IF(BC17&gt;='TSGAP % slabs'!$B$7,'TSGAP % slabs'!$D$7,IF(BC17&gt;='TSGAP % slabs'!$B$6,'TSGAP % slabs'!$D$6,IF(BC17&gt;='TSGAP % slabs'!$B$5,'TSGAP % slabs'!$D$5,IF(BC17&gt;='TSGAP % slabs'!$B$4,'TSGAP % slabs'!$D$4,0)))))</f>
        <v>0</v>
      </c>
      <c r="BE31" s="55">
        <v>18</v>
      </c>
      <c r="BF31" s="179">
        <f>IF(BF17&gt;='TSGAP % slabs'!$B$8,'TSGAP % slabs'!$D$8,IF(BF17&gt;='TSGAP % slabs'!$B$7,'TSGAP % slabs'!$D$7,IF(BF17&gt;='TSGAP % slabs'!$B$6,'TSGAP % slabs'!$D$6,IF(BF17&gt;='TSGAP % slabs'!$B$5,'TSGAP % slabs'!$D$5,IF(BF17&gt;='TSGAP % slabs'!$B$4,'TSGAP % slabs'!$D$4,0)))))</f>
        <v>0</v>
      </c>
    </row>
    <row r="32" spans="3:58" s="55" customFormat="1" hidden="1" x14ac:dyDescent="0.2">
      <c r="C32" s="57" t="s">
        <v>14</v>
      </c>
      <c r="D32" s="56" t="s">
        <v>128</v>
      </c>
      <c r="F32" s="57" t="s">
        <v>14</v>
      </c>
      <c r="G32" s="56" t="s">
        <v>128</v>
      </c>
      <c r="I32" s="57" t="s">
        <v>14</v>
      </c>
      <c r="J32" s="56" t="s">
        <v>128</v>
      </c>
      <c r="L32" s="57" t="s">
        <v>14</v>
      </c>
      <c r="M32" s="56" t="s">
        <v>128</v>
      </c>
      <c r="O32" s="57" t="s">
        <v>14</v>
      </c>
      <c r="P32" s="56" t="s">
        <v>128</v>
      </c>
      <c r="R32" s="57" t="s">
        <v>14</v>
      </c>
      <c r="S32" s="56" t="s">
        <v>128</v>
      </c>
      <c r="U32" s="57" t="s">
        <v>14</v>
      </c>
      <c r="V32" s="56" t="s">
        <v>128</v>
      </c>
      <c r="X32" s="57" t="s">
        <v>14</v>
      </c>
      <c r="Y32" s="56" t="s">
        <v>128</v>
      </c>
      <c r="AA32" s="57" t="s">
        <v>14</v>
      </c>
      <c r="AB32" s="56" t="s">
        <v>128</v>
      </c>
      <c r="AD32" s="57" t="s">
        <v>14</v>
      </c>
      <c r="AE32" s="56" t="s">
        <v>128</v>
      </c>
      <c r="AG32" s="57" t="s">
        <v>14</v>
      </c>
      <c r="AH32" s="56" t="s">
        <v>128</v>
      </c>
      <c r="AJ32" s="57" t="s">
        <v>14</v>
      </c>
      <c r="AK32" s="56" t="s">
        <v>128</v>
      </c>
      <c r="AM32" s="57" t="s">
        <v>14</v>
      </c>
      <c r="AN32" s="56" t="s">
        <v>128</v>
      </c>
      <c r="AP32" s="57" t="s">
        <v>14</v>
      </c>
      <c r="AQ32" s="56" t="s">
        <v>128</v>
      </c>
      <c r="AS32" s="57" t="s">
        <v>14</v>
      </c>
      <c r="AT32" s="56" t="s">
        <v>128</v>
      </c>
      <c r="AV32" s="57" t="s">
        <v>14</v>
      </c>
      <c r="AW32" s="56" t="s">
        <v>128</v>
      </c>
      <c r="AY32" s="57" t="s">
        <v>14</v>
      </c>
      <c r="AZ32" s="56" t="s">
        <v>128</v>
      </c>
      <c r="BB32" s="57" t="s">
        <v>14</v>
      </c>
      <c r="BC32" s="56" t="s">
        <v>128</v>
      </c>
      <c r="BE32" s="57" t="s">
        <v>14</v>
      </c>
      <c r="BF32" s="56" t="s">
        <v>128</v>
      </c>
    </row>
    <row r="33" spans="3:59" s="55" customFormat="1" hidden="1" x14ac:dyDescent="0.2">
      <c r="C33" s="197">
        <v>1</v>
      </c>
      <c r="D33" s="17">
        <f t="shared" ref="D33:D44" si="18">IF($C$8&gt;=C$31,D17*D$31,0)</f>
        <v>97.499999987999999</v>
      </c>
      <c r="E33" s="198">
        <f>D17+D33</f>
        <v>639.166666588</v>
      </c>
      <c r="F33" s="197">
        <v>1</v>
      </c>
      <c r="G33" s="17">
        <f>IF($C$8&gt;=F$31,(G17+D17)*G$31,0)</f>
        <v>0</v>
      </c>
      <c r="I33" s="197">
        <v>1</v>
      </c>
      <c r="J33" s="17">
        <f t="shared" ref="J33:J44" si="19">IF($C$8&gt;=I$31,J17*J$31,0)</f>
        <v>0</v>
      </c>
      <c r="L33" s="197">
        <v>1</v>
      </c>
      <c r="M33" s="17">
        <f t="shared" ref="M33:M44" si="20">IF($C$8&gt;=L$31,M17*M$31,0)</f>
        <v>0</v>
      </c>
      <c r="O33" s="197">
        <v>1</v>
      </c>
      <c r="P33" s="17">
        <f t="shared" ref="P33:P44" si="21">IF($C$8&gt;=O$31,P17*P$31,0)</f>
        <v>0</v>
      </c>
      <c r="R33" s="197">
        <v>1</v>
      </c>
      <c r="S33" s="17">
        <f t="shared" ref="S33:S44" si="22">IF($C$8&gt;=R$31,S17*S$31,0)</f>
        <v>0</v>
      </c>
      <c r="U33" s="197">
        <v>1</v>
      </c>
      <c r="V33" s="17">
        <f t="shared" ref="V33:V44" si="23">IF($C$8&gt;=U$31,V17*V$31,0)</f>
        <v>0</v>
      </c>
      <c r="X33" s="197">
        <v>1</v>
      </c>
      <c r="Y33" s="17">
        <f t="shared" ref="Y33:Y44" si="24">IF($C$8&gt;=X$31,Y17*Y$31,0)</f>
        <v>0</v>
      </c>
      <c r="AA33" s="197">
        <v>1</v>
      </c>
      <c r="AB33" s="17">
        <f t="shared" ref="AB33:AB44" si="25">IF($C$8&gt;=AA$31,AB17*AB$31,0)</f>
        <v>0</v>
      </c>
      <c r="AD33" s="197">
        <v>1</v>
      </c>
      <c r="AE33" s="17">
        <f t="shared" ref="AE33:AE44" si="26">IF($C$8&gt;=AD$31,AE17*AE$31,0)</f>
        <v>0</v>
      </c>
      <c r="AF33" s="99">
        <f>-D33</f>
        <v>-97.499999987999999</v>
      </c>
      <c r="AG33" s="197">
        <v>1</v>
      </c>
      <c r="AH33" s="17">
        <f t="shared" ref="AH33:AH44" si="27">IF($C$8&gt;=AG$31,AH17*AH$31,0)</f>
        <v>0</v>
      </c>
      <c r="AI33" s="99">
        <f>-G33</f>
        <v>0</v>
      </c>
      <c r="AJ33" s="197">
        <v>1</v>
      </c>
      <c r="AK33" s="17">
        <f t="shared" ref="AK33:AK44" si="28">IF($C$8&gt;=AJ$31,AK17*AK$31,0)</f>
        <v>0</v>
      </c>
      <c r="AL33" s="99">
        <f>-J33</f>
        <v>0</v>
      </c>
      <c r="AM33" s="197">
        <v>1</v>
      </c>
      <c r="AN33" s="17">
        <f t="shared" ref="AN33:AN44" si="29">IF($C$8&gt;=AM$31,AN17*AN$31,0)</f>
        <v>0</v>
      </c>
      <c r="AO33" s="99">
        <f>-M33</f>
        <v>0</v>
      </c>
      <c r="AP33" s="197">
        <v>1</v>
      </c>
      <c r="AQ33" s="17">
        <f t="shared" ref="AQ33:AQ44" si="30">IF($C$8&gt;=AP$31,AQ17*AQ$31,0)</f>
        <v>0</v>
      </c>
      <c r="AR33" s="99">
        <f>-P33</f>
        <v>0</v>
      </c>
      <c r="AS33" s="197">
        <v>1</v>
      </c>
      <c r="AT33" s="17">
        <f t="shared" ref="AT33:AT44" si="31">IF($C$8&gt;=AS$31,AT17*AT$31,0)</f>
        <v>0</v>
      </c>
      <c r="AU33" s="99">
        <f>-S33</f>
        <v>0</v>
      </c>
      <c r="AV33" s="197">
        <v>1</v>
      </c>
      <c r="AW33" s="17">
        <f t="shared" ref="AW33:AW44" si="32">IF($C$8&gt;=AV$31,AW17*AW$31,0)</f>
        <v>0</v>
      </c>
      <c r="AX33" s="99">
        <f>-V33</f>
        <v>0</v>
      </c>
      <c r="AY33" s="197">
        <v>1</v>
      </c>
      <c r="AZ33" s="17">
        <f t="shared" ref="AZ33:AZ44" si="33">IF($C$8&gt;=AY$31,AZ17*AZ$31,0)</f>
        <v>0</v>
      </c>
      <c r="BA33" s="99">
        <f>-Y33</f>
        <v>0</v>
      </c>
      <c r="BB33" s="197">
        <v>1</v>
      </c>
      <c r="BC33" s="17">
        <f t="shared" ref="BC33:BC44" si="34">IF($C$8&gt;=BB$31,BC17*BC$31,0)</f>
        <v>0</v>
      </c>
      <c r="BD33" s="99">
        <f>-AB33</f>
        <v>0</v>
      </c>
      <c r="BE33" s="197">
        <v>1</v>
      </c>
      <c r="BF33" s="17">
        <f t="shared" ref="BF33:BF44" si="35">IF($C$8&gt;=BE$31,BF17*BF$31,0)</f>
        <v>0</v>
      </c>
      <c r="BG33" s="99">
        <f>-AE33</f>
        <v>0</v>
      </c>
    </row>
    <row r="34" spans="3:59" s="55" customFormat="1" hidden="1" x14ac:dyDescent="0.2">
      <c r="C34" s="58">
        <v>2</v>
      </c>
      <c r="D34" s="17">
        <f t="shared" si="18"/>
        <v>97.499999987999999</v>
      </c>
      <c r="E34" s="198">
        <f t="shared" ref="E34:E44" si="36">D18+D34</f>
        <v>639.166666588</v>
      </c>
      <c r="F34" s="58">
        <v>2</v>
      </c>
      <c r="G34" s="17">
        <f t="shared" ref="G34:G44" si="37">IF($C$8&gt;=F$31,(G18+D18)*G$31,0)</f>
        <v>0</v>
      </c>
      <c r="I34" s="58">
        <v>2</v>
      </c>
      <c r="J34" s="17">
        <f t="shared" si="19"/>
        <v>0</v>
      </c>
      <c r="L34" s="58">
        <v>2</v>
      </c>
      <c r="M34" s="17">
        <f t="shared" si="20"/>
        <v>0</v>
      </c>
      <c r="O34" s="58">
        <v>2</v>
      </c>
      <c r="P34" s="17">
        <f t="shared" si="21"/>
        <v>0</v>
      </c>
      <c r="R34" s="58">
        <v>2</v>
      </c>
      <c r="S34" s="17">
        <f t="shared" si="22"/>
        <v>0</v>
      </c>
      <c r="U34" s="58">
        <v>2</v>
      </c>
      <c r="V34" s="17">
        <f t="shared" si="23"/>
        <v>0</v>
      </c>
      <c r="X34" s="58">
        <v>2</v>
      </c>
      <c r="Y34" s="17">
        <f t="shared" si="24"/>
        <v>0</v>
      </c>
      <c r="AA34" s="58">
        <v>2</v>
      </c>
      <c r="AB34" s="17">
        <f t="shared" si="25"/>
        <v>0</v>
      </c>
      <c r="AD34" s="58">
        <v>2</v>
      </c>
      <c r="AE34" s="17">
        <f t="shared" si="26"/>
        <v>0</v>
      </c>
      <c r="AF34" s="99">
        <f t="shared" ref="AF34:AF44" si="38">-D34</f>
        <v>-97.499999987999999</v>
      </c>
      <c r="AG34" s="58">
        <v>2</v>
      </c>
      <c r="AH34" s="17">
        <f t="shared" si="27"/>
        <v>0</v>
      </c>
      <c r="AI34" s="99">
        <f t="shared" ref="AI34:AI44" si="39">-G34</f>
        <v>0</v>
      </c>
      <c r="AJ34" s="58">
        <v>2</v>
      </c>
      <c r="AK34" s="17">
        <f t="shared" si="28"/>
        <v>0</v>
      </c>
      <c r="AL34" s="99">
        <f t="shared" ref="AL34:AL44" si="40">-J34</f>
        <v>0</v>
      </c>
      <c r="AM34" s="58">
        <v>2</v>
      </c>
      <c r="AN34" s="17">
        <f t="shared" si="29"/>
        <v>0</v>
      </c>
      <c r="AO34" s="99">
        <f t="shared" ref="AO34:AO44" si="41">-M34</f>
        <v>0</v>
      </c>
      <c r="AP34" s="58">
        <v>2</v>
      </c>
      <c r="AQ34" s="17">
        <f t="shared" si="30"/>
        <v>0</v>
      </c>
      <c r="AR34" s="99">
        <f t="shared" ref="AR34:AR44" si="42">-P34</f>
        <v>0</v>
      </c>
      <c r="AS34" s="58">
        <v>2</v>
      </c>
      <c r="AT34" s="17">
        <f t="shared" si="31"/>
        <v>0</v>
      </c>
      <c r="AU34" s="99">
        <f t="shared" ref="AU34:AU44" si="43">-S34</f>
        <v>0</v>
      </c>
      <c r="AV34" s="58">
        <v>2</v>
      </c>
      <c r="AW34" s="17">
        <f t="shared" si="32"/>
        <v>0</v>
      </c>
      <c r="AX34" s="99">
        <f t="shared" ref="AX34:AX44" si="44">-V34</f>
        <v>0</v>
      </c>
      <c r="AY34" s="58">
        <v>2</v>
      </c>
      <c r="AZ34" s="17">
        <f t="shared" si="33"/>
        <v>0</v>
      </c>
      <c r="BA34" s="99">
        <f t="shared" ref="BA34:BA44" si="45">-Y34</f>
        <v>0</v>
      </c>
      <c r="BB34" s="58">
        <v>2</v>
      </c>
      <c r="BC34" s="17">
        <f t="shared" si="34"/>
        <v>0</v>
      </c>
      <c r="BD34" s="99">
        <f t="shared" ref="BD34:BD44" si="46">-AB34</f>
        <v>0</v>
      </c>
      <c r="BE34" s="58">
        <v>2</v>
      </c>
      <c r="BF34" s="17">
        <f t="shared" si="35"/>
        <v>0</v>
      </c>
      <c r="BG34" s="99">
        <f t="shared" ref="BG34:BG44" si="47">-AE34</f>
        <v>0</v>
      </c>
    </row>
    <row r="35" spans="3:59" s="55" customFormat="1" hidden="1" x14ac:dyDescent="0.2">
      <c r="C35" s="58">
        <v>3</v>
      </c>
      <c r="D35" s="17">
        <f t="shared" si="18"/>
        <v>97.499999987999999</v>
      </c>
      <c r="E35" s="198">
        <f t="shared" si="36"/>
        <v>639.166666588</v>
      </c>
      <c r="F35" s="58">
        <v>3</v>
      </c>
      <c r="G35" s="17">
        <f t="shared" si="37"/>
        <v>0</v>
      </c>
      <c r="I35" s="58">
        <v>3</v>
      </c>
      <c r="J35" s="17">
        <f t="shared" si="19"/>
        <v>0</v>
      </c>
      <c r="L35" s="58">
        <v>3</v>
      </c>
      <c r="M35" s="17">
        <f t="shared" si="20"/>
        <v>0</v>
      </c>
      <c r="O35" s="58">
        <v>3</v>
      </c>
      <c r="P35" s="17">
        <f t="shared" si="21"/>
        <v>0</v>
      </c>
      <c r="R35" s="58">
        <v>3</v>
      </c>
      <c r="S35" s="17">
        <f t="shared" si="22"/>
        <v>0</v>
      </c>
      <c r="U35" s="58">
        <v>3</v>
      </c>
      <c r="V35" s="17">
        <f t="shared" si="23"/>
        <v>0</v>
      </c>
      <c r="X35" s="58">
        <v>3</v>
      </c>
      <c r="Y35" s="17">
        <f t="shared" si="24"/>
        <v>0</v>
      </c>
      <c r="AA35" s="58">
        <v>3</v>
      </c>
      <c r="AB35" s="17">
        <f t="shared" si="25"/>
        <v>0</v>
      </c>
      <c r="AD35" s="58">
        <v>3</v>
      </c>
      <c r="AE35" s="17">
        <f t="shared" si="26"/>
        <v>0</v>
      </c>
      <c r="AF35" s="99">
        <f t="shared" si="38"/>
        <v>-97.499999987999999</v>
      </c>
      <c r="AG35" s="58">
        <v>3</v>
      </c>
      <c r="AH35" s="17">
        <f t="shared" si="27"/>
        <v>0</v>
      </c>
      <c r="AI35" s="99">
        <f t="shared" si="39"/>
        <v>0</v>
      </c>
      <c r="AJ35" s="58">
        <v>3</v>
      </c>
      <c r="AK35" s="17">
        <f t="shared" si="28"/>
        <v>0</v>
      </c>
      <c r="AL35" s="99">
        <f t="shared" si="40"/>
        <v>0</v>
      </c>
      <c r="AM35" s="58">
        <v>3</v>
      </c>
      <c r="AN35" s="17">
        <f t="shared" si="29"/>
        <v>0</v>
      </c>
      <c r="AO35" s="99">
        <f t="shared" si="41"/>
        <v>0</v>
      </c>
      <c r="AP35" s="58">
        <v>3</v>
      </c>
      <c r="AQ35" s="17">
        <f t="shared" si="30"/>
        <v>0</v>
      </c>
      <c r="AR35" s="99">
        <f t="shared" si="42"/>
        <v>0</v>
      </c>
      <c r="AS35" s="58">
        <v>3</v>
      </c>
      <c r="AT35" s="17">
        <f t="shared" si="31"/>
        <v>0</v>
      </c>
      <c r="AU35" s="99">
        <f t="shared" si="43"/>
        <v>0</v>
      </c>
      <c r="AV35" s="58">
        <v>3</v>
      </c>
      <c r="AW35" s="17">
        <f t="shared" si="32"/>
        <v>0</v>
      </c>
      <c r="AX35" s="99">
        <f t="shared" si="44"/>
        <v>0</v>
      </c>
      <c r="AY35" s="58">
        <v>3</v>
      </c>
      <c r="AZ35" s="17">
        <f t="shared" si="33"/>
        <v>0</v>
      </c>
      <c r="BA35" s="99">
        <f t="shared" si="45"/>
        <v>0</v>
      </c>
      <c r="BB35" s="58">
        <v>3</v>
      </c>
      <c r="BC35" s="17">
        <f t="shared" si="34"/>
        <v>0</v>
      </c>
      <c r="BD35" s="99">
        <f t="shared" si="46"/>
        <v>0</v>
      </c>
      <c r="BE35" s="58">
        <v>3</v>
      </c>
      <c r="BF35" s="17">
        <f t="shared" si="35"/>
        <v>0</v>
      </c>
      <c r="BG35" s="99">
        <f t="shared" si="47"/>
        <v>0</v>
      </c>
    </row>
    <row r="36" spans="3:59" s="55" customFormat="1" hidden="1" x14ac:dyDescent="0.2">
      <c r="C36" s="58">
        <v>4</v>
      </c>
      <c r="D36" s="17">
        <f t="shared" si="18"/>
        <v>97.499999987999999</v>
      </c>
      <c r="E36" s="198">
        <f t="shared" si="36"/>
        <v>639.166666588</v>
      </c>
      <c r="F36" s="58">
        <v>4</v>
      </c>
      <c r="G36" s="17">
        <f t="shared" si="37"/>
        <v>0</v>
      </c>
      <c r="I36" s="58">
        <v>4</v>
      </c>
      <c r="J36" s="17">
        <f t="shared" si="19"/>
        <v>0</v>
      </c>
      <c r="L36" s="58">
        <v>4</v>
      </c>
      <c r="M36" s="17">
        <f t="shared" si="20"/>
        <v>0</v>
      </c>
      <c r="O36" s="58">
        <v>4</v>
      </c>
      <c r="P36" s="17">
        <f t="shared" si="21"/>
        <v>0</v>
      </c>
      <c r="R36" s="58">
        <v>4</v>
      </c>
      <c r="S36" s="17">
        <f t="shared" si="22"/>
        <v>0</v>
      </c>
      <c r="U36" s="58">
        <v>4</v>
      </c>
      <c r="V36" s="17">
        <f t="shared" si="23"/>
        <v>0</v>
      </c>
      <c r="X36" s="58">
        <v>4</v>
      </c>
      <c r="Y36" s="17">
        <f t="shared" si="24"/>
        <v>0</v>
      </c>
      <c r="AA36" s="58">
        <v>4</v>
      </c>
      <c r="AB36" s="17">
        <f t="shared" si="25"/>
        <v>0</v>
      </c>
      <c r="AD36" s="58">
        <v>4</v>
      </c>
      <c r="AE36" s="17">
        <f t="shared" si="26"/>
        <v>0</v>
      </c>
      <c r="AF36" s="99">
        <f t="shared" si="38"/>
        <v>-97.499999987999999</v>
      </c>
      <c r="AG36" s="58">
        <v>4</v>
      </c>
      <c r="AH36" s="17">
        <f t="shared" si="27"/>
        <v>0</v>
      </c>
      <c r="AI36" s="99">
        <f t="shared" si="39"/>
        <v>0</v>
      </c>
      <c r="AJ36" s="58">
        <v>4</v>
      </c>
      <c r="AK36" s="17">
        <f t="shared" si="28"/>
        <v>0</v>
      </c>
      <c r="AL36" s="99">
        <f t="shared" si="40"/>
        <v>0</v>
      </c>
      <c r="AM36" s="58">
        <v>4</v>
      </c>
      <c r="AN36" s="17">
        <f t="shared" si="29"/>
        <v>0</v>
      </c>
      <c r="AO36" s="99">
        <f t="shared" si="41"/>
        <v>0</v>
      </c>
      <c r="AP36" s="58">
        <v>4</v>
      </c>
      <c r="AQ36" s="17">
        <f t="shared" si="30"/>
        <v>0</v>
      </c>
      <c r="AR36" s="99">
        <f t="shared" si="42"/>
        <v>0</v>
      </c>
      <c r="AS36" s="58">
        <v>4</v>
      </c>
      <c r="AT36" s="17">
        <f t="shared" si="31"/>
        <v>0</v>
      </c>
      <c r="AU36" s="99">
        <f t="shared" si="43"/>
        <v>0</v>
      </c>
      <c r="AV36" s="58">
        <v>4</v>
      </c>
      <c r="AW36" s="17">
        <f t="shared" si="32"/>
        <v>0</v>
      </c>
      <c r="AX36" s="99">
        <f t="shared" si="44"/>
        <v>0</v>
      </c>
      <c r="AY36" s="58">
        <v>4</v>
      </c>
      <c r="AZ36" s="17">
        <f t="shared" si="33"/>
        <v>0</v>
      </c>
      <c r="BA36" s="99">
        <f t="shared" si="45"/>
        <v>0</v>
      </c>
      <c r="BB36" s="58">
        <v>4</v>
      </c>
      <c r="BC36" s="17">
        <f t="shared" si="34"/>
        <v>0</v>
      </c>
      <c r="BD36" s="99">
        <f t="shared" si="46"/>
        <v>0</v>
      </c>
      <c r="BE36" s="58">
        <v>4</v>
      </c>
      <c r="BF36" s="17">
        <f t="shared" si="35"/>
        <v>0</v>
      </c>
      <c r="BG36" s="99">
        <f t="shared" si="47"/>
        <v>0</v>
      </c>
    </row>
    <row r="37" spans="3:59" s="55" customFormat="1" hidden="1" x14ac:dyDescent="0.2">
      <c r="C37" s="58">
        <v>5</v>
      </c>
      <c r="D37" s="17">
        <f t="shared" si="18"/>
        <v>97.499999987999999</v>
      </c>
      <c r="E37" s="198">
        <f t="shared" si="36"/>
        <v>639.166666588</v>
      </c>
      <c r="F37" s="58">
        <v>5</v>
      </c>
      <c r="G37" s="17">
        <f t="shared" si="37"/>
        <v>0</v>
      </c>
      <c r="I37" s="58">
        <v>5</v>
      </c>
      <c r="J37" s="17">
        <f t="shared" si="19"/>
        <v>0</v>
      </c>
      <c r="L37" s="58">
        <v>5</v>
      </c>
      <c r="M37" s="17">
        <f t="shared" si="20"/>
        <v>0</v>
      </c>
      <c r="O37" s="58">
        <v>5</v>
      </c>
      <c r="P37" s="17">
        <f t="shared" si="21"/>
        <v>0</v>
      </c>
      <c r="R37" s="58">
        <v>5</v>
      </c>
      <c r="S37" s="17">
        <f t="shared" si="22"/>
        <v>0</v>
      </c>
      <c r="U37" s="58">
        <v>5</v>
      </c>
      <c r="V37" s="17">
        <f t="shared" si="23"/>
        <v>0</v>
      </c>
      <c r="X37" s="58">
        <v>5</v>
      </c>
      <c r="Y37" s="17">
        <f t="shared" si="24"/>
        <v>0</v>
      </c>
      <c r="AA37" s="58">
        <v>5</v>
      </c>
      <c r="AB37" s="17">
        <f t="shared" si="25"/>
        <v>0</v>
      </c>
      <c r="AD37" s="58">
        <v>5</v>
      </c>
      <c r="AE37" s="17">
        <f t="shared" si="26"/>
        <v>0</v>
      </c>
      <c r="AF37" s="99">
        <f t="shared" si="38"/>
        <v>-97.499999987999999</v>
      </c>
      <c r="AG37" s="58">
        <v>5</v>
      </c>
      <c r="AH37" s="17">
        <f t="shared" si="27"/>
        <v>0</v>
      </c>
      <c r="AI37" s="99">
        <f t="shared" si="39"/>
        <v>0</v>
      </c>
      <c r="AJ37" s="58">
        <v>5</v>
      </c>
      <c r="AK37" s="17">
        <f t="shared" si="28"/>
        <v>0</v>
      </c>
      <c r="AL37" s="99">
        <f t="shared" si="40"/>
        <v>0</v>
      </c>
      <c r="AM37" s="58">
        <v>5</v>
      </c>
      <c r="AN37" s="17">
        <f t="shared" si="29"/>
        <v>0</v>
      </c>
      <c r="AO37" s="99">
        <f t="shared" si="41"/>
        <v>0</v>
      </c>
      <c r="AP37" s="58">
        <v>5</v>
      </c>
      <c r="AQ37" s="17">
        <f t="shared" si="30"/>
        <v>0</v>
      </c>
      <c r="AR37" s="99">
        <f t="shared" si="42"/>
        <v>0</v>
      </c>
      <c r="AS37" s="58">
        <v>5</v>
      </c>
      <c r="AT37" s="17">
        <f t="shared" si="31"/>
        <v>0</v>
      </c>
      <c r="AU37" s="99">
        <f t="shared" si="43"/>
        <v>0</v>
      </c>
      <c r="AV37" s="58">
        <v>5</v>
      </c>
      <c r="AW37" s="17">
        <f t="shared" si="32"/>
        <v>0</v>
      </c>
      <c r="AX37" s="99">
        <f t="shared" si="44"/>
        <v>0</v>
      </c>
      <c r="AY37" s="58">
        <v>5</v>
      </c>
      <c r="AZ37" s="17">
        <f t="shared" si="33"/>
        <v>0</v>
      </c>
      <c r="BA37" s="99">
        <f t="shared" si="45"/>
        <v>0</v>
      </c>
      <c r="BB37" s="58">
        <v>5</v>
      </c>
      <c r="BC37" s="17">
        <f t="shared" si="34"/>
        <v>0</v>
      </c>
      <c r="BD37" s="99">
        <f t="shared" si="46"/>
        <v>0</v>
      </c>
      <c r="BE37" s="58">
        <v>5</v>
      </c>
      <c r="BF37" s="17">
        <f t="shared" si="35"/>
        <v>0</v>
      </c>
      <c r="BG37" s="99">
        <f t="shared" si="47"/>
        <v>0</v>
      </c>
    </row>
    <row r="38" spans="3:59" s="55" customFormat="1" hidden="1" x14ac:dyDescent="0.2">
      <c r="C38" s="58">
        <v>6</v>
      </c>
      <c r="D38" s="17">
        <f t="shared" si="18"/>
        <v>97.499999987999999</v>
      </c>
      <c r="E38" s="198">
        <f t="shared" si="36"/>
        <v>639.166666588</v>
      </c>
      <c r="F38" s="58">
        <v>6</v>
      </c>
      <c r="G38" s="17">
        <f t="shared" si="37"/>
        <v>0</v>
      </c>
      <c r="I38" s="58">
        <v>6</v>
      </c>
      <c r="J38" s="17">
        <f t="shared" si="19"/>
        <v>0</v>
      </c>
      <c r="L38" s="58">
        <v>6</v>
      </c>
      <c r="M38" s="17">
        <f t="shared" si="20"/>
        <v>0</v>
      </c>
      <c r="O38" s="58">
        <v>6</v>
      </c>
      <c r="P38" s="17">
        <f t="shared" si="21"/>
        <v>0</v>
      </c>
      <c r="R38" s="58">
        <v>6</v>
      </c>
      <c r="S38" s="17">
        <f t="shared" si="22"/>
        <v>0</v>
      </c>
      <c r="U38" s="58">
        <v>6</v>
      </c>
      <c r="V38" s="17">
        <f t="shared" si="23"/>
        <v>0</v>
      </c>
      <c r="X38" s="58">
        <v>6</v>
      </c>
      <c r="Y38" s="17">
        <f t="shared" si="24"/>
        <v>0</v>
      </c>
      <c r="AA38" s="58">
        <v>6</v>
      </c>
      <c r="AB38" s="17">
        <f t="shared" si="25"/>
        <v>0</v>
      </c>
      <c r="AD38" s="58">
        <v>6</v>
      </c>
      <c r="AE38" s="17">
        <f t="shared" si="26"/>
        <v>0</v>
      </c>
      <c r="AF38" s="99">
        <f t="shared" si="38"/>
        <v>-97.499999987999999</v>
      </c>
      <c r="AG38" s="58">
        <v>6</v>
      </c>
      <c r="AH38" s="17">
        <f t="shared" si="27"/>
        <v>0</v>
      </c>
      <c r="AI38" s="99">
        <f t="shared" si="39"/>
        <v>0</v>
      </c>
      <c r="AJ38" s="58">
        <v>6</v>
      </c>
      <c r="AK38" s="17">
        <f t="shared" si="28"/>
        <v>0</v>
      </c>
      <c r="AL38" s="99">
        <f t="shared" si="40"/>
        <v>0</v>
      </c>
      <c r="AM38" s="58">
        <v>6</v>
      </c>
      <c r="AN38" s="17">
        <f t="shared" si="29"/>
        <v>0</v>
      </c>
      <c r="AO38" s="99">
        <f t="shared" si="41"/>
        <v>0</v>
      </c>
      <c r="AP38" s="58">
        <v>6</v>
      </c>
      <c r="AQ38" s="17">
        <f t="shared" si="30"/>
        <v>0</v>
      </c>
      <c r="AR38" s="99">
        <f t="shared" si="42"/>
        <v>0</v>
      </c>
      <c r="AS38" s="58">
        <v>6</v>
      </c>
      <c r="AT38" s="17">
        <f t="shared" si="31"/>
        <v>0</v>
      </c>
      <c r="AU38" s="99">
        <f t="shared" si="43"/>
        <v>0</v>
      </c>
      <c r="AV38" s="58">
        <v>6</v>
      </c>
      <c r="AW38" s="17">
        <f t="shared" si="32"/>
        <v>0</v>
      </c>
      <c r="AX38" s="99">
        <f t="shared" si="44"/>
        <v>0</v>
      </c>
      <c r="AY38" s="58">
        <v>6</v>
      </c>
      <c r="AZ38" s="17">
        <f t="shared" si="33"/>
        <v>0</v>
      </c>
      <c r="BA38" s="99">
        <f t="shared" si="45"/>
        <v>0</v>
      </c>
      <c r="BB38" s="58">
        <v>6</v>
      </c>
      <c r="BC38" s="17">
        <f t="shared" si="34"/>
        <v>0</v>
      </c>
      <c r="BD38" s="99">
        <f t="shared" si="46"/>
        <v>0</v>
      </c>
      <c r="BE38" s="58">
        <v>6</v>
      </c>
      <c r="BF38" s="17">
        <f t="shared" si="35"/>
        <v>0</v>
      </c>
      <c r="BG38" s="99">
        <f t="shared" si="47"/>
        <v>0</v>
      </c>
    </row>
    <row r="39" spans="3:59" s="55" customFormat="1" hidden="1" x14ac:dyDescent="0.2">
      <c r="C39" s="58">
        <v>7</v>
      </c>
      <c r="D39" s="17">
        <f t="shared" si="18"/>
        <v>97.499999987999999</v>
      </c>
      <c r="E39" s="198">
        <f t="shared" si="36"/>
        <v>639.166666588</v>
      </c>
      <c r="F39" s="58">
        <v>7</v>
      </c>
      <c r="G39" s="17">
        <f t="shared" si="37"/>
        <v>0</v>
      </c>
      <c r="I39" s="58">
        <v>7</v>
      </c>
      <c r="J39" s="17">
        <f t="shared" si="19"/>
        <v>0</v>
      </c>
      <c r="L39" s="58">
        <v>7</v>
      </c>
      <c r="M39" s="17">
        <f t="shared" si="20"/>
        <v>0</v>
      </c>
      <c r="O39" s="58">
        <v>7</v>
      </c>
      <c r="P39" s="17">
        <f t="shared" si="21"/>
        <v>0</v>
      </c>
      <c r="R39" s="58">
        <v>7</v>
      </c>
      <c r="S39" s="17">
        <f t="shared" si="22"/>
        <v>0</v>
      </c>
      <c r="U39" s="58">
        <v>7</v>
      </c>
      <c r="V39" s="17">
        <f t="shared" si="23"/>
        <v>0</v>
      </c>
      <c r="X39" s="58">
        <v>7</v>
      </c>
      <c r="Y39" s="17">
        <f t="shared" si="24"/>
        <v>0</v>
      </c>
      <c r="AA39" s="58">
        <v>7</v>
      </c>
      <c r="AB39" s="17">
        <f t="shared" si="25"/>
        <v>0</v>
      </c>
      <c r="AD39" s="58">
        <v>7</v>
      </c>
      <c r="AE39" s="17">
        <f t="shared" si="26"/>
        <v>0</v>
      </c>
      <c r="AF39" s="99">
        <f t="shared" si="38"/>
        <v>-97.499999987999999</v>
      </c>
      <c r="AG39" s="58">
        <v>7</v>
      </c>
      <c r="AH39" s="17">
        <f t="shared" si="27"/>
        <v>0</v>
      </c>
      <c r="AI39" s="99">
        <f t="shared" si="39"/>
        <v>0</v>
      </c>
      <c r="AJ39" s="58">
        <v>7</v>
      </c>
      <c r="AK39" s="17">
        <f t="shared" si="28"/>
        <v>0</v>
      </c>
      <c r="AL39" s="99">
        <f t="shared" si="40"/>
        <v>0</v>
      </c>
      <c r="AM39" s="58">
        <v>7</v>
      </c>
      <c r="AN39" s="17">
        <f t="shared" si="29"/>
        <v>0</v>
      </c>
      <c r="AO39" s="99">
        <f t="shared" si="41"/>
        <v>0</v>
      </c>
      <c r="AP39" s="58">
        <v>7</v>
      </c>
      <c r="AQ39" s="17">
        <f t="shared" si="30"/>
        <v>0</v>
      </c>
      <c r="AR39" s="99">
        <f t="shared" si="42"/>
        <v>0</v>
      </c>
      <c r="AS39" s="58">
        <v>7</v>
      </c>
      <c r="AT39" s="17">
        <f t="shared" si="31"/>
        <v>0</v>
      </c>
      <c r="AU39" s="99">
        <f t="shared" si="43"/>
        <v>0</v>
      </c>
      <c r="AV39" s="58">
        <v>7</v>
      </c>
      <c r="AW39" s="17">
        <f t="shared" si="32"/>
        <v>0</v>
      </c>
      <c r="AX39" s="99">
        <f t="shared" si="44"/>
        <v>0</v>
      </c>
      <c r="AY39" s="58">
        <v>7</v>
      </c>
      <c r="AZ39" s="17">
        <f t="shared" si="33"/>
        <v>0</v>
      </c>
      <c r="BA39" s="99">
        <f t="shared" si="45"/>
        <v>0</v>
      </c>
      <c r="BB39" s="58">
        <v>7</v>
      </c>
      <c r="BC39" s="17">
        <f t="shared" si="34"/>
        <v>0</v>
      </c>
      <c r="BD39" s="99">
        <f t="shared" si="46"/>
        <v>0</v>
      </c>
      <c r="BE39" s="58">
        <v>7</v>
      </c>
      <c r="BF39" s="17">
        <f t="shared" si="35"/>
        <v>0</v>
      </c>
      <c r="BG39" s="99">
        <f t="shared" si="47"/>
        <v>0</v>
      </c>
    </row>
    <row r="40" spans="3:59" s="55" customFormat="1" hidden="1" x14ac:dyDescent="0.2">
      <c r="C40" s="58">
        <v>8</v>
      </c>
      <c r="D40" s="17">
        <f t="shared" si="18"/>
        <v>97.499999987999999</v>
      </c>
      <c r="E40" s="198">
        <f t="shared" si="36"/>
        <v>639.166666588</v>
      </c>
      <c r="F40" s="58">
        <v>8</v>
      </c>
      <c r="G40" s="17">
        <f t="shared" si="37"/>
        <v>0</v>
      </c>
      <c r="I40" s="58">
        <v>8</v>
      </c>
      <c r="J40" s="17">
        <f t="shared" si="19"/>
        <v>0</v>
      </c>
      <c r="L40" s="58">
        <v>8</v>
      </c>
      <c r="M40" s="17">
        <f t="shared" si="20"/>
        <v>0</v>
      </c>
      <c r="O40" s="58">
        <v>8</v>
      </c>
      <c r="P40" s="17">
        <f t="shared" si="21"/>
        <v>0</v>
      </c>
      <c r="R40" s="58">
        <v>8</v>
      </c>
      <c r="S40" s="17">
        <f t="shared" si="22"/>
        <v>0</v>
      </c>
      <c r="U40" s="58">
        <v>8</v>
      </c>
      <c r="V40" s="17">
        <f t="shared" si="23"/>
        <v>0</v>
      </c>
      <c r="X40" s="58">
        <v>8</v>
      </c>
      <c r="Y40" s="17">
        <f t="shared" si="24"/>
        <v>0</v>
      </c>
      <c r="AA40" s="58">
        <v>8</v>
      </c>
      <c r="AB40" s="17">
        <f t="shared" si="25"/>
        <v>0</v>
      </c>
      <c r="AD40" s="58">
        <v>8</v>
      </c>
      <c r="AE40" s="17">
        <f t="shared" si="26"/>
        <v>0</v>
      </c>
      <c r="AF40" s="99">
        <f t="shared" si="38"/>
        <v>-97.499999987999999</v>
      </c>
      <c r="AG40" s="58">
        <v>8</v>
      </c>
      <c r="AH40" s="17">
        <f t="shared" si="27"/>
        <v>0</v>
      </c>
      <c r="AI40" s="99">
        <f t="shared" si="39"/>
        <v>0</v>
      </c>
      <c r="AJ40" s="58">
        <v>8</v>
      </c>
      <c r="AK40" s="17">
        <f t="shared" si="28"/>
        <v>0</v>
      </c>
      <c r="AL40" s="99">
        <f t="shared" si="40"/>
        <v>0</v>
      </c>
      <c r="AM40" s="58">
        <v>8</v>
      </c>
      <c r="AN40" s="17">
        <f t="shared" si="29"/>
        <v>0</v>
      </c>
      <c r="AO40" s="99">
        <f t="shared" si="41"/>
        <v>0</v>
      </c>
      <c r="AP40" s="58">
        <v>8</v>
      </c>
      <c r="AQ40" s="17">
        <f t="shared" si="30"/>
        <v>0</v>
      </c>
      <c r="AR40" s="99">
        <f t="shared" si="42"/>
        <v>0</v>
      </c>
      <c r="AS40" s="58">
        <v>8</v>
      </c>
      <c r="AT40" s="17">
        <f t="shared" si="31"/>
        <v>0</v>
      </c>
      <c r="AU40" s="99">
        <f t="shared" si="43"/>
        <v>0</v>
      </c>
      <c r="AV40" s="58">
        <v>8</v>
      </c>
      <c r="AW40" s="17">
        <f t="shared" si="32"/>
        <v>0</v>
      </c>
      <c r="AX40" s="99">
        <f t="shared" si="44"/>
        <v>0</v>
      </c>
      <c r="AY40" s="58">
        <v>8</v>
      </c>
      <c r="AZ40" s="17">
        <f t="shared" si="33"/>
        <v>0</v>
      </c>
      <c r="BA40" s="99">
        <f t="shared" si="45"/>
        <v>0</v>
      </c>
      <c r="BB40" s="58">
        <v>8</v>
      </c>
      <c r="BC40" s="17">
        <f t="shared" si="34"/>
        <v>0</v>
      </c>
      <c r="BD40" s="99">
        <f t="shared" si="46"/>
        <v>0</v>
      </c>
      <c r="BE40" s="58">
        <v>8</v>
      </c>
      <c r="BF40" s="17">
        <f t="shared" si="35"/>
        <v>0</v>
      </c>
      <c r="BG40" s="99">
        <f t="shared" si="47"/>
        <v>0</v>
      </c>
    </row>
    <row r="41" spans="3:59" s="55" customFormat="1" hidden="1" x14ac:dyDescent="0.2">
      <c r="C41" s="58">
        <v>9</v>
      </c>
      <c r="D41" s="17">
        <f t="shared" si="18"/>
        <v>97.499999987999999</v>
      </c>
      <c r="E41" s="198">
        <f t="shared" si="36"/>
        <v>639.166666588</v>
      </c>
      <c r="F41" s="58">
        <v>9</v>
      </c>
      <c r="G41" s="17">
        <f t="shared" si="37"/>
        <v>0</v>
      </c>
      <c r="I41" s="58">
        <v>9</v>
      </c>
      <c r="J41" s="17">
        <f t="shared" si="19"/>
        <v>0</v>
      </c>
      <c r="L41" s="58">
        <v>9</v>
      </c>
      <c r="M41" s="17">
        <f t="shared" si="20"/>
        <v>0</v>
      </c>
      <c r="O41" s="58">
        <v>9</v>
      </c>
      <c r="P41" s="17">
        <f t="shared" si="21"/>
        <v>0</v>
      </c>
      <c r="R41" s="58">
        <v>9</v>
      </c>
      <c r="S41" s="17">
        <f t="shared" si="22"/>
        <v>0</v>
      </c>
      <c r="U41" s="58">
        <v>9</v>
      </c>
      <c r="V41" s="17">
        <f t="shared" si="23"/>
        <v>0</v>
      </c>
      <c r="X41" s="58">
        <v>9</v>
      </c>
      <c r="Y41" s="17">
        <f t="shared" si="24"/>
        <v>0</v>
      </c>
      <c r="AA41" s="58">
        <v>9</v>
      </c>
      <c r="AB41" s="17">
        <f t="shared" si="25"/>
        <v>0</v>
      </c>
      <c r="AD41" s="58">
        <v>9</v>
      </c>
      <c r="AE41" s="17">
        <f t="shared" si="26"/>
        <v>0</v>
      </c>
      <c r="AF41" s="99">
        <f t="shared" si="38"/>
        <v>-97.499999987999999</v>
      </c>
      <c r="AG41" s="58">
        <v>9</v>
      </c>
      <c r="AH41" s="17">
        <f t="shared" si="27"/>
        <v>0</v>
      </c>
      <c r="AI41" s="99">
        <f t="shared" si="39"/>
        <v>0</v>
      </c>
      <c r="AJ41" s="58">
        <v>9</v>
      </c>
      <c r="AK41" s="17">
        <f t="shared" si="28"/>
        <v>0</v>
      </c>
      <c r="AL41" s="99">
        <f t="shared" si="40"/>
        <v>0</v>
      </c>
      <c r="AM41" s="58">
        <v>9</v>
      </c>
      <c r="AN41" s="17">
        <f t="shared" si="29"/>
        <v>0</v>
      </c>
      <c r="AO41" s="99">
        <f t="shared" si="41"/>
        <v>0</v>
      </c>
      <c r="AP41" s="58">
        <v>9</v>
      </c>
      <c r="AQ41" s="17">
        <f t="shared" si="30"/>
        <v>0</v>
      </c>
      <c r="AR41" s="99">
        <f t="shared" si="42"/>
        <v>0</v>
      </c>
      <c r="AS41" s="58">
        <v>9</v>
      </c>
      <c r="AT41" s="17">
        <f t="shared" si="31"/>
        <v>0</v>
      </c>
      <c r="AU41" s="99">
        <f t="shared" si="43"/>
        <v>0</v>
      </c>
      <c r="AV41" s="58">
        <v>9</v>
      </c>
      <c r="AW41" s="17">
        <f t="shared" si="32"/>
        <v>0</v>
      </c>
      <c r="AX41" s="99">
        <f t="shared" si="44"/>
        <v>0</v>
      </c>
      <c r="AY41" s="58">
        <v>9</v>
      </c>
      <c r="AZ41" s="17">
        <f t="shared" si="33"/>
        <v>0</v>
      </c>
      <c r="BA41" s="99">
        <f t="shared" si="45"/>
        <v>0</v>
      </c>
      <c r="BB41" s="58">
        <v>9</v>
      </c>
      <c r="BC41" s="17">
        <f t="shared" si="34"/>
        <v>0</v>
      </c>
      <c r="BD41" s="99">
        <f t="shared" si="46"/>
        <v>0</v>
      </c>
      <c r="BE41" s="58">
        <v>9</v>
      </c>
      <c r="BF41" s="17">
        <f t="shared" si="35"/>
        <v>0</v>
      </c>
      <c r="BG41" s="99">
        <f t="shared" si="47"/>
        <v>0</v>
      </c>
    </row>
    <row r="42" spans="3:59" s="55" customFormat="1" hidden="1" x14ac:dyDescent="0.2">
      <c r="C42" s="58">
        <v>10</v>
      </c>
      <c r="D42" s="17">
        <f t="shared" si="18"/>
        <v>97.499999987999999</v>
      </c>
      <c r="E42" s="198">
        <f t="shared" si="36"/>
        <v>639.166666588</v>
      </c>
      <c r="F42" s="58">
        <v>10</v>
      </c>
      <c r="G42" s="17">
        <f t="shared" si="37"/>
        <v>0</v>
      </c>
      <c r="I42" s="58">
        <v>10</v>
      </c>
      <c r="J42" s="17">
        <f t="shared" si="19"/>
        <v>0</v>
      </c>
      <c r="L42" s="58">
        <v>10</v>
      </c>
      <c r="M42" s="17">
        <f t="shared" si="20"/>
        <v>0</v>
      </c>
      <c r="O42" s="58">
        <v>10</v>
      </c>
      <c r="P42" s="17">
        <f t="shared" si="21"/>
        <v>0</v>
      </c>
      <c r="R42" s="58">
        <v>10</v>
      </c>
      <c r="S42" s="17">
        <f t="shared" si="22"/>
        <v>0</v>
      </c>
      <c r="U42" s="58">
        <v>10</v>
      </c>
      <c r="V42" s="17">
        <f t="shared" si="23"/>
        <v>0</v>
      </c>
      <c r="X42" s="58">
        <v>10</v>
      </c>
      <c r="Y42" s="17">
        <f t="shared" si="24"/>
        <v>0</v>
      </c>
      <c r="AA42" s="58">
        <v>10</v>
      </c>
      <c r="AB42" s="17">
        <f t="shared" si="25"/>
        <v>0</v>
      </c>
      <c r="AD42" s="58">
        <v>10</v>
      </c>
      <c r="AE42" s="17">
        <f t="shared" si="26"/>
        <v>0</v>
      </c>
      <c r="AF42" s="99">
        <f t="shared" si="38"/>
        <v>-97.499999987999999</v>
      </c>
      <c r="AG42" s="58">
        <v>10</v>
      </c>
      <c r="AH42" s="17">
        <f t="shared" si="27"/>
        <v>0</v>
      </c>
      <c r="AI42" s="99">
        <f t="shared" si="39"/>
        <v>0</v>
      </c>
      <c r="AJ42" s="58">
        <v>10</v>
      </c>
      <c r="AK42" s="17">
        <f t="shared" si="28"/>
        <v>0</v>
      </c>
      <c r="AL42" s="99">
        <f t="shared" si="40"/>
        <v>0</v>
      </c>
      <c r="AM42" s="58">
        <v>10</v>
      </c>
      <c r="AN42" s="17">
        <f t="shared" si="29"/>
        <v>0</v>
      </c>
      <c r="AO42" s="99">
        <f t="shared" si="41"/>
        <v>0</v>
      </c>
      <c r="AP42" s="58">
        <v>10</v>
      </c>
      <c r="AQ42" s="17">
        <f t="shared" si="30"/>
        <v>0</v>
      </c>
      <c r="AR42" s="99">
        <f t="shared" si="42"/>
        <v>0</v>
      </c>
      <c r="AS42" s="58">
        <v>10</v>
      </c>
      <c r="AT42" s="17">
        <f t="shared" si="31"/>
        <v>0</v>
      </c>
      <c r="AU42" s="99">
        <f t="shared" si="43"/>
        <v>0</v>
      </c>
      <c r="AV42" s="58">
        <v>10</v>
      </c>
      <c r="AW42" s="17">
        <f t="shared" si="32"/>
        <v>0</v>
      </c>
      <c r="AX42" s="99">
        <f t="shared" si="44"/>
        <v>0</v>
      </c>
      <c r="AY42" s="58">
        <v>10</v>
      </c>
      <c r="AZ42" s="17">
        <f t="shared" si="33"/>
        <v>0</v>
      </c>
      <c r="BA42" s="99">
        <f t="shared" si="45"/>
        <v>0</v>
      </c>
      <c r="BB42" s="58">
        <v>10</v>
      </c>
      <c r="BC42" s="17">
        <f t="shared" si="34"/>
        <v>0</v>
      </c>
      <c r="BD42" s="99">
        <f t="shared" si="46"/>
        <v>0</v>
      </c>
      <c r="BE42" s="58">
        <v>10</v>
      </c>
      <c r="BF42" s="17">
        <f t="shared" si="35"/>
        <v>0</v>
      </c>
      <c r="BG42" s="99">
        <f t="shared" si="47"/>
        <v>0</v>
      </c>
    </row>
    <row r="43" spans="3:59" s="55" customFormat="1" hidden="1" x14ac:dyDescent="0.2">
      <c r="C43" s="58">
        <v>11</v>
      </c>
      <c r="D43" s="17">
        <f t="shared" si="18"/>
        <v>97.499999987999999</v>
      </c>
      <c r="E43" s="198">
        <f t="shared" si="36"/>
        <v>639.166666588</v>
      </c>
      <c r="F43" s="58">
        <v>11</v>
      </c>
      <c r="G43" s="17">
        <f t="shared" si="37"/>
        <v>0</v>
      </c>
      <c r="I43" s="58">
        <v>11</v>
      </c>
      <c r="J43" s="17">
        <f t="shared" si="19"/>
        <v>0</v>
      </c>
      <c r="L43" s="58">
        <v>11</v>
      </c>
      <c r="M43" s="17">
        <f t="shared" si="20"/>
        <v>0</v>
      </c>
      <c r="O43" s="58">
        <v>11</v>
      </c>
      <c r="P43" s="17">
        <f t="shared" si="21"/>
        <v>0</v>
      </c>
      <c r="R43" s="58">
        <v>11</v>
      </c>
      <c r="S43" s="17">
        <f t="shared" si="22"/>
        <v>0</v>
      </c>
      <c r="U43" s="58">
        <v>11</v>
      </c>
      <c r="V43" s="17">
        <f t="shared" si="23"/>
        <v>0</v>
      </c>
      <c r="X43" s="58">
        <v>11</v>
      </c>
      <c r="Y43" s="17">
        <f t="shared" si="24"/>
        <v>0</v>
      </c>
      <c r="AA43" s="58">
        <v>11</v>
      </c>
      <c r="AB43" s="17">
        <f t="shared" si="25"/>
        <v>0</v>
      </c>
      <c r="AD43" s="58">
        <v>11</v>
      </c>
      <c r="AE43" s="17">
        <f t="shared" si="26"/>
        <v>0</v>
      </c>
      <c r="AF43" s="99">
        <f t="shared" si="38"/>
        <v>-97.499999987999999</v>
      </c>
      <c r="AG43" s="58">
        <v>11</v>
      </c>
      <c r="AH43" s="17">
        <f t="shared" si="27"/>
        <v>0</v>
      </c>
      <c r="AI43" s="99">
        <f t="shared" si="39"/>
        <v>0</v>
      </c>
      <c r="AJ43" s="58">
        <v>11</v>
      </c>
      <c r="AK43" s="17">
        <f t="shared" si="28"/>
        <v>0</v>
      </c>
      <c r="AL43" s="99">
        <f t="shared" si="40"/>
        <v>0</v>
      </c>
      <c r="AM43" s="58">
        <v>11</v>
      </c>
      <c r="AN43" s="17">
        <f t="shared" si="29"/>
        <v>0</v>
      </c>
      <c r="AO43" s="99">
        <f t="shared" si="41"/>
        <v>0</v>
      </c>
      <c r="AP43" s="58">
        <v>11</v>
      </c>
      <c r="AQ43" s="17">
        <f t="shared" si="30"/>
        <v>0</v>
      </c>
      <c r="AR43" s="99">
        <f t="shared" si="42"/>
        <v>0</v>
      </c>
      <c r="AS43" s="58">
        <v>11</v>
      </c>
      <c r="AT43" s="17">
        <f t="shared" si="31"/>
        <v>0</v>
      </c>
      <c r="AU43" s="99">
        <f t="shared" si="43"/>
        <v>0</v>
      </c>
      <c r="AV43" s="58">
        <v>11</v>
      </c>
      <c r="AW43" s="17">
        <f t="shared" si="32"/>
        <v>0</v>
      </c>
      <c r="AX43" s="99">
        <f t="shared" si="44"/>
        <v>0</v>
      </c>
      <c r="AY43" s="58">
        <v>11</v>
      </c>
      <c r="AZ43" s="17">
        <f t="shared" si="33"/>
        <v>0</v>
      </c>
      <c r="BA43" s="99">
        <f t="shared" si="45"/>
        <v>0</v>
      </c>
      <c r="BB43" s="58">
        <v>11</v>
      </c>
      <c r="BC43" s="17">
        <f t="shared" si="34"/>
        <v>0</v>
      </c>
      <c r="BD43" s="99">
        <f t="shared" si="46"/>
        <v>0</v>
      </c>
      <c r="BE43" s="58">
        <v>11</v>
      </c>
      <c r="BF43" s="17">
        <f t="shared" si="35"/>
        <v>0</v>
      </c>
      <c r="BG43" s="99">
        <f t="shared" si="47"/>
        <v>0</v>
      </c>
    </row>
    <row r="44" spans="3:59" s="55" customFormat="1" hidden="1" x14ac:dyDescent="0.2">
      <c r="C44" s="58">
        <v>12</v>
      </c>
      <c r="D44" s="17">
        <f t="shared" si="18"/>
        <v>97.499999987999999</v>
      </c>
      <c r="E44" s="198">
        <f t="shared" si="36"/>
        <v>639.166666588</v>
      </c>
      <c r="F44" s="58">
        <v>12</v>
      </c>
      <c r="G44" s="17">
        <f t="shared" si="37"/>
        <v>0</v>
      </c>
      <c r="I44" s="58">
        <v>12</v>
      </c>
      <c r="J44" s="17">
        <f t="shared" si="19"/>
        <v>0</v>
      </c>
      <c r="L44" s="58">
        <v>12</v>
      </c>
      <c r="M44" s="17">
        <f t="shared" si="20"/>
        <v>0</v>
      </c>
      <c r="O44" s="58">
        <v>12</v>
      </c>
      <c r="P44" s="17">
        <f t="shared" si="21"/>
        <v>0</v>
      </c>
      <c r="R44" s="58">
        <v>12</v>
      </c>
      <c r="S44" s="17">
        <f t="shared" si="22"/>
        <v>0</v>
      </c>
      <c r="U44" s="58">
        <v>12</v>
      </c>
      <c r="V44" s="17">
        <f t="shared" si="23"/>
        <v>0</v>
      </c>
      <c r="X44" s="58">
        <v>12</v>
      </c>
      <c r="Y44" s="17">
        <f t="shared" si="24"/>
        <v>0</v>
      </c>
      <c r="AA44" s="58">
        <v>12</v>
      </c>
      <c r="AB44" s="17">
        <f t="shared" si="25"/>
        <v>0</v>
      </c>
      <c r="AD44" s="58">
        <v>12</v>
      </c>
      <c r="AE44" s="17">
        <f t="shared" si="26"/>
        <v>0</v>
      </c>
      <c r="AF44" s="99">
        <f t="shared" si="38"/>
        <v>-97.499999987999999</v>
      </c>
      <c r="AG44" s="58">
        <v>12</v>
      </c>
      <c r="AH44" s="17">
        <f t="shared" si="27"/>
        <v>0</v>
      </c>
      <c r="AI44" s="99">
        <f t="shared" si="39"/>
        <v>0</v>
      </c>
      <c r="AJ44" s="58">
        <v>12</v>
      </c>
      <c r="AK44" s="17">
        <f t="shared" si="28"/>
        <v>0</v>
      </c>
      <c r="AL44" s="99">
        <f t="shared" si="40"/>
        <v>0</v>
      </c>
      <c r="AM44" s="58">
        <v>12</v>
      </c>
      <c r="AN44" s="17">
        <f t="shared" si="29"/>
        <v>0</v>
      </c>
      <c r="AO44" s="99">
        <f t="shared" si="41"/>
        <v>0</v>
      </c>
      <c r="AP44" s="58">
        <v>12</v>
      </c>
      <c r="AQ44" s="17">
        <f t="shared" si="30"/>
        <v>0</v>
      </c>
      <c r="AR44" s="99">
        <f t="shared" si="42"/>
        <v>0</v>
      </c>
      <c r="AS44" s="58">
        <v>12</v>
      </c>
      <c r="AT44" s="17">
        <f t="shared" si="31"/>
        <v>0</v>
      </c>
      <c r="AU44" s="99">
        <f t="shared" si="43"/>
        <v>0</v>
      </c>
      <c r="AV44" s="58">
        <v>12</v>
      </c>
      <c r="AW44" s="17">
        <f t="shared" si="32"/>
        <v>0</v>
      </c>
      <c r="AX44" s="99">
        <f t="shared" si="44"/>
        <v>0</v>
      </c>
      <c r="AY44" s="58">
        <v>12</v>
      </c>
      <c r="AZ44" s="17">
        <f t="shared" si="33"/>
        <v>0</v>
      </c>
      <c r="BA44" s="99">
        <f t="shared" si="45"/>
        <v>0</v>
      </c>
      <c r="BB44" s="58">
        <v>12</v>
      </c>
      <c r="BC44" s="17">
        <f t="shared" si="34"/>
        <v>0</v>
      </c>
      <c r="BD44" s="99">
        <f t="shared" si="46"/>
        <v>0</v>
      </c>
      <c r="BE44" s="58">
        <v>12</v>
      </c>
      <c r="BF44" s="17">
        <f t="shared" si="35"/>
        <v>0</v>
      </c>
      <c r="BG44" s="99">
        <f t="shared" si="47"/>
        <v>0</v>
      </c>
    </row>
    <row r="45" spans="3:59" s="55" customFormat="1" hidden="1" x14ac:dyDescent="0.2">
      <c r="E45" s="179">
        <f>IF(E31&gt;='TSGAP % slabs'!$B$8,'TSGAP % slabs'!$D$8,IF(E31&gt;='TSGAP % slabs'!$B$7,'TSGAP % slabs'!$D$7,IF(E31&gt;='TSGAP % slabs'!$B$6,'TSGAP % slabs'!$D$6,IF(E31&gt;='TSGAP % slabs'!$B$5,'TSGAP % slabs'!$D$5,IF(E31&gt;='TSGAP % slabs'!$B$4,'TSGAP % slabs'!$D$4,0)))))</f>
        <v>0</v>
      </c>
    </row>
    <row r="46" spans="3:59" s="55" customFormat="1" ht="38.25" hidden="1" x14ac:dyDescent="0.2">
      <c r="C46" s="97" t="s">
        <v>27</v>
      </c>
      <c r="D46" s="98">
        <f>SUM(D17:D28)</f>
        <v>6499.9999992000003</v>
      </c>
      <c r="E46" s="179"/>
      <c r="F46" s="97" t="s">
        <v>28</v>
      </c>
      <c r="G46" s="98">
        <f>G29*9</f>
        <v>10529.999998703999</v>
      </c>
    </row>
    <row r="47" spans="3:59" s="55" customFormat="1" ht="13.5" thickBot="1" x14ac:dyDescent="0.25">
      <c r="E47" s="179"/>
    </row>
    <row r="48" spans="3:59" s="55" customFormat="1" x14ac:dyDescent="0.2">
      <c r="C48" s="154" t="s">
        <v>152</v>
      </c>
      <c r="D48" s="155"/>
      <c r="E48" s="156"/>
      <c r="G48" s="113" t="s">
        <v>147</v>
      </c>
      <c r="H48" s="113"/>
    </row>
    <row r="49" spans="3:8" s="55" customFormat="1" x14ac:dyDescent="0.2">
      <c r="C49" s="157" t="s">
        <v>151</v>
      </c>
      <c r="D49" s="199">
        <f>C3</f>
        <v>100000</v>
      </c>
      <c r="E49" s="200"/>
      <c r="G49" s="113" t="s">
        <v>148</v>
      </c>
      <c r="H49" s="113" t="s">
        <v>149</v>
      </c>
    </row>
    <row r="50" spans="3:8" s="55" customFormat="1" x14ac:dyDescent="0.2">
      <c r="C50" s="157" t="s">
        <v>150</v>
      </c>
      <c r="D50" s="199">
        <f ca="1">SUM(D29:OFFSET(D29,0,(C8*3)))+D49</f>
        <v>106499.99999919999</v>
      </c>
      <c r="E50" s="200"/>
      <c r="G50" s="113">
        <v>1</v>
      </c>
      <c r="H50" s="199">
        <f ca="1">OFFSET(INDEX($C$17:$BG$17,0,MATCH(G50,$C$31:$BG$31,0)),0,1)</f>
        <v>97.499999987999999</v>
      </c>
    </row>
    <row r="51" spans="3:8" s="55" customFormat="1" x14ac:dyDescent="0.2">
      <c r="C51" s="159" t="s">
        <v>153</v>
      </c>
      <c r="D51" s="201"/>
      <c r="E51" s="202"/>
      <c r="G51" s="113">
        <v>2</v>
      </c>
      <c r="H51" s="199">
        <f t="shared" ref="H51:H67" ca="1" si="48">OFFSET(INDEX($C$17:$BG$17,0,MATCH(G51,$C$31:$BG$31,0)),0,1)</f>
        <v>97.499999987999999</v>
      </c>
    </row>
    <row r="52" spans="3:8" s="55" customFormat="1" x14ac:dyDescent="0.2">
      <c r="C52" s="157" t="s">
        <v>144</v>
      </c>
      <c r="D52" s="199">
        <f ca="1">SUM(OFFSET(E29,0,(C6*3)):AF29)</f>
        <v>10529.999998703999</v>
      </c>
      <c r="E52" s="203">
        <f ca="1">D52/$D$49</f>
        <v>0.10529999998704</v>
      </c>
      <c r="G52" s="113">
        <v>3</v>
      </c>
      <c r="H52" s="199">
        <f t="shared" ca="1" si="48"/>
        <v>97.499999987999999</v>
      </c>
    </row>
    <row r="53" spans="3:8" s="55" customFormat="1" x14ac:dyDescent="0.2">
      <c r="C53" s="157" t="s">
        <v>145</v>
      </c>
      <c r="D53" s="199">
        <f>SUM(M14:AE14)</f>
        <v>6499.9999991999994</v>
      </c>
      <c r="E53" s="203">
        <f>D53/$D$49</f>
        <v>6.4999999991999999E-2</v>
      </c>
      <c r="G53" s="113">
        <v>4</v>
      </c>
      <c r="H53" s="199">
        <f t="shared" ca="1" si="48"/>
        <v>97.499999987999999</v>
      </c>
    </row>
    <row r="54" spans="3:8" s="55" customFormat="1" x14ac:dyDescent="0.2">
      <c r="C54" s="157" t="s">
        <v>146</v>
      </c>
      <c r="D54" s="199">
        <f ca="1">D53+D52</f>
        <v>17029.999997904</v>
      </c>
      <c r="E54" s="203">
        <f ca="1">D54/$D$49</f>
        <v>0.17029999997904</v>
      </c>
      <c r="G54" s="113">
        <v>5</v>
      </c>
      <c r="H54" s="199">
        <f t="shared" ca="1" si="48"/>
        <v>97.499999987999999</v>
      </c>
    </row>
    <row r="55" spans="3:8" s="55" customFormat="1" x14ac:dyDescent="0.2">
      <c r="C55" s="159" t="s">
        <v>154</v>
      </c>
      <c r="D55" s="201"/>
      <c r="E55" s="202"/>
      <c r="G55" s="113">
        <v>6</v>
      </c>
      <c r="H55" s="199">
        <f t="shared" ca="1" si="48"/>
        <v>97.499999987999999</v>
      </c>
    </row>
    <row r="56" spans="3:8" s="55" customFormat="1" x14ac:dyDescent="0.2">
      <c r="C56" s="157" t="s">
        <v>155</v>
      </c>
      <c r="D56" s="199">
        <f>SUM(M14:BF14)</f>
        <v>6499.9999991999994</v>
      </c>
      <c r="E56" s="203">
        <f>D56/$D$49</f>
        <v>6.4999999991999999E-2</v>
      </c>
      <c r="G56" s="113">
        <v>7</v>
      </c>
      <c r="H56" s="199">
        <f t="shared" ca="1" si="48"/>
        <v>97.499999987999999</v>
      </c>
    </row>
    <row r="57" spans="3:8" s="55" customFormat="1" x14ac:dyDescent="0.2">
      <c r="C57" s="157" t="s">
        <v>156</v>
      </c>
      <c r="D57" s="199">
        <f ca="1">SUM(OFFSET(G29,0,(C6*3)):BF29)</f>
        <v>10529.999998703999</v>
      </c>
      <c r="E57" s="203">
        <f ca="1">D57/$D$49</f>
        <v>0.10529999998704</v>
      </c>
      <c r="G57" s="113">
        <v>8</v>
      </c>
      <c r="H57" s="199">
        <f t="shared" ca="1" si="48"/>
        <v>97.499999987999999</v>
      </c>
    </row>
    <row r="58" spans="3:8" s="55" customFormat="1" ht="13.5" thickBot="1" x14ac:dyDescent="0.25">
      <c r="C58" s="163" t="s">
        <v>157</v>
      </c>
      <c r="D58" s="204">
        <f ca="1">D57+D56</f>
        <v>17029.999997904</v>
      </c>
      <c r="E58" s="205">
        <f ca="1">D58/$D$49</f>
        <v>0.17029999997904</v>
      </c>
      <c r="G58" s="113">
        <v>9</v>
      </c>
      <c r="H58" s="199">
        <f t="shared" ca="1" si="48"/>
        <v>97.499999987999999</v>
      </c>
    </row>
    <row r="59" spans="3:8" s="55" customFormat="1" x14ac:dyDescent="0.2">
      <c r="G59" s="113">
        <v>10</v>
      </c>
      <c r="H59" s="199">
        <f t="shared" ca="1" si="48"/>
        <v>0</v>
      </c>
    </row>
    <row r="60" spans="3:8" s="55" customFormat="1" x14ac:dyDescent="0.2">
      <c r="G60" s="113">
        <v>11</v>
      </c>
      <c r="H60" s="199">
        <f t="shared" ca="1" si="48"/>
        <v>0</v>
      </c>
    </row>
    <row r="61" spans="3:8" s="55" customFormat="1" x14ac:dyDescent="0.2">
      <c r="G61" s="113">
        <v>12</v>
      </c>
      <c r="H61" s="199">
        <f t="shared" ca="1" si="48"/>
        <v>0</v>
      </c>
    </row>
    <row r="62" spans="3:8" s="55" customFormat="1" x14ac:dyDescent="0.2">
      <c r="G62" s="113">
        <v>13</v>
      </c>
      <c r="H62" s="199">
        <f t="shared" ca="1" si="48"/>
        <v>0</v>
      </c>
    </row>
    <row r="63" spans="3:8" s="55" customFormat="1" x14ac:dyDescent="0.2">
      <c r="G63" s="113">
        <v>14</v>
      </c>
      <c r="H63" s="199">
        <f t="shared" ca="1" si="48"/>
        <v>0</v>
      </c>
    </row>
    <row r="64" spans="3:8" s="55" customFormat="1" x14ac:dyDescent="0.2">
      <c r="G64" s="113">
        <v>15</v>
      </c>
      <c r="H64" s="199">
        <f t="shared" ca="1" si="48"/>
        <v>0</v>
      </c>
    </row>
    <row r="65" spans="3:11" s="55" customFormat="1" x14ac:dyDescent="0.2">
      <c r="G65" s="113">
        <v>16</v>
      </c>
      <c r="H65" s="199">
        <f t="shared" ca="1" si="48"/>
        <v>0</v>
      </c>
    </row>
    <row r="66" spans="3:11" s="55" customFormat="1" x14ac:dyDescent="0.2">
      <c r="G66" s="113">
        <v>17</v>
      </c>
      <c r="H66" s="199">
        <f t="shared" ca="1" si="48"/>
        <v>0</v>
      </c>
    </row>
    <row r="67" spans="3:11" s="55" customFormat="1" x14ac:dyDescent="0.2">
      <c r="G67" s="113">
        <v>18</v>
      </c>
      <c r="H67" s="199">
        <f t="shared" ca="1" si="48"/>
        <v>0</v>
      </c>
    </row>
    <row r="68" spans="3:11" s="55" customFormat="1" x14ac:dyDescent="0.2">
      <c r="E68" s="179"/>
    </row>
    <row r="69" spans="3:11" s="55" customFormat="1" hidden="1" x14ac:dyDescent="0.2">
      <c r="E69" s="179"/>
    </row>
    <row r="70" spans="3:11" s="55" customFormat="1" hidden="1" x14ac:dyDescent="0.2">
      <c r="E70" s="179"/>
    </row>
    <row r="71" spans="3:11" s="55" customFormat="1" hidden="1" x14ac:dyDescent="0.2">
      <c r="E71" s="179"/>
    </row>
    <row r="72" spans="3:11" s="55" customFormat="1" hidden="1" x14ac:dyDescent="0.2">
      <c r="E72" s="179"/>
    </row>
    <row r="73" spans="3:11" s="55" customFormat="1" hidden="1" x14ac:dyDescent="0.2">
      <c r="E73" s="179"/>
    </row>
    <row r="74" spans="3:11" s="55" customFormat="1" hidden="1" x14ac:dyDescent="0.2">
      <c r="E74" s="179"/>
    </row>
    <row r="75" spans="3:11" s="55" customFormat="1" hidden="1" x14ac:dyDescent="0.2">
      <c r="E75" s="179"/>
    </row>
    <row r="76" spans="3:11" s="55" customFormat="1" hidden="1" x14ac:dyDescent="0.2"/>
    <row r="77" spans="3:11" s="55" customFormat="1" hidden="1" x14ac:dyDescent="0.2">
      <c r="C77" s="101" t="s">
        <v>32</v>
      </c>
      <c r="D77" s="101"/>
      <c r="E77" s="101"/>
      <c r="F77" s="101"/>
      <c r="G77" s="101"/>
      <c r="H77" s="101"/>
      <c r="I77" s="101"/>
      <c r="J77" s="101"/>
      <c r="K77" s="35" t="s">
        <v>33</v>
      </c>
    </row>
    <row r="78" spans="3:11" s="55" customFormat="1" hidden="1" x14ac:dyDescent="0.2">
      <c r="C78" s="71" t="s">
        <v>34</v>
      </c>
      <c r="D78" s="71"/>
      <c r="E78" s="102" t="s">
        <v>27</v>
      </c>
      <c r="F78" s="102"/>
      <c r="G78" s="102"/>
      <c r="H78" s="102"/>
      <c r="I78" s="102"/>
      <c r="J78" s="102"/>
      <c r="K78" s="67">
        <f>D29</f>
        <v>6499.9999992000003</v>
      </c>
    </row>
    <row r="79" spans="3:11" s="55" customFormat="1" ht="15" hidden="1" x14ac:dyDescent="0.2">
      <c r="C79" s="71" t="s">
        <v>35</v>
      </c>
      <c r="D79" s="71"/>
      <c r="E79" s="102" t="s">
        <v>140</v>
      </c>
      <c r="F79" s="102"/>
      <c r="G79" s="102"/>
      <c r="H79" s="102"/>
      <c r="I79" s="102"/>
      <c r="J79" s="102"/>
      <c r="K79" s="67">
        <f>E18</f>
        <v>10529.999998703999</v>
      </c>
    </row>
    <row r="80" spans="3:11" s="55" customFormat="1" hidden="1" x14ac:dyDescent="0.2">
      <c r="C80" s="71" t="s">
        <v>37</v>
      </c>
      <c r="D80" s="71"/>
      <c r="E80" s="102" t="s">
        <v>38</v>
      </c>
      <c r="F80" s="102"/>
      <c r="G80" s="102"/>
      <c r="H80" s="102"/>
      <c r="I80" s="102"/>
      <c r="J80" s="102"/>
      <c r="K80" s="67">
        <f>G46</f>
        <v>10529.999998703999</v>
      </c>
    </row>
    <row r="81" spans="3:12" s="55" customFormat="1" ht="13.5" hidden="1" thickBot="1" x14ac:dyDescent="0.25">
      <c r="C81" s="75" t="s">
        <v>39</v>
      </c>
      <c r="D81" s="75"/>
      <c r="E81" s="103" t="s">
        <v>40</v>
      </c>
      <c r="F81" s="103"/>
      <c r="G81" s="103"/>
      <c r="H81" s="103"/>
      <c r="I81" s="103"/>
      <c r="J81" s="103"/>
      <c r="K81" s="104">
        <f>D29</f>
        <v>6499.9999992000003</v>
      </c>
    </row>
    <row r="82" spans="3:12" s="55" customFormat="1" ht="13.5" hidden="1" thickBot="1" x14ac:dyDescent="0.25">
      <c r="C82" s="206" t="s">
        <v>41</v>
      </c>
      <c r="D82" s="207"/>
      <c r="E82" s="207"/>
      <c r="F82" s="207"/>
      <c r="G82" s="207"/>
      <c r="H82" s="207"/>
      <c r="I82" s="207"/>
      <c r="J82" s="207"/>
      <c r="K82" s="208">
        <f>K81+K80</f>
        <v>17029.999997904</v>
      </c>
    </row>
    <row r="83" spans="3:12" s="55" customFormat="1" hidden="1" x14ac:dyDescent="0.2">
      <c r="C83" s="13"/>
      <c r="D83" s="13"/>
      <c r="E83" s="13"/>
      <c r="F83" s="13"/>
      <c r="G83" s="13"/>
      <c r="H83" s="13"/>
      <c r="I83" s="13"/>
      <c r="J83" s="13"/>
      <c r="K83" s="186"/>
      <c r="L83" s="187"/>
    </row>
    <row r="84" spans="3:12" s="55" customFormat="1" hidden="1" x14ac:dyDescent="0.2">
      <c r="C84" s="13"/>
      <c r="D84" s="13"/>
      <c r="E84" s="13"/>
      <c r="F84" s="13"/>
      <c r="G84" s="13"/>
      <c r="H84" s="13"/>
      <c r="I84" s="13"/>
      <c r="J84" s="13"/>
      <c r="K84" s="186"/>
      <c r="L84" s="187"/>
    </row>
    <row r="86" spans="3:12" s="55" customFormat="1" ht="15" customHeight="1" x14ac:dyDescent="0.2">
      <c r="C86" s="105" t="s">
        <v>42</v>
      </c>
      <c r="D86" s="105"/>
      <c r="E86" s="105"/>
      <c r="F86" s="105"/>
      <c r="G86" s="105"/>
      <c r="H86" s="105"/>
      <c r="I86" s="105"/>
      <c r="J86" s="105"/>
    </row>
    <row r="87" spans="3:12" s="55" customFormat="1" ht="15" customHeight="1" x14ac:dyDescent="0.2">
      <c r="C87" s="106" t="s">
        <v>43</v>
      </c>
      <c r="D87" s="106"/>
      <c r="E87" s="106"/>
      <c r="F87" s="106"/>
      <c r="G87" s="106"/>
      <c r="H87" s="106"/>
      <c r="I87" s="106"/>
      <c r="J87" s="106"/>
    </row>
    <row r="88" spans="3:12" s="55" customFormat="1" ht="15" customHeight="1" x14ac:dyDescent="0.2">
      <c r="C88" s="106" t="s">
        <v>44</v>
      </c>
      <c r="D88" s="106"/>
      <c r="E88" s="106"/>
      <c r="F88" s="106"/>
      <c r="G88" s="106"/>
      <c r="H88" s="106"/>
      <c r="I88" s="106"/>
      <c r="J88" s="106"/>
    </row>
    <row r="89" spans="3:12" s="55" customFormat="1" ht="82.5" customHeight="1" x14ac:dyDescent="0.2">
      <c r="C89" s="106" t="s">
        <v>45</v>
      </c>
      <c r="D89" s="106"/>
      <c r="E89" s="106"/>
      <c r="F89" s="106"/>
      <c r="G89" s="106"/>
      <c r="H89" s="106"/>
      <c r="I89" s="106"/>
      <c r="J89" s="106"/>
    </row>
    <row r="90" spans="3:12" s="55" customFormat="1" ht="28.5" customHeight="1" x14ac:dyDescent="0.2">
      <c r="C90" s="106" t="s">
        <v>46</v>
      </c>
      <c r="D90" s="106"/>
      <c r="E90" s="106"/>
      <c r="F90" s="106"/>
      <c r="G90" s="106"/>
      <c r="H90" s="106"/>
      <c r="I90" s="106"/>
      <c r="J90" s="106"/>
    </row>
    <row r="91" spans="3:12" s="55" customFormat="1" ht="28.5" customHeight="1" x14ac:dyDescent="0.2">
      <c r="C91" s="106" t="s">
        <v>47</v>
      </c>
      <c r="D91" s="106"/>
      <c r="E91" s="106"/>
      <c r="F91" s="106"/>
      <c r="G91" s="106"/>
      <c r="H91" s="106"/>
      <c r="I91" s="106"/>
      <c r="J91" s="106"/>
    </row>
    <row r="92" spans="3:12" s="55" customFormat="1" ht="55.5" customHeight="1" x14ac:dyDescent="0.2">
      <c r="C92" s="106" t="s">
        <v>48</v>
      </c>
      <c r="D92" s="106"/>
      <c r="E92" s="106"/>
      <c r="F92" s="106"/>
      <c r="G92" s="106"/>
      <c r="H92" s="106"/>
      <c r="I92" s="106"/>
      <c r="J92" s="106"/>
    </row>
    <row r="93" spans="3:12" s="55" customFormat="1" ht="62.25" customHeight="1" x14ac:dyDescent="0.2">
      <c r="C93" s="106" t="s">
        <v>49</v>
      </c>
      <c r="D93" s="106"/>
      <c r="E93" s="106"/>
      <c r="F93" s="106"/>
      <c r="G93" s="106"/>
      <c r="H93" s="106"/>
      <c r="I93" s="106"/>
      <c r="J93" s="106"/>
    </row>
    <row r="94" spans="3:12" s="55" customFormat="1" ht="15" customHeight="1" x14ac:dyDescent="0.2">
      <c r="C94" s="106" t="s">
        <v>50</v>
      </c>
      <c r="D94" s="106"/>
      <c r="E94" s="106"/>
      <c r="F94" s="106"/>
      <c r="G94" s="106"/>
      <c r="H94" s="106"/>
      <c r="I94" s="106"/>
      <c r="J94" s="106"/>
    </row>
    <row r="95" spans="3:12" s="55" customFormat="1" ht="45.75" customHeight="1" x14ac:dyDescent="0.2">
      <c r="C95" s="106" t="s">
        <v>51</v>
      </c>
      <c r="D95" s="106"/>
      <c r="E95" s="106"/>
      <c r="F95" s="106"/>
      <c r="G95" s="106"/>
      <c r="H95" s="106"/>
      <c r="I95" s="106"/>
      <c r="J95" s="106"/>
    </row>
    <row r="96" spans="3:12" s="55" customFormat="1" ht="28.5" customHeight="1" x14ac:dyDescent="0.2">
      <c r="C96" s="106" t="s">
        <v>52</v>
      </c>
      <c r="D96" s="106"/>
      <c r="E96" s="106"/>
      <c r="F96" s="106"/>
      <c r="G96" s="106"/>
      <c r="H96" s="106"/>
      <c r="I96" s="106"/>
      <c r="J96" s="106"/>
    </row>
    <row r="97" spans="3:10" s="55" customFormat="1" ht="15" customHeight="1" x14ac:dyDescent="0.2">
      <c r="C97" s="106" t="s">
        <v>53</v>
      </c>
      <c r="D97" s="106"/>
      <c r="E97" s="106"/>
      <c r="F97" s="106"/>
      <c r="G97" s="106"/>
      <c r="H97" s="106"/>
      <c r="I97" s="106"/>
      <c r="J97" s="106"/>
    </row>
    <row r="98" spans="3:10" s="55" customFormat="1" ht="55.5" customHeight="1" x14ac:dyDescent="0.2">
      <c r="C98" s="106" t="s">
        <v>54</v>
      </c>
      <c r="D98" s="106"/>
      <c r="E98" s="106"/>
      <c r="F98" s="106"/>
      <c r="G98" s="106"/>
      <c r="H98" s="106"/>
      <c r="I98" s="106"/>
      <c r="J98" s="106"/>
    </row>
    <row r="99" spans="3:10" s="55" customFormat="1" ht="15" customHeight="1" x14ac:dyDescent="0.2">
      <c r="C99" s="106" t="s">
        <v>55</v>
      </c>
      <c r="D99" s="106"/>
      <c r="E99" s="106"/>
      <c r="F99" s="106"/>
      <c r="G99" s="106"/>
      <c r="H99" s="106"/>
      <c r="I99" s="106"/>
      <c r="J99" s="106"/>
    </row>
    <row r="100" spans="3:10" s="55" customFormat="1" ht="15" customHeight="1" x14ac:dyDescent="0.2">
      <c r="C100" s="106" t="s">
        <v>56</v>
      </c>
      <c r="D100" s="106"/>
      <c r="E100" s="106"/>
      <c r="F100" s="106"/>
      <c r="G100" s="106"/>
      <c r="H100" s="106"/>
      <c r="I100" s="106"/>
      <c r="J100" s="106"/>
    </row>
    <row r="101" spans="3:10" s="55" customFormat="1" ht="69" customHeight="1" x14ac:dyDescent="0.2">
      <c r="C101" s="106" t="s">
        <v>57</v>
      </c>
      <c r="D101" s="106"/>
      <c r="E101" s="106"/>
      <c r="F101" s="106"/>
      <c r="G101" s="106"/>
      <c r="H101" s="106"/>
      <c r="I101" s="106"/>
      <c r="J101" s="106"/>
    </row>
    <row r="102" spans="3:10" s="55" customFormat="1" ht="15" customHeight="1" x14ac:dyDescent="0.2">
      <c r="C102" s="106" t="s">
        <v>58</v>
      </c>
      <c r="D102" s="106"/>
      <c r="E102" s="106"/>
      <c r="F102" s="106"/>
      <c r="G102" s="106"/>
      <c r="H102" s="106"/>
      <c r="I102" s="106"/>
      <c r="J102" s="106"/>
    </row>
  </sheetData>
  <sheetProtection algorithmName="SHA-512" hashValue="+plQVTGyex7QUWnTxPvnI7Mq3nicHE24Ez1Ns5UFMRtNEqG57plFeY6qhp8vg1FISu41Xyn0ouc2UZaeXWP1hw==" saltValue="4+nRDBCiEcCfKWcLVzLBJg==" spinCount="100000" sheet="1" objects="1" scenarios="1"/>
  <mergeCells count="56">
    <mergeCell ref="K15:K16"/>
    <mergeCell ref="AM15:AN15"/>
    <mergeCell ref="AP15:AQ15"/>
    <mergeCell ref="U15:V15"/>
    <mergeCell ref="W15:W16"/>
    <mergeCell ref="X15:Y15"/>
    <mergeCell ref="Z15:Z16"/>
    <mergeCell ref="AA15:AB15"/>
    <mergeCell ref="AC15:AC16"/>
    <mergeCell ref="C77:J77"/>
    <mergeCell ref="AD15:AE15"/>
    <mergeCell ref="AF15:AF16"/>
    <mergeCell ref="AG15:AH15"/>
    <mergeCell ref="AJ15:AK15"/>
    <mergeCell ref="L15:M15"/>
    <mergeCell ref="N15:N16"/>
    <mergeCell ref="O15:P15"/>
    <mergeCell ref="Q15:Q16"/>
    <mergeCell ref="R15:S15"/>
    <mergeCell ref="T15:T16"/>
    <mergeCell ref="C15:D15"/>
    <mergeCell ref="E15:E16"/>
    <mergeCell ref="F15:G15"/>
    <mergeCell ref="H15:H16"/>
    <mergeCell ref="I15:J15"/>
    <mergeCell ref="AS15:AT15"/>
    <mergeCell ref="AV15:AW15"/>
    <mergeCell ref="AY15:AZ15"/>
    <mergeCell ref="BB15:BC15"/>
    <mergeCell ref="BE15:BF15"/>
    <mergeCell ref="C78:D78"/>
    <mergeCell ref="E78:J78"/>
    <mergeCell ref="C79:D79"/>
    <mergeCell ref="E79:J79"/>
    <mergeCell ref="C80:D80"/>
    <mergeCell ref="E80:J80"/>
    <mergeCell ref="C94:J94"/>
    <mergeCell ref="C81:D81"/>
    <mergeCell ref="E81:J81"/>
    <mergeCell ref="C82:J82"/>
    <mergeCell ref="C86:J86"/>
    <mergeCell ref="C87:J87"/>
    <mergeCell ref="C88:J88"/>
    <mergeCell ref="C89:J89"/>
    <mergeCell ref="C90:J90"/>
    <mergeCell ref="C91:J91"/>
    <mergeCell ref="C92:J92"/>
    <mergeCell ref="C93:J93"/>
    <mergeCell ref="C101:J101"/>
    <mergeCell ref="C102:J102"/>
    <mergeCell ref="C95:J95"/>
    <mergeCell ref="C96:J96"/>
    <mergeCell ref="C97:J97"/>
    <mergeCell ref="C98:J98"/>
    <mergeCell ref="C99:J99"/>
    <mergeCell ref="C100:J100"/>
  </mergeCells>
  <conditionalFormatting sqref="M17:M28 P17:P28 S17:S28 V17:V28 Y17:Y28 AB17:AB28 AE17:AE28 J17:J28 G17:G28 D17:D28">
    <cfRule type="expression" dxfId="9" priority="48">
      <formula>$C$8&gt;=C$31</formula>
    </cfRule>
  </conditionalFormatting>
  <conditionalFormatting sqref="AK29 AQ29 AW29 M29 AT29 J29 G29 D29 P29 S29 V29 Y29 AB29 AE29 AH29 AN29 AZ29 BC29 BF29">
    <cfRule type="expression" dxfId="8" priority="58">
      <formula>$C$8&gt;=C$31</formula>
    </cfRule>
  </conditionalFormatting>
  <conditionalFormatting sqref="C3">
    <cfRule type="cellIs" dxfId="7" priority="3" operator="lessThan">
      <formula>100</formula>
    </cfRule>
  </conditionalFormatting>
  <conditionalFormatting sqref="C5">
    <cfRule type="cellIs" dxfId="6" priority="2" operator="lessThan">
      <formula>100</formula>
    </cfRule>
  </conditionalFormatting>
  <conditionalFormatting sqref="H50:H67">
    <cfRule type="expression" dxfId="5" priority="1">
      <formula>$C$8&gt;=$G50</formula>
    </cfRule>
  </conditionalFormatting>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G68"/>
  <sheetViews>
    <sheetView showGridLines="0" zoomScale="80" zoomScaleNormal="80" workbookViewId="0">
      <pane xSplit="7" topLeftCell="H1" activePane="topRight" state="frozen"/>
      <selection sqref="A1:XFD1048576"/>
      <selection pane="topRight" sqref="A1:XFD1048576"/>
    </sheetView>
  </sheetViews>
  <sheetFormatPr defaultRowHeight="12.75" x14ac:dyDescent="0.2"/>
  <cols>
    <col min="1" max="1" width="9.140625" style="209"/>
    <col min="2" max="2" width="20.42578125" style="209" bestFit="1" customWidth="1"/>
    <col min="3" max="3" width="21.85546875" style="209" bestFit="1" customWidth="1"/>
    <col min="4" max="4" width="14.7109375" style="209" customWidth="1"/>
    <col min="5" max="5" width="18.85546875" style="209" customWidth="1"/>
    <col min="6" max="6" width="17" style="209" customWidth="1"/>
    <col min="7" max="7" width="21.5703125" style="209" bestFit="1" customWidth="1"/>
    <col min="8" max="8" width="11.140625" style="209" customWidth="1"/>
    <col min="9" max="9" width="17.7109375" style="209" bestFit="1" customWidth="1"/>
    <col min="10" max="10" width="13.140625" style="209" customWidth="1"/>
    <col min="11" max="11" width="9.140625" style="209" customWidth="1"/>
    <col min="12" max="12" width="13.28515625" style="209" customWidth="1"/>
    <col min="13" max="13" width="12.28515625" style="209" customWidth="1"/>
    <col min="14" max="15" width="9.140625" style="209" customWidth="1"/>
    <col min="16" max="16" width="12.42578125" style="209" customWidth="1"/>
    <col min="17" max="18" width="9.140625" style="209" customWidth="1"/>
    <col min="19" max="19" width="11.85546875" style="209" customWidth="1"/>
    <col min="20" max="20" width="9.140625" style="209" customWidth="1"/>
    <col min="21" max="21" width="12" style="209" customWidth="1"/>
    <col min="22" max="22" width="11.85546875" style="209" customWidth="1"/>
    <col min="23" max="24" width="9.140625" style="209" customWidth="1"/>
    <col min="25" max="25" width="11.5703125" style="209" customWidth="1"/>
    <col min="26" max="27" width="9.140625" style="209" customWidth="1"/>
    <col min="28" max="28" width="13" style="209" customWidth="1"/>
    <col min="29" max="29" width="9.140625" style="209" customWidth="1"/>
    <col min="30" max="30" width="12" style="209" customWidth="1"/>
    <col min="31" max="31" width="13.7109375" style="209" customWidth="1"/>
    <col min="32" max="1026" width="9.140625" style="209" customWidth="1"/>
    <col min="1027" max="16384" width="9.140625" style="209"/>
  </cols>
  <sheetData>
    <row r="1" spans="2:31" s="209" customFormat="1" ht="13.5" thickBot="1" x14ac:dyDescent="0.25">
      <c r="D1" s="210"/>
      <c r="F1" s="211"/>
      <c r="G1" s="210"/>
      <c r="I1" s="212"/>
      <c r="J1" s="210"/>
      <c r="L1" s="211"/>
      <c r="M1" s="210"/>
      <c r="O1" s="211"/>
      <c r="P1" s="210"/>
      <c r="R1" s="211"/>
      <c r="S1" s="210"/>
      <c r="V1" s="210"/>
      <c r="Y1" s="210"/>
      <c r="AB1" s="210"/>
      <c r="AE1" s="210"/>
    </row>
    <row r="2" spans="2:31" s="209" customFormat="1" ht="13.5" thickBot="1" x14ac:dyDescent="0.25">
      <c r="B2" s="213"/>
      <c r="C2" s="214" t="s">
        <v>74</v>
      </c>
      <c r="D2" s="210"/>
      <c r="E2" s="356" t="s">
        <v>59</v>
      </c>
      <c r="F2" s="357"/>
      <c r="G2" s="358"/>
      <c r="I2" s="359" t="s">
        <v>106</v>
      </c>
      <c r="J2" s="360"/>
      <c r="K2" s="361"/>
      <c r="L2" s="362" t="s">
        <v>33</v>
      </c>
      <c r="M2" s="363" t="s">
        <v>107</v>
      </c>
      <c r="R2" s="211"/>
      <c r="S2" s="210"/>
      <c r="Y2" s="210"/>
      <c r="AB2" s="210"/>
      <c r="AE2" s="210"/>
    </row>
    <row r="3" spans="2:31" s="209" customFormat="1" ht="13.5" thickBot="1" x14ac:dyDescent="0.25">
      <c r="B3" s="215" t="s">
        <v>75</v>
      </c>
      <c r="C3" s="216">
        <v>1000</v>
      </c>
      <c r="E3" s="249" t="s">
        <v>14</v>
      </c>
      <c r="F3" s="249" t="s">
        <v>120</v>
      </c>
      <c r="G3" s="249" t="s">
        <v>121</v>
      </c>
      <c r="I3" s="364" t="s">
        <v>34</v>
      </c>
      <c r="J3" s="364"/>
      <c r="K3" s="365"/>
      <c r="L3" s="277">
        <f>K44</f>
        <v>12000</v>
      </c>
      <c r="M3" s="277" t="s">
        <v>108</v>
      </c>
      <c r="R3" s="211"/>
      <c r="S3" s="210"/>
      <c r="Y3" s="210"/>
      <c r="AB3" s="210"/>
      <c r="AE3" s="210"/>
    </row>
    <row r="4" spans="2:31" s="209" customFormat="1" x14ac:dyDescent="0.2">
      <c r="B4" s="217" t="s">
        <v>77</v>
      </c>
      <c r="C4" s="218">
        <f>IF(C3&gt;='TSGAP % slabs'!B8,'TSGAP % slabs'!D8,IF(C3&gt;='TSGAP % slabs'!B7,'TSGAP % slabs'!D7,IF(C3&gt;='TSGAP % slabs'!B6,'TSGAP % slabs'!D6,IF(C3&gt;='TSGAP % slabs'!B5,'TSGAP % slabs'!D5,IF(C3&gt;='TSGAP % slabs'!B4,'TSGAP % slabs'!D4,0)))))</f>
        <v>0.2</v>
      </c>
      <c r="D4" s="210"/>
      <c r="E4" s="277">
        <v>1</v>
      </c>
      <c r="F4" s="366" t="s">
        <v>60</v>
      </c>
      <c r="G4" s="367"/>
      <c r="I4" s="275" t="s">
        <v>35</v>
      </c>
      <c r="J4" s="275"/>
      <c r="K4" s="368"/>
      <c r="L4" s="277">
        <f>K45</f>
        <v>21600</v>
      </c>
      <c r="M4" s="277" t="s">
        <v>108</v>
      </c>
      <c r="R4" s="211"/>
      <c r="S4" s="210"/>
      <c r="Y4" s="210"/>
      <c r="AB4" s="210"/>
      <c r="AE4" s="210"/>
    </row>
    <row r="5" spans="2:31" s="209" customFormat="1" x14ac:dyDescent="0.2">
      <c r="B5" s="219"/>
      <c r="C5" s="220"/>
      <c r="D5" s="210"/>
      <c r="E5" s="277">
        <v>2</v>
      </c>
      <c r="F5" s="366" t="s">
        <v>60</v>
      </c>
      <c r="G5" s="367"/>
      <c r="I5" s="275" t="s">
        <v>37</v>
      </c>
      <c r="J5" s="275"/>
      <c r="K5" s="368"/>
      <c r="L5" s="277">
        <f>K46</f>
        <v>21600</v>
      </c>
      <c r="M5" s="369">
        <f>L5/L3</f>
        <v>1.8</v>
      </c>
      <c r="R5" s="211"/>
      <c r="S5" s="210"/>
      <c r="Y5" s="210"/>
      <c r="AB5" s="210"/>
      <c r="AE5" s="210"/>
    </row>
    <row r="6" spans="2:31" s="209" customFormat="1" ht="13.5" thickBot="1" x14ac:dyDescent="0.25">
      <c r="B6" s="219"/>
      <c r="C6" s="220"/>
      <c r="D6" s="210"/>
      <c r="E6" s="277">
        <v>3</v>
      </c>
      <c r="F6" s="366" t="s">
        <v>60</v>
      </c>
      <c r="G6" s="367"/>
      <c r="I6" s="278" t="s">
        <v>39</v>
      </c>
      <c r="J6" s="278"/>
      <c r="K6" s="370"/>
      <c r="L6" s="280">
        <f>K47</f>
        <v>12000</v>
      </c>
      <c r="M6" s="371">
        <f>L6/L3</f>
        <v>1</v>
      </c>
      <c r="R6" s="211"/>
      <c r="S6" s="210"/>
      <c r="Y6" s="210"/>
      <c r="AB6" s="210"/>
      <c r="AE6" s="210"/>
    </row>
    <row r="7" spans="2:31" s="209" customFormat="1" ht="13.5" thickBot="1" x14ac:dyDescent="0.25">
      <c r="B7" s="219"/>
      <c r="C7" s="220"/>
      <c r="D7" s="210"/>
      <c r="E7" s="277">
        <v>4</v>
      </c>
      <c r="F7" s="366" t="s">
        <v>60</v>
      </c>
      <c r="G7" s="367"/>
      <c r="I7" s="372" t="s">
        <v>105</v>
      </c>
      <c r="J7" s="373"/>
      <c r="K7" s="374"/>
      <c r="L7" s="375">
        <f>K48</f>
        <v>33600</v>
      </c>
      <c r="M7" s="376">
        <f>L7/L3</f>
        <v>2.8</v>
      </c>
      <c r="R7" s="211"/>
      <c r="S7" s="210"/>
      <c r="Y7" s="210"/>
      <c r="AB7" s="210"/>
      <c r="AE7" s="210"/>
    </row>
    <row r="8" spans="2:31" s="209" customFormat="1" x14ac:dyDescent="0.2">
      <c r="B8" s="248" t="s">
        <v>124</v>
      </c>
      <c r="C8" s="377" t="s">
        <v>80</v>
      </c>
      <c r="D8" s="210"/>
      <c r="E8" s="277">
        <v>5</v>
      </c>
      <c r="F8" s="366" t="s">
        <v>60</v>
      </c>
      <c r="G8" s="367"/>
      <c r="J8" s="210"/>
      <c r="L8" s="211"/>
      <c r="M8" s="210"/>
      <c r="O8" s="211"/>
      <c r="P8" s="210"/>
      <c r="R8" s="211"/>
      <c r="S8" s="210"/>
      <c r="V8" s="210"/>
      <c r="Y8" s="210"/>
      <c r="AB8" s="210"/>
      <c r="AE8" s="210"/>
    </row>
    <row r="9" spans="2:31" s="209" customFormat="1" x14ac:dyDescent="0.2">
      <c r="B9" s="219"/>
      <c r="C9" s="220"/>
      <c r="D9" s="210"/>
      <c r="E9" s="277">
        <v>6</v>
      </c>
      <c r="F9" s="366" t="s">
        <v>60</v>
      </c>
      <c r="G9" s="367"/>
      <c r="J9" s="210"/>
      <c r="L9" s="211"/>
      <c r="M9" s="210"/>
      <c r="O9" s="211"/>
      <c r="P9" s="210"/>
      <c r="R9" s="211"/>
      <c r="S9" s="210"/>
      <c r="V9" s="210"/>
      <c r="Y9" s="210"/>
      <c r="AB9" s="210"/>
      <c r="AE9" s="210"/>
    </row>
    <row r="10" spans="2:31" s="209" customFormat="1" x14ac:dyDescent="0.2">
      <c r="B10" s="219"/>
      <c r="C10" s="220"/>
      <c r="D10" s="210"/>
      <c r="E10" s="277">
        <v>7</v>
      </c>
      <c r="F10" s="366" t="s">
        <v>60</v>
      </c>
      <c r="G10" s="367"/>
      <c r="J10" s="210"/>
      <c r="L10" s="211"/>
      <c r="M10" s="210"/>
      <c r="O10" s="211"/>
      <c r="P10" s="210"/>
      <c r="R10" s="211"/>
      <c r="S10" s="210"/>
      <c r="V10" s="210"/>
      <c r="Y10" s="210"/>
      <c r="AB10" s="210"/>
      <c r="AE10" s="210"/>
    </row>
    <row r="11" spans="2:31" s="209" customFormat="1" x14ac:dyDescent="0.2">
      <c r="B11" s="219"/>
      <c r="C11" s="220"/>
      <c r="D11" s="210"/>
      <c r="E11" s="277">
        <v>8</v>
      </c>
      <c r="F11" s="366" t="s">
        <v>60</v>
      </c>
      <c r="G11" s="367"/>
      <c r="J11" s="210"/>
      <c r="L11" s="211"/>
      <c r="M11" s="210"/>
      <c r="O11" s="211"/>
      <c r="P11" s="210"/>
      <c r="R11" s="211"/>
      <c r="S11" s="210"/>
      <c r="V11" s="210"/>
      <c r="Y11" s="210"/>
      <c r="AB11" s="210"/>
      <c r="AE11" s="210"/>
    </row>
    <row r="12" spans="2:31" s="209" customFormat="1" x14ac:dyDescent="0.2">
      <c r="C12" s="220"/>
      <c r="D12" s="210"/>
      <c r="E12" s="277">
        <v>9</v>
      </c>
      <c r="F12" s="366" t="s">
        <v>60</v>
      </c>
      <c r="G12" s="367"/>
      <c r="J12" s="210"/>
      <c r="L12" s="211"/>
      <c r="M12" s="210"/>
      <c r="O12" s="211"/>
      <c r="P12" s="210"/>
      <c r="R12" s="211"/>
      <c r="S12" s="210"/>
      <c r="V12" s="210"/>
      <c r="Y12" s="210"/>
      <c r="AB12" s="210"/>
      <c r="AE12" s="210"/>
    </row>
    <row r="13" spans="2:31" s="209" customFormat="1" x14ac:dyDescent="0.2">
      <c r="B13" s="219"/>
      <c r="C13" s="220"/>
      <c r="D13" s="210"/>
      <c r="E13" s="277">
        <v>10</v>
      </c>
      <c r="F13" s="366" t="s">
        <v>60</v>
      </c>
      <c r="G13" s="367"/>
      <c r="J13" s="210"/>
      <c r="L13" s="211"/>
      <c r="M13" s="210"/>
      <c r="O13" s="211"/>
      <c r="P13" s="210"/>
      <c r="R13" s="211"/>
      <c r="S13" s="210"/>
      <c r="V13" s="210"/>
      <c r="Y13" s="210"/>
      <c r="AB13" s="210"/>
      <c r="AE13" s="210"/>
    </row>
    <row r="14" spans="2:31" s="209" customFormat="1" x14ac:dyDescent="0.2">
      <c r="B14" s="219"/>
      <c r="C14" s="220"/>
      <c r="D14" s="210"/>
      <c r="E14" s="277">
        <v>11</v>
      </c>
      <c r="F14" s="366" t="s">
        <v>60</v>
      </c>
      <c r="G14" s="367"/>
      <c r="J14" s="210"/>
      <c r="L14" s="211"/>
      <c r="M14" s="210"/>
      <c r="O14" s="211"/>
      <c r="P14" s="210"/>
      <c r="R14" s="211"/>
      <c r="S14" s="210"/>
      <c r="V14" s="210"/>
      <c r="Y14" s="210"/>
      <c r="AB14" s="210"/>
      <c r="AE14" s="210"/>
    </row>
    <row r="15" spans="2:31" s="209" customFormat="1" x14ac:dyDescent="0.2">
      <c r="B15" s="219"/>
      <c r="C15" s="220"/>
      <c r="D15" s="210"/>
      <c r="E15" s="277">
        <v>12</v>
      </c>
      <c r="F15" s="366" t="s">
        <v>60</v>
      </c>
      <c r="G15" s="367"/>
      <c r="J15" s="210"/>
      <c r="L15" s="211"/>
      <c r="M15" s="210"/>
      <c r="O15" s="211"/>
      <c r="P15" s="210"/>
      <c r="R15" s="211"/>
      <c r="S15" s="210"/>
      <c r="V15" s="210"/>
      <c r="Y15" s="210"/>
      <c r="AB15" s="210"/>
      <c r="AE15" s="210"/>
    </row>
    <row r="16" spans="2:31" s="209" customFormat="1" x14ac:dyDescent="0.2">
      <c r="B16" s="219"/>
      <c r="C16" s="220"/>
      <c r="D16" s="210"/>
      <c r="F16" s="211"/>
      <c r="J16" s="210"/>
      <c r="L16" s="211"/>
      <c r="M16" s="210"/>
      <c r="O16" s="211"/>
      <c r="P16" s="210"/>
      <c r="R16" s="211"/>
      <c r="S16" s="210"/>
      <c r="V16" s="210"/>
      <c r="Y16" s="210"/>
      <c r="AB16" s="210"/>
      <c r="AE16" s="210"/>
    </row>
    <row r="17" spans="2:33" s="209" customFormat="1" x14ac:dyDescent="0.2">
      <c r="B17" s="219"/>
      <c r="C17" s="219" t="s">
        <v>163</v>
      </c>
      <c r="D17" s="210"/>
      <c r="F17" s="211"/>
      <c r="G17" s="210"/>
      <c r="I17" s="212"/>
      <c r="J17" s="210"/>
      <c r="L17" s="211"/>
      <c r="M17" s="210"/>
      <c r="O17" s="211"/>
      <c r="P17" s="210"/>
      <c r="R17" s="211"/>
      <c r="S17" s="210"/>
      <c r="V17" s="210"/>
      <c r="Y17" s="210"/>
      <c r="AB17" s="210"/>
      <c r="AE17" s="210"/>
    </row>
    <row r="18" spans="2:33" s="209" customFormat="1" x14ac:dyDescent="0.2">
      <c r="B18" s="219"/>
      <c r="C18" s="219"/>
      <c r="D18" s="210"/>
      <c r="F18" s="211"/>
      <c r="G18" s="210"/>
      <c r="I18" s="212"/>
      <c r="J18" s="210"/>
      <c r="L18" s="211"/>
      <c r="M18" s="210"/>
      <c r="O18" s="211"/>
      <c r="P18" s="210"/>
      <c r="R18" s="211"/>
      <c r="S18" s="210"/>
      <c r="V18" s="210"/>
      <c r="Y18" s="210"/>
      <c r="AB18" s="210"/>
      <c r="AE18" s="210"/>
    </row>
    <row r="19" spans="2:33" s="209" customFormat="1" x14ac:dyDescent="0.2">
      <c r="B19" s="219"/>
      <c r="C19" s="219"/>
      <c r="D19" s="210"/>
      <c r="F19" s="211"/>
      <c r="G19" s="210"/>
      <c r="I19" s="212"/>
      <c r="J19" s="210"/>
      <c r="L19" s="211"/>
      <c r="M19" s="210"/>
      <c r="O19" s="211"/>
      <c r="P19" s="210"/>
      <c r="R19" s="211"/>
      <c r="S19" s="210"/>
      <c r="V19" s="210"/>
      <c r="Y19" s="210"/>
      <c r="AB19" s="210"/>
      <c r="AE19" s="210"/>
    </row>
    <row r="20" spans="2:33" s="209" customFormat="1" ht="13.5" thickBot="1" x14ac:dyDescent="0.25">
      <c r="B20" s="219"/>
      <c r="C20" s="220"/>
      <c r="D20" s="210"/>
      <c r="F20" s="211"/>
      <c r="G20" s="210"/>
      <c r="I20" s="212"/>
      <c r="J20" s="210"/>
      <c r="L20" s="211"/>
      <c r="M20" s="210"/>
      <c r="O20" s="211"/>
      <c r="P20" s="210"/>
      <c r="R20" s="211"/>
      <c r="S20" s="210"/>
      <c r="V20" s="210"/>
      <c r="Y20" s="210"/>
      <c r="AB20" s="210"/>
      <c r="AE20" s="210"/>
    </row>
    <row r="21" spans="2:33" s="209" customFormat="1" ht="26.25" thickBot="1" x14ac:dyDescent="0.25">
      <c r="G21" s="210"/>
      <c r="J21" s="210"/>
      <c r="L21" s="226" t="s">
        <v>30</v>
      </c>
      <c r="M21" s="227">
        <f>(D36/3)*0.01*(100-(M38*1)-(M40*2))</f>
        <v>4000</v>
      </c>
      <c r="O21" s="211"/>
      <c r="P21" s="210"/>
      <c r="R21" s="211"/>
      <c r="S21" s="210"/>
      <c r="U21" s="226" t="s">
        <v>30</v>
      </c>
      <c r="V21" s="227">
        <f>(D36/3)</f>
        <v>4000</v>
      </c>
      <c r="Y21" s="210"/>
      <c r="AB21" s="210"/>
      <c r="AD21" s="226" t="s">
        <v>30</v>
      </c>
      <c r="AE21" s="227">
        <f>(D36/3)</f>
        <v>4000</v>
      </c>
    </row>
    <row r="22" spans="2:33" s="209" customFormat="1" ht="22.35" customHeight="1" thickBot="1" x14ac:dyDescent="0.25">
      <c r="C22" s="229" t="s">
        <v>1</v>
      </c>
      <c r="D22" s="229"/>
      <c r="E22" s="230" t="s">
        <v>138</v>
      </c>
      <c r="F22" s="234" t="s">
        <v>3</v>
      </c>
      <c r="G22" s="234"/>
      <c r="H22" s="378"/>
      <c r="I22" s="234" t="s">
        <v>4</v>
      </c>
      <c r="J22" s="234"/>
      <c r="K22" s="378"/>
      <c r="L22" s="233" t="s">
        <v>5</v>
      </c>
      <c r="M22" s="233"/>
      <c r="N22" s="378"/>
      <c r="O22" s="234" t="s">
        <v>6</v>
      </c>
      <c r="P22" s="234"/>
      <c r="Q22" s="378"/>
      <c r="R22" s="234" t="s">
        <v>7</v>
      </c>
      <c r="S22" s="234"/>
      <c r="T22" s="378"/>
      <c r="U22" s="233" t="s">
        <v>8</v>
      </c>
      <c r="V22" s="233"/>
      <c r="W22" s="378"/>
      <c r="X22" s="234" t="s">
        <v>9</v>
      </c>
      <c r="Y22" s="234"/>
      <c r="Z22" s="378"/>
      <c r="AA22" s="234" t="s">
        <v>10</v>
      </c>
      <c r="AB22" s="234"/>
      <c r="AC22" s="378"/>
      <c r="AD22" s="233" t="s">
        <v>11</v>
      </c>
      <c r="AE22" s="233"/>
      <c r="AF22" s="378"/>
      <c r="AG22" s="378"/>
    </row>
    <row r="23" spans="2:33" s="209" customFormat="1" ht="39" thickBot="1" x14ac:dyDescent="0.25">
      <c r="C23" s="235" t="s">
        <v>12</v>
      </c>
      <c r="D23" s="236" t="s">
        <v>13</v>
      </c>
      <c r="E23" s="230"/>
      <c r="F23" s="237" t="s">
        <v>14</v>
      </c>
      <c r="G23" s="238" t="s">
        <v>76</v>
      </c>
      <c r="H23" s="250"/>
      <c r="I23" s="237" t="s">
        <v>14</v>
      </c>
      <c r="J23" s="238" t="s">
        <v>76</v>
      </c>
      <c r="K23" s="250"/>
      <c r="L23" s="237" t="s">
        <v>14</v>
      </c>
      <c r="M23" s="238" t="s">
        <v>76</v>
      </c>
      <c r="N23" s="250"/>
      <c r="O23" s="237" t="s">
        <v>14</v>
      </c>
      <c r="P23" s="238" t="s">
        <v>76</v>
      </c>
      <c r="Q23" s="250"/>
      <c r="R23" s="237" t="s">
        <v>14</v>
      </c>
      <c r="S23" s="238" t="s">
        <v>76</v>
      </c>
      <c r="T23" s="250"/>
      <c r="U23" s="237" t="s">
        <v>14</v>
      </c>
      <c r="V23" s="238" t="s">
        <v>76</v>
      </c>
      <c r="W23" s="250"/>
      <c r="X23" s="237" t="s">
        <v>14</v>
      </c>
      <c r="Y23" s="238" t="s">
        <v>76</v>
      </c>
      <c r="Z23" s="250"/>
      <c r="AA23" s="237" t="s">
        <v>14</v>
      </c>
      <c r="AB23" s="238" t="s">
        <v>76</v>
      </c>
      <c r="AC23" s="250"/>
      <c r="AD23" s="237" t="s">
        <v>14</v>
      </c>
      <c r="AE23" s="238" t="s">
        <v>76</v>
      </c>
      <c r="AF23" s="250"/>
      <c r="AG23" s="250"/>
    </row>
    <row r="24" spans="2:33" s="209" customFormat="1" ht="13.5" thickBot="1" x14ac:dyDescent="0.25">
      <c r="C24" s="239" t="s">
        <v>15</v>
      </c>
      <c r="D24" s="240">
        <f t="shared" ref="D24:D35" si="0">IF(F4=$J$40,0,IF(G4="",$C$3,IF(G4&lt;$C$3,0,G4)))</f>
        <v>1000</v>
      </c>
      <c r="E24" s="226" t="s">
        <v>31</v>
      </c>
      <c r="F24" s="241">
        <v>1</v>
      </c>
      <c r="G24" s="379">
        <f t="shared" ref="G24:G35" si="1">$D24*$C$4</f>
        <v>200</v>
      </c>
      <c r="H24" s="250"/>
      <c r="I24" s="242">
        <v>13</v>
      </c>
      <c r="J24" s="379">
        <f t="shared" ref="J24:J35" si="2">$D24*$C$4</f>
        <v>200</v>
      </c>
      <c r="K24" s="250"/>
      <c r="L24" s="242">
        <v>25</v>
      </c>
      <c r="M24" s="379">
        <f t="shared" ref="M24:M35" si="3">$D24*$C$4</f>
        <v>200</v>
      </c>
      <c r="N24" s="250"/>
      <c r="O24" s="242">
        <v>37</v>
      </c>
      <c r="P24" s="379">
        <f t="shared" ref="P24:P35" si="4">$D24*$C$4</f>
        <v>200</v>
      </c>
      <c r="Q24" s="250"/>
      <c r="R24" s="242">
        <v>49</v>
      </c>
      <c r="S24" s="379">
        <f t="shared" ref="S24:S35" si="5">$D24*$C$4</f>
        <v>200</v>
      </c>
      <c r="T24" s="250"/>
      <c r="U24" s="242">
        <v>61</v>
      </c>
      <c r="V24" s="379">
        <f t="shared" ref="V24:V35" si="6">$D24*$C$4</f>
        <v>200</v>
      </c>
      <c r="W24" s="250"/>
      <c r="X24" s="242">
        <v>73</v>
      </c>
      <c r="Y24" s="379">
        <f t="shared" ref="Y24:Y35" si="7">$D24*$C$4</f>
        <v>200</v>
      </c>
      <c r="Z24" s="250"/>
      <c r="AA24" s="242">
        <v>85</v>
      </c>
      <c r="AB24" s="379">
        <f t="shared" ref="AB24:AB35" si="8">$D24*$C$4</f>
        <v>200</v>
      </c>
      <c r="AC24" s="250"/>
      <c r="AD24" s="242">
        <v>97</v>
      </c>
      <c r="AE24" s="379">
        <f t="shared" ref="AE24:AE35" si="9">$D24*$C$4</f>
        <v>200</v>
      </c>
      <c r="AF24" s="250"/>
      <c r="AG24" s="250"/>
    </row>
    <row r="25" spans="2:33" s="209" customFormat="1" ht="13.5" thickBot="1" x14ac:dyDescent="0.25">
      <c r="C25" s="245" t="s">
        <v>16</v>
      </c>
      <c r="D25" s="240">
        <f t="shared" si="0"/>
        <v>1000</v>
      </c>
      <c r="E25" s="246">
        <f>G36*9</f>
        <v>21600</v>
      </c>
      <c r="F25" s="247">
        <v>2</v>
      </c>
      <c r="G25" s="277">
        <f t="shared" si="1"/>
        <v>200</v>
      </c>
      <c r="H25" s="250"/>
      <c r="I25" s="248">
        <v>14</v>
      </c>
      <c r="J25" s="277">
        <f t="shared" si="2"/>
        <v>200</v>
      </c>
      <c r="L25" s="248">
        <v>26</v>
      </c>
      <c r="M25" s="277">
        <f t="shared" si="3"/>
        <v>200</v>
      </c>
      <c r="O25" s="249">
        <v>38</v>
      </c>
      <c r="P25" s="277">
        <f t="shared" si="4"/>
        <v>200</v>
      </c>
      <c r="R25" s="248">
        <v>50</v>
      </c>
      <c r="S25" s="277">
        <f t="shared" si="5"/>
        <v>200</v>
      </c>
      <c r="U25" s="248">
        <v>62</v>
      </c>
      <c r="V25" s="277">
        <f t="shared" si="6"/>
        <v>200</v>
      </c>
      <c r="X25" s="249">
        <v>74</v>
      </c>
      <c r="Y25" s="277">
        <f t="shared" si="7"/>
        <v>200</v>
      </c>
      <c r="AA25" s="242">
        <v>86</v>
      </c>
      <c r="AB25" s="277">
        <f t="shared" si="8"/>
        <v>200</v>
      </c>
      <c r="AD25" s="248">
        <v>98</v>
      </c>
      <c r="AE25" s="277">
        <f t="shared" si="9"/>
        <v>200</v>
      </c>
    </row>
    <row r="26" spans="2:33" s="209" customFormat="1" x14ac:dyDescent="0.2">
      <c r="C26" s="245" t="s">
        <v>17</v>
      </c>
      <c r="D26" s="240">
        <f t="shared" si="0"/>
        <v>1000</v>
      </c>
      <c r="F26" s="242">
        <v>3</v>
      </c>
      <c r="G26" s="277">
        <f t="shared" si="1"/>
        <v>200</v>
      </c>
      <c r="H26" s="250"/>
      <c r="I26" s="242">
        <v>15</v>
      </c>
      <c r="J26" s="277">
        <f t="shared" si="2"/>
        <v>200</v>
      </c>
      <c r="L26" s="242">
        <v>27</v>
      </c>
      <c r="M26" s="277">
        <f t="shared" si="3"/>
        <v>200</v>
      </c>
      <c r="O26" s="248">
        <v>39</v>
      </c>
      <c r="P26" s="277">
        <f t="shared" si="4"/>
        <v>200</v>
      </c>
      <c r="R26" s="242">
        <v>51</v>
      </c>
      <c r="S26" s="277">
        <f t="shared" si="5"/>
        <v>200</v>
      </c>
      <c r="U26" s="242">
        <v>63</v>
      </c>
      <c r="V26" s="277">
        <f t="shared" si="6"/>
        <v>200</v>
      </c>
      <c r="X26" s="248">
        <v>75</v>
      </c>
      <c r="Y26" s="277">
        <f t="shared" si="7"/>
        <v>200</v>
      </c>
      <c r="AA26" s="242">
        <v>87</v>
      </c>
      <c r="AB26" s="277">
        <f t="shared" si="8"/>
        <v>200</v>
      </c>
      <c r="AD26" s="242">
        <v>99</v>
      </c>
      <c r="AE26" s="277">
        <f t="shared" si="9"/>
        <v>200</v>
      </c>
    </row>
    <row r="27" spans="2:33" s="209" customFormat="1" x14ac:dyDescent="0.2">
      <c r="C27" s="245" t="s">
        <v>18</v>
      </c>
      <c r="D27" s="240">
        <f t="shared" si="0"/>
        <v>1000</v>
      </c>
      <c r="F27" s="248">
        <v>4</v>
      </c>
      <c r="G27" s="277">
        <f t="shared" si="1"/>
        <v>200</v>
      </c>
      <c r="H27" s="250"/>
      <c r="I27" s="248">
        <v>16</v>
      </c>
      <c r="J27" s="277">
        <f t="shared" si="2"/>
        <v>200</v>
      </c>
      <c r="L27" s="248">
        <v>28</v>
      </c>
      <c r="M27" s="277">
        <f t="shared" si="3"/>
        <v>200</v>
      </c>
      <c r="O27" s="249">
        <v>40</v>
      </c>
      <c r="P27" s="277">
        <f t="shared" si="4"/>
        <v>200</v>
      </c>
      <c r="R27" s="248">
        <v>52</v>
      </c>
      <c r="S27" s="277">
        <f t="shared" si="5"/>
        <v>200</v>
      </c>
      <c r="U27" s="248">
        <v>64</v>
      </c>
      <c r="V27" s="277">
        <f t="shared" si="6"/>
        <v>200</v>
      </c>
      <c r="X27" s="249">
        <v>76</v>
      </c>
      <c r="Y27" s="277">
        <f t="shared" si="7"/>
        <v>200</v>
      </c>
      <c r="AA27" s="242">
        <v>88</v>
      </c>
      <c r="AB27" s="277">
        <f t="shared" si="8"/>
        <v>200</v>
      </c>
      <c r="AD27" s="248">
        <v>100</v>
      </c>
      <c r="AE27" s="277">
        <f t="shared" si="9"/>
        <v>200</v>
      </c>
    </row>
    <row r="28" spans="2:33" s="209" customFormat="1" x14ac:dyDescent="0.2">
      <c r="C28" s="245" t="s">
        <v>19</v>
      </c>
      <c r="D28" s="240">
        <f t="shared" si="0"/>
        <v>1000</v>
      </c>
      <c r="F28" s="242">
        <v>5</v>
      </c>
      <c r="G28" s="277">
        <f t="shared" si="1"/>
        <v>200</v>
      </c>
      <c r="H28" s="250"/>
      <c r="I28" s="242">
        <v>17</v>
      </c>
      <c r="J28" s="277">
        <f t="shared" si="2"/>
        <v>200</v>
      </c>
      <c r="L28" s="242">
        <v>29</v>
      </c>
      <c r="M28" s="277">
        <f t="shared" si="3"/>
        <v>200</v>
      </c>
      <c r="O28" s="248">
        <v>41</v>
      </c>
      <c r="P28" s="277">
        <f t="shared" si="4"/>
        <v>200</v>
      </c>
      <c r="R28" s="242">
        <v>53</v>
      </c>
      <c r="S28" s="277">
        <f t="shared" si="5"/>
        <v>200</v>
      </c>
      <c r="U28" s="242">
        <v>65</v>
      </c>
      <c r="V28" s="277">
        <f t="shared" si="6"/>
        <v>200</v>
      </c>
      <c r="X28" s="248">
        <v>77</v>
      </c>
      <c r="Y28" s="277">
        <f t="shared" si="7"/>
        <v>200</v>
      </c>
      <c r="AA28" s="242">
        <v>89</v>
      </c>
      <c r="AB28" s="277">
        <f t="shared" si="8"/>
        <v>200</v>
      </c>
      <c r="AD28" s="242">
        <v>101</v>
      </c>
      <c r="AE28" s="277">
        <f t="shared" si="9"/>
        <v>200</v>
      </c>
    </row>
    <row r="29" spans="2:33" s="209" customFormat="1" x14ac:dyDescent="0.2">
      <c r="C29" s="245" t="s">
        <v>20</v>
      </c>
      <c r="D29" s="240">
        <f t="shared" si="0"/>
        <v>1000</v>
      </c>
      <c r="F29" s="248">
        <v>6</v>
      </c>
      <c r="G29" s="277">
        <f t="shared" si="1"/>
        <v>200</v>
      </c>
      <c r="H29" s="250"/>
      <c r="I29" s="248">
        <v>18</v>
      </c>
      <c r="J29" s="277">
        <f t="shared" si="2"/>
        <v>200</v>
      </c>
      <c r="L29" s="248">
        <v>30</v>
      </c>
      <c r="M29" s="277">
        <f t="shared" si="3"/>
        <v>200</v>
      </c>
      <c r="O29" s="249">
        <v>42</v>
      </c>
      <c r="P29" s="277">
        <f t="shared" si="4"/>
        <v>200</v>
      </c>
      <c r="R29" s="248">
        <v>54</v>
      </c>
      <c r="S29" s="277">
        <f t="shared" si="5"/>
        <v>200</v>
      </c>
      <c r="U29" s="248">
        <v>66</v>
      </c>
      <c r="V29" s="277">
        <f t="shared" si="6"/>
        <v>200</v>
      </c>
      <c r="X29" s="249">
        <v>78</v>
      </c>
      <c r="Y29" s="277">
        <f t="shared" si="7"/>
        <v>200</v>
      </c>
      <c r="AA29" s="242">
        <v>90</v>
      </c>
      <c r="AB29" s="277">
        <f t="shared" si="8"/>
        <v>200</v>
      </c>
      <c r="AD29" s="248">
        <v>102</v>
      </c>
      <c r="AE29" s="277">
        <f t="shared" si="9"/>
        <v>200</v>
      </c>
    </row>
    <row r="30" spans="2:33" s="209" customFormat="1" x14ac:dyDescent="0.2">
      <c r="C30" s="245" t="s">
        <v>21</v>
      </c>
      <c r="D30" s="240">
        <f t="shared" si="0"/>
        <v>1000</v>
      </c>
      <c r="F30" s="242">
        <v>7</v>
      </c>
      <c r="G30" s="277">
        <f t="shared" si="1"/>
        <v>200</v>
      </c>
      <c r="H30" s="250"/>
      <c r="I30" s="242">
        <v>19</v>
      </c>
      <c r="J30" s="277">
        <f t="shared" si="2"/>
        <v>200</v>
      </c>
      <c r="L30" s="242">
        <v>31</v>
      </c>
      <c r="M30" s="277">
        <f t="shared" si="3"/>
        <v>200</v>
      </c>
      <c r="O30" s="248">
        <v>43</v>
      </c>
      <c r="P30" s="277">
        <f t="shared" si="4"/>
        <v>200</v>
      </c>
      <c r="R30" s="242">
        <v>55</v>
      </c>
      <c r="S30" s="277">
        <f t="shared" si="5"/>
        <v>200</v>
      </c>
      <c r="U30" s="242">
        <v>67</v>
      </c>
      <c r="V30" s="277">
        <f t="shared" si="6"/>
        <v>200</v>
      </c>
      <c r="X30" s="248">
        <v>79</v>
      </c>
      <c r="Y30" s="277">
        <f t="shared" si="7"/>
        <v>200</v>
      </c>
      <c r="AA30" s="242">
        <v>91</v>
      </c>
      <c r="AB30" s="277">
        <f t="shared" si="8"/>
        <v>200</v>
      </c>
      <c r="AD30" s="242">
        <v>103</v>
      </c>
      <c r="AE30" s="277">
        <f t="shared" si="9"/>
        <v>200</v>
      </c>
    </row>
    <row r="31" spans="2:33" s="209" customFormat="1" x14ac:dyDescent="0.2">
      <c r="C31" s="245" t="s">
        <v>22</v>
      </c>
      <c r="D31" s="240">
        <f t="shared" si="0"/>
        <v>1000</v>
      </c>
      <c r="F31" s="248">
        <v>8</v>
      </c>
      <c r="G31" s="277">
        <f t="shared" si="1"/>
        <v>200</v>
      </c>
      <c r="H31" s="250"/>
      <c r="I31" s="248">
        <v>20</v>
      </c>
      <c r="J31" s="277">
        <f t="shared" si="2"/>
        <v>200</v>
      </c>
      <c r="L31" s="248">
        <v>32</v>
      </c>
      <c r="M31" s="277">
        <f t="shared" si="3"/>
        <v>200</v>
      </c>
      <c r="O31" s="249">
        <v>44</v>
      </c>
      <c r="P31" s="277">
        <f t="shared" si="4"/>
        <v>200</v>
      </c>
      <c r="R31" s="248">
        <v>56</v>
      </c>
      <c r="S31" s="277">
        <f t="shared" si="5"/>
        <v>200</v>
      </c>
      <c r="U31" s="248">
        <v>68</v>
      </c>
      <c r="V31" s="277">
        <f t="shared" si="6"/>
        <v>200</v>
      </c>
      <c r="X31" s="249">
        <v>80</v>
      </c>
      <c r="Y31" s="277">
        <f t="shared" si="7"/>
        <v>200</v>
      </c>
      <c r="AA31" s="242">
        <v>92</v>
      </c>
      <c r="AB31" s="277">
        <f t="shared" si="8"/>
        <v>200</v>
      </c>
      <c r="AD31" s="248">
        <v>104</v>
      </c>
      <c r="AE31" s="277">
        <f t="shared" si="9"/>
        <v>200</v>
      </c>
    </row>
    <row r="32" spans="2:33" s="209" customFormat="1" x14ac:dyDescent="0.2">
      <c r="C32" s="245" t="s">
        <v>23</v>
      </c>
      <c r="D32" s="240">
        <f t="shared" si="0"/>
        <v>1000</v>
      </c>
      <c r="F32" s="242">
        <v>9</v>
      </c>
      <c r="G32" s="277">
        <f t="shared" si="1"/>
        <v>200</v>
      </c>
      <c r="H32" s="250"/>
      <c r="I32" s="242">
        <v>21</v>
      </c>
      <c r="J32" s="277">
        <f t="shared" si="2"/>
        <v>200</v>
      </c>
      <c r="L32" s="242">
        <v>33</v>
      </c>
      <c r="M32" s="277">
        <f t="shared" si="3"/>
        <v>200</v>
      </c>
      <c r="O32" s="248">
        <v>45</v>
      </c>
      <c r="P32" s="277">
        <f t="shared" si="4"/>
        <v>200</v>
      </c>
      <c r="R32" s="242">
        <v>57</v>
      </c>
      <c r="S32" s="277">
        <f t="shared" si="5"/>
        <v>200</v>
      </c>
      <c r="U32" s="242">
        <v>69</v>
      </c>
      <c r="V32" s="277">
        <f t="shared" si="6"/>
        <v>200</v>
      </c>
      <c r="X32" s="248">
        <v>81</v>
      </c>
      <c r="Y32" s="277">
        <f t="shared" si="7"/>
        <v>200</v>
      </c>
      <c r="AA32" s="242">
        <v>93</v>
      </c>
      <c r="AB32" s="277">
        <f t="shared" si="8"/>
        <v>200</v>
      </c>
      <c r="AD32" s="242">
        <v>105</v>
      </c>
      <c r="AE32" s="277">
        <f t="shared" si="9"/>
        <v>200</v>
      </c>
    </row>
    <row r="33" spans="3:31" s="209" customFormat="1" x14ac:dyDescent="0.2">
      <c r="C33" s="245" t="s">
        <v>24</v>
      </c>
      <c r="D33" s="240">
        <f t="shared" si="0"/>
        <v>1000</v>
      </c>
      <c r="F33" s="248">
        <v>10</v>
      </c>
      <c r="G33" s="277">
        <f t="shared" si="1"/>
        <v>200</v>
      </c>
      <c r="H33" s="250"/>
      <c r="I33" s="248">
        <v>22</v>
      </c>
      <c r="J33" s="277">
        <f t="shared" si="2"/>
        <v>200</v>
      </c>
      <c r="L33" s="248">
        <v>34</v>
      </c>
      <c r="M33" s="277">
        <f t="shared" si="3"/>
        <v>200</v>
      </c>
      <c r="O33" s="249">
        <v>46</v>
      </c>
      <c r="P33" s="277">
        <f t="shared" si="4"/>
        <v>200</v>
      </c>
      <c r="R33" s="248">
        <v>58</v>
      </c>
      <c r="S33" s="277">
        <f t="shared" si="5"/>
        <v>200</v>
      </c>
      <c r="U33" s="248">
        <v>70</v>
      </c>
      <c r="V33" s="277">
        <f t="shared" si="6"/>
        <v>200</v>
      </c>
      <c r="X33" s="249">
        <v>82</v>
      </c>
      <c r="Y33" s="277">
        <f t="shared" si="7"/>
        <v>200</v>
      </c>
      <c r="AA33" s="242">
        <v>94</v>
      </c>
      <c r="AB33" s="277">
        <f t="shared" si="8"/>
        <v>200</v>
      </c>
      <c r="AD33" s="248">
        <v>106</v>
      </c>
      <c r="AE33" s="277">
        <f t="shared" si="9"/>
        <v>200</v>
      </c>
    </row>
    <row r="34" spans="3:31" s="209" customFormat="1" x14ac:dyDescent="0.2">
      <c r="C34" s="245" t="s">
        <v>25</v>
      </c>
      <c r="D34" s="240">
        <f t="shared" si="0"/>
        <v>1000</v>
      </c>
      <c r="F34" s="242">
        <v>11</v>
      </c>
      <c r="G34" s="277">
        <f t="shared" si="1"/>
        <v>200</v>
      </c>
      <c r="H34" s="250"/>
      <c r="I34" s="242">
        <v>23</v>
      </c>
      <c r="J34" s="277">
        <f t="shared" si="2"/>
        <v>200</v>
      </c>
      <c r="L34" s="242">
        <v>35</v>
      </c>
      <c r="M34" s="277">
        <f t="shared" si="3"/>
        <v>200</v>
      </c>
      <c r="O34" s="248">
        <v>47</v>
      </c>
      <c r="P34" s="277">
        <f t="shared" si="4"/>
        <v>200</v>
      </c>
      <c r="R34" s="242">
        <v>59</v>
      </c>
      <c r="S34" s="277">
        <f t="shared" si="5"/>
        <v>200</v>
      </c>
      <c r="U34" s="242">
        <v>71</v>
      </c>
      <c r="V34" s="277">
        <f t="shared" si="6"/>
        <v>200</v>
      </c>
      <c r="X34" s="248">
        <v>83</v>
      </c>
      <c r="Y34" s="277">
        <f t="shared" si="7"/>
        <v>200</v>
      </c>
      <c r="AA34" s="242">
        <v>95</v>
      </c>
      <c r="AB34" s="277">
        <f t="shared" si="8"/>
        <v>200</v>
      </c>
      <c r="AD34" s="242">
        <v>107</v>
      </c>
      <c r="AE34" s="277">
        <f t="shared" si="9"/>
        <v>200</v>
      </c>
    </row>
    <row r="35" spans="3:31" s="209" customFormat="1" ht="13.5" thickBot="1" x14ac:dyDescent="0.25">
      <c r="C35" s="251" t="s">
        <v>26</v>
      </c>
      <c r="D35" s="240">
        <f t="shared" si="0"/>
        <v>1000</v>
      </c>
      <c r="F35" s="248">
        <v>12</v>
      </c>
      <c r="G35" s="277">
        <f t="shared" si="1"/>
        <v>200</v>
      </c>
      <c r="H35" s="250"/>
      <c r="I35" s="248">
        <v>24</v>
      </c>
      <c r="J35" s="277">
        <f t="shared" si="2"/>
        <v>200</v>
      </c>
      <c r="L35" s="252">
        <v>36</v>
      </c>
      <c r="M35" s="277">
        <f t="shared" si="3"/>
        <v>200</v>
      </c>
      <c r="O35" s="249">
        <v>48</v>
      </c>
      <c r="P35" s="277">
        <f t="shared" si="4"/>
        <v>200</v>
      </c>
      <c r="R35" s="248">
        <v>60</v>
      </c>
      <c r="S35" s="277">
        <f t="shared" si="5"/>
        <v>200</v>
      </c>
      <c r="U35" s="252">
        <v>72</v>
      </c>
      <c r="V35" s="277">
        <f t="shared" si="6"/>
        <v>200</v>
      </c>
      <c r="X35" s="249">
        <v>84</v>
      </c>
      <c r="Y35" s="277">
        <f t="shared" si="7"/>
        <v>200</v>
      </c>
      <c r="AA35" s="242">
        <v>96</v>
      </c>
      <c r="AB35" s="277">
        <f t="shared" si="8"/>
        <v>200</v>
      </c>
      <c r="AD35" s="252">
        <v>108</v>
      </c>
      <c r="AE35" s="277">
        <f t="shared" si="9"/>
        <v>200</v>
      </c>
    </row>
    <row r="36" spans="3:31" s="209" customFormat="1" x14ac:dyDescent="0.2">
      <c r="D36" s="380">
        <f>SUM(D24:D35)</f>
        <v>12000</v>
      </c>
      <c r="F36" s="211"/>
      <c r="G36" s="380">
        <f>SUM(G24:G35)</f>
        <v>2400</v>
      </c>
      <c r="I36" s="212"/>
      <c r="J36" s="380">
        <f>SUM(J24:J35)</f>
        <v>2400</v>
      </c>
      <c r="L36" s="211"/>
      <c r="M36" s="380">
        <f>SUM(M24:M35)</f>
        <v>2400</v>
      </c>
      <c r="O36" s="211"/>
      <c r="P36" s="380">
        <f>SUM(P24:P35)</f>
        <v>2400</v>
      </c>
      <c r="R36" s="211"/>
      <c r="S36" s="380">
        <f>SUM(S24:S35)</f>
        <v>2400</v>
      </c>
      <c r="V36" s="380">
        <f>SUM(V24:V35)</f>
        <v>2400</v>
      </c>
      <c r="Y36" s="380">
        <f>SUM(Y24:Y35)</f>
        <v>2400</v>
      </c>
      <c r="AB36" s="380">
        <f>SUM(AB24:AB35)</f>
        <v>2400</v>
      </c>
      <c r="AE36" s="380">
        <f>SUM(AE24:AE35)</f>
        <v>2400</v>
      </c>
    </row>
    <row r="37" spans="3:31" s="209" customFormat="1" x14ac:dyDescent="0.2">
      <c r="D37" s="210"/>
      <c r="F37" s="211"/>
      <c r="G37" s="210"/>
      <c r="I37" s="212"/>
      <c r="J37" s="210"/>
      <c r="L37" s="211"/>
      <c r="M37" s="210"/>
      <c r="O37" s="211"/>
      <c r="P37" s="210"/>
      <c r="R37" s="211"/>
      <c r="S37" s="210"/>
      <c r="V37" s="210"/>
      <c r="Y37" s="210"/>
      <c r="AB37" s="210"/>
      <c r="AE37" s="210"/>
    </row>
    <row r="38" spans="3:31" s="209" customFormat="1" ht="25.5" x14ac:dyDescent="0.2">
      <c r="C38" s="258" t="s">
        <v>27</v>
      </c>
      <c r="D38" s="259">
        <f>SUM(D24:D35)</f>
        <v>12000</v>
      </c>
      <c r="E38" s="254">
        <f>D38/3</f>
        <v>4000</v>
      </c>
      <c r="F38" s="210" t="s">
        <v>29</v>
      </c>
      <c r="G38" s="210">
        <f>C3</f>
        <v>1000</v>
      </c>
      <c r="I38" s="212"/>
      <c r="J38" s="210" t="s">
        <v>60</v>
      </c>
      <c r="L38" s="381" t="s">
        <v>64</v>
      </c>
      <c r="M38" s="210">
        <f>COUNTIF(F4:F15,J39)</f>
        <v>0</v>
      </c>
      <c r="O38" s="211" t="s">
        <v>62</v>
      </c>
      <c r="P38" s="210"/>
      <c r="R38" s="211"/>
      <c r="S38" s="210"/>
      <c r="V38" s="210"/>
      <c r="Y38" s="210"/>
      <c r="AB38" s="210"/>
      <c r="AE38" s="210"/>
    </row>
    <row r="39" spans="3:31" s="209" customFormat="1" x14ac:dyDescent="0.2">
      <c r="F39" s="211"/>
      <c r="G39" s="210"/>
      <c r="I39" s="212"/>
      <c r="J39" s="210" t="s">
        <v>61</v>
      </c>
      <c r="M39" s="210"/>
      <c r="O39" s="211" t="s">
        <v>63</v>
      </c>
      <c r="P39" s="210"/>
      <c r="R39" s="211"/>
      <c r="S39" s="210"/>
      <c r="V39" s="210"/>
      <c r="Y39" s="210"/>
      <c r="AB39" s="210"/>
      <c r="AE39" s="210"/>
    </row>
    <row r="40" spans="3:31" s="209" customFormat="1" ht="25.5" x14ac:dyDescent="0.2">
      <c r="C40" s="258" t="s">
        <v>28</v>
      </c>
      <c r="D40" s="259">
        <f>SUM(G36:AE36)</f>
        <v>21600</v>
      </c>
      <c r="F40" s="211"/>
      <c r="G40" s="382">
        <f>D40/D38</f>
        <v>1.8</v>
      </c>
      <c r="I40" s="212"/>
      <c r="J40" s="210" t="s">
        <v>119</v>
      </c>
      <c r="L40" s="381" t="s">
        <v>65</v>
      </c>
      <c r="M40" s="210">
        <f>COUNTIF(D24:D35,0)</f>
        <v>0</v>
      </c>
      <c r="O40" s="211"/>
      <c r="P40" s="210"/>
      <c r="R40" s="211"/>
      <c r="S40" s="210"/>
      <c r="V40" s="210"/>
      <c r="Y40" s="210"/>
      <c r="AB40" s="210"/>
      <c r="AE40" s="210"/>
    </row>
    <row r="43" spans="3:31" s="209" customFormat="1" x14ac:dyDescent="0.2">
      <c r="C43" s="274" t="s">
        <v>32</v>
      </c>
      <c r="D43" s="274"/>
      <c r="E43" s="274"/>
      <c r="F43" s="274"/>
      <c r="G43" s="274"/>
      <c r="H43" s="274"/>
      <c r="I43" s="274"/>
      <c r="J43" s="274"/>
      <c r="K43" s="248" t="s">
        <v>33</v>
      </c>
    </row>
    <row r="44" spans="3:31" s="209" customFormat="1" x14ac:dyDescent="0.2">
      <c r="C44" s="275" t="s">
        <v>34</v>
      </c>
      <c r="D44" s="275"/>
      <c r="E44" s="276" t="s">
        <v>27</v>
      </c>
      <c r="F44" s="276"/>
      <c r="G44" s="276"/>
      <c r="H44" s="276"/>
      <c r="I44" s="276"/>
      <c r="J44" s="276"/>
      <c r="K44" s="277">
        <f>D36</f>
        <v>12000</v>
      </c>
    </row>
    <row r="45" spans="3:31" s="209" customFormat="1" ht="15" x14ac:dyDescent="0.2">
      <c r="C45" s="275" t="s">
        <v>35</v>
      </c>
      <c r="D45" s="275"/>
      <c r="E45" s="276" t="s">
        <v>140</v>
      </c>
      <c r="F45" s="276"/>
      <c r="G45" s="276"/>
      <c r="H45" s="276"/>
      <c r="I45" s="276"/>
      <c r="J45" s="276"/>
      <c r="K45" s="277">
        <f>E25</f>
        <v>21600</v>
      </c>
    </row>
    <row r="46" spans="3:31" s="209" customFormat="1" x14ac:dyDescent="0.2">
      <c r="C46" s="275" t="s">
        <v>37</v>
      </c>
      <c r="D46" s="275"/>
      <c r="E46" s="276" t="s">
        <v>38</v>
      </c>
      <c r="F46" s="276"/>
      <c r="G46" s="276"/>
      <c r="H46" s="276"/>
      <c r="I46" s="276"/>
      <c r="J46" s="276"/>
      <c r="K46" s="277">
        <f>D40</f>
        <v>21600</v>
      </c>
    </row>
    <row r="47" spans="3:31" s="209" customFormat="1" ht="13.5" thickBot="1" x14ac:dyDescent="0.25">
      <c r="C47" s="278" t="s">
        <v>39</v>
      </c>
      <c r="D47" s="278"/>
      <c r="E47" s="279" t="s">
        <v>40</v>
      </c>
      <c r="F47" s="279"/>
      <c r="G47" s="279"/>
      <c r="H47" s="279"/>
      <c r="I47" s="279"/>
      <c r="J47" s="279"/>
      <c r="K47" s="280">
        <f>M21+V21+AE21</f>
        <v>12000</v>
      </c>
    </row>
    <row r="48" spans="3:31" s="209" customFormat="1" ht="13.5" thickBot="1" x14ac:dyDescent="0.25">
      <c r="C48" s="383" t="s">
        <v>41</v>
      </c>
      <c r="D48" s="384"/>
      <c r="E48" s="384"/>
      <c r="F48" s="384"/>
      <c r="G48" s="384"/>
      <c r="H48" s="384"/>
      <c r="I48" s="384"/>
      <c r="J48" s="384"/>
      <c r="K48" s="385">
        <f>K47+K46</f>
        <v>33600</v>
      </c>
    </row>
    <row r="52" spans="3:10" s="209" customFormat="1" ht="15" customHeight="1" x14ac:dyDescent="0.2">
      <c r="C52" s="286" t="s">
        <v>42</v>
      </c>
      <c r="D52" s="286"/>
      <c r="E52" s="286"/>
      <c r="F52" s="286"/>
      <c r="G52" s="286"/>
      <c r="H52" s="286"/>
      <c r="I52" s="286"/>
      <c r="J52" s="286"/>
    </row>
    <row r="53" spans="3:10" s="209" customFormat="1" ht="15" customHeight="1" x14ac:dyDescent="0.2">
      <c r="C53" s="287" t="s">
        <v>43</v>
      </c>
      <c r="D53" s="287"/>
      <c r="E53" s="287"/>
      <c r="F53" s="287"/>
      <c r="G53" s="287"/>
      <c r="H53" s="287"/>
      <c r="I53" s="287"/>
      <c r="J53" s="287"/>
    </row>
    <row r="54" spans="3:10" s="209" customFormat="1" ht="15" customHeight="1" x14ac:dyDescent="0.2">
      <c r="C54" s="287" t="s">
        <v>44</v>
      </c>
      <c r="D54" s="287"/>
      <c r="E54" s="287"/>
      <c r="F54" s="287"/>
      <c r="G54" s="287"/>
      <c r="H54" s="287"/>
      <c r="I54" s="287"/>
      <c r="J54" s="287"/>
    </row>
    <row r="55" spans="3:10" s="209" customFormat="1" ht="78" customHeight="1" x14ac:dyDescent="0.2">
      <c r="C55" s="287" t="s">
        <v>45</v>
      </c>
      <c r="D55" s="287"/>
      <c r="E55" s="287"/>
      <c r="F55" s="287"/>
      <c r="G55" s="287"/>
      <c r="H55" s="287"/>
      <c r="I55" s="287"/>
      <c r="J55" s="287"/>
    </row>
    <row r="56" spans="3:10" s="209" customFormat="1" ht="28.5" customHeight="1" x14ac:dyDescent="0.2">
      <c r="C56" s="287" t="s">
        <v>46</v>
      </c>
      <c r="D56" s="287"/>
      <c r="E56" s="287"/>
      <c r="F56" s="287"/>
      <c r="G56" s="287"/>
      <c r="H56" s="287"/>
      <c r="I56" s="287"/>
      <c r="J56" s="287"/>
    </row>
    <row r="57" spans="3:10" s="209" customFormat="1" ht="15" customHeight="1" x14ac:dyDescent="0.2">
      <c r="C57" s="287" t="s">
        <v>47</v>
      </c>
      <c r="D57" s="287"/>
      <c r="E57" s="287"/>
      <c r="F57" s="287"/>
      <c r="G57" s="287"/>
      <c r="H57" s="287"/>
      <c r="I57" s="287"/>
      <c r="J57" s="287"/>
    </row>
    <row r="58" spans="3:10" s="209" customFormat="1" ht="48.75" customHeight="1" x14ac:dyDescent="0.2">
      <c r="C58" s="287" t="s">
        <v>48</v>
      </c>
      <c r="D58" s="287"/>
      <c r="E58" s="287"/>
      <c r="F58" s="287"/>
      <c r="G58" s="287"/>
      <c r="H58" s="287"/>
      <c r="I58" s="287"/>
      <c r="J58" s="287"/>
    </row>
    <row r="59" spans="3:10" s="209" customFormat="1" ht="51" customHeight="1" x14ac:dyDescent="0.2">
      <c r="C59" s="287" t="s">
        <v>49</v>
      </c>
      <c r="D59" s="287"/>
      <c r="E59" s="287"/>
      <c r="F59" s="287"/>
      <c r="G59" s="287"/>
      <c r="H59" s="287"/>
      <c r="I59" s="287"/>
      <c r="J59" s="287"/>
    </row>
    <row r="60" spans="3:10" s="209" customFormat="1" ht="15" customHeight="1" x14ac:dyDescent="0.2">
      <c r="C60" s="287" t="s">
        <v>50</v>
      </c>
      <c r="D60" s="287"/>
      <c r="E60" s="287"/>
      <c r="F60" s="287"/>
      <c r="G60" s="287"/>
      <c r="H60" s="287"/>
      <c r="I60" s="287"/>
      <c r="J60" s="287"/>
    </row>
    <row r="61" spans="3:10" s="209" customFormat="1" ht="44.25" customHeight="1" x14ac:dyDescent="0.2">
      <c r="C61" s="287" t="s">
        <v>51</v>
      </c>
      <c r="D61" s="287"/>
      <c r="E61" s="287"/>
      <c r="F61" s="287"/>
      <c r="G61" s="287"/>
      <c r="H61" s="287"/>
      <c r="I61" s="287"/>
      <c r="J61" s="287"/>
    </row>
    <row r="62" spans="3:10" s="209" customFormat="1" ht="32.25" customHeight="1" x14ac:dyDescent="0.2">
      <c r="C62" s="287" t="s">
        <v>52</v>
      </c>
      <c r="D62" s="287"/>
      <c r="E62" s="287"/>
      <c r="F62" s="287"/>
      <c r="G62" s="287"/>
      <c r="H62" s="287"/>
      <c r="I62" s="287"/>
      <c r="J62" s="287"/>
    </row>
    <row r="63" spans="3:10" s="209" customFormat="1" ht="15" customHeight="1" x14ac:dyDescent="0.2">
      <c r="C63" s="287" t="s">
        <v>53</v>
      </c>
      <c r="D63" s="287"/>
      <c r="E63" s="287"/>
      <c r="F63" s="287"/>
      <c r="G63" s="287"/>
      <c r="H63" s="287"/>
      <c r="I63" s="287"/>
      <c r="J63" s="287"/>
    </row>
    <row r="64" spans="3:10" s="209" customFormat="1" ht="55.15" customHeight="1" x14ac:dyDescent="0.2">
      <c r="C64" s="287" t="s">
        <v>54</v>
      </c>
      <c r="D64" s="287"/>
      <c r="E64" s="287"/>
      <c r="F64" s="287"/>
      <c r="G64" s="287"/>
      <c r="H64" s="287"/>
      <c r="I64" s="287"/>
      <c r="J64" s="287"/>
    </row>
    <row r="65" spans="3:10" s="209" customFormat="1" ht="15" customHeight="1" x14ac:dyDescent="0.2">
      <c r="C65" s="287" t="s">
        <v>55</v>
      </c>
      <c r="D65" s="287"/>
      <c r="E65" s="287"/>
      <c r="F65" s="287"/>
      <c r="G65" s="287"/>
      <c r="H65" s="287"/>
      <c r="I65" s="287"/>
      <c r="J65" s="287"/>
    </row>
    <row r="66" spans="3:10" s="209" customFormat="1" ht="15" customHeight="1" x14ac:dyDescent="0.2">
      <c r="C66" s="287" t="s">
        <v>56</v>
      </c>
      <c r="D66" s="287"/>
      <c r="E66" s="287"/>
      <c r="F66" s="287"/>
      <c r="G66" s="287"/>
      <c r="H66" s="287"/>
      <c r="I66" s="287"/>
      <c r="J66" s="287"/>
    </row>
    <row r="67" spans="3:10" s="209" customFormat="1" ht="55.5" customHeight="1" x14ac:dyDescent="0.2">
      <c r="C67" s="287" t="s">
        <v>57</v>
      </c>
      <c r="D67" s="287"/>
      <c r="E67" s="287"/>
      <c r="F67" s="287"/>
      <c r="G67" s="287"/>
      <c r="H67" s="287"/>
      <c r="I67" s="287"/>
      <c r="J67" s="287"/>
    </row>
    <row r="68" spans="3:10" s="209" customFormat="1" ht="15" customHeight="1" x14ac:dyDescent="0.2">
      <c r="C68" s="287" t="s">
        <v>58</v>
      </c>
      <c r="D68" s="287"/>
      <c r="E68" s="287"/>
      <c r="F68" s="287"/>
      <c r="G68" s="287"/>
      <c r="H68" s="287"/>
      <c r="I68" s="287"/>
      <c r="J68" s="287"/>
    </row>
  </sheetData>
  <sheetProtection algorithmName="SHA-512" hashValue="vosAtIxFIRrxOZeR6F8tRjEw7AdPzB7Pk/opyWFynho4QJpf6MNF1UacBj2dK54oZirN4d8UtVlBCGPvzeHXnA==" saltValue="QvvIxHdnwydeHym42RnsVQ==" spinCount="100000" sheet="1" objects="1" scenarios="1"/>
  <mergeCells count="43">
    <mergeCell ref="AD22:AE22"/>
    <mergeCell ref="C43:J43"/>
    <mergeCell ref="C44:D44"/>
    <mergeCell ref="E44:J44"/>
    <mergeCell ref="C45:D45"/>
    <mergeCell ref="E45:J45"/>
    <mergeCell ref="O22:P22"/>
    <mergeCell ref="R22:S22"/>
    <mergeCell ref="U22:V22"/>
    <mergeCell ref="X22:Y22"/>
    <mergeCell ref="AA22:AB22"/>
    <mergeCell ref="C22:D22"/>
    <mergeCell ref="E22:E23"/>
    <mergeCell ref="F22:G22"/>
    <mergeCell ref="I22:J22"/>
    <mergeCell ref="L22:M22"/>
    <mergeCell ref="C46:D46"/>
    <mergeCell ref="E46:J46"/>
    <mergeCell ref="C47:D47"/>
    <mergeCell ref="E47:J47"/>
    <mergeCell ref="C48:J48"/>
    <mergeCell ref="C52:J52"/>
    <mergeCell ref="C53:J53"/>
    <mergeCell ref="C54:J54"/>
    <mergeCell ref="C55:J55"/>
    <mergeCell ref="C56:J56"/>
    <mergeCell ref="C57:J57"/>
    <mergeCell ref="C58:J58"/>
    <mergeCell ref="C59:J59"/>
    <mergeCell ref="C60:J60"/>
    <mergeCell ref="C61:J61"/>
    <mergeCell ref="C67:J67"/>
    <mergeCell ref="C68:J68"/>
    <mergeCell ref="C62:J62"/>
    <mergeCell ref="C63:J63"/>
    <mergeCell ref="C64:J64"/>
    <mergeCell ref="C65:J65"/>
    <mergeCell ref="C66:J66"/>
    <mergeCell ref="I7:K7"/>
    <mergeCell ref="I3:K3"/>
    <mergeCell ref="I4:K4"/>
    <mergeCell ref="I5:K5"/>
    <mergeCell ref="I6:K6"/>
  </mergeCells>
  <conditionalFormatting sqref="G4:G15">
    <cfRule type="cellIs" dxfId="4" priority="3" operator="lessThan">
      <formula>$C$3</formula>
    </cfRule>
  </conditionalFormatting>
  <conditionalFormatting sqref="C3">
    <cfRule type="cellIs" dxfId="3" priority="2" operator="lessThan">
      <formula>100</formula>
    </cfRule>
  </conditionalFormatting>
  <dataValidations disablePrompts="1" count="1">
    <dataValidation type="list" allowBlank="1" showInputMessage="1" showErrorMessage="1" sqref="F4:F15" xr:uid="{6179892E-34CC-4D65-8E3E-C43FD0D6271D}">
      <formula1>$J$38:$J$40</formula1>
    </dataValidation>
  </dataValidations>
  <hyperlinks>
    <hyperlink ref="C8" location="'USER GUIDE'!A1" display="USER GUIDE" xr:uid="{3565B997-2537-4FAE-BD96-DF875DFFBD1F}"/>
  </hyperlink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Z57"/>
  <sheetViews>
    <sheetView showGridLines="0" zoomScale="80" zoomScaleNormal="80" workbookViewId="0"/>
  </sheetViews>
  <sheetFormatPr defaultRowHeight="15" x14ac:dyDescent="0.25"/>
  <cols>
    <col min="1" max="1" width="21" style="288" bestFit="1" customWidth="1"/>
    <col min="2" max="2" width="21.85546875" style="288" bestFit="1" customWidth="1"/>
    <col min="3" max="3" width="10.42578125" style="288" customWidth="1"/>
    <col min="4" max="4" width="12.28515625" style="288" customWidth="1"/>
    <col min="5" max="5" width="13.42578125" style="288" customWidth="1"/>
    <col min="6" max="6" width="16.28515625" style="288" customWidth="1"/>
    <col min="7" max="7" width="9" style="288" customWidth="1"/>
    <col min="8" max="8" width="9.42578125" style="288" customWidth="1"/>
    <col min="9" max="11" width="10.85546875" style="288" customWidth="1"/>
    <col min="12" max="12" width="7.5703125" style="288" customWidth="1"/>
    <col min="13" max="13" width="10.42578125" style="288" customWidth="1"/>
    <col min="14" max="44" width="9.140625" style="288" customWidth="1"/>
    <col min="45" max="45" width="10.7109375" style="288" customWidth="1"/>
    <col min="46" max="49" width="9.140625" style="288" customWidth="1"/>
    <col min="50" max="50" width="11.7109375" style="288" customWidth="1"/>
    <col min="51" max="1025" width="9.140625" style="288" customWidth="1"/>
    <col min="1026" max="16384" width="9.140625" style="288"/>
  </cols>
  <sheetData>
    <row r="1" spans="1:52" ht="15.75" thickBot="1" x14ac:dyDescent="0.3">
      <c r="B1" s="289"/>
      <c r="C1" s="290"/>
      <c r="D1" s="290"/>
      <c r="E1" s="290"/>
      <c r="F1" s="289"/>
      <c r="G1" s="291"/>
      <c r="H1" s="290"/>
      <c r="I1" s="290"/>
      <c r="J1" s="290"/>
      <c r="K1" s="289"/>
      <c r="L1" s="292"/>
      <c r="M1" s="290"/>
      <c r="N1" s="290"/>
      <c r="O1" s="290"/>
      <c r="P1" s="289"/>
      <c r="Q1" s="291"/>
      <c r="R1" s="290"/>
      <c r="S1" s="290"/>
      <c r="T1" s="290"/>
      <c r="U1" s="289"/>
      <c r="V1" s="291"/>
      <c r="W1" s="290"/>
      <c r="X1" s="290"/>
      <c r="Y1" s="290"/>
      <c r="Z1" s="289"/>
      <c r="AA1" s="291"/>
      <c r="AB1" s="290"/>
      <c r="AC1" s="290"/>
      <c r="AD1" s="290"/>
      <c r="AE1" s="289"/>
      <c r="AF1" s="289"/>
      <c r="AG1" s="290"/>
      <c r="AH1" s="290"/>
      <c r="AI1" s="290"/>
      <c r="AJ1" s="289"/>
      <c r="AK1" s="289"/>
      <c r="AL1" s="290"/>
      <c r="AM1" s="290"/>
      <c r="AN1" s="290"/>
      <c r="AO1" s="289"/>
      <c r="AP1" s="289"/>
      <c r="AQ1" s="290"/>
      <c r="AR1" s="290"/>
      <c r="AS1" s="290"/>
      <c r="AT1" s="289"/>
      <c r="AU1" s="289"/>
      <c r="AV1" s="290"/>
      <c r="AW1" s="290"/>
      <c r="AX1" s="290"/>
    </row>
    <row r="2" spans="1:52" x14ac:dyDescent="0.25">
      <c r="A2" s="293"/>
      <c r="B2" s="294" t="s">
        <v>74</v>
      </c>
      <c r="C2" s="290"/>
      <c r="D2" s="290"/>
      <c r="E2" s="290"/>
      <c r="F2" s="289"/>
      <c r="G2" s="291"/>
      <c r="H2" s="290"/>
      <c r="I2" s="290"/>
      <c r="J2" s="290"/>
      <c r="K2" s="289"/>
      <c r="L2" s="292"/>
      <c r="M2" s="290"/>
      <c r="N2" s="290"/>
      <c r="O2" s="290"/>
      <c r="P2" s="289"/>
      <c r="Q2" s="291"/>
      <c r="R2" s="290"/>
      <c r="S2" s="290"/>
      <c r="T2" s="290"/>
      <c r="U2" s="289"/>
      <c r="V2" s="291"/>
      <c r="W2" s="290"/>
      <c r="X2" s="290"/>
      <c r="Y2" s="290"/>
      <c r="Z2" s="289"/>
      <c r="AA2" s="291"/>
      <c r="AB2" s="290"/>
      <c r="AC2" s="290"/>
      <c r="AD2" s="290"/>
      <c r="AE2" s="289"/>
      <c r="AF2" s="289"/>
      <c r="AG2" s="290"/>
      <c r="AH2" s="290"/>
      <c r="AI2" s="290"/>
      <c r="AJ2" s="289"/>
      <c r="AK2" s="289"/>
      <c r="AL2" s="290"/>
      <c r="AM2" s="290"/>
      <c r="AN2" s="290"/>
      <c r="AO2" s="289"/>
      <c r="AP2" s="289"/>
      <c r="AQ2" s="290"/>
      <c r="AR2" s="290"/>
      <c r="AS2" s="290"/>
      <c r="AT2" s="289"/>
      <c r="AU2" s="289"/>
      <c r="AV2" s="290"/>
      <c r="AW2" s="290"/>
      <c r="AX2" s="290"/>
    </row>
    <row r="3" spans="1:52" ht="15.75" thickBot="1" x14ac:dyDescent="0.3">
      <c r="A3" s="295" t="s">
        <v>75</v>
      </c>
      <c r="B3" s="296">
        <v>1000</v>
      </c>
      <c r="F3" s="289"/>
      <c r="G3" s="291"/>
      <c r="H3" s="290"/>
      <c r="I3" s="290"/>
      <c r="J3" s="290"/>
      <c r="K3" s="289"/>
      <c r="L3" s="292"/>
      <c r="M3" s="290"/>
      <c r="N3" s="290"/>
      <c r="O3" s="290"/>
      <c r="P3" s="289"/>
      <c r="Q3" s="291"/>
      <c r="R3" s="290"/>
      <c r="S3" s="290"/>
      <c r="T3" s="290"/>
      <c r="U3" s="289"/>
      <c r="V3" s="291"/>
      <c r="W3" s="290"/>
      <c r="X3" s="290"/>
      <c r="Y3" s="290"/>
      <c r="Z3" s="289"/>
      <c r="AA3" s="291"/>
      <c r="AB3" s="290"/>
      <c r="AC3" s="290"/>
      <c r="AD3" s="290"/>
      <c r="AE3" s="289"/>
      <c r="AF3" s="289"/>
      <c r="AG3" s="290"/>
      <c r="AH3" s="290"/>
      <c r="AI3" s="290"/>
      <c r="AJ3" s="289"/>
      <c r="AK3" s="289"/>
      <c r="AL3" s="290"/>
      <c r="AM3" s="290"/>
      <c r="AN3" s="290"/>
      <c r="AO3" s="289"/>
      <c r="AP3" s="289"/>
      <c r="AQ3" s="290"/>
      <c r="AR3" s="290"/>
      <c r="AS3" s="290"/>
      <c r="AT3" s="289"/>
      <c r="AU3" s="289"/>
      <c r="AV3" s="290"/>
      <c r="AW3" s="290"/>
      <c r="AX3" s="290"/>
    </row>
    <row r="4" spans="1:52" ht="15.75" x14ac:dyDescent="0.25">
      <c r="A4" s="297" t="s">
        <v>77</v>
      </c>
      <c r="B4" s="298">
        <f>IF(B3&gt;='TSGAP % slabs'!B8,'TSGAP % slabs'!D8,IF(B3&gt;='TSGAP % slabs'!B7,'TSGAP % slabs'!D7,IF(B3&gt;='TSGAP % slabs'!B6,'TSGAP % slabs'!D6,IF(B3&gt;='TSGAP % slabs'!B5,'TSGAP % slabs'!D5,IF(B3&gt;='TSGAP % slabs'!B4,'TSGAP % slabs'!D4,0)))))</f>
        <v>0.2</v>
      </c>
      <c r="C4" s="290"/>
      <c r="D4" s="290"/>
      <c r="E4" s="290"/>
      <c r="F4" s="289"/>
      <c r="G4" s="291"/>
      <c r="H4" s="290"/>
      <c r="I4" s="290"/>
      <c r="J4" s="290"/>
      <c r="K4" s="289"/>
      <c r="L4" s="292"/>
      <c r="M4" s="290"/>
      <c r="N4" s="290"/>
      <c r="O4" s="290"/>
      <c r="P4" s="289"/>
      <c r="Q4" s="291"/>
      <c r="R4" s="290"/>
      <c r="S4" s="290"/>
      <c r="T4" s="290"/>
      <c r="U4" s="289"/>
      <c r="V4" s="291"/>
      <c r="W4" s="290"/>
      <c r="X4" s="290"/>
      <c r="Y4" s="290"/>
      <c r="Z4" s="289"/>
      <c r="AA4" s="291"/>
      <c r="AB4" s="290"/>
      <c r="AC4" s="290"/>
      <c r="AD4" s="290"/>
      <c r="AE4" s="289"/>
      <c r="AF4" s="289"/>
      <c r="AG4" s="290"/>
      <c r="AH4" s="290"/>
      <c r="AI4" s="290"/>
      <c r="AJ4" s="289"/>
      <c r="AK4" s="289"/>
      <c r="AL4" s="290"/>
      <c r="AM4" s="290"/>
      <c r="AN4" s="290"/>
      <c r="AO4" s="289"/>
      <c r="AP4" s="289"/>
      <c r="AQ4" s="290"/>
      <c r="AR4" s="290"/>
      <c r="AS4" s="290"/>
      <c r="AT4" s="289"/>
      <c r="AU4" s="289"/>
      <c r="AV4" s="290"/>
      <c r="AW4" s="290"/>
      <c r="AX4" s="290"/>
    </row>
    <row r="5" spans="1:52" ht="16.5" thickBot="1" x14ac:dyDescent="0.3">
      <c r="A5" s="299"/>
      <c r="B5" s="300"/>
      <c r="C5" s="290"/>
      <c r="D5" s="290"/>
      <c r="E5" s="290"/>
      <c r="F5" s="289"/>
      <c r="G5" s="291"/>
      <c r="H5" s="290"/>
      <c r="I5" s="290"/>
      <c r="J5" s="290"/>
      <c r="K5" s="289"/>
      <c r="L5" s="292"/>
      <c r="M5" s="290"/>
      <c r="N5" s="290"/>
      <c r="O5" s="290"/>
      <c r="P5" s="289"/>
      <c r="Q5" s="291"/>
      <c r="R5" s="290"/>
      <c r="S5" s="290"/>
      <c r="T5" s="290"/>
      <c r="U5" s="289"/>
      <c r="V5" s="291"/>
      <c r="W5" s="290"/>
      <c r="X5" s="290"/>
      <c r="Y5" s="290"/>
      <c r="Z5" s="289"/>
      <c r="AA5" s="291"/>
      <c r="AB5" s="290"/>
      <c r="AC5" s="290"/>
      <c r="AD5" s="290"/>
      <c r="AE5" s="289"/>
      <c r="AF5" s="289"/>
      <c r="AG5" s="290"/>
      <c r="AH5" s="290"/>
      <c r="AI5" s="290"/>
      <c r="AJ5" s="289"/>
      <c r="AK5" s="289"/>
      <c r="AL5" s="290"/>
      <c r="AM5" s="290"/>
      <c r="AN5" s="290"/>
      <c r="AO5" s="289"/>
      <c r="AP5" s="289"/>
      <c r="AQ5" s="290"/>
      <c r="AR5" s="290"/>
      <c r="AS5" s="290"/>
      <c r="AT5" s="289"/>
      <c r="AU5" s="289"/>
      <c r="AV5" s="290"/>
      <c r="AW5" s="290"/>
      <c r="AX5" s="290"/>
    </row>
    <row r="6" spans="1:52" ht="23.25" thickBot="1" x14ac:dyDescent="0.3">
      <c r="B6" s="289"/>
      <c r="C6" s="289"/>
      <c r="D6" s="289"/>
      <c r="E6" s="289"/>
      <c r="F6" s="289"/>
      <c r="G6" s="289"/>
      <c r="H6" s="290"/>
      <c r="I6" s="290"/>
      <c r="J6" s="290"/>
      <c r="K6" s="289"/>
      <c r="L6" s="289"/>
      <c r="M6" s="290"/>
      <c r="N6" s="290"/>
      <c r="O6" s="290"/>
      <c r="P6" s="289"/>
      <c r="Q6" s="301" t="s">
        <v>30</v>
      </c>
      <c r="R6" s="302">
        <f>C21/3</f>
        <v>4000</v>
      </c>
      <c r="S6" s="289"/>
      <c r="T6" s="289"/>
      <c r="U6" s="289"/>
      <c r="V6" s="291"/>
      <c r="W6" s="290"/>
      <c r="X6" s="290"/>
      <c r="Y6" s="290"/>
      <c r="Z6" s="289"/>
      <c r="AA6" s="291"/>
      <c r="AB6" s="290"/>
      <c r="AC6" s="290"/>
      <c r="AD6" s="290"/>
      <c r="AE6" s="289"/>
      <c r="AF6" s="301" t="s">
        <v>30</v>
      </c>
      <c r="AG6" s="302">
        <f>R21/3</f>
        <v>800</v>
      </c>
      <c r="AH6" s="289"/>
      <c r="AI6" s="289"/>
      <c r="AJ6" s="289"/>
      <c r="AK6" s="289"/>
      <c r="AL6" s="290"/>
      <c r="AM6" s="290"/>
      <c r="AN6" s="290"/>
      <c r="AO6" s="289"/>
      <c r="AP6" s="289"/>
      <c r="AQ6" s="290"/>
      <c r="AR6" s="290"/>
      <c r="AS6" s="290"/>
      <c r="AT6" s="289"/>
      <c r="AU6" s="301" t="s">
        <v>30</v>
      </c>
      <c r="AV6" s="302">
        <f>AG21/3</f>
        <v>800</v>
      </c>
      <c r="AW6" s="289"/>
      <c r="AX6" s="289"/>
    </row>
    <row r="7" spans="1:52" ht="22.35" customHeight="1" thickBot="1" x14ac:dyDescent="0.3">
      <c r="B7" s="303" t="s">
        <v>1</v>
      </c>
      <c r="C7" s="303"/>
      <c r="D7" s="303"/>
      <c r="E7" s="303"/>
      <c r="F7" s="304" t="s">
        <v>2</v>
      </c>
      <c r="G7" s="305" t="s">
        <v>3</v>
      </c>
      <c r="H7" s="305"/>
      <c r="I7" s="305"/>
      <c r="J7" s="305"/>
      <c r="K7" s="306"/>
      <c r="L7" s="305" t="s">
        <v>4</v>
      </c>
      <c r="M7" s="305"/>
      <c r="N7" s="305"/>
      <c r="O7" s="305"/>
      <c r="P7" s="306"/>
      <c r="Q7" s="305" t="s">
        <v>5</v>
      </c>
      <c r="R7" s="305"/>
      <c r="S7" s="305"/>
      <c r="T7" s="305"/>
      <c r="U7" s="306"/>
      <c r="V7" s="305" t="s">
        <v>6</v>
      </c>
      <c r="W7" s="305"/>
      <c r="X7" s="305"/>
      <c r="Y7" s="305"/>
      <c r="Z7" s="306"/>
      <c r="AA7" s="305" t="s">
        <v>7</v>
      </c>
      <c r="AB7" s="305"/>
      <c r="AC7" s="305"/>
      <c r="AD7" s="305"/>
      <c r="AE7" s="306"/>
      <c r="AF7" s="305" t="s">
        <v>8</v>
      </c>
      <c r="AG7" s="305"/>
      <c r="AH7" s="305"/>
      <c r="AI7" s="305"/>
      <c r="AJ7" s="306"/>
      <c r="AK7" s="305" t="s">
        <v>9</v>
      </c>
      <c r="AL7" s="305"/>
      <c r="AM7" s="305"/>
      <c r="AN7" s="305"/>
      <c r="AO7" s="306"/>
      <c r="AP7" s="305" t="s">
        <v>10</v>
      </c>
      <c r="AQ7" s="305"/>
      <c r="AR7" s="305"/>
      <c r="AS7" s="305"/>
      <c r="AT7" s="306"/>
      <c r="AU7" s="305" t="s">
        <v>11</v>
      </c>
      <c r="AV7" s="305"/>
      <c r="AW7" s="305"/>
      <c r="AX7" s="305"/>
      <c r="AY7" s="307"/>
      <c r="AZ7" s="307"/>
    </row>
    <row r="8" spans="1:52" ht="45.75" thickBot="1" x14ac:dyDescent="0.3">
      <c r="B8" s="308" t="s">
        <v>12</v>
      </c>
      <c r="C8" s="309" t="s">
        <v>13</v>
      </c>
      <c r="D8" s="310" t="s">
        <v>66</v>
      </c>
      <c r="E8" s="310" t="s">
        <v>67</v>
      </c>
      <c r="F8" s="304"/>
      <c r="G8" s="311" t="s">
        <v>14</v>
      </c>
      <c r="H8" s="312" t="s">
        <v>76</v>
      </c>
      <c r="I8" s="312" t="s">
        <v>66</v>
      </c>
      <c r="J8" s="312" t="s">
        <v>67</v>
      </c>
      <c r="K8" s="313"/>
      <c r="L8" s="311" t="s">
        <v>14</v>
      </c>
      <c r="M8" s="312" t="s">
        <v>76</v>
      </c>
      <c r="N8" s="312" t="s">
        <v>66</v>
      </c>
      <c r="O8" s="312" t="s">
        <v>67</v>
      </c>
      <c r="P8" s="313"/>
      <c r="Q8" s="311" t="s">
        <v>14</v>
      </c>
      <c r="R8" s="312" t="s">
        <v>76</v>
      </c>
      <c r="S8" s="312" t="s">
        <v>66</v>
      </c>
      <c r="T8" s="312" t="s">
        <v>67</v>
      </c>
      <c r="U8" s="313"/>
      <c r="V8" s="311" t="s">
        <v>14</v>
      </c>
      <c r="W8" s="312" t="s">
        <v>76</v>
      </c>
      <c r="X8" s="312" t="s">
        <v>66</v>
      </c>
      <c r="Y8" s="312" t="s">
        <v>67</v>
      </c>
      <c r="Z8" s="313"/>
      <c r="AA8" s="311" t="s">
        <v>14</v>
      </c>
      <c r="AB8" s="312" t="s">
        <v>76</v>
      </c>
      <c r="AC8" s="312" t="s">
        <v>66</v>
      </c>
      <c r="AD8" s="312" t="s">
        <v>67</v>
      </c>
      <c r="AE8" s="313"/>
      <c r="AF8" s="311" t="s">
        <v>14</v>
      </c>
      <c r="AG8" s="312" t="s">
        <v>76</v>
      </c>
      <c r="AH8" s="312" t="s">
        <v>66</v>
      </c>
      <c r="AI8" s="312" t="s">
        <v>67</v>
      </c>
      <c r="AJ8" s="313"/>
      <c r="AK8" s="311" t="s">
        <v>14</v>
      </c>
      <c r="AL8" s="312" t="s">
        <v>76</v>
      </c>
      <c r="AM8" s="312" t="s">
        <v>66</v>
      </c>
      <c r="AN8" s="312" t="s">
        <v>67</v>
      </c>
      <c r="AO8" s="313"/>
      <c r="AP8" s="311" t="s">
        <v>14</v>
      </c>
      <c r="AQ8" s="312" t="s">
        <v>76</v>
      </c>
      <c r="AR8" s="312" t="s">
        <v>66</v>
      </c>
      <c r="AS8" s="312" t="s">
        <v>67</v>
      </c>
      <c r="AT8" s="313"/>
      <c r="AU8" s="311" t="s">
        <v>14</v>
      </c>
      <c r="AV8" s="312" t="s">
        <v>76</v>
      </c>
      <c r="AW8" s="312" t="s">
        <v>66</v>
      </c>
      <c r="AX8" s="312" t="s">
        <v>67</v>
      </c>
      <c r="AY8" s="314"/>
      <c r="AZ8" s="314"/>
    </row>
    <row r="9" spans="1:52" ht="15.75" thickBot="1" x14ac:dyDescent="0.3">
      <c r="B9" s="315" t="s">
        <v>15</v>
      </c>
      <c r="C9" s="316">
        <f t="shared" ref="C9:C20" si="0">$B$3</f>
        <v>1000</v>
      </c>
      <c r="D9" s="316">
        <f t="shared" ref="D9:D20" si="1">0.05*C9</f>
        <v>50</v>
      </c>
      <c r="E9" s="316">
        <f t="shared" ref="E9:E20" si="2">0.05*C9</f>
        <v>50</v>
      </c>
      <c r="F9" s="317" t="s">
        <v>31</v>
      </c>
      <c r="G9" s="318">
        <v>1</v>
      </c>
      <c r="H9" s="319">
        <f>$C9*$B$4</f>
        <v>200</v>
      </c>
      <c r="I9" s="319">
        <f t="shared" ref="I9:I20" si="3">0.05*H9</f>
        <v>10</v>
      </c>
      <c r="J9" s="319">
        <f t="shared" ref="J9:J20" si="4">0.05*H9</f>
        <v>10</v>
      </c>
      <c r="K9" s="313"/>
      <c r="L9" s="318">
        <v>13</v>
      </c>
      <c r="M9" s="319">
        <f t="shared" ref="M9:M20" si="5">$C9*$B$4</f>
        <v>200</v>
      </c>
      <c r="N9" s="319">
        <f t="shared" ref="N9:N20" si="6">0.05*M9</f>
        <v>10</v>
      </c>
      <c r="O9" s="319">
        <f t="shared" ref="O9:O20" si="7">0.05*M9</f>
        <v>10</v>
      </c>
      <c r="P9" s="313"/>
      <c r="Q9" s="318">
        <v>25</v>
      </c>
      <c r="R9" s="319">
        <f t="shared" ref="R9:R20" si="8">$C9*$B$4</f>
        <v>200</v>
      </c>
      <c r="S9" s="319">
        <f t="shared" ref="S9:S20" si="9">0.05*R9</f>
        <v>10</v>
      </c>
      <c r="T9" s="319">
        <f t="shared" ref="T9:T20" si="10">0.05*R9</f>
        <v>10</v>
      </c>
      <c r="U9" s="313"/>
      <c r="V9" s="318">
        <v>37</v>
      </c>
      <c r="W9" s="319">
        <f t="shared" ref="W9:W20" si="11">$C9*$B$4</f>
        <v>200</v>
      </c>
      <c r="X9" s="319">
        <f t="shared" ref="X9:X20" si="12">0.05*W9</f>
        <v>10</v>
      </c>
      <c r="Y9" s="319">
        <f t="shared" ref="Y9:Y20" si="13">0.05*W9</f>
        <v>10</v>
      </c>
      <c r="Z9" s="313"/>
      <c r="AA9" s="318">
        <v>49</v>
      </c>
      <c r="AB9" s="319">
        <f t="shared" ref="AB9:AB20" si="14">$C9*$B$4</f>
        <v>200</v>
      </c>
      <c r="AC9" s="319">
        <f t="shared" ref="AC9:AC20" si="15">0.05*AB9</f>
        <v>10</v>
      </c>
      <c r="AD9" s="319">
        <f t="shared" ref="AD9:AD20" si="16">0.05*AB9</f>
        <v>10</v>
      </c>
      <c r="AE9" s="313"/>
      <c r="AF9" s="318">
        <v>61</v>
      </c>
      <c r="AG9" s="319">
        <f t="shared" ref="AG9:AG20" si="17">$C9*$B$4</f>
        <v>200</v>
      </c>
      <c r="AH9" s="319">
        <f t="shared" ref="AH9:AH20" si="18">0.05*AG9</f>
        <v>10</v>
      </c>
      <c r="AI9" s="319">
        <f t="shared" ref="AI9:AI20" si="19">0.05*AG9</f>
        <v>10</v>
      </c>
      <c r="AJ9" s="313"/>
      <c r="AK9" s="318">
        <v>73</v>
      </c>
      <c r="AL9" s="319">
        <f t="shared" ref="AL9:AL20" si="20">$C9*$B$4</f>
        <v>200</v>
      </c>
      <c r="AM9" s="319">
        <f t="shared" ref="AM9:AM20" si="21">0.05*AL9</f>
        <v>10</v>
      </c>
      <c r="AN9" s="319">
        <f t="shared" ref="AN9:AN20" si="22">0.05*AL9</f>
        <v>10</v>
      </c>
      <c r="AO9" s="313"/>
      <c r="AP9" s="320">
        <v>85</v>
      </c>
      <c r="AQ9" s="319">
        <f t="shared" ref="AQ9:AQ20" si="23">$C9*$B$4</f>
        <v>200</v>
      </c>
      <c r="AR9" s="319">
        <f t="shared" ref="AR9:AR20" si="24">0.05*AQ9</f>
        <v>10</v>
      </c>
      <c r="AS9" s="319">
        <f t="shared" ref="AS9:AS20" si="25">0.05*AQ9</f>
        <v>10</v>
      </c>
      <c r="AT9" s="313"/>
      <c r="AU9" s="320">
        <v>97</v>
      </c>
      <c r="AV9" s="319">
        <f t="shared" ref="AV9:AV20" si="26">$C9*$B$4</f>
        <v>200</v>
      </c>
      <c r="AW9" s="319">
        <f t="shared" ref="AW9:AW20" si="27">0.05*AV9</f>
        <v>10</v>
      </c>
      <c r="AX9" s="319">
        <f t="shared" ref="AX9:AX20" si="28">0.05*AV9</f>
        <v>10</v>
      </c>
      <c r="AY9" s="314"/>
      <c r="AZ9" s="314"/>
    </row>
    <row r="10" spans="1:52" ht="15.75" thickBot="1" x14ac:dyDescent="0.3">
      <c r="B10" s="321" t="s">
        <v>16</v>
      </c>
      <c r="C10" s="316">
        <f t="shared" si="0"/>
        <v>1000</v>
      </c>
      <c r="D10" s="316">
        <f t="shared" si="1"/>
        <v>50</v>
      </c>
      <c r="E10" s="316">
        <f t="shared" si="2"/>
        <v>50</v>
      </c>
      <c r="F10" s="322">
        <f>C23+C25</f>
        <v>33600</v>
      </c>
      <c r="G10" s="323">
        <v>2</v>
      </c>
      <c r="H10" s="324">
        <f t="shared" ref="H10:H20" si="29">$C10*$B$4</f>
        <v>200</v>
      </c>
      <c r="I10" s="324">
        <f t="shared" si="3"/>
        <v>10</v>
      </c>
      <c r="J10" s="324">
        <f t="shared" si="4"/>
        <v>10</v>
      </c>
      <c r="K10" s="313"/>
      <c r="L10" s="323">
        <v>14</v>
      </c>
      <c r="M10" s="324">
        <f t="shared" si="5"/>
        <v>200</v>
      </c>
      <c r="N10" s="324">
        <f t="shared" si="6"/>
        <v>10</v>
      </c>
      <c r="O10" s="324">
        <f t="shared" si="7"/>
        <v>10</v>
      </c>
      <c r="P10" s="289"/>
      <c r="Q10" s="323">
        <v>26</v>
      </c>
      <c r="R10" s="324">
        <f t="shared" si="8"/>
        <v>200</v>
      </c>
      <c r="S10" s="324">
        <f t="shared" si="9"/>
        <v>10</v>
      </c>
      <c r="T10" s="324">
        <f t="shared" si="10"/>
        <v>10</v>
      </c>
      <c r="U10" s="289"/>
      <c r="V10" s="325">
        <v>38</v>
      </c>
      <c r="W10" s="324">
        <f t="shared" si="11"/>
        <v>200</v>
      </c>
      <c r="X10" s="324">
        <f t="shared" si="12"/>
        <v>10</v>
      </c>
      <c r="Y10" s="324">
        <f t="shared" si="13"/>
        <v>10</v>
      </c>
      <c r="Z10" s="289"/>
      <c r="AA10" s="323">
        <v>50</v>
      </c>
      <c r="AB10" s="324">
        <f t="shared" si="14"/>
        <v>200</v>
      </c>
      <c r="AC10" s="324">
        <f t="shared" si="15"/>
        <v>10</v>
      </c>
      <c r="AD10" s="324">
        <f t="shared" si="16"/>
        <v>10</v>
      </c>
      <c r="AE10" s="289"/>
      <c r="AF10" s="323">
        <v>62</v>
      </c>
      <c r="AG10" s="324">
        <f t="shared" si="17"/>
        <v>200</v>
      </c>
      <c r="AH10" s="324">
        <f t="shared" si="18"/>
        <v>10</v>
      </c>
      <c r="AI10" s="324">
        <f t="shared" si="19"/>
        <v>10</v>
      </c>
      <c r="AJ10" s="289"/>
      <c r="AK10" s="325">
        <v>74</v>
      </c>
      <c r="AL10" s="324">
        <f t="shared" si="20"/>
        <v>200</v>
      </c>
      <c r="AM10" s="324">
        <f t="shared" si="21"/>
        <v>10</v>
      </c>
      <c r="AN10" s="324">
        <f t="shared" si="22"/>
        <v>10</v>
      </c>
      <c r="AO10" s="289"/>
      <c r="AP10" s="320">
        <v>86</v>
      </c>
      <c r="AQ10" s="324">
        <f t="shared" si="23"/>
        <v>200</v>
      </c>
      <c r="AR10" s="324">
        <f t="shared" si="24"/>
        <v>10</v>
      </c>
      <c r="AS10" s="324">
        <f t="shared" si="25"/>
        <v>10</v>
      </c>
      <c r="AT10" s="289"/>
      <c r="AU10" s="326">
        <v>98</v>
      </c>
      <c r="AV10" s="324">
        <f t="shared" si="26"/>
        <v>200</v>
      </c>
      <c r="AW10" s="324">
        <f t="shared" si="27"/>
        <v>10</v>
      </c>
      <c r="AX10" s="324">
        <f t="shared" si="28"/>
        <v>10</v>
      </c>
    </row>
    <row r="11" spans="1:52" x14ac:dyDescent="0.25">
      <c r="B11" s="321" t="s">
        <v>17</v>
      </c>
      <c r="C11" s="316">
        <f t="shared" si="0"/>
        <v>1000</v>
      </c>
      <c r="D11" s="316">
        <f t="shared" si="1"/>
        <v>50</v>
      </c>
      <c r="E11" s="316">
        <f t="shared" si="2"/>
        <v>50</v>
      </c>
      <c r="F11" s="289"/>
      <c r="G11" s="318">
        <v>3</v>
      </c>
      <c r="H11" s="324">
        <f t="shared" si="29"/>
        <v>200</v>
      </c>
      <c r="I11" s="324">
        <f t="shared" si="3"/>
        <v>10</v>
      </c>
      <c r="J11" s="324">
        <f t="shared" si="4"/>
        <v>10</v>
      </c>
      <c r="K11" s="313"/>
      <c r="L11" s="318">
        <v>15</v>
      </c>
      <c r="M11" s="324">
        <f t="shared" si="5"/>
        <v>200</v>
      </c>
      <c r="N11" s="324">
        <f t="shared" si="6"/>
        <v>10</v>
      </c>
      <c r="O11" s="324">
        <f t="shared" si="7"/>
        <v>10</v>
      </c>
      <c r="P11" s="289"/>
      <c r="Q11" s="318">
        <v>27</v>
      </c>
      <c r="R11" s="324">
        <f t="shared" si="8"/>
        <v>200</v>
      </c>
      <c r="S11" s="324">
        <f t="shared" si="9"/>
        <v>10</v>
      </c>
      <c r="T11" s="324">
        <f t="shared" si="10"/>
        <v>10</v>
      </c>
      <c r="U11" s="289"/>
      <c r="V11" s="323">
        <v>39</v>
      </c>
      <c r="W11" s="324">
        <f t="shared" si="11"/>
        <v>200</v>
      </c>
      <c r="X11" s="324">
        <f t="shared" si="12"/>
        <v>10</v>
      </c>
      <c r="Y11" s="324">
        <f t="shared" si="13"/>
        <v>10</v>
      </c>
      <c r="Z11" s="289"/>
      <c r="AA11" s="318">
        <v>51</v>
      </c>
      <c r="AB11" s="324">
        <f t="shared" si="14"/>
        <v>200</v>
      </c>
      <c r="AC11" s="324">
        <f t="shared" si="15"/>
        <v>10</v>
      </c>
      <c r="AD11" s="324">
        <f t="shared" si="16"/>
        <v>10</v>
      </c>
      <c r="AE11" s="289"/>
      <c r="AF11" s="318">
        <v>63</v>
      </c>
      <c r="AG11" s="324">
        <f t="shared" si="17"/>
        <v>200</v>
      </c>
      <c r="AH11" s="324">
        <f t="shared" si="18"/>
        <v>10</v>
      </c>
      <c r="AI11" s="324">
        <f t="shared" si="19"/>
        <v>10</v>
      </c>
      <c r="AJ11" s="289"/>
      <c r="AK11" s="323">
        <v>75</v>
      </c>
      <c r="AL11" s="324">
        <f t="shared" si="20"/>
        <v>200</v>
      </c>
      <c r="AM11" s="324">
        <f t="shared" si="21"/>
        <v>10</v>
      </c>
      <c r="AN11" s="324">
        <f t="shared" si="22"/>
        <v>10</v>
      </c>
      <c r="AO11" s="289"/>
      <c r="AP11" s="320">
        <v>87</v>
      </c>
      <c r="AQ11" s="324">
        <f t="shared" si="23"/>
        <v>200</v>
      </c>
      <c r="AR11" s="324">
        <f t="shared" si="24"/>
        <v>10</v>
      </c>
      <c r="AS11" s="324">
        <f t="shared" si="25"/>
        <v>10</v>
      </c>
      <c r="AT11" s="289"/>
      <c r="AU11" s="320">
        <v>99</v>
      </c>
      <c r="AV11" s="324">
        <f t="shared" si="26"/>
        <v>200</v>
      </c>
      <c r="AW11" s="324">
        <f t="shared" si="27"/>
        <v>10</v>
      </c>
      <c r="AX11" s="324">
        <f t="shared" si="28"/>
        <v>10</v>
      </c>
    </row>
    <row r="12" spans="1:52" x14ac:dyDescent="0.25">
      <c r="B12" s="321" t="s">
        <v>18</v>
      </c>
      <c r="C12" s="316">
        <f t="shared" si="0"/>
        <v>1000</v>
      </c>
      <c r="D12" s="316">
        <f t="shared" si="1"/>
        <v>50</v>
      </c>
      <c r="E12" s="316">
        <f t="shared" si="2"/>
        <v>50</v>
      </c>
      <c r="F12" s="289"/>
      <c r="G12" s="323">
        <v>4</v>
      </c>
      <c r="H12" s="324">
        <f t="shared" si="29"/>
        <v>200</v>
      </c>
      <c r="I12" s="324">
        <f t="shared" si="3"/>
        <v>10</v>
      </c>
      <c r="J12" s="324">
        <f t="shared" si="4"/>
        <v>10</v>
      </c>
      <c r="K12" s="313"/>
      <c r="L12" s="323">
        <v>16</v>
      </c>
      <c r="M12" s="324">
        <f t="shared" si="5"/>
        <v>200</v>
      </c>
      <c r="N12" s="324">
        <f t="shared" si="6"/>
        <v>10</v>
      </c>
      <c r="O12" s="324">
        <f t="shared" si="7"/>
        <v>10</v>
      </c>
      <c r="P12" s="289"/>
      <c r="Q12" s="323">
        <v>28</v>
      </c>
      <c r="R12" s="324">
        <f t="shared" si="8"/>
        <v>200</v>
      </c>
      <c r="S12" s="324">
        <f t="shared" si="9"/>
        <v>10</v>
      </c>
      <c r="T12" s="324">
        <f t="shared" si="10"/>
        <v>10</v>
      </c>
      <c r="U12" s="289"/>
      <c r="V12" s="325">
        <v>40</v>
      </c>
      <c r="W12" s="324">
        <f t="shared" si="11"/>
        <v>200</v>
      </c>
      <c r="X12" s="324">
        <f t="shared" si="12"/>
        <v>10</v>
      </c>
      <c r="Y12" s="324">
        <f t="shared" si="13"/>
        <v>10</v>
      </c>
      <c r="Z12" s="289"/>
      <c r="AA12" s="323">
        <v>52</v>
      </c>
      <c r="AB12" s="324">
        <f t="shared" si="14"/>
        <v>200</v>
      </c>
      <c r="AC12" s="324">
        <f t="shared" si="15"/>
        <v>10</v>
      </c>
      <c r="AD12" s="324">
        <f t="shared" si="16"/>
        <v>10</v>
      </c>
      <c r="AE12" s="289"/>
      <c r="AF12" s="323">
        <v>64</v>
      </c>
      <c r="AG12" s="324">
        <f t="shared" si="17"/>
        <v>200</v>
      </c>
      <c r="AH12" s="324">
        <f t="shared" si="18"/>
        <v>10</v>
      </c>
      <c r="AI12" s="324">
        <f t="shared" si="19"/>
        <v>10</v>
      </c>
      <c r="AJ12" s="289"/>
      <c r="AK12" s="325">
        <v>76</v>
      </c>
      <c r="AL12" s="324">
        <f t="shared" si="20"/>
        <v>200</v>
      </c>
      <c r="AM12" s="324">
        <f t="shared" si="21"/>
        <v>10</v>
      </c>
      <c r="AN12" s="324">
        <f t="shared" si="22"/>
        <v>10</v>
      </c>
      <c r="AO12" s="289"/>
      <c r="AP12" s="320">
        <v>88</v>
      </c>
      <c r="AQ12" s="324">
        <f t="shared" si="23"/>
        <v>200</v>
      </c>
      <c r="AR12" s="324">
        <f t="shared" si="24"/>
        <v>10</v>
      </c>
      <c r="AS12" s="324">
        <f t="shared" si="25"/>
        <v>10</v>
      </c>
      <c r="AT12" s="289"/>
      <c r="AU12" s="326">
        <v>100</v>
      </c>
      <c r="AV12" s="324">
        <f t="shared" si="26"/>
        <v>200</v>
      </c>
      <c r="AW12" s="324">
        <f t="shared" si="27"/>
        <v>10</v>
      </c>
      <c r="AX12" s="324">
        <f t="shared" si="28"/>
        <v>10</v>
      </c>
    </row>
    <row r="13" spans="1:52" x14ac:dyDescent="0.25">
      <c r="B13" s="321" t="s">
        <v>19</v>
      </c>
      <c r="C13" s="316">
        <f t="shared" si="0"/>
        <v>1000</v>
      </c>
      <c r="D13" s="316">
        <f t="shared" si="1"/>
        <v>50</v>
      </c>
      <c r="E13" s="316">
        <f t="shared" si="2"/>
        <v>50</v>
      </c>
      <c r="F13" s="289"/>
      <c r="G13" s="318">
        <v>5</v>
      </c>
      <c r="H13" s="324">
        <f t="shared" si="29"/>
        <v>200</v>
      </c>
      <c r="I13" s="324">
        <f t="shared" si="3"/>
        <v>10</v>
      </c>
      <c r="J13" s="324">
        <f t="shared" si="4"/>
        <v>10</v>
      </c>
      <c r="K13" s="313"/>
      <c r="L13" s="318">
        <v>17</v>
      </c>
      <c r="M13" s="324">
        <f t="shared" si="5"/>
        <v>200</v>
      </c>
      <c r="N13" s="324">
        <f t="shared" si="6"/>
        <v>10</v>
      </c>
      <c r="O13" s="324">
        <f t="shared" si="7"/>
        <v>10</v>
      </c>
      <c r="P13" s="289"/>
      <c r="Q13" s="318">
        <v>29</v>
      </c>
      <c r="R13" s="324">
        <f t="shared" si="8"/>
        <v>200</v>
      </c>
      <c r="S13" s="324">
        <f t="shared" si="9"/>
        <v>10</v>
      </c>
      <c r="T13" s="324">
        <f t="shared" si="10"/>
        <v>10</v>
      </c>
      <c r="U13" s="289"/>
      <c r="V13" s="323">
        <v>41</v>
      </c>
      <c r="W13" s="324">
        <f t="shared" si="11"/>
        <v>200</v>
      </c>
      <c r="X13" s="324">
        <f t="shared" si="12"/>
        <v>10</v>
      </c>
      <c r="Y13" s="324">
        <f t="shared" si="13"/>
        <v>10</v>
      </c>
      <c r="Z13" s="289"/>
      <c r="AA13" s="318">
        <v>53</v>
      </c>
      <c r="AB13" s="324">
        <f t="shared" si="14"/>
        <v>200</v>
      </c>
      <c r="AC13" s="324">
        <f t="shared" si="15"/>
        <v>10</v>
      </c>
      <c r="AD13" s="324">
        <f t="shared" si="16"/>
        <v>10</v>
      </c>
      <c r="AE13" s="289"/>
      <c r="AF13" s="318">
        <v>65</v>
      </c>
      <c r="AG13" s="324">
        <f t="shared" si="17"/>
        <v>200</v>
      </c>
      <c r="AH13" s="324">
        <f t="shared" si="18"/>
        <v>10</v>
      </c>
      <c r="AI13" s="324">
        <f t="shared" si="19"/>
        <v>10</v>
      </c>
      <c r="AJ13" s="289"/>
      <c r="AK13" s="323">
        <v>77</v>
      </c>
      <c r="AL13" s="324">
        <f t="shared" si="20"/>
        <v>200</v>
      </c>
      <c r="AM13" s="324">
        <f t="shared" si="21"/>
        <v>10</v>
      </c>
      <c r="AN13" s="324">
        <f t="shared" si="22"/>
        <v>10</v>
      </c>
      <c r="AO13" s="289"/>
      <c r="AP13" s="320">
        <v>89</v>
      </c>
      <c r="AQ13" s="324">
        <f t="shared" si="23"/>
        <v>200</v>
      </c>
      <c r="AR13" s="324">
        <f t="shared" si="24"/>
        <v>10</v>
      </c>
      <c r="AS13" s="324">
        <f t="shared" si="25"/>
        <v>10</v>
      </c>
      <c r="AT13" s="289"/>
      <c r="AU13" s="320">
        <v>101</v>
      </c>
      <c r="AV13" s="324">
        <f t="shared" si="26"/>
        <v>200</v>
      </c>
      <c r="AW13" s="324">
        <f t="shared" si="27"/>
        <v>10</v>
      </c>
      <c r="AX13" s="324">
        <f t="shared" si="28"/>
        <v>10</v>
      </c>
    </row>
    <row r="14" spans="1:52" x14ac:dyDescent="0.25">
      <c r="B14" s="321" t="s">
        <v>20</v>
      </c>
      <c r="C14" s="316">
        <f t="shared" si="0"/>
        <v>1000</v>
      </c>
      <c r="D14" s="316">
        <f t="shared" si="1"/>
        <v>50</v>
      </c>
      <c r="E14" s="316">
        <f t="shared" si="2"/>
        <v>50</v>
      </c>
      <c r="F14" s="289"/>
      <c r="G14" s="323">
        <v>6</v>
      </c>
      <c r="H14" s="324">
        <f t="shared" si="29"/>
        <v>200</v>
      </c>
      <c r="I14" s="324">
        <f t="shared" si="3"/>
        <v>10</v>
      </c>
      <c r="J14" s="324">
        <f t="shared" si="4"/>
        <v>10</v>
      </c>
      <c r="K14" s="313"/>
      <c r="L14" s="323">
        <v>18</v>
      </c>
      <c r="M14" s="324">
        <f t="shared" si="5"/>
        <v>200</v>
      </c>
      <c r="N14" s="324">
        <f t="shared" si="6"/>
        <v>10</v>
      </c>
      <c r="O14" s="324">
        <f t="shared" si="7"/>
        <v>10</v>
      </c>
      <c r="P14" s="289"/>
      <c r="Q14" s="323">
        <v>30</v>
      </c>
      <c r="R14" s="324">
        <f t="shared" si="8"/>
        <v>200</v>
      </c>
      <c r="S14" s="324">
        <f t="shared" si="9"/>
        <v>10</v>
      </c>
      <c r="T14" s="324">
        <f t="shared" si="10"/>
        <v>10</v>
      </c>
      <c r="U14" s="289"/>
      <c r="V14" s="325">
        <v>42</v>
      </c>
      <c r="W14" s="324">
        <f t="shared" si="11"/>
        <v>200</v>
      </c>
      <c r="X14" s="324">
        <f t="shared" si="12"/>
        <v>10</v>
      </c>
      <c r="Y14" s="324">
        <f t="shared" si="13"/>
        <v>10</v>
      </c>
      <c r="Z14" s="289"/>
      <c r="AA14" s="323">
        <v>54</v>
      </c>
      <c r="AB14" s="324">
        <f t="shared" si="14"/>
        <v>200</v>
      </c>
      <c r="AC14" s="324">
        <f t="shared" si="15"/>
        <v>10</v>
      </c>
      <c r="AD14" s="324">
        <f t="shared" si="16"/>
        <v>10</v>
      </c>
      <c r="AE14" s="289"/>
      <c r="AF14" s="323">
        <v>66</v>
      </c>
      <c r="AG14" s="324">
        <f t="shared" si="17"/>
        <v>200</v>
      </c>
      <c r="AH14" s="324">
        <f t="shared" si="18"/>
        <v>10</v>
      </c>
      <c r="AI14" s="324">
        <f t="shared" si="19"/>
        <v>10</v>
      </c>
      <c r="AJ14" s="289"/>
      <c r="AK14" s="325">
        <v>78</v>
      </c>
      <c r="AL14" s="324">
        <f t="shared" si="20"/>
        <v>200</v>
      </c>
      <c r="AM14" s="324">
        <f t="shared" si="21"/>
        <v>10</v>
      </c>
      <c r="AN14" s="324">
        <f t="shared" si="22"/>
        <v>10</v>
      </c>
      <c r="AO14" s="289"/>
      <c r="AP14" s="320">
        <v>90</v>
      </c>
      <c r="AQ14" s="324">
        <f t="shared" si="23"/>
        <v>200</v>
      </c>
      <c r="AR14" s="324">
        <f t="shared" si="24"/>
        <v>10</v>
      </c>
      <c r="AS14" s="324">
        <f t="shared" si="25"/>
        <v>10</v>
      </c>
      <c r="AT14" s="289"/>
      <c r="AU14" s="326">
        <v>102</v>
      </c>
      <c r="AV14" s="324">
        <f t="shared" si="26"/>
        <v>200</v>
      </c>
      <c r="AW14" s="324">
        <f t="shared" si="27"/>
        <v>10</v>
      </c>
      <c r="AX14" s="324">
        <f t="shared" si="28"/>
        <v>10</v>
      </c>
    </row>
    <row r="15" spans="1:52" x14ac:dyDescent="0.25">
      <c r="B15" s="321" t="s">
        <v>21</v>
      </c>
      <c r="C15" s="316">
        <f t="shared" si="0"/>
        <v>1000</v>
      </c>
      <c r="D15" s="316">
        <f t="shared" si="1"/>
        <v>50</v>
      </c>
      <c r="E15" s="316">
        <f t="shared" si="2"/>
        <v>50</v>
      </c>
      <c r="F15" s="289"/>
      <c r="G15" s="318">
        <v>7</v>
      </c>
      <c r="H15" s="324">
        <f t="shared" si="29"/>
        <v>200</v>
      </c>
      <c r="I15" s="324">
        <f t="shared" si="3"/>
        <v>10</v>
      </c>
      <c r="J15" s="324">
        <f t="shared" si="4"/>
        <v>10</v>
      </c>
      <c r="K15" s="313"/>
      <c r="L15" s="318">
        <v>19</v>
      </c>
      <c r="M15" s="324">
        <f t="shared" si="5"/>
        <v>200</v>
      </c>
      <c r="N15" s="324">
        <f t="shared" si="6"/>
        <v>10</v>
      </c>
      <c r="O15" s="324">
        <f t="shared" si="7"/>
        <v>10</v>
      </c>
      <c r="P15" s="289"/>
      <c r="Q15" s="318">
        <v>31</v>
      </c>
      <c r="R15" s="324">
        <f t="shared" si="8"/>
        <v>200</v>
      </c>
      <c r="S15" s="324">
        <f t="shared" si="9"/>
        <v>10</v>
      </c>
      <c r="T15" s="324">
        <f t="shared" si="10"/>
        <v>10</v>
      </c>
      <c r="U15" s="289"/>
      <c r="V15" s="323">
        <v>43</v>
      </c>
      <c r="W15" s="324">
        <f t="shared" si="11"/>
        <v>200</v>
      </c>
      <c r="X15" s="324">
        <f t="shared" si="12"/>
        <v>10</v>
      </c>
      <c r="Y15" s="324">
        <f t="shared" si="13"/>
        <v>10</v>
      </c>
      <c r="Z15" s="289"/>
      <c r="AA15" s="318">
        <v>55</v>
      </c>
      <c r="AB15" s="324">
        <f t="shared" si="14"/>
        <v>200</v>
      </c>
      <c r="AC15" s="324">
        <f t="shared" si="15"/>
        <v>10</v>
      </c>
      <c r="AD15" s="324">
        <f t="shared" si="16"/>
        <v>10</v>
      </c>
      <c r="AE15" s="289"/>
      <c r="AF15" s="318">
        <v>67</v>
      </c>
      <c r="AG15" s="324">
        <f t="shared" si="17"/>
        <v>200</v>
      </c>
      <c r="AH15" s="324">
        <f t="shared" si="18"/>
        <v>10</v>
      </c>
      <c r="AI15" s="324">
        <f t="shared" si="19"/>
        <v>10</v>
      </c>
      <c r="AJ15" s="289"/>
      <c r="AK15" s="323">
        <v>79</v>
      </c>
      <c r="AL15" s="324">
        <f t="shared" si="20"/>
        <v>200</v>
      </c>
      <c r="AM15" s="324">
        <f t="shared" si="21"/>
        <v>10</v>
      </c>
      <c r="AN15" s="324">
        <f t="shared" si="22"/>
        <v>10</v>
      </c>
      <c r="AO15" s="289"/>
      <c r="AP15" s="320">
        <v>91</v>
      </c>
      <c r="AQ15" s="324">
        <f t="shared" si="23"/>
        <v>200</v>
      </c>
      <c r="AR15" s="324">
        <f t="shared" si="24"/>
        <v>10</v>
      </c>
      <c r="AS15" s="324">
        <f t="shared" si="25"/>
        <v>10</v>
      </c>
      <c r="AT15" s="289"/>
      <c r="AU15" s="320">
        <v>103</v>
      </c>
      <c r="AV15" s="324">
        <f t="shared" si="26"/>
        <v>200</v>
      </c>
      <c r="AW15" s="324">
        <f t="shared" si="27"/>
        <v>10</v>
      </c>
      <c r="AX15" s="324">
        <f t="shared" si="28"/>
        <v>10</v>
      </c>
    </row>
    <row r="16" spans="1:52" x14ac:dyDescent="0.25">
      <c r="B16" s="321" t="s">
        <v>22</v>
      </c>
      <c r="C16" s="316">
        <f t="shared" si="0"/>
        <v>1000</v>
      </c>
      <c r="D16" s="316">
        <f t="shared" si="1"/>
        <v>50</v>
      </c>
      <c r="E16" s="316">
        <f t="shared" si="2"/>
        <v>50</v>
      </c>
      <c r="F16" s="289"/>
      <c r="G16" s="323">
        <v>8</v>
      </c>
      <c r="H16" s="324">
        <f t="shared" si="29"/>
        <v>200</v>
      </c>
      <c r="I16" s="324">
        <f t="shared" si="3"/>
        <v>10</v>
      </c>
      <c r="J16" s="324">
        <f t="shared" si="4"/>
        <v>10</v>
      </c>
      <c r="K16" s="313"/>
      <c r="L16" s="323">
        <v>20</v>
      </c>
      <c r="M16" s="324">
        <f t="shared" si="5"/>
        <v>200</v>
      </c>
      <c r="N16" s="324">
        <f t="shared" si="6"/>
        <v>10</v>
      </c>
      <c r="O16" s="324">
        <f t="shared" si="7"/>
        <v>10</v>
      </c>
      <c r="P16" s="289"/>
      <c r="Q16" s="323">
        <v>32</v>
      </c>
      <c r="R16" s="324">
        <f t="shared" si="8"/>
        <v>200</v>
      </c>
      <c r="S16" s="324">
        <f t="shared" si="9"/>
        <v>10</v>
      </c>
      <c r="T16" s="324">
        <f t="shared" si="10"/>
        <v>10</v>
      </c>
      <c r="U16" s="289"/>
      <c r="V16" s="325">
        <v>44</v>
      </c>
      <c r="W16" s="324">
        <f t="shared" si="11"/>
        <v>200</v>
      </c>
      <c r="X16" s="324">
        <f t="shared" si="12"/>
        <v>10</v>
      </c>
      <c r="Y16" s="324">
        <f t="shared" si="13"/>
        <v>10</v>
      </c>
      <c r="Z16" s="289"/>
      <c r="AA16" s="323">
        <v>56</v>
      </c>
      <c r="AB16" s="324">
        <f t="shared" si="14"/>
        <v>200</v>
      </c>
      <c r="AC16" s="324">
        <f t="shared" si="15"/>
        <v>10</v>
      </c>
      <c r="AD16" s="324">
        <f t="shared" si="16"/>
        <v>10</v>
      </c>
      <c r="AE16" s="289"/>
      <c r="AF16" s="323">
        <v>68</v>
      </c>
      <c r="AG16" s="324">
        <f t="shared" si="17"/>
        <v>200</v>
      </c>
      <c r="AH16" s="324">
        <f t="shared" si="18"/>
        <v>10</v>
      </c>
      <c r="AI16" s="324">
        <f t="shared" si="19"/>
        <v>10</v>
      </c>
      <c r="AJ16" s="289"/>
      <c r="AK16" s="325">
        <v>80</v>
      </c>
      <c r="AL16" s="324">
        <f t="shared" si="20"/>
        <v>200</v>
      </c>
      <c r="AM16" s="324">
        <f t="shared" si="21"/>
        <v>10</v>
      </c>
      <c r="AN16" s="324">
        <f t="shared" si="22"/>
        <v>10</v>
      </c>
      <c r="AO16" s="289"/>
      <c r="AP16" s="320">
        <v>92</v>
      </c>
      <c r="AQ16" s="324">
        <f t="shared" si="23"/>
        <v>200</v>
      </c>
      <c r="AR16" s="324">
        <f t="shared" si="24"/>
        <v>10</v>
      </c>
      <c r="AS16" s="324">
        <f t="shared" si="25"/>
        <v>10</v>
      </c>
      <c r="AT16" s="289"/>
      <c r="AU16" s="326">
        <v>104</v>
      </c>
      <c r="AV16" s="324">
        <f t="shared" si="26"/>
        <v>200</v>
      </c>
      <c r="AW16" s="324">
        <f t="shared" si="27"/>
        <v>10</v>
      </c>
      <c r="AX16" s="324">
        <f t="shared" si="28"/>
        <v>10</v>
      </c>
    </row>
    <row r="17" spans="1:50" x14ac:dyDescent="0.25">
      <c r="B17" s="321" t="s">
        <v>23</v>
      </c>
      <c r="C17" s="316">
        <f t="shared" si="0"/>
        <v>1000</v>
      </c>
      <c r="D17" s="316">
        <f t="shared" si="1"/>
        <v>50</v>
      </c>
      <c r="E17" s="316">
        <f t="shared" si="2"/>
        <v>50</v>
      </c>
      <c r="F17" s="289"/>
      <c r="G17" s="318">
        <v>9</v>
      </c>
      <c r="H17" s="324">
        <f t="shared" si="29"/>
        <v>200</v>
      </c>
      <c r="I17" s="324">
        <f t="shared" si="3"/>
        <v>10</v>
      </c>
      <c r="J17" s="324">
        <f t="shared" si="4"/>
        <v>10</v>
      </c>
      <c r="K17" s="313"/>
      <c r="L17" s="318">
        <v>21</v>
      </c>
      <c r="M17" s="324">
        <f t="shared" si="5"/>
        <v>200</v>
      </c>
      <c r="N17" s="324">
        <f t="shared" si="6"/>
        <v>10</v>
      </c>
      <c r="O17" s="324">
        <f t="shared" si="7"/>
        <v>10</v>
      </c>
      <c r="P17" s="289"/>
      <c r="Q17" s="318">
        <v>33</v>
      </c>
      <c r="R17" s="324">
        <f t="shared" si="8"/>
        <v>200</v>
      </c>
      <c r="S17" s="324">
        <f t="shared" si="9"/>
        <v>10</v>
      </c>
      <c r="T17" s="324">
        <f t="shared" si="10"/>
        <v>10</v>
      </c>
      <c r="U17" s="289"/>
      <c r="V17" s="323">
        <v>45</v>
      </c>
      <c r="W17" s="324">
        <f t="shared" si="11"/>
        <v>200</v>
      </c>
      <c r="X17" s="324">
        <f t="shared" si="12"/>
        <v>10</v>
      </c>
      <c r="Y17" s="324">
        <f t="shared" si="13"/>
        <v>10</v>
      </c>
      <c r="Z17" s="289"/>
      <c r="AA17" s="318">
        <v>57</v>
      </c>
      <c r="AB17" s="324">
        <f t="shared" si="14"/>
        <v>200</v>
      </c>
      <c r="AC17" s="324">
        <f t="shared" si="15"/>
        <v>10</v>
      </c>
      <c r="AD17" s="324">
        <f t="shared" si="16"/>
        <v>10</v>
      </c>
      <c r="AE17" s="289"/>
      <c r="AF17" s="318">
        <v>69</v>
      </c>
      <c r="AG17" s="324">
        <f t="shared" si="17"/>
        <v>200</v>
      </c>
      <c r="AH17" s="324">
        <f t="shared" si="18"/>
        <v>10</v>
      </c>
      <c r="AI17" s="324">
        <f t="shared" si="19"/>
        <v>10</v>
      </c>
      <c r="AJ17" s="289"/>
      <c r="AK17" s="323">
        <v>81</v>
      </c>
      <c r="AL17" s="324">
        <f t="shared" si="20"/>
        <v>200</v>
      </c>
      <c r="AM17" s="324">
        <f t="shared" si="21"/>
        <v>10</v>
      </c>
      <c r="AN17" s="324">
        <f t="shared" si="22"/>
        <v>10</v>
      </c>
      <c r="AO17" s="289"/>
      <c r="AP17" s="320">
        <v>93</v>
      </c>
      <c r="AQ17" s="324">
        <f t="shared" si="23"/>
        <v>200</v>
      </c>
      <c r="AR17" s="324">
        <f t="shared" si="24"/>
        <v>10</v>
      </c>
      <c r="AS17" s="324">
        <f t="shared" si="25"/>
        <v>10</v>
      </c>
      <c r="AT17" s="289"/>
      <c r="AU17" s="320">
        <v>105</v>
      </c>
      <c r="AV17" s="324">
        <f t="shared" si="26"/>
        <v>200</v>
      </c>
      <c r="AW17" s="324">
        <f t="shared" si="27"/>
        <v>10</v>
      </c>
      <c r="AX17" s="324">
        <f t="shared" si="28"/>
        <v>10</v>
      </c>
    </row>
    <row r="18" spans="1:50" x14ac:dyDescent="0.25">
      <c r="B18" s="321" t="s">
        <v>24</v>
      </c>
      <c r="C18" s="316">
        <f t="shared" si="0"/>
        <v>1000</v>
      </c>
      <c r="D18" s="316">
        <f t="shared" si="1"/>
        <v>50</v>
      </c>
      <c r="E18" s="316">
        <f t="shared" si="2"/>
        <v>50</v>
      </c>
      <c r="F18" s="289"/>
      <c r="G18" s="323">
        <v>10</v>
      </c>
      <c r="H18" s="324">
        <f t="shared" si="29"/>
        <v>200</v>
      </c>
      <c r="I18" s="324">
        <f t="shared" si="3"/>
        <v>10</v>
      </c>
      <c r="J18" s="324">
        <f t="shared" si="4"/>
        <v>10</v>
      </c>
      <c r="K18" s="313"/>
      <c r="L18" s="323">
        <v>22</v>
      </c>
      <c r="M18" s="324">
        <f t="shared" si="5"/>
        <v>200</v>
      </c>
      <c r="N18" s="324">
        <f t="shared" si="6"/>
        <v>10</v>
      </c>
      <c r="O18" s="324">
        <f t="shared" si="7"/>
        <v>10</v>
      </c>
      <c r="P18" s="289"/>
      <c r="Q18" s="323">
        <v>34</v>
      </c>
      <c r="R18" s="324">
        <f t="shared" si="8"/>
        <v>200</v>
      </c>
      <c r="S18" s="324">
        <f t="shared" si="9"/>
        <v>10</v>
      </c>
      <c r="T18" s="324">
        <f t="shared" si="10"/>
        <v>10</v>
      </c>
      <c r="U18" s="289"/>
      <c r="V18" s="325">
        <v>46</v>
      </c>
      <c r="W18" s="324">
        <f t="shared" si="11"/>
        <v>200</v>
      </c>
      <c r="X18" s="324">
        <f t="shared" si="12"/>
        <v>10</v>
      </c>
      <c r="Y18" s="324">
        <f t="shared" si="13"/>
        <v>10</v>
      </c>
      <c r="Z18" s="289"/>
      <c r="AA18" s="323">
        <v>58</v>
      </c>
      <c r="AB18" s="324">
        <f t="shared" si="14"/>
        <v>200</v>
      </c>
      <c r="AC18" s="324">
        <f t="shared" si="15"/>
        <v>10</v>
      </c>
      <c r="AD18" s="324">
        <f t="shared" si="16"/>
        <v>10</v>
      </c>
      <c r="AE18" s="289"/>
      <c r="AF18" s="323">
        <v>70</v>
      </c>
      <c r="AG18" s="324">
        <f t="shared" si="17"/>
        <v>200</v>
      </c>
      <c r="AH18" s="324">
        <f t="shared" si="18"/>
        <v>10</v>
      </c>
      <c r="AI18" s="324">
        <f t="shared" si="19"/>
        <v>10</v>
      </c>
      <c r="AJ18" s="289"/>
      <c r="AK18" s="325">
        <v>82</v>
      </c>
      <c r="AL18" s="324">
        <f t="shared" si="20"/>
        <v>200</v>
      </c>
      <c r="AM18" s="324">
        <f t="shared" si="21"/>
        <v>10</v>
      </c>
      <c r="AN18" s="324">
        <f t="shared" si="22"/>
        <v>10</v>
      </c>
      <c r="AO18" s="289"/>
      <c r="AP18" s="320">
        <v>94</v>
      </c>
      <c r="AQ18" s="324">
        <f t="shared" si="23"/>
        <v>200</v>
      </c>
      <c r="AR18" s="324">
        <f t="shared" si="24"/>
        <v>10</v>
      </c>
      <c r="AS18" s="324">
        <f t="shared" si="25"/>
        <v>10</v>
      </c>
      <c r="AT18" s="289"/>
      <c r="AU18" s="326">
        <v>106</v>
      </c>
      <c r="AV18" s="324">
        <f t="shared" si="26"/>
        <v>200</v>
      </c>
      <c r="AW18" s="324">
        <f t="shared" si="27"/>
        <v>10</v>
      </c>
      <c r="AX18" s="324">
        <f t="shared" si="28"/>
        <v>10</v>
      </c>
    </row>
    <row r="19" spans="1:50" x14ac:dyDescent="0.25">
      <c r="B19" s="321" t="s">
        <v>25</v>
      </c>
      <c r="C19" s="316">
        <f t="shared" si="0"/>
        <v>1000</v>
      </c>
      <c r="D19" s="316">
        <f t="shared" si="1"/>
        <v>50</v>
      </c>
      <c r="E19" s="316">
        <f t="shared" si="2"/>
        <v>50</v>
      </c>
      <c r="F19" s="289"/>
      <c r="G19" s="318">
        <v>11</v>
      </c>
      <c r="H19" s="324">
        <f t="shared" si="29"/>
        <v>200</v>
      </c>
      <c r="I19" s="324">
        <f t="shared" si="3"/>
        <v>10</v>
      </c>
      <c r="J19" s="324">
        <f t="shared" si="4"/>
        <v>10</v>
      </c>
      <c r="K19" s="313"/>
      <c r="L19" s="318">
        <v>23</v>
      </c>
      <c r="M19" s="324">
        <f t="shared" si="5"/>
        <v>200</v>
      </c>
      <c r="N19" s="324">
        <f t="shared" si="6"/>
        <v>10</v>
      </c>
      <c r="O19" s="324">
        <f t="shared" si="7"/>
        <v>10</v>
      </c>
      <c r="P19" s="289"/>
      <c r="Q19" s="318">
        <v>35</v>
      </c>
      <c r="R19" s="324">
        <f t="shared" si="8"/>
        <v>200</v>
      </c>
      <c r="S19" s="324">
        <f t="shared" si="9"/>
        <v>10</v>
      </c>
      <c r="T19" s="324">
        <f t="shared" si="10"/>
        <v>10</v>
      </c>
      <c r="U19" s="289"/>
      <c r="V19" s="323">
        <v>47</v>
      </c>
      <c r="W19" s="324">
        <f t="shared" si="11"/>
        <v>200</v>
      </c>
      <c r="X19" s="324">
        <f t="shared" si="12"/>
        <v>10</v>
      </c>
      <c r="Y19" s="324">
        <f t="shared" si="13"/>
        <v>10</v>
      </c>
      <c r="Z19" s="289"/>
      <c r="AA19" s="318">
        <v>59</v>
      </c>
      <c r="AB19" s="324">
        <f t="shared" si="14"/>
        <v>200</v>
      </c>
      <c r="AC19" s="324">
        <f t="shared" si="15"/>
        <v>10</v>
      </c>
      <c r="AD19" s="324">
        <f t="shared" si="16"/>
        <v>10</v>
      </c>
      <c r="AE19" s="289"/>
      <c r="AF19" s="318">
        <v>71</v>
      </c>
      <c r="AG19" s="324">
        <f t="shared" si="17"/>
        <v>200</v>
      </c>
      <c r="AH19" s="324">
        <f t="shared" si="18"/>
        <v>10</v>
      </c>
      <c r="AI19" s="324">
        <f t="shared" si="19"/>
        <v>10</v>
      </c>
      <c r="AJ19" s="289"/>
      <c r="AK19" s="323">
        <v>83</v>
      </c>
      <c r="AL19" s="324">
        <f t="shared" si="20"/>
        <v>200</v>
      </c>
      <c r="AM19" s="324">
        <f t="shared" si="21"/>
        <v>10</v>
      </c>
      <c r="AN19" s="324">
        <f t="shared" si="22"/>
        <v>10</v>
      </c>
      <c r="AO19" s="289"/>
      <c r="AP19" s="320">
        <v>95</v>
      </c>
      <c r="AQ19" s="324">
        <f t="shared" si="23"/>
        <v>200</v>
      </c>
      <c r="AR19" s="324">
        <f t="shared" si="24"/>
        <v>10</v>
      </c>
      <c r="AS19" s="324">
        <f t="shared" si="25"/>
        <v>10</v>
      </c>
      <c r="AT19" s="289"/>
      <c r="AU19" s="320">
        <v>107</v>
      </c>
      <c r="AV19" s="324">
        <f t="shared" si="26"/>
        <v>200</v>
      </c>
      <c r="AW19" s="324">
        <f t="shared" si="27"/>
        <v>10</v>
      </c>
      <c r="AX19" s="324">
        <f t="shared" si="28"/>
        <v>10</v>
      </c>
    </row>
    <row r="20" spans="1:50" x14ac:dyDescent="0.25">
      <c r="B20" s="327" t="s">
        <v>26</v>
      </c>
      <c r="C20" s="316">
        <f t="shared" si="0"/>
        <v>1000</v>
      </c>
      <c r="D20" s="316">
        <f t="shared" si="1"/>
        <v>50</v>
      </c>
      <c r="E20" s="316">
        <f t="shared" si="2"/>
        <v>50</v>
      </c>
      <c r="F20" s="289"/>
      <c r="G20" s="323">
        <v>12</v>
      </c>
      <c r="H20" s="324">
        <f t="shared" si="29"/>
        <v>200</v>
      </c>
      <c r="I20" s="324">
        <f t="shared" si="3"/>
        <v>10</v>
      </c>
      <c r="J20" s="324">
        <f t="shared" si="4"/>
        <v>10</v>
      </c>
      <c r="K20" s="313"/>
      <c r="L20" s="323">
        <v>24</v>
      </c>
      <c r="M20" s="324">
        <f t="shared" si="5"/>
        <v>200</v>
      </c>
      <c r="N20" s="324">
        <f t="shared" si="6"/>
        <v>10</v>
      </c>
      <c r="O20" s="324">
        <f t="shared" si="7"/>
        <v>10</v>
      </c>
      <c r="P20" s="289"/>
      <c r="Q20" s="328">
        <v>36</v>
      </c>
      <c r="R20" s="324">
        <f t="shared" si="8"/>
        <v>200</v>
      </c>
      <c r="S20" s="324">
        <f t="shared" si="9"/>
        <v>10</v>
      </c>
      <c r="T20" s="324">
        <f t="shared" si="10"/>
        <v>10</v>
      </c>
      <c r="U20" s="289"/>
      <c r="V20" s="325">
        <v>48</v>
      </c>
      <c r="W20" s="324">
        <f t="shared" si="11"/>
        <v>200</v>
      </c>
      <c r="X20" s="324">
        <f t="shared" si="12"/>
        <v>10</v>
      </c>
      <c r="Y20" s="324">
        <f t="shared" si="13"/>
        <v>10</v>
      </c>
      <c r="Z20" s="289"/>
      <c r="AA20" s="323">
        <v>60</v>
      </c>
      <c r="AB20" s="324">
        <f t="shared" si="14"/>
        <v>200</v>
      </c>
      <c r="AC20" s="324">
        <f t="shared" si="15"/>
        <v>10</v>
      </c>
      <c r="AD20" s="324">
        <f t="shared" si="16"/>
        <v>10</v>
      </c>
      <c r="AE20" s="289"/>
      <c r="AF20" s="328">
        <v>72</v>
      </c>
      <c r="AG20" s="324">
        <f t="shared" si="17"/>
        <v>200</v>
      </c>
      <c r="AH20" s="324">
        <f t="shared" si="18"/>
        <v>10</v>
      </c>
      <c r="AI20" s="324">
        <f t="shared" si="19"/>
        <v>10</v>
      </c>
      <c r="AJ20" s="289"/>
      <c r="AK20" s="325">
        <v>84</v>
      </c>
      <c r="AL20" s="324">
        <f t="shared" si="20"/>
        <v>200</v>
      </c>
      <c r="AM20" s="324">
        <f t="shared" si="21"/>
        <v>10</v>
      </c>
      <c r="AN20" s="324">
        <f t="shared" si="22"/>
        <v>10</v>
      </c>
      <c r="AO20" s="289"/>
      <c r="AP20" s="320">
        <v>96</v>
      </c>
      <c r="AQ20" s="324">
        <f t="shared" si="23"/>
        <v>200</v>
      </c>
      <c r="AR20" s="324">
        <f t="shared" si="24"/>
        <v>10</v>
      </c>
      <c r="AS20" s="324">
        <f t="shared" si="25"/>
        <v>10</v>
      </c>
      <c r="AT20" s="289"/>
      <c r="AU20" s="329">
        <v>108</v>
      </c>
      <c r="AV20" s="324">
        <f t="shared" si="26"/>
        <v>200</v>
      </c>
      <c r="AW20" s="324">
        <f t="shared" si="27"/>
        <v>10</v>
      </c>
      <c r="AX20" s="324">
        <f t="shared" si="28"/>
        <v>10</v>
      </c>
    </row>
    <row r="21" spans="1:50" x14ac:dyDescent="0.25">
      <c r="B21" s="289"/>
      <c r="C21" s="330">
        <f>SUM(C9:C20)</f>
        <v>12000</v>
      </c>
      <c r="D21" s="331">
        <f>SUM(D9:D20)</f>
        <v>600</v>
      </c>
      <c r="E21" s="331">
        <f>SUM(E9:E20)</f>
        <v>600</v>
      </c>
      <c r="F21" s="289"/>
      <c r="G21" s="291"/>
      <c r="H21" s="330">
        <f>SUM(H9:H20)</f>
        <v>2400</v>
      </c>
      <c r="I21" s="331">
        <f>SUM(I9:I20)</f>
        <v>120</v>
      </c>
      <c r="J21" s="331">
        <f>SUM(J9:J20)</f>
        <v>120</v>
      </c>
      <c r="K21" s="289"/>
      <c r="L21" s="292"/>
      <c r="M21" s="330">
        <f>SUM(M9:M20)</f>
        <v>2400</v>
      </c>
      <c r="N21" s="331">
        <f>SUM(N9:N20)</f>
        <v>120</v>
      </c>
      <c r="O21" s="331">
        <f>SUM(O9:O20)</f>
        <v>120</v>
      </c>
      <c r="P21" s="289"/>
      <c r="Q21" s="291"/>
      <c r="R21" s="330">
        <f>SUM(R9:R20)</f>
        <v>2400</v>
      </c>
      <c r="S21" s="331">
        <f>SUM(S9:S20)</f>
        <v>120</v>
      </c>
      <c r="T21" s="331">
        <f>SUM(T9:T20)</f>
        <v>120</v>
      </c>
      <c r="U21" s="289"/>
      <c r="V21" s="291"/>
      <c r="W21" s="330">
        <f>SUM(W9:W20)</f>
        <v>2400</v>
      </c>
      <c r="X21" s="331">
        <f>SUM(X9:X20)</f>
        <v>120</v>
      </c>
      <c r="Y21" s="331">
        <f>SUM(Y9:Y20)</f>
        <v>120</v>
      </c>
      <c r="Z21" s="289"/>
      <c r="AA21" s="291"/>
      <c r="AB21" s="330">
        <f>SUM(AB9:AB20)</f>
        <v>2400</v>
      </c>
      <c r="AC21" s="331">
        <f>SUM(AC9:AC20)</f>
        <v>120</v>
      </c>
      <c r="AD21" s="331">
        <f>SUM(AD9:AD20)</f>
        <v>120</v>
      </c>
      <c r="AE21" s="289"/>
      <c r="AF21" s="289"/>
      <c r="AG21" s="330">
        <f>SUM(AG9:AG20)</f>
        <v>2400</v>
      </c>
      <c r="AH21" s="331">
        <f>SUM(AH9:AH20)</f>
        <v>120</v>
      </c>
      <c r="AI21" s="331">
        <f>SUM(AI9:AI20)</f>
        <v>120</v>
      </c>
      <c r="AJ21" s="289"/>
      <c r="AK21" s="289"/>
      <c r="AL21" s="330">
        <f>SUM(AL9:AL20)</f>
        <v>2400</v>
      </c>
      <c r="AM21" s="331">
        <f>SUM(AM9:AM20)</f>
        <v>120</v>
      </c>
      <c r="AN21" s="331">
        <f>SUM(AN9:AN20)</f>
        <v>120</v>
      </c>
      <c r="AO21" s="289"/>
      <c r="AP21" s="289"/>
      <c r="AQ21" s="330">
        <f>SUM(AQ9:AQ20)</f>
        <v>2400</v>
      </c>
      <c r="AR21" s="331">
        <f>SUM(AR9:AR20)</f>
        <v>120</v>
      </c>
      <c r="AS21" s="331">
        <f>SUM(AS9:AS20)</f>
        <v>120</v>
      </c>
      <c r="AT21" s="289"/>
      <c r="AU21" s="289"/>
      <c r="AV21" s="330">
        <f>SUM(AV9:AV20)</f>
        <v>2400</v>
      </c>
      <c r="AW21" s="331">
        <f>SUM(AW9:AW20)</f>
        <v>120</v>
      </c>
      <c r="AX21" s="331">
        <f>SUM(AX9:AX20)</f>
        <v>120</v>
      </c>
    </row>
    <row r="22" spans="1:50" x14ac:dyDescent="0.25">
      <c r="B22" s="289"/>
      <c r="C22" s="290"/>
      <c r="D22" s="290"/>
      <c r="E22" s="290"/>
      <c r="F22" s="289"/>
      <c r="G22" s="291"/>
      <c r="H22" s="290"/>
      <c r="I22" s="290"/>
      <c r="J22" s="290"/>
      <c r="K22" s="289"/>
      <c r="L22" s="292"/>
      <c r="M22" s="290"/>
      <c r="N22" s="290"/>
      <c r="O22" s="290"/>
      <c r="P22" s="289"/>
      <c r="Q22" s="291"/>
      <c r="R22" s="290"/>
      <c r="S22" s="290"/>
      <c r="T22" s="290"/>
      <c r="U22" s="289"/>
      <c r="V22" s="291"/>
      <c r="W22" s="290"/>
      <c r="X22" s="290"/>
      <c r="Y22" s="290"/>
      <c r="Z22" s="289"/>
      <c r="AA22" s="291"/>
      <c r="AB22" s="290"/>
      <c r="AC22" s="290"/>
      <c r="AD22" s="290"/>
      <c r="AE22" s="289"/>
      <c r="AF22" s="289"/>
      <c r="AG22" s="290"/>
      <c r="AH22" s="290"/>
      <c r="AI22" s="290"/>
      <c r="AJ22" s="289"/>
      <c r="AK22" s="289"/>
      <c r="AL22" s="290"/>
      <c r="AM22" s="290"/>
      <c r="AN22" s="290"/>
      <c r="AO22" s="289"/>
      <c r="AP22" s="289"/>
      <c r="AQ22" s="290"/>
      <c r="AR22" s="290"/>
      <c r="AS22" s="290"/>
      <c r="AT22" s="289"/>
      <c r="AU22" s="289"/>
      <c r="AV22" s="290"/>
      <c r="AW22" s="290"/>
      <c r="AX22" s="290"/>
    </row>
    <row r="23" spans="1:50" ht="24" x14ac:dyDescent="0.25">
      <c r="B23" s="332" t="s">
        <v>27</v>
      </c>
      <c r="C23" s="333">
        <f>SUM(C9:C20)</f>
        <v>12000</v>
      </c>
      <c r="D23" s="333">
        <f>SUM(D9:D20)</f>
        <v>600</v>
      </c>
      <c r="E23" s="333">
        <f>SUM(E9:E20)</f>
        <v>600</v>
      </c>
      <c r="F23" s="334">
        <f>C23/3</f>
        <v>4000</v>
      </c>
      <c r="G23" s="290" t="s">
        <v>29</v>
      </c>
      <c r="H23" s="290">
        <f>B3</f>
        <v>1000</v>
      </c>
      <c r="I23" s="290"/>
      <c r="J23" s="290"/>
      <c r="K23" s="289"/>
      <c r="L23" s="292"/>
      <c r="M23" s="290"/>
      <c r="N23" s="290"/>
      <c r="O23" s="290"/>
      <c r="P23" s="289"/>
      <c r="Q23" s="291"/>
      <c r="R23" s="290"/>
      <c r="S23" s="290"/>
      <c r="T23" s="290"/>
      <c r="U23" s="289"/>
      <c r="V23" s="291"/>
      <c r="W23" s="290"/>
      <c r="X23" s="290"/>
      <c r="Y23" s="290"/>
      <c r="Z23" s="289"/>
      <c r="AA23" s="291"/>
      <c r="AB23" s="290"/>
      <c r="AC23" s="290"/>
      <c r="AD23" s="290"/>
      <c r="AE23" s="289"/>
      <c r="AF23" s="289"/>
      <c r="AG23" s="290"/>
      <c r="AH23" s="290"/>
      <c r="AI23" s="290"/>
      <c r="AJ23" s="289"/>
      <c r="AK23" s="289"/>
      <c r="AL23" s="290"/>
      <c r="AM23" s="290"/>
      <c r="AN23" s="290"/>
      <c r="AO23" s="289"/>
      <c r="AP23" s="289"/>
      <c r="AQ23" s="290"/>
      <c r="AR23" s="290"/>
      <c r="AS23" s="290"/>
      <c r="AT23" s="289"/>
      <c r="AU23" s="289"/>
      <c r="AV23" s="290"/>
      <c r="AW23" s="290"/>
      <c r="AX23" s="290"/>
    </row>
    <row r="24" spans="1:50" x14ac:dyDescent="0.25">
      <c r="B24" s="289"/>
      <c r="C24" s="289"/>
      <c r="D24" s="289"/>
      <c r="E24" s="289"/>
      <c r="F24" s="289"/>
      <c r="G24" s="291"/>
      <c r="H24" s="290"/>
      <c r="I24" s="290"/>
      <c r="J24" s="290"/>
      <c r="K24" s="289"/>
      <c r="L24" s="292"/>
      <c r="M24" s="290"/>
      <c r="N24" s="290"/>
      <c r="O24" s="290"/>
      <c r="P24" s="289"/>
      <c r="Q24" s="291"/>
      <c r="R24" s="290"/>
      <c r="S24" s="290"/>
      <c r="T24" s="290"/>
      <c r="U24" s="289"/>
      <c r="V24" s="291"/>
      <c r="W24" s="290"/>
      <c r="X24" s="290"/>
      <c r="Y24" s="290"/>
      <c r="Z24" s="289"/>
      <c r="AA24" s="291"/>
      <c r="AB24" s="290"/>
      <c r="AC24" s="290"/>
      <c r="AD24" s="290"/>
      <c r="AE24" s="289"/>
      <c r="AF24" s="289"/>
      <c r="AG24" s="290"/>
      <c r="AH24" s="290"/>
      <c r="AI24" s="290"/>
      <c r="AJ24" s="289"/>
      <c r="AK24" s="289"/>
      <c r="AL24" s="290"/>
      <c r="AM24" s="290"/>
      <c r="AN24" s="290"/>
      <c r="AO24" s="289"/>
      <c r="AP24" s="289"/>
      <c r="AQ24" s="290"/>
      <c r="AR24" s="290"/>
      <c r="AS24" s="290"/>
      <c r="AT24" s="289"/>
      <c r="AU24" s="289"/>
      <c r="AV24" s="290"/>
      <c r="AW24" s="290"/>
      <c r="AX24" s="290"/>
    </row>
    <row r="25" spans="1:50" ht="24" x14ac:dyDescent="0.25">
      <c r="B25" s="332" t="s">
        <v>28</v>
      </c>
      <c r="C25" s="333">
        <f>SUM(H21,M21,R21,W21,AB21,AG21,AL21,AQ21,AV21)</f>
        <v>21600</v>
      </c>
      <c r="D25" s="333">
        <f>SUM(I21,N21,S21,X21,AC21,AH21,AM21,AR21,AW21)</f>
        <v>1080</v>
      </c>
      <c r="E25" s="333">
        <f>SUM(J21,O21,T21,Y21,AD21,AI21,AN21,AS21,AX21)</f>
        <v>1080</v>
      </c>
      <c r="F25" s="289"/>
      <c r="G25" s="291"/>
      <c r="H25" s="335">
        <f>C25/C23</f>
        <v>1.8</v>
      </c>
      <c r="I25" s="335"/>
      <c r="J25" s="335"/>
      <c r="K25" s="289"/>
      <c r="L25" s="292"/>
      <c r="M25" s="290"/>
      <c r="N25" s="290"/>
      <c r="O25" s="290"/>
      <c r="P25" s="289"/>
      <c r="Q25" s="291"/>
      <c r="R25" s="290"/>
      <c r="S25" s="290"/>
      <c r="T25" s="290"/>
      <c r="U25" s="289"/>
      <c r="V25" s="291"/>
      <c r="W25" s="290"/>
      <c r="X25" s="290"/>
      <c r="Y25" s="290"/>
      <c r="Z25" s="289"/>
      <c r="AA25" s="291"/>
      <c r="AB25" s="290"/>
      <c r="AC25" s="290"/>
      <c r="AD25" s="290"/>
      <c r="AE25" s="289"/>
      <c r="AF25" s="289"/>
      <c r="AG25" s="290"/>
      <c r="AH25" s="290"/>
      <c r="AI25" s="290"/>
      <c r="AJ25" s="289"/>
      <c r="AK25" s="289"/>
      <c r="AL25" s="290"/>
      <c r="AM25" s="290"/>
      <c r="AN25" s="290"/>
      <c r="AO25" s="289"/>
      <c r="AP25" s="289"/>
      <c r="AQ25" s="290"/>
      <c r="AR25" s="290"/>
      <c r="AS25" s="290"/>
      <c r="AT25" s="289"/>
      <c r="AU25" s="289"/>
      <c r="AV25" s="290"/>
      <c r="AW25" s="290"/>
      <c r="AX25" s="290"/>
    </row>
    <row r="28" spans="1:50" x14ac:dyDescent="0.25">
      <c r="A28" s="336" t="s">
        <v>86</v>
      </c>
      <c r="B28" s="337" t="s">
        <v>32</v>
      </c>
      <c r="C28" s="337"/>
      <c r="D28" s="337"/>
      <c r="E28" s="337"/>
      <c r="F28" s="337"/>
      <c r="G28" s="337"/>
      <c r="H28" s="337"/>
      <c r="I28" s="337"/>
      <c r="J28" s="338" t="s">
        <v>33</v>
      </c>
    </row>
    <row r="29" spans="1:50" x14ac:dyDescent="0.25">
      <c r="B29" s="339" t="s">
        <v>34</v>
      </c>
      <c r="C29" s="339"/>
      <c r="D29" s="339" t="s">
        <v>27</v>
      </c>
      <c r="E29" s="339"/>
      <c r="F29" s="339"/>
      <c r="G29" s="339"/>
      <c r="H29" s="339"/>
      <c r="I29" s="339"/>
      <c r="J29" s="340">
        <f>C21</f>
        <v>12000</v>
      </c>
    </row>
    <row r="30" spans="1:50" ht="17.25" x14ac:dyDescent="0.25">
      <c r="B30" s="339" t="s">
        <v>35</v>
      </c>
      <c r="C30" s="339"/>
      <c r="D30" s="339" t="s">
        <v>36</v>
      </c>
      <c r="E30" s="339"/>
      <c r="F30" s="339"/>
      <c r="G30" s="339"/>
      <c r="H30" s="339"/>
      <c r="I30" s="339"/>
      <c r="J30" s="340">
        <f>F10</f>
        <v>33600</v>
      </c>
      <c r="P30" s="288" t="s">
        <v>96</v>
      </c>
      <c r="Q30" s="288" t="s">
        <v>97</v>
      </c>
    </row>
    <row r="31" spans="1:50" x14ac:dyDescent="0.25">
      <c r="B31" s="339" t="s">
        <v>37</v>
      </c>
      <c r="C31" s="339"/>
      <c r="D31" s="339" t="s">
        <v>38</v>
      </c>
      <c r="E31" s="339"/>
      <c r="F31" s="339"/>
      <c r="G31" s="339"/>
      <c r="H31" s="339"/>
      <c r="I31" s="339"/>
      <c r="J31" s="340">
        <f>C25</f>
        <v>21600</v>
      </c>
      <c r="N31" s="288">
        <v>0</v>
      </c>
      <c r="O31" s="288" t="s">
        <v>103</v>
      </c>
      <c r="P31" s="288">
        <v>0</v>
      </c>
      <c r="Q31" s="288">
        <v>4</v>
      </c>
      <c r="R31" s="341">
        <v>0</v>
      </c>
    </row>
    <row r="32" spans="1:50" ht="15.75" thickBot="1" x14ac:dyDescent="0.3">
      <c r="B32" s="342" t="s">
        <v>39</v>
      </c>
      <c r="C32" s="342"/>
      <c r="D32" s="342" t="s">
        <v>40</v>
      </c>
      <c r="E32" s="342"/>
      <c r="F32" s="342"/>
      <c r="G32" s="342"/>
      <c r="H32" s="342"/>
      <c r="I32" s="342"/>
      <c r="J32" s="343">
        <f>C21</f>
        <v>12000</v>
      </c>
      <c r="N32" s="288">
        <v>1</v>
      </c>
      <c r="O32" s="288" t="s">
        <v>89</v>
      </c>
      <c r="P32" s="288">
        <v>5</v>
      </c>
      <c r="Q32" s="288">
        <v>19</v>
      </c>
      <c r="R32" s="341">
        <v>0.2</v>
      </c>
    </row>
    <row r="33" spans="1:18" ht="15.75" thickBot="1" x14ac:dyDescent="0.3">
      <c r="B33" s="344" t="s">
        <v>41</v>
      </c>
      <c r="C33" s="345"/>
      <c r="D33" s="345"/>
      <c r="E33" s="345"/>
      <c r="F33" s="345"/>
      <c r="G33" s="345"/>
      <c r="H33" s="345"/>
      <c r="I33" s="345"/>
      <c r="J33" s="346">
        <f>J32+J31</f>
        <v>33600</v>
      </c>
      <c r="N33" s="288">
        <v>2</v>
      </c>
      <c r="O33" s="288" t="s">
        <v>90</v>
      </c>
      <c r="P33" s="288">
        <v>20</v>
      </c>
      <c r="Q33" s="288">
        <v>99</v>
      </c>
      <c r="R33" s="341">
        <v>0.4</v>
      </c>
    </row>
    <row r="34" spans="1:18" x14ac:dyDescent="0.25">
      <c r="N34" s="288">
        <v>3</v>
      </c>
      <c r="O34" s="288" t="s">
        <v>91</v>
      </c>
      <c r="P34" s="288">
        <v>100</v>
      </c>
      <c r="Q34" s="288">
        <v>499</v>
      </c>
      <c r="R34" s="341">
        <v>0.52</v>
      </c>
    </row>
    <row r="35" spans="1:18" ht="28.35" customHeight="1" x14ac:dyDescent="0.25">
      <c r="A35" s="347" t="s">
        <v>87</v>
      </c>
      <c r="B35" s="348" t="s">
        <v>68</v>
      </c>
      <c r="C35" s="348"/>
      <c r="D35" s="348" t="s">
        <v>69</v>
      </c>
      <c r="E35" s="348"/>
      <c r="F35" s="349" t="s">
        <v>70</v>
      </c>
      <c r="G35" s="349"/>
      <c r="H35" s="349"/>
      <c r="I35" s="349"/>
      <c r="N35" s="288">
        <v>4</v>
      </c>
      <c r="O35" s="288" t="s">
        <v>92</v>
      </c>
      <c r="P35" s="288">
        <v>500</v>
      </c>
      <c r="Q35" s="288">
        <v>1999</v>
      </c>
      <c r="R35" s="341">
        <v>0.64</v>
      </c>
    </row>
    <row r="36" spans="1:18" ht="15" customHeight="1" x14ac:dyDescent="0.25">
      <c r="B36" s="350">
        <f>D23</f>
        <v>600</v>
      </c>
      <c r="C36" s="350"/>
      <c r="D36" s="350">
        <f>E23</f>
        <v>600</v>
      </c>
      <c r="E36" s="350"/>
      <c r="F36" s="351" t="s">
        <v>71</v>
      </c>
      <c r="G36" s="351"/>
      <c r="H36" s="351"/>
      <c r="I36" s="351"/>
      <c r="N36" s="288">
        <v>5</v>
      </c>
      <c r="O36" s="288" t="s">
        <v>93</v>
      </c>
      <c r="P36" s="288">
        <v>2000</v>
      </c>
      <c r="Q36" s="288">
        <v>5999</v>
      </c>
      <c r="R36" s="341">
        <v>0.72</v>
      </c>
    </row>
    <row r="37" spans="1:18" ht="15" customHeight="1" x14ac:dyDescent="0.25">
      <c r="B37" s="350">
        <f>D25</f>
        <v>1080</v>
      </c>
      <c r="C37" s="350"/>
      <c r="D37" s="350">
        <f>E25</f>
        <v>1080</v>
      </c>
      <c r="E37" s="350"/>
      <c r="F37" s="351" t="s">
        <v>72</v>
      </c>
      <c r="G37" s="351"/>
      <c r="H37" s="351"/>
      <c r="I37" s="351"/>
      <c r="N37" s="288">
        <v>6</v>
      </c>
      <c r="O37" s="288" t="s">
        <v>94</v>
      </c>
      <c r="P37" s="288">
        <v>6000</v>
      </c>
      <c r="Q37" s="288">
        <v>9999</v>
      </c>
      <c r="R37" s="341">
        <v>0.84</v>
      </c>
    </row>
    <row r="38" spans="1:18" ht="14.85" customHeight="1" x14ac:dyDescent="0.25">
      <c r="B38" s="352">
        <f>B37+B36</f>
        <v>1680</v>
      </c>
      <c r="C38" s="352"/>
      <c r="D38" s="352">
        <f>D37+D36</f>
        <v>1680</v>
      </c>
      <c r="E38" s="352"/>
      <c r="F38" s="353" t="s">
        <v>73</v>
      </c>
      <c r="G38" s="353"/>
      <c r="H38" s="353"/>
      <c r="I38" s="353"/>
      <c r="N38" s="288">
        <v>7</v>
      </c>
      <c r="O38" s="288" t="s">
        <v>95</v>
      </c>
      <c r="P38" s="288">
        <v>10000</v>
      </c>
      <c r="Q38" s="288" t="s">
        <v>0</v>
      </c>
      <c r="R38" s="341">
        <v>0.9</v>
      </c>
    </row>
    <row r="41" spans="1:18" ht="15" customHeight="1" x14ac:dyDescent="0.25">
      <c r="B41" s="348" t="s">
        <v>42</v>
      </c>
      <c r="C41" s="348"/>
      <c r="D41" s="348"/>
      <c r="E41" s="348"/>
      <c r="F41" s="348"/>
      <c r="G41" s="348"/>
      <c r="H41" s="348"/>
      <c r="I41" s="348"/>
    </row>
    <row r="42" spans="1:18" ht="15" customHeight="1" x14ac:dyDescent="0.25">
      <c r="B42" s="354" t="s">
        <v>43</v>
      </c>
      <c r="C42" s="354"/>
      <c r="D42" s="354"/>
      <c r="E42" s="354"/>
      <c r="F42" s="354"/>
      <c r="G42" s="354"/>
      <c r="H42" s="354"/>
      <c r="I42" s="354"/>
    </row>
    <row r="43" spans="1:18" ht="15" customHeight="1" x14ac:dyDescent="0.25">
      <c r="B43" s="355" t="s">
        <v>44</v>
      </c>
      <c r="C43" s="355"/>
      <c r="D43" s="355"/>
      <c r="E43" s="355"/>
      <c r="F43" s="355"/>
      <c r="G43" s="355"/>
      <c r="H43" s="355"/>
      <c r="I43" s="355"/>
    </row>
    <row r="44" spans="1:18" ht="75" customHeight="1" x14ac:dyDescent="0.25">
      <c r="B44" s="354" t="s">
        <v>45</v>
      </c>
      <c r="C44" s="354"/>
      <c r="D44" s="354"/>
      <c r="E44" s="354"/>
      <c r="F44" s="354"/>
      <c r="G44" s="354"/>
      <c r="H44" s="354"/>
      <c r="I44" s="354"/>
    </row>
    <row r="45" spans="1:18" ht="28.5" customHeight="1" x14ac:dyDescent="0.25">
      <c r="B45" s="354" t="s">
        <v>46</v>
      </c>
      <c r="C45" s="354"/>
      <c r="D45" s="354"/>
      <c r="E45" s="354"/>
      <c r="F45" s="354"/>
      <c r="G45" s="354"/>
      <c r="H45" s="354"/>
      <c r="I45" s="354"/>
    </row>
    <row r="46" spans="1:18" ht="15" customHeight="1" x14ac:dyDescent="0.25">
      <c r="B46" s="354" t="s">
        <v>47</v>
      </c>
      <c r="C46" s="354"/>
      <c r="D46" s="354"/>
      <c r="E46" s="354"/>
      <c r="F46" s="354"/>
      <c r="G46" s="354"/>
      <c r="H46" s="354"/>
      <c r="I46" s="354"/>
    </row>
    <row r="47" spans="1:18" ht="47.25" customHeight="1" x14ac:dyDescent="0.25">
      <c r="B47" s="354" t="s">
        <v>48</v>
      </c>
      <c r="C47" s="354"/>
      <c r="D47" s="354"/>
      <c r="E47" s="354"/>
      <c r="F47" s="354"/>
      <c r="G47" s="354"/>
      <c r="H47" s="354"/>
      <c r="I47" s="354"/>
    </row>
    <row r="48" spans="1:18" ht="48.75" customHeight="1" x14ac:dyDescent="0.25">
      <c r="B48" s="354" t="s">
        <v>49</v>
      </c>
      <c r="C48" s="354"/>
      <c r="D48" s="354"/>
      <c r="E48" s="354"/>
      <c r="F48" s="354"/>
      <c r="G48" s="354"/>
      <c r="H48" s="354"/>
      <c r="I48" s="354"/>
    </row>
    <row r="49" spans="2:9" ht="15" customHeight="1" x14ac:dyDescent="0.25">
      <c r="B49" s="355" t="s">
        <v>50</v>
      </c>
      <c r="C49" s="355"/>
      <c r="D49" s="355"/>
      <c r="E49" s="355"/>
      <c r="F49" s="355"/>
      <c r="G49" s="355"/>
      <c r="H49" s="355"/>
      <c r="I49" s="355"/>
    </row>
    <row r="50" spans="2:9" ht="42" customHeight="1" x14ac:dyDescent="0.25">
      <c r="B50" s="354" t="s">
        <v>51</v>
      </c>
      <c r="C50" s="354"/>
      <c r="D50" s="354"/>
      <c r="E50" s="354"/>
      <c r="F50" s="354"/>
      <c r="G50" s="354"/>
      <c r="H50" s="354"/>
      <c r="I50" s="354"/>
    </row>
    <row r="51" spans="2:9" ht="28.5" customHeight="1" x14ac:dyDescent="0.25">
      <c r="B51" s="354" t="s">
        <v>52</v>
      </c>
      <c r="C51" s="354"/>
      <c r="D51" s="354"/>
      <c r="E51" s="354"/>
      <c r="F51" s="354"/>
      <c r="G51" s="354"/>
      <c r="H51" s="354"/>
      <c r="I51" s="354"/>
    </row>
    <row r="52" spans="2:9" ht="15" customHeight="1" x14ac:dyDescent="0.25">
      <c r="B52" s="355" t="s">
        <v>53</v>
      </c>
      <c r="C52" s="355"/>
      <c r="D52" s="355"/>
      <c r="E52" s="355"/>
      <c r="F52" s="355"/>
      <c r="G52" s="355"/>
      <c r="H52" s="355"/>
      <c r="I52" s="355"/>
    </row>
    <row r="53" spans="2:9" ht="48.75" customHeight="1" x14ac:dyDescent="0.25">
      <c r="B53" s="354" t="s">
        <v>54</v>
      </c>
      <c r="C53" s="354"/>
      <c r="D53" s="354"/>
      <c r="E53" s="354"/>
      <c r="F53" s="354"/>
      <c r="G53" s="354"/>
      <c r="H53" s="354"/>
      <c r="I53" s="354"/>
    </row>
    <row r="54" spans="2:9" ht="15" customHeight="1" x14ac:dyDescent="0.25">
      <c r="B54" s="355" t="s">
        <v>55</v>
      </c>
      <c r="C54" s="355"/>
      <c r="D54" s="355"/>
      <c r="E54" s="355"/>
      <c r="F54" s="355"/>
      <c r="G54" s="355"/>
      <c r="H54" s="355"/>
      <c r="I54" s="355"/>
    </row>
    <row r="55" spans="2:9" ht="15" customHeight="1" x14ac:dyDescent="0.25">
      <c r="B55" s="354" t="s">
        <v>56</v>
      </c>
      <c r="C55" s="354"/>
      <c r="D55" s="354"/>
      <c r="E55" s="354"/>
      <c r="F55" s="354"/>
      <c r="G55" s="354"/>
      <c r="H55" s="354"/>
      <c r="I55" s="354"/>
    </row>
    <row r="56" spans="2:9" ht="55.5" customHeight="1" x14ac:dyDescent="0.25">
      <c r="B56" s="354" t="s">
        <v>57</v>
      </c>
      <c r="C56" s="354"/>
      <c r="D56" s="354"/>
      <c r="E56" s="354"/>
      <c r="F56" s="354"/>
      <c r="G56" s="354"/>
      <c r="H56" s="354"/>
      <c r="I56" s="354"/>
    </row>
    <row r="57" spans="2:9" ht="15" customHeight="1" x14ac:dyDescent="0.25">
      <c r="B57" s="354" t="s">
        <v>58</v>
      </c>
      <c r="C57" s="354"/>
      <c r="D57" s="354"/>
      <c r="E57" s="354"/>
      <c r="F57" s="354"/>
      <c r="G57" s="354"/>
      <c r="H57" s="354"/>
      <c r="I57" s="354"/>
    </row>
  </sheetData>
  <sheetProtection algorithmName="SHA-512" hashValue="oOjnauDEBvpq4WmGUOQcZenmaMQHXtgdJNZYsX/1HBf/VxYu2dwyr4x7voc9t+vmXqjz8pTESHosjaEr2VISkw==" saltValue="Uci1E41XnCOVRKPjJHfIog==" spinCount="100000" sheet="1" objects="1" scenarios="1"/>
  <mergeCells count="50">
    <mergeCell ref="AU7:AX7"/>
    <mergeCell ref="B28:I28"/>
    <mergeCell ref="B29:C29"/>
    <mergeCell ref="D29:I29"/>
    <mergeCell ref="B30:C30"/>
    <mergeCell ref="D30:I30"/>
    <mergeCell ref="V7:Y7"/>
    <mergeCell ref="AA7:AD7"/>
    <mergeCell ref="AF7:AI7"/>
    <mergeCell ref="AK7:AN7"/>
    <mergeCell ref="AP7:AS7"/>
    <mergeCell ref="B7:E7"/>
    <mergeCell ref="F7:F8"/>
    <mergeCell ref="G7:J7"/>
    <mergeCell ref="L7:O7"/>
    <mergeCell ref="Q7:T7"/>
    <mergeCell ref="B31:C31"/>
    <mergeCell ref="D31:I31"/>
    <mergeCell ref="B32:C32"/>
    <mergeCell ref="D32:I32"/>
    <mergeCell ref="B33:I33"/>
    <mergeCell ref="B35:C35"/>
    <mergeCell ref="D35:E35"/>
    <mergeCell ref="F35:I35"/>
    <mergeCell ref="B36:C36"/>
    <mergeCell ref="D36:E36"/>
    <mergeCell ref="F36:I36"/>
    <mergeCell ref="B37:C37"/>
    <mergeCell ref="D37:E37"/>
    <mergeCell ref="F37:I37"/>
    <mergeCell ref="B38:C38"/>
    <mergeCell ref="D38:E38"/>
    <mergeCell ref="F38:I38"/>
    <mergeCell ref="B41:I41"/>
    <mergeCell ref="B42:I42"/>
    <mergeCell ref="B43:I43"/>
    <mergeCell ref="B44:I44"/>
    <mergeCell ref="B45:I45"/>
    <mergeCell ref="B46:I46"/>
    <mergeCell ref="B47:I47"/>
    <mergeCell ref="B48:I48"/>
    <mergeCell ref="B49:I49"/>
    <mergeCell ref="B50:I50"/>
    <mergeCell ref="B56:I56"/>
    <mergeCell ref="B57:I57"/>
    <mergeCell ref="B51:I51"/>
    <mergeCell ref="B52:I52"/>
    <mergeCell ref="B53:I53"/>
    <mergeCell ref="B54:I54"/>
    <mergeCell ref="B55:I55"/>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USER GUIDE</vt:lpstr>
      <vt:lpstr>TSGAP % slabs</vt:lpstr>
      <vt:lpstr>GOAL Approach</vt:lpstr>
      <vt:lpstr>TSGAP</vt:lpstr>
      <vt:lpstr>TSGAP compounded</vt:lpstr>
      <vt:lpstr>TimeAlly - TSGAP</vt:lpstr>
      <vt:lpstr>TimeAlly + TSGAP compounded</vt:lpstr>
      <vt:lpstr>TSGAP - Top up</vt:lpstr>
      <vt:lpstr>Calculated ES Dayswapper</vt:lpstr>
      <vt:lpstr>TimeAlly + TSGAP</vt:lpstr>
      <vt:lpstr>Day Swappers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Kavish Jhaveri</cp:lastModifiedBy>
  <cp:revision>5</cp:revision>
  <dcterms:created xsi:type="dcterms:W3CDTF">2019-10-13T12:28:19Z</dcterms:created>
  <dcterms:modified xsi:type="dcterms:W3CDTF">2019-11-01T07:50:07Z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