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wetsi_m/Documents/LaTexNotes/BUS2016H/excel docs/excel question bank/suggested solutions/"/>
    </mc:Choice>
  </mc:AlternateContent>
  <xr:revisionPtr revIDLastSave="0" documentId="13_ncr:1_{663DB667-6365-EC40-ABC5-6E17D376C7DD}" xr6:coauthVersionLast="47" xr6:coauthVersionMax="47" xr10:uidLastSave="{00000000-0000-0000-0000-000000000000}"/>
  <bookViews>
    <workbookView xWindow="1180" yWindow="1500" windowWidth="27240" windowHeight="15940" xr2:uid="{51BF6D98-F187-D344-8923-65EB91C65D8A}"/>
  </bookViews>
  <sheets>
    <sheet name="Q1" sheetId="1" r:id="rId1"/>
    <sheet name="Q2" sheetId="2" r:id="rId2"/>
  </sheets>
  <calcPr calcId="18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1" l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18" i="1"/>
  <c r="P4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18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19" i="1"/>
  <c r="H6" i="1"/>
  <c r="E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18" i="1"/>
  <c r="C18" i="1"/>
  <c r="M18" i="1" s="1"/>
  <c r="O18" i="1" s="1"/>
  <c r="P3" i="1"/>
  <c r="I3" i="1"/>
  <c r="AA25" i="2" l="1"/>
  <c r="AA26" i="2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AA24" i="2"/>
  <c r="AA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23" i="2"/>
  <c r="W4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23" i="2"/>
  <c r="O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23" i="2"/>
  <c r="T23" i="2"/>
  <c r="L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H17" i="2"/>
  <c r="H18" i="2"/>
  <c r="E23" i="2"/>
  <c r="D26" i="2"/>
  <c r="D27" i="2"/>
  <c r="D28" i="2"/>
  <c r="D29" i="2"/>
  <c r="D34" i="2"/>
  <c r="D35" i="2"/>
  <c r="D36" i="2"/>
  <c r="D37" i="2"/>
  <c r="D42" i="2"/>
  <c r="D43" i="2"/>
  <c r="D23" i="2"/>
  <c r="C24" i="2"/>
  <c r="D24" i="2" s="1"/>
  <c r="C25" i="2"/>
  <c r="D25" i="2" s="1"/>
  <c r="C26" i="2"/>
  <c r="C27" i="2"/>
  <c r="C28" i="2"/>
  <c r="C29" i="2"/>
  <c r="C30" i="2"/>
  <c r="D30" i="2" s="1"/>
  <c r="C31" i="2"/>
  <c r="D31" i="2" s="1"/>
  <c r="C32" i="2"/>
  <c r="D32" i="2" s="1"/>
  <c r="C33" i="2"/>
  <c r="D33" i="2" s="1"/>
  <c r="C34" i="2"/>
  <c r="C35" i="2"/>
  <c r="C36" i="2"/>
  <c r="C37" i="2"/>
  <c r="C38" i="2"/>
  <c r="D38" i="2" s="1"/>
  <c r="C39" i="2"/>
  <c r="D39" i="2" s="1"/>
  <c r="C40" i="2"/>
  <c r="D40" i="2" s="1"/>
  <c r="C41" i="2"/>
  <c r="D41" i="2" s="1"/>
  <c r="C42" i="2"/>
  <c r="C43" i="2"/>
  <c r="C23" i="2"/>
  <c r="H16" i="2"/>
  <c r="P23" i="2" l="1"/>
  <c r="R23" i="2" s="1"/>
  <c r="O24" i="2" s="1"/>
  <c r="P24" i="2" l="1"/>
  <c r="R24" i="2" s="1"/>
  <c r="O25" i="2" s="1"/>
  <c r="P25" i="2" l="1"/>
  <c r="R25" i="2" s="1"/>
  <c r="O26" i="2" s="1"/>
  <c r="P26" i="2" l="1"/>
  <c r="R26" i="2" s="1"/>
  <c r="O27" i="2" s="1"/>
  <c r="P27" i="2" s="1"/>
  <c r="R27" i="2" s="1"/>
  <c r="O28" i="2" s="1"/>
  <c r="P28" i="2" l="1"/>
  <c r="R28" i="2" s="1"/>
  <c r="O29" i="2" s="1"/>
  <c r="P29" i="2" s="1"/>
  <c r="R29" i="2" s="1"/>
  <c r="O30" i="2" s="1"/>
  <c r="P30" i="2" l="1"/>
  <c r="R30" i="2" s="1"/>
  <c r="O31" i="2" s="1"/>
  <c r="P31" i="2" l="1"/>
  <c r="R31" i="2" s="1"/>
  <c r="O32" i="2" s="1"/>
  <c r="P32" i="2" l="1"/>
  <c r="R32" i="2"/>
  <c r="O33" i="2" s="1"/>
  <c r="P33" i="2"/>
  <c r="R33" i="2"/>
  <c r="O34" i="2" s="1"/>
  <c r="P34" i="2" l="1"/>
  <c r="R34" i="2"/>
  <c r="O35" i="2" s="1"/>
  <c r="P35" i="2" l="1"/>
  <c r="R35" i="2"/>
  <c r="O36" i="2" s="1"/>
  <c r="P36" i="2" l="1"/>
  <c r="R36" i="2"/>
  <c r="O37" i="2" s="1"/>
  <c r="P37" i="2" l="1"/>
  <c r="R37" i="2" s="1"/>
  <c r="O38" i="2" s="1"/>
  <c r="P38" i="2" l="1"/>
  <c r="R38" i="2" s="1"/>
  <c r="O39" i="2" s="1"/>
  <c r="P39" i="2" l="1"/>
  <c r="R39" i="2" s="1"/>
  <c r="O40" i="2" s="1"/>
  <c r="P40" i="2" l="1"/>
  <c r="R40" i="2"/>
  <c r="O41" i="2" s="1"/>
  <c r="P41" i="2" l="1"/>
  <c r="R41" i="2"/>
  <c r="O42" i="2" s="1"/>
  <c r="P42" i="2" l="1"/>
  <c r="R42" i="2"/>
  <c r="O43" i="2" s="1"/>
  <c r="P43" i="2" l="1"/>
  <c r="R43" i="2"/>
</calcChain>
</file>

<file path=xl/sharedStrings.xml><?xml version="1.0" encoding="utf-8"?>
<sst xmlns="http://schemas.openxmlformats.org/spreadsheetml/2006/main" count="106" uniqueCount="88">
  <si>
    <t>Investment Sum</t>
  </si>
  <si>
    <t>SpinTop Details:</t>
  </si>
  <si>
    <t>expenses</t>
  </si>
  <si>
    <t xml:space="preserve">running costs are </t>
  </si>
  <si>
    <t>per annum</t>
  </si>
  <si>
    <t>payable in advance immediately</t>
  </si>
  <si>
    <t>these increase by</t>
  </si>
  <si>
    <t>income</t>
  </si>
  <si>
    <t>rent is assumed to start at time (year)</t>
  </si>
  <si>
    <t>and received continously at rate</t>
  </si>
  <si>
    <t xml:space="preserve">for </t>
  </si>
  <si>
    <t>years</t>
  </si>
  <si>
    <t xml:space="preserve">thereafter the rate increases by </t>
  </si>
  <si>
    <t xml:space="preserve">sale is at </t>
  </si>
  <si>
    <t>at time (years)</t>
  </si>
  <si>
    <t>interest</t>
  </si>
  <si>
    <t>given force of interest</t>
  </si>
  <si>
    <t>so effective rate is</t>
  </si>
  <si>
    <t>Malta GOALs</t>
  </si>
  <si>
    <t>the sum is returned at the end of</t>
  </si>
  <si>
    <t>the fund provides income of</t>
  </si>
  <si>
    <t>loan is taken out to finance investment sum</t>
  </si>
  <si>
    <t>the loan is paid back with income</t>
  </si>
  <si>
    <t>borrow rate is force of interest</t>
  </si>
  <si>
    <t>investing rate is effective rate</t>
  </si>
  <si>
    <t>time (years)</t>
  </si>
  <si>
    <t>SpinTop</t>
  </si>
  <si>
    <t>investment sum</t>
  </si>
  <si>
    <t>running cost</t>
  </si>
  <si>
    <t>total cost</t>
  </si>
  <si>
    <t>continuous factor</t>
  </si>
  <si>
    <t>income rates</t>
  </si>
  <si>
    <t>a bar</t>
  </si>
  <si>
    <t>with v =</t>
  </si>
  <si>
    <t>continous income</t>
  </si>
  <si>
    <t>sale income</t>
  </si>
  <si>
    <t>total income</t>
  </si>
  <si>
    <t>net cashflows</t>
  </si>
  <si>
    <t>discount factor</t>
  </si>
  <si>
    <t>NPV</t>
  </si>
  <si>
    <t>fund income</t>
  </si>
  <si>
    <t>interest rate</t>
  </si>
  <si>
    <t>time(years)</t>
  </si>
  <si>
    <t>loan outsanding at beg</t>
  </si>
  <si>
    <t>interest payable</t>
  </si>
  <si>
    <t>income repyments</t>
  </si>
  <si>
    <t>investment sum return</t>
  </si>
  <si>
    <t>accumulation factor</t>
  </si>
  <si>
    <t>accumulated values</t>
  </si>
  <si>
    <t>cumulative accumulations</t>
  </si>
  <si>
    <t>DPP</t>
  </si>
  <si>
    <t xml:space="preserve">annual coupons are </t>
  </si>
  <si>
    <t xml:space="preserve">with a term of </t>
  </si>
  <si>
    <t>issued at</t>
  </si>
  <si>
    <t>index is as follows:</t>
  </si>
  <si>
    <t xml:space="preserve">has time lag of </t>
  </si>
  <si>
    <t>(8 months)</t>
  </si>
  <si>
    <t>bond</t>
  </si>
  <si>
    <t>an investor, liable to tax, puchases bond nominal of</t>
  </si>
  <si>
    <t>at time</t>
  </si>
  <si>
    <t>the last known index at time</t>
  </si>
  <si>
    <t>is</t>
  </si>
  <si>
    <t>more are known:</t>
  </si>
  <si>
    <t>paid biannually on 1 jan and 1 jul</t>
  </si>
  <si>
    <t>assume indexes increases by effective rate</t>
  </si>
  <si>
    <t>from last known index</t>
  </si>
  <si>
    <t>tax</t>
  </si>
  <si>
    <t>income tax</t>
  </si>
  <si>
    <t>real effective</t>
  </si>
  <si>
    <t>assume they hold to maturity</t>
  </si>
  <si>
    <t>price is</t>
  </si>
  <si>
    <t>GOALSEEKED</t>
  </si>
  <si>
    <t>time</t>
  </si>
  <si>
    <t>price</t>
  </si>
  <si>
    <t>nominal coupons</t>
  </si>
  <si>
    <t>assume redemption is at par</t>
  </si>
  <si>
    <t>monetary coupons</t>
  </si>
  <si>
    <t>Q(ISSUE-LAG)</t>
  </si>
  <si>
    <t>Q(t-LAG)</t>
  </si>
  <si>
    <t xml:space="preserve">and it is </t>
  </si>
  <si>
    <t>(2 months) before purchase</t>
  </si>
  <si>
    <t>monetary converter</t>
  </si>
  <si>
    <t>Q(t)</t>
  </si>
  <si>
    <t>real converter</t>
  </si>
  <si>
    <t>real coupons</t>
  </si>
  <si>
    <t>net real coupons</t>
  </si>
  <si>
    <t>redemption</t>
  </si>
  <si>
    <t>with v=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</si>
</sst>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A5F7D-F923-7341-8983-2BD116AAD53B}">
  <dimension ref="A2:P35"/>
  <sheetViews>
    <sheetView tabSelected="1" workbookViewId="0">
      <selection activeCell="O18" sqref="O18"/>
    </sheetView>
  </sheetViews>
  <sheetFormatPr baseColWidth="10" defaultRowHeight="16" x14ac:dyDescent="0.2"/>
  <sheetData>
    <row r="2" spans="2:16" x14ac:dyDescent="0.2">
      <c r="B2" t="s">
        <v>57</v>
      </c>
      <c r="G2" t="s">
        <v>54</v>
      </c>
      <c r="L2" t="s">
        <v>66</v>
      </c>
      <c r="O2" t="s">
        <v>41</v>
      </c>
    </row>
    <row r="3" spans="2:16" x14ac:dyDescent="0.2">
      <c r="B3" t="s">
        <v>52</v>
      </c>
      <c r="D3">
        <v>10</v>
      </c>
      <c r="E3" t="s">
        <v>11</v>
      </c>
      <c r="G3" t="s">
        <v>55</v>
      </c>
      <c r="I3">
        <f>8/12</f>
        <v>0.66666666666666663</v>
      </c>
      <c r="J3" t="s">
        <v>56</v>
      </c>
      <c r="L3" t="s">
        <v>67</v>
      </c>
      <c r="M3">
        <v>0.2</v>
      </c>
      <c r="O3" t="s">
        <v>68</v>
      </c>
      <c r="P3">
        <f>(1+0.03/2)^(2)-1</f>
        <v>3.0224999999999724E-2</v>
      </c>
    </row>
    <row r="4" spans="2:16" x14ac:dyDescent="0.2">
      <c r="B4" t="s">
        <v>53</v>
      </c>
      <c r="C4" s="2">
        <v>45658</v>
      </c>
      <c r="G4" t="s">
        <v>60</v>
      </c>
      <c r="J4" s="2">
        <v>46143</v>
      </c>
      <c r="O4" t="s">
        <v>87</v>
      </c>
      <c r="P4">
        <f>(1+$P$3)^(-1)</f>
        <v>0.9706617486471405</v>
      </c>
    </row>
    <row r="5" spans="2:16" x14ac:dyDescent="0.2">
      <c r="B5" t="s">
        <v>51</v>
      </c>
      <c r="D5">
        <v>0.02</v>
      </c>
      <c r="G5" t="s">
        <v>61</v>
      </c>
      <c r="H5">
        <v>113.8</v>
      </c>
    </row>
    <row r="6" spans="2:16" x14ac:dyDescent="0.2">
      <c r="B6" t="s">
        <v>63</v>
      </c>
      <c r="G6" s="3" t="s">
        <v>79</v>
      </c>
      <c r="H6">
        <f>2/12</f>
        <v>0.16666666666666666</v>
      </c>
      <c r="I6" t="s">
        <v>80</v>
      </c>
    </row>
    <row r="7" spans="2:16" x14ac:dyDescent="0.2">
      <c r="B7" t="s">
        <v>75</v>
      </c>
    </row>
    <row r="8" spans="2:16" x14ac:dyDescent="0.2">
      <c r="G8" t="s">
        <v>62</v>
      </c>
    </row>
    <row r="9" spans="2:16" x14ac:dyDescent="0.2">
      <c r="B9" t="s">
        <v>58</v>
      </c>
      <c r="G9" s="2">
        <v>45413</v>
      </c>
      <c r="H9">
        <v>100</v>
      </c>
      <c r="I9" t="s">
        <v>77</v>
      </c>
    </row>
    <row r="10" spans="2:16" x14ac:dyDescent="0.2">
      <c r="B10">
        <v>100</v>
      </c>
      <c r="C10" t="s">
        <v>59</v>
      </c>
      <c r="D10" s="2">
        <v>46204</v>
      </c>
      <c r="G10" s="2">
        <v>45597</v>
      </c>
      <c r="H10">
        <v>110</v>
      </c>
    </row>
    <row r="11" spans="2:16" x14ac:dyDescent="0.2">
      <c r="B11" t="s">
        <v>69</v>
      </c>
      <c r="G11" s="2">
        <v>45778</v>
      </c>
      <c r="H11">
        <v>112.3</v>
      </c>
    </row>
    <row r="12" spans="2:16" x14ac:dyDescent="0.2">
      <c r="G12" s="2">
        <v>45962</v>
      </c>
      <c r="H12">
        <v>113.2</v>
      </c>
    </row>
    <row r="13" spans="2:16" x14ac:dyDescent="0.2">
      <c r="B13" t="s">
        <v>70</v>
      </c>
      <c r="C13" s="1">
        <v>91.043916988495084</v>
      </c>
      <c r="G13" t="s">
        <v>64</v>
      </c>
    </row>
    <row r="14" spans="2:16" x14ac:dyDescent="0.2">
      <c r="C14" s="1" t="s">
        <v>71</v>
      </c>
      <c r="G14">
        <v>2.5000000000000001E-2</v>
      </c>
      <c r="H14" t="s">
        <v>65</v>
      </c>
    </row>
    <row r="17" spans="1:15" x14ac:dyDescent="0.2">
      <c r="A17" t="s">
        <v>72</v>
      </c>
      <c r="B17" t="s">
        <v>25</v>
      </c>
      <c r="C17" t="s">
        <v>73</v>
      </c>
      <c r="D17" t="s">
        <v>74</v>
      </c>
      <c r="E17" t="s">
        <v>78</v>
      </c>
      <c r="F17" t="s">
        <v>81</v>
      </c>
      <c r="G17" t="s">
        <v>76</v>
      </c>
      <c r="H17" t="s">
        <v>82</v>
      </c>
      <c r="I17" t="s">
        <v>83</v>
      </c>
      <c r="J17" t="s">
        <v>84</v>
      </c>
      <c r="K17" t="s">
        <v>85</v>
      </c>
      <c r="L17" t="s">
        <v>86</v>
      </c>
      <c r="M17" t="s">
        <v>37</v>
      </c>
      <c r="N17" t="s">
        <v>38</v>
      </c>
      <c r="O17" t="s">
        <v>39</v>
      </c>
    </row>
    <row r="18" spans="1:15" x14ac:dyDescent="0.2">
      <c r="A18" s="2">
        <v>46204</v>
      </c>
      <c r="B18">
        <v>0</v>
      </c>
      <c r="C18">
        <f>C13</f>
        <v>91.043916988495084</v>
      </c>
      <c r="D18">
        <f>IF(A18=$D$10,0,$B$10*$D$5/2)</f>
        <v>0</v>
      </c>
      <c r="E18">
        <f>$H$12</f>
        <v>113.2</v>
      </c>
      <c r="F18">
        <f>E18/$H$9</f>
        <v>1.1320000000000001</v>
      </c>
      <c r="G18">
        <f>D18*F18</f>
        <v>0</v>
      </c>
      <c r="H18">
        <f>$H$5*(1+$G$14)^($H$6+B18)</f>
        <v>114.26930157993341</v>
      </c>
      <c r="I18">
        <f>H18/$H$18</f>
        <v>1</v>
      </c>
      <c r="J18">
        <f>G18/I18</f>
        <v>0</v>
      </c>
      <c r="K18">
        <f>J18*(1-$M$3)</f>
        <v>0</v>
      </c>
      <c r="M18">
        <f>-C18+K18+L18</f>
        <v>-91.043916988495084</v>
      </c>
      <c r="N18">
        <f>$P$4^(B18)</f>
        <v>1</v>
      </c>
      <c r="O18">
        <f>SUMPRODUCT(M18:M35,N18:N35)</f>
        <v>-1.4210854715202004E-14</v>
      </c>
    </row>
    <row r="19" spans="1:15" x14ac:dyDescent="0.2">
      <c r="A19" s="2">
        <v>46388</v>
      </c>
      <c r="B19">
        <v>0.5</v>
      </c>
      <c r="D19">
        <f>IF(A19=$D$10,0,$B$10*$D$5/2)</f>
        <v>1</v>
      </c>
      <c r="E19">
        <f>$H$5*(1+$G$14)^($H$6+B19-$I$3)</f>
        <v>113.8</v>
      </c>
      <c r="F19">
        <f t="shared" ref="F19:F35" si="0">E19/$H$9</f>
        <v>1.1379999999999999</v>
      </c>
      <c r="G19">
        <f t="shared" ref="G19:G35" si="1">D19*F19</f>
        <v>1.1379999999999999</v>
      </c>
      <c r="H19">
        <f t="shared" ref="H19:H35" si="2">$H$5*(1+$G$14)^($H$6+B19)</f>
        <v>115.68885043795238</v>
      </c>
      <c r="I19">
        <f t="shared" ref="I19:I35" si="3">H19/$H$18</f>
        <v>1.0124228365658292</v>
      </c>
      <c r="J19">
        <f t="shared" ref="J19:J35" si="4">G19/I19</f>
        <v>1.1240362809872331</v>
      </c>
      <c r="K19">
        <f t="shared" ref="K19:K35" si="5">J19*(1-$M$3)</f>
        <v>0.8992290247897865</v>
      </c>
      <c r="M19">
        <f t="shared" ref="M19:M35" si="6">-C19+K19+L19</f>
        <v>0.8992290247897865</v>
      </c>
      <c r="N19">
        <f t="shared" ref="N19:N35" si="7">$P$4^(B19)</f>
        <v>0.98522167487684742</v>
      </c>
    </row>
    <row r="20" spans="1:15" x14ac:dyDescent="0.2">
      <c r="A20" s="2">
        <v>46569</v>
      </c>
      <c r="B20">
        <v>1</v>
      </c>
      <c r="D20">
        <f>IF(A20=$D$10,0,$B$10*$D$5/2)</f>
        <v>1</v>
      </c>
      <c r="E20">
        <f t="shared" ref="E20:E35" si="8">$H$5*(1+$G$14)^($H$6+B20-$I$3)</f>
        <v>115.21371880119136</v>
      </c>
      <c r="F20">
        <f t="shared" si="0"/>
        <v>1.1521371880119136</v>
      </c>
      <c r="G20">
        <f t="shared" si="1"/>
        <v>1.1521371880119136</v>
      </c>
      <c r="H20">
        <f t="shared" si="2"/>
        <v>117.12603411943174</v>
      </c>
      <c r="I20">
        <f t="shared" si="3"/>
        <v>1.0249999999999999</v>
      </c>
      <c r="J20">
        <f t="shared" si="4"/>
        <v>1.1240362809872328</v>
      </c>
      <c r="K20">
        <f t="shared" si="5"/>
        <v>0.89922902478978628</v>
      </c>
      <c r="M20">
        <f t="shared" si="6"/>
        <v>0.89922902478978628</v>
      </c>
      <c r="N20">
        <f t="shared" si="7"/>
        <v>0.9706617486471405</v>
      </c>
    </row>
    <row r="21" spans="1:15" x14ac:dyDescent="0.2">
      <c r="A21" s="2">
        <v>46753</v>
      </c>
      <c r="B21">
        <v>1.5</v>
      </c>
      <c r="D21">
        <f>IF(A21=$D$10,0,$B$10*$D$5/2)</f>
        <v>1</v>
      </c>
      <c r="E21">
        <f t="shared" si="8"/>
        <v>116.64499999999998</v>
      </c>
      <c r="F21">
        <f t="shared" si="0"/>
        <v>1.1664499999999998</v>
      </c>
      <c r="G21">
        <f t="shared" si="1"/>
        <v>1.1664499999999998</v>
      </c>
      <c r="H21">
        <f t="shared" si="2"/>
        <v>118.58107169890118</v>
      </c>
      <c r="I21">
        <f t="shared" si="3"/>
        <v>1.0377334074799749</v>
      </c>
      <c r="J21">
        <f t="shared" si="4"/>
        <v>1.1240362809872328</v>
      </c>
      <c r="K21">
        <f t="shared" si="5"/>
        <v>0.89922902478978628</v>
      </c>
      <c r="M21">
        <f t="shared" si="6"/>
        <v>0.89922902478978628</v>
      </c>
      <c r="N21">
        <f t="shared" si="7"/>
        <v>0.9563169937410253</v>
      </c>
    </row>
    <row r="22" spans="1:15" x14ac:dyDescent="0.2">
      <c r="A22" s="2">
        <v>46935</v>
      </c>
      <c r="B22">
        <v>2</v>
      </c>
      <c r="D22">
        <f>IF(A22=$D$10,0,$B$10*$D$5/2)</f>
        <v>1</v>
      </c>
      <c r="E22">
        <f t="shared" si="8"/>
        <v>118.09406177122113</v>
      </c>
      <c r="F22">
        <f t="shared" si="0"/>
        <v>1.1809406177122113</v>
      </c>
      <c r="G22">
        <f t="shared" si="1"/>
        <v>1.1809406177122113</v>
      </c>
      <c r="H22">
        <f t="shared" si="2"/>
        <v>120.05418497241752</v>
      </c>
      <c r="I22">
        <f t="shared" si="3"/>
        <v>1.0506249999999997</v>
      </c>
      <c r="J22">
        <f t="shared" si="4"/>
        <v>1.1240362809872328</v>
      </c>
      <c r="K22">
        <f t="shared" si="5"/>
        <v>0.89922902478978628</v>
      </c>
      <c r="M22">
        <f t="shared" si="6"/>
        <v>0.89922902478978628</v>
      </c>
      <c r="N22">
        <f t="shared" si="7"/>
        <v>0.9421842302867246</v>
      </c>
    </row>
    <row r="23" spans="1:15" x14ac:dyDescent="0.2">
      <c r="A23" s="2">
        <v>47119</v>
      </c>
      <c r="B23">
        <v>2.5</v>
      </c>
      <c r="D23">
        <f>IF(A23=$D$10,0,$B$10*$D$5/2)</f>
        <v>1</v>
      </c>
      <c r="E23">
        <f t="shared" si="8"/>
        <v>119.56112499999999</v>
      </c>
      <c r="F23">
        <f t="shared" si="0"/>
        <v>1.1956112499999998</v>
      </c>
      <c r="G23">
        <f t="shared" si="1"/>
        <v>1.1956112499999998</v>
      </c>
      <c r="H23">
        <f t="shared" si="2"/>
        <v>121.54559849137371</v>
      </c>
      <c r="I23">
        <f t="shared" si="3"/>
        <v>1.0636767426669742</v>
      </c>
      <c r="J23">
        <f t="shared" si="4"/>
        <v>1.1240362809872331</v>
      </c>
      <c r="K23">
        <f t="shared" si="5"/>
        <v>0.8992290247897865</v>
      </c>
      <c r="M23">
        <f t="shared" si="6"/>
        <v>0.8992290247897865</v>
      </c>
      <c r="N23">
        <f t="shared" si="7"/>
        <v>0.92826032540564007</v>
      </c>
    </row>
    <row r="24" spans="1:15" x14ac:dyDescent="0.2">
      <c r="A24" s="2">
        <v>47300</v>
      </c>
      <c r="B24">
        <v>3</v>
      </c>
      <c r="D24">
        <f>IF(A24=$D$10,0,$B$10*$D$5/2)</f>
        <v>1</v>
      </c>
      <c r="E24">
        <f t="shared" si="8"/>
        <v>121.04641331550167</v>
      </c>
      <c r="F24">
        <f t="shared" si="0"/>
        <v>1.2104641331550168</v>
      </c>
      <c r="G24">
        <f t="shared" si="1"/>
        <v>1.2104641331550168</v>
      </c>
      <c r="H24">
        <f t="shared" si="2"/>
        <v>123.05553959672795</v>
      </c>
      <c r="I24">
        <f t="shared" si="3"/>
        <v>1.0768906249999999</v>
      </c>
      <c r="J24">
        <f t="shared" si="4"/>
        <v>1.1240362809872328</v>
      </c>
      <c r="K24">
        <f t="shared" si="5"/>
        <v>0.89922902478978628</v>
      </c>
      <c r="M24">
        <f t="shared" si="6"/>
        <v>0.89922902478978628</v>
      </c>
      <c r="N24">
        <f t="shared" si="7"/>
        <v>0.91454219251787217</v>
      </c>
    </row>
    <row r="25" spans="1:15" x14ac:dyDescent="0.2">
      <c r="A25" s="2">
        <v>47484</v>
      </c>
      <c r="B25">
        <v>3.5</v>
      </c>
      <c r="D25">
        <f>IF(A25=$D$10,0,$B$10*$D$5/2)</f>
        <v>1</v>
      </c>
      <c r="E25">
        <f t="shared" si="8"/>
        <v>122.55015312499998</v>
      </c>
      <c r="F25">
        <f t="shared" si="0"/>
        <v>1.2255015312499997</v>
      </c>
      <c r="G25">
        <f t="shared" si="1"/>
        <v>1.2255015312499997</v>
      </c>
      <c r="H25">
        <f t="shared" si="2"/>
        <v>124.58423845365805</v>
      </c>
      <c r="I25">
        <f t="shared" si="3"/>
        <v>1.0902686612336485</v>
      </c>
      <c r="J25">
        <f t="shared" si="4"/>
        <v>1.1240362809872331</v>
      </c>
      <c r="K25">
        <f t="shared" si="5"/>
        <v>0.8992290247897865</v>
      </c>
      <c r="M25">
        <f t="shared" si="6"/>
        <v>0.8992290247897865</v>
      </c>
      <c r="N25">
        <f t="shared" si="7"/>
        <v>0.90102679065800229</v>
      </c>
    </row>
    <row r="26" spans="1:15" x14ac:dyDescent="0.2">
      <c r="A26" s="2">
        <v>47665</v>
      </c>
      <c r="B26">
        <v>4</v>
      </c>
      <c r="D26">
        <f>IF(A26=$D$10,0,$B$10*$D$5/2)</f>
        <v>1</v>
      </c>
      <c r="E26">
        <f t="shared" si="8"/>
        <v>124.0725736483892</v>
      </c>
      <c r="F26">
        <f t="shared" si="0"/>
        <v>1.240725736483892</v>
      </c>
      <c r="G26">
        <f t="shared" si="1"/>
        <v>1.240725736483892</v>
      </c>
      <c r="H26">
        <f t="shared" si="2"/>
        <v>126.13192808664613</v>
      </c>
      <c r="I26">
        <f t="shared" si="3"/>
        <v>1.1038128906249995</v>
      </c>
      <c r="J26">
        <f t="shared" si="4"/>
        <v>1.1240362809872331</v>
      </c>
      <c r="K26">
        <f t="shared" si="5"/>
        <v>0.8992290247897865</v>
      </c>
      <c r="M26">
        <f t="shared" si="6"/>
        <v>0.8992290247897865</v>
      </c>
      <c r="N26">
        <f t="shared" si="7"/>
        <v>0.88771112380098771</v>
      </c>
    </row>
    <row r="27" spans="1:15" x14ac:dyDescent="0.2">
      <c r="A27" s="2">
        <v>47849</v>
      </c>
      <c r="B27">
        <v>4.5</v>
      </c>
      <c r="D27">
        <f>IF(A27=$D$10,0,$B$10*$D$5/2)</f>
        <v>1</v>
      </c>
      <c r="E27">
        <f t="shared" si="8"/>
        <v>125.61390695312497</v>
      </c>
      <c r="F27">
        <f t="shared" si="0"/>
        <v>1.2561390695312498</v>
      </c>
      <c r="G27">
        <f t="shared" si="1"/>
        <v>1.2561390695312498</v>
      </c>
      <c r="H27">
        <f t="shared" si="2"/>
        <v>127.69884441499948</v>
      </c>
      <c r="I27">
        <f t="shared" si="3"/>
        <v>1.1175253777644898</v>
      </c>
      <c r="J27">
        <f t="shared" si="4"/>
        <v>1.1240362809872331</v>
      </c>
      <c r="K27">
        <f t="shared" si="5"/>
        <v>0.8992290247897865</v>
      </c>
      <c r="M27">
        <f t="shared" si="6"/>
        <v>0.8992290247897865</v>
      </c>
      <c r="N27">
        <f t="shared" si="7"/>
        <v>0.87459224019801751</v>
      </c>
    </row>
    <row r="28" spans="1:15" x14ac:dyDescent="0.2">
      <c r="A28" s="2">
        <v>48030</v>
      </c>
      <c r="B28">
        <v>5</v>
      </c>
      <c r="D28">
        <f>IF(A28=$D$10,0,$B$10*$D$5/2)</f>
        <v>1</v>
      </c>
      <c r="E28">
        <f t="shared" si="8"/>
        <v>127.17438798959891</v>
      </c>
      <c r="F28">
        <f t="shared" si="0"/>
        <v>1.271743879895989</v>
      </c>
      <c r="G28">
        <f t="shared" si="1"/>
        <v>1.271743879895989</v>
      </c>
      <c r="H28">
        <f t="shared" si="2"/>
        <v>129.28522628881228</v>
      </c>
      <c r="I28">
        <f t="shared" si="3"/>
        <v>1.1314082128906247</v>
      </c>
      <c r="J28">
        <f t="shared" si="4"/>
        <v>1.1240362809872328</v>
      </c>
      <c r="K28">
        <f t="shared" si="5"/>
        <v>0.89922902478978628</v>
      </c>
      <c r="M28">
        <f t="shared" si="6"/>
        <v>0.89922902478978628</v>
      </c>
      <c r="N28">
        <f t="shared" si="7"/>
        <v>0.86166723172218496</v>
      </c>
    </row>
    <row r="29" spans="1:15" x14ac:dyDescent="0.2">
      <c r="A29" s="2">
        <v>48214</v>
      </c>
      <c r="B29">
        <v>5.5</v>
      </c>
      <c r="D29">
        <f>IF(A29=$D$10,0,$B$10*$D$5/2)</f>
        <v>1</v>
      </c>
      <c r="E29">
        <f t="shared" si="8"/>
        <v>128.75425462695307</v>
      </c>
      <c r="F29">
        <f t="shared" si="0"/>
        <v>1.2875425462695307</v>
      </c>
      <c r="G29">
        <f t="shared" si="1"/>
        <v>1.2875425462695307</v>
      </c>
      <c r="H29">
        <f t="shared" si="2"/>
        <v>130.89131552537447</v>
      </c>
      <c r="I29">
        <f t="shared" si="3"/>
        <v>1.1454635122086019</v>
      </c>
      <c r="J29">
        <f t="shared" si="4"/>
        <v>1.1240362809872328</v>
      </c>
      <c r="K29">
        <f t="shared" si="5"/>
        <v>0.89922902478978628</v>
      </c>
      <c r="M29">
        <f t="shared" si="6"/>
        <v>0.89922902478978628</v>
      </c>
      <c r="N29">
        <f t="shared" si="7"/>
        <v>0.84893323322382763</v>
      </c>
    </row>
    <row r="30" spans="1:15" x14ac:dyDescent="0.2">
      <c r="A30" s="2">
        <v>48396</v>
      </c>
      <c r="B30">
        <v>6</v>
      </c>
      <c r="D30">
        <f>IF(A30=$D$10,0,$B$10*$D$5/2)</f>
        <v>1</v>
      </c>
      <c r="E30">
        <f t="shared" si="8"/>
        <v>130.35374768933886</v>
      </c>
      <c r="F30">
        <f t="shared" si="0"/>
        <v>1.3035374768933885</v>
      </c>
      <c r="G30">
        <f t="shared" si="1"/>
        <v>1.3035374768933885</v>
      </c>
      <c r="H30">
        <f t="shared" si="2"/>
        <v>132.51735694603258</v>
      </c>
      <c r="I30">
        <f t="shared" si="3"/>
        <v>1.15969341821289</v>
      </c>
      <c r="J30">
        <f t="shared" si="4"/>
        <v>1.1240362809872328</v>
      </c>
      <c r="K30">
        <f t="shared" si="5"/>
        <v>0.89922902478978628</v>
      </c>
      <c r="M30">
        <f t="shared" si="6"/>
        <v>0.89922902478978628</v>
      </c>
      <c r="N30">
        <f t="shared" si="7"/>
        <v>0.83638742189539694</v>
      </c>
    </row>
    <row r="31" spans="1:15" x14ac:dyDescent="0.2">
      <c r="A31" s="2">
        <v>48580</v>
      </c>
      <c r="B31">
        <v>6.5</v>
      </c>
      <c r="D31">
        <f>IF(A31=$D$10,0,$B$10*$D$5/2)</f>
        <v>1</v>
      </c>
      <c r="E31">
        <f t="shared" si="8"/>
        <v>131.97311099262689</v>
      </c>
      <c r="F31">
        <f t="shared" si="0"/>
        <v>1.319731109926269</v>
      </c>
      <c r="G31">
        <f t="shared" si="1"/>
        <v>1.319731109926269</v>
      </c>
      <c r="H31">
        <f t="shared" si="2"/>
        <v>134.16359841350879</v>
      </c>
      <c r="I31">
        <f t="shared" si="3"/>
        <v>1.1741001000138167</v>
      </c>
      <c r="J31">
        <f t="shared" si="4"/>
        <v>1.1240362809872331</v>
      </c>
      <c r="K31">
        <f t="shared" si="5"/>
        <v>0.8992290247897865</v>
      </c>
      <c r="M31">
        <f t="shared" si="6"/>
        <v>0.8992290247897865</v>
      </c>
      <c r="N31">
        <f t="shared" si="7"/>
        <v>0.82402701664571121</v>
      </c>
    </row>
    <row r="32" spans="1:15" x14ac:dyDescent="0.2">
      <c r="A32" s="2">
        <v>48761</v>
      </c>
      <c r="B32">
        <v>7</v>
      </c>
      <c r="D32">
        <f>IF(A32=$D$10,0,$B$10*$D$5/2)</f>
        <v>1</v>
      </c>
      <c r="E32">
        <f t="shared" si="8"/>
        <v>133.61259138157234</v>
      </c>
      <c r="F32">
        <f t="shared" si="0"/>
        <v>1.3361259138157235</v>
      </c>
      <c r="G32">
        <f t="shared" si="1"/>
        <v>1.3361259138157235</v>
      </c>
      <c r="H32">
        <f t="shared" si="2"/>
        <v>135.83029086968338</v>
      </c>
      <c r="I32">
        <f t="shared" si="3"/>
        <v>1.1886857536682123</v>
      </c>
      <c r="J32">
        <f t="shared" si="4"/>
        <v>1.1240362809872331</v>
      </c>
      <c r="K32">
        <f t="shared" si="5"/>
        <v>0.8992290247897865</v>
      </c>
      <c r="M32">
        <f t="shared" si="6"/>
        <v>0.8992290247897865</v>
      </c>
      <c r="N32">
        <f t="shared" si="7"/>
        <v>0.81184927748345959</v>
      </c>
    </row>
    <row r="33" spans="1:14" x14ac:dyDescent="0.2">
      <c r="A33" s="2">
        <v>48945</v>
      </c>
      <c r="B33">
        <v>7.5</v>
      </c>
      <c r="D33">
        <f>IF(A33=$D$10,0,$B$10*$D$5/2)</f>
        <v>1</v>
      </c>
      <c r="E33">
        <f t="shared" si="8"/>
        <v>135.27243876744257</v>
      </c>
      <c r="F33">
        <f t="shared" si="0"/>
        <v>1.3527243876744257</v>
      </c>
      <c r="G33">
        <f t="shared" si="1"/>
        <v>1.3527243876744257</v>
      </c>
      <c r="H33">
        <f t="shared" si="2"/>
        <v>137.51768837384651</v>
      </c>
      <c r="I33">
        <f t="shared" si="3"/>
        <v>1.2034526025141621</v>
      </c>
      <c r="J33">
        <f t="shared" si="4"/>
        <v>1.1240362809872331</v>
      </c>
      <c r="K33">
        <f t="shared" si="5"/>
        <v>0.8992290247897865</v>
      </c>
      <c r="M33">
        <f t="shared" si="6"/>
        <v>0.8992290247897865</v>
      </c>
      <c r="N33">
        <f t="shared" si="7"/>
        <v>0.79985150490981238</v>
      </c>
    </row>
    <row r="34" spans="1:14" x14ac:dyDescent="0.2">
      <c r="A34" s="2">
        <v>49126</v>
      </c>
      <c r="B34">
        <v>8</v>
      </c>
      <c r="D34">
        <f>IF(A34=$D$10,0,$B$10*$D$5/2)</f>
        <v>1</v>
      </c>
      <c r="E34">
        <f t="shared" si="8"/>
        <v>136.9529061661116</v>
      </c>
      <c r="F34">
        <f t="shared" si="0"/>
        <v>1.369529061661116</v>
      </c>
      <c r="G34">
        <f t="shared" si="1"/>
        <v>1.369529061661116</v>
      </c>
      <c r="H34">
        <f t="shared" si="2"/>
        <v>139.22604814142545</v>
      </c>
      <c r="I34">
        <f t="shared" si="3"/>
        <v>1.2184028975099175</v>
      </c>
      <c r="J34">
        <f t="shared" si="4"/>
        <v>1.1240362809872326</v>
      </c>
      <c r="K34">
        <f t="shared" si="5"/>
        <v>0.89922902478978617</v>
      </c>
      <c r="M34">
        <f t="shared" si="6"/>
        <v>0.89922902478978617</v>
      </c>
      <c r="N34">
        <f t="shared" si="7"/>
        <v>0.78803103932001251</v>
      </c>
    </row>
    <row r="35" spans="1:14" x14ac:dyDescent="0.2">
      <c r="A35" s="2">
        <v>49310</v>
      </c>
      <c r="B35">
        <v>8.5</v>
      </c>
      <c r="D35">
        <f>IF(A35=$D$10,0,$B$10*$D$5/2)</f>
        <v>1</v>
      </c>
      <c r="E35">
        <f t="shared" si="8"/>
        <v>138.65424973662857</v>
      </c>
      <c r="F35">
        <f t="shared" si="0"/>
        <v>1.3865424973662857</v>
      </c>
      <c r="G35">
        <f t="shared" si="1"/>
        <v>1.3865424973662857</v>
      </c>
      <c r="H35">
        <f t="shared" si="2"/>
        <v>140.95563058319266</v>
      </c>
      <c r="I35">
        <f t="shared" si="3"/>
        <v>1.2335389175770159</v>
      </c>
      <c r="J35">
        <f t="shared" si="4"/>
        <v>1.1240362809872328</v>
      </c>
      <c r="K35">
        <f t="shared" si="5"/>
        <v>0.89922902478978628</v>
      </c>
      <c r="L35">
        <v>100</v>
      </c>
      <c r="M35">
        <f t="shared" si="6"/>
        <v>100.89922902478979</v>
      </c>
      <c r="N35">
        <f t="shared" si="7"/>
        <v>0.7763852604138054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63268-EFF6-AD49-A149-9F0F170F48BB}">
  <dimension ref="A1:AB43"/>
  <sheetViews>
    <sheetView workbookViewId="0">
      <selection activeCell="L23" sqref="L23"/>
    </sheetView>
  </sheetViews>
  <sheetFormatPr baseColWidth="10" defaultRowHeight="16" x14ac:dyDescent="0.2"/>
  <sheetData>
    <row r="1" spans="2:19" x14ac:dyDescent="0.2">
      <c r="F1" t="s">
        <v>1</v>
      </c>
      <c r="O1" t="s">
        <v>18</v>
      </c>
    </row>
    <row r="2" spans="2:19" x14ac:dyDescent="0.2">
      <c r="B2" t="s">
        <v>0</v>
      </c>
      <c r="D2">
        <v>2514650</v>
      </c>
      <c r="F2" t="s">
        <v>2</v>
      </c>
      <c r="O2" t="s">
        <v>7</v>
      </c>
    </row>
    <row r="3" spans="2:19" x14ac:dyDescent="0.2">
      <c r="F3" t="s">
        <v>3</v>
      </c>
      <c r="H3">
        <v>13000</v>
      </c>
      <c r="I3" t="s">
        <v>4</v>
      </c>
      <c r="O3" t="s">
        <v>19</v>
      </c>
      <c r="R3">
        <v>20</v>
      </c>
      <c r="S3" t="s">
        <v>11</v>
      </c>
    </row>
    <row r="4" spans="2:19" x14ac:dyDescent="0.2">
      <c r="F4" t="s">
        <v>5</v>
      </c>
      <c r="O4" t="s">
        <v>20</v>
      </c>
      <c r="R4">
        <v>195000</v>
      </c>
      <c r="S4" t="s">
        <v>4</v>
      </c>
    </row>
    <row r="5" spans="2:19" x14ac:dyDescent="0.2">
      <c r="F5" t="s">
        <v>6</v>
      </c>
      <c r="H5">
        <v>1000</v>
      </c>
      <c r="I5" t="s">
        <v>4</v>
      </c>
      <c r="O5" t="s">
        <v>5</v>
      </c>
    </row>
    <row r="7" spans="2:19" x14ac:dyDescent="0.2">
      <c r="F7" t="s">
        <v>7</v>
      </c>
      <c r="O7" t="s">
        <v>2</v>
      </c>
    </row>
    <row r="8" spans="2:19" x14ac:dyDescent="0.2">
      <c r="F8" t="s">
        <v>8</v>
      </c>
      <c r="I8">
        <v>2</v>
      </c>
      <c r="O8" t="s">
        <v>21</v>
      </c>
    </row>
    <row r="9" spans="2:19" x14ac:dyDescent="0.2">
      <c r="F9" t="s">
        <v>9</v>
      </c>
      <c r="I9">
        <v>99000</v>
      </c>
      <c r="J9" t="s">
        <v>4</v>
      </c>
      <c r="O9" t="s">
        <v>22</v>
      </c>
    </row>
    <row r="10" spans="2:19" x14ac:dyDescent="0.2">
      <c r="F10" t="s">
        <v>10</v>
      </c>
      <c r="G10">
        <v>4</v>
      </c>
      <c r="H10" t="s">
        <v>11</v>
      </c>
    </row>
    <row r="11" spans="2:19" x14ac:dyDescent="0.2">
      <c r="F11" t="s">
        <v>12</v>
      </c>
      <c r="I11">
        <v>0.01</v>
      </c>
      <c r="J11" t="s">
        <v>4</v>
      </c>
      <c r="O11" t="s">
        <v>15</v>
      </c>
    </row>
    <row r="12" spans="2:19" x14ac:dyDescent="0.2">
      <c r="F12" t="s">
        <v>13</v>
      </c>
      <c r="G12">
        <v>3000000</v>
      </c>
      <c r="H12" t="s">
        <v>14</v>
      </c>
      <c r="J12">
        <v>20</v>
      </c>
      <c r="O12" t="s">
        <v>23</v>
      </c>
      <c r="R12">
        <v>3.4000000000000002E-2</v>
      </c>
    </row>
    <row r="13" spans="2:19" x14ac:dyDescent="0.2">
      <c r="O13" t="s">
        <v>24</v>
      </c>
      <c r="R13">
        <v>0.04</v>
      </c>
    </row>
    <row r="14" spans="2:19" x14ac:dyDescent="0.2">
      <c r="F14" t="s">
        <v>15</v>
      </c>
    </row>
    <row r="15" spans="2:19" x14ac:dyDescent="0.2">
      <c r="F15" t="s">
        <v>16</v>
      </c>
      <c r="H15">
        <v>3.4000000000000002E-2</v>
      </c>
    </row>
    <row r="16" spans="2:19" x14ac:dyDescent="0.2">
      <c r="F16" t="s">
        <v>17</v>
      </c>
      <c r="H16">
        <f>EXP(H15)-1</f>
        <v>3.4584606728117917E-2</v>
      </c>
    </row>
    <row r="17" spans="1:27" x14ac:dyDescent="0.2">
      <c r="F17" t="s">
        <v>33</v>
      </c>
      <c r="H17">
        <f>(1+$H$16)^(-1)</f>
        <v>0.96657150463750663</v>
      </c>
    </row>
    <row r="18" spans="1:27" x14ac:dyDescent="0.2">
      <c r="F18" t="s">
        <v>32</v>
      </c>
      <c r="H18">
        <f>(1-$H$17)/($H$15)</f>
        <v>0.98319104007333435</v>
      </c>
    </row>
    <row r="21" spans="1:27" x14ac:dyDescent="0.2">
      <c r="B21" t="s">
        <v>26</v>
      </c>
      <c r="O21" t="s">
        <v>18</v>
      </c>
    </row>
    <row r="22" spans="1:27" x14ac:dyDescent="0.2">
      <c r="A22" t="s">
        <v>25</v>
      </c>
      <c r="B22" t="s">
        <v>27</v>
      </c>
      <c r="C22" t="s">
        <v>28</v>
      </c>
      <c r="D22" t="s">
        <v>29</v>
      </c>
      <c r="E22" t="s">
        <v>30</v>
      </c>
      <c r="F22" t="s">
        <v>31</v>
      </c>
      <c r="G22" t="s">
        <v>34</v>
      </c>
      <c r="H22" t="s">
        <v>35</v>
      </c>
      <c r="I22" t="s">
        <v>36</v>
      </c>
      <c r="J22" t="s">
        <v>37</v>
      </c>
      <c r="K22" t="s">
        <v>38</v>
      </c>
      <c r="L22" t="s">
        <v>39</v>
      </c>
      <c r="N22" t="s">
        <v>42</v>
      </c>
      <c r="O22" t="s">
        <v>43</v>
      </c>
      <c r="P22" t="s">
        <v>44</v>
      </c>
      <c r="Q22" t="s">
        <v>45</v>
      </c>
      <c r="T22" t="s">
        <v>27</v>
      </c>
      <c r="U22" t="s">
        <v>40</v>
      </c>
      <c r="V22" t="s">
        <v>41</v>
      </c>
      <c r="W22" t="s">
        <v>46</v>
      </c>
      <c r="X22" t="s">
        <v>37</v>
      </c>
      <c r="Y22" t="s">
        <v>47</v>
      </c>
      <c r="Z22" t="s">
        <v>48</v>
      </c>
      <c r="AA22" t="s">
        <v>49</v>
      </c>
    </row>
    <row r="23" spans="1:27" x14ac:dyDescent="0.2">
      <c r="A23">
        <v>0</v>
      </c>
      <c r="B23">
        <v>2514650</v>
      </c>
      <c r="C23">
        <f>IF(A23=$J$12,0,$H$3+$H$5*(A23))</f>
        <v>13000</v>
      </c>
      <c r="D23">
        <f>B23+C23</f>
        <v>2527650</v>
      </c>
      <c r="E23">
        <f>IF(A23=0,0,$H$18)</f>
        <v>0</v>
      </c>
      <c r="F23">
        <f>IF(OR(A23&lt;$I$8,A23=$J$12),0,IF(A23&lt;($G$10+$I$8),$I$9,$I$9*(1+$I$11)^(A23-($G$10+$I$8-1))))</f>
        <v>0</v>
      </c>
      <c r="G23">
        <f>E23*F23</f>
        <v>0</v>
      </c>
      <c r="H23">
        <f>IF(A23=$J$12,$G$12,0)</f>
        <v>0</v>
      </c>
      <c r="I23">
        <f>G23+H23</f>
        <v>0</v>
      </c>
      <c r="J23">
        <f>I23-D23</f>
        <v>-2527650</v>
      </c>
      <c r="K23">
        <f>$H$17^(A23)</f>
        <v>1</v>
      </c>
      <c r="L23" s="1">
        <f>SUMPRODUCT(J23:J43,K23:K43)</f>
        <v>25.706007509492338</v>
      </c>
      <c r="N23">
        <v>0</v>
      </c>
      <c r="O23">
        <f>T23</f>
        <v>2514650</v>
      </c>
      <c r="P23">
        <f>O23*$R$12</f>
        <v>85498.1</v>
      </c>
      <c r="Q23">
        <f>$R$4</f>
        <v>195000</v>
      </c>
      <c r="R23">
        <f>O23-(Q23-P23)</f>
        <v>2405148.1</v>
      </c>
      <c r="T23">
        <f>$D$2</f>
        <v>2514650</v>
      </c>
      <c r="U23">
        <f>IF(A23=$R$3,0,$R$4)</f>
        <v>195000</v>
      </c>
      <c r="V23">
        <f>IF(R23&gt;0,$R$12,$R$13)</f>
        <v>3.4000000000000002E-2</v>
      </c>
      <c r="X23">
        <f>-T23+U23+W23</f>
        <v>-2319650</v>
      </c>
      <c r="Y23">
        <f>(1+V23)^($R$3-N23)</f>
        <v>1.9516897225109489</v>
      </c>
      <c r="Z23">
        <f>X23*Y23</f>
        <v>-4527237.0648225229</v>
      </c>
      <c r="AA23">
        <f>Z23</f>
        <v>-4527237.0648225229</v>
      </c>
    </row>
    <row r="24" spans="1:27" x14ac:dyDescent="0.2">
      <c r="A24">
        <v>1</v>
      </c>
      <c r="C24">
        <f t="shared" ref="C24:C43" si="0">IF(A24=$J$12,0,$H$3+$H$5*(A24))</f>
        <v>14000</v>
      </c>
      <c r="D24">
        <f t="shared" ref="D24:D43" si="1">B24+C24</f>
        <v>14000</v>
      </c>
      <c r="E24">
        <f t="shared" ref="E24:E43" si="2">IF(A24=0,0,$H$18)</f>
        <v>0.98319104007333435</v>
      </c>
      <c r="F24">
        <f t="shared" ref="F24:F43" si="3">IF(OR(A24&lt;$I$8,A24=$J$12),0,IF(A24&lt;($G$10+$I$8),$I$9,$I$9*(1+$I$11)^(A24-($G$10+$I$8-1))))</f>
        <v>0</v>
      </c>
      <c r="G24">
        <f t="shared" ref="G24:G43" si="4">E24*F24</f>
        <v>0</v>
      </c>
      <c r="H24">
        <f t="shared" ref="H24:H43" si="5">IF(A24=$J$12,$G$12,0)</f>
        <v>0</v>
      </c>
      <c r="I24">
        <f t="shared" ref="I24:I43" si="6">G24+H24</f>
        <v>0</v>
      </c>
      <c r="J24">
        <f t="shared" ref="J24:J43" si="7">I24-D24</f>
        <v>-14000</v>
      </c>
      <c r="K24">
        <f t="shared" ref="K24:K43" si="8">$H$17^(A24)</f>
        <v>0.96657150463750663</v>
      </c>
      <c r="N24">
        <v>1</v>
      </c>
      <c r="O24">
        <f>R23</f>
        <v>2405148.1</v>
      </c>
      <c r="P24">
        <f>O24*$R$12</f>
        <v>81775.035400000008</v>
      </c>
      <c r="Q24">
        <f>$R$4</f>
        <v>195000</v>
      </c>
      <c r="R24">
        <f t="shared" ref="R24:R43" si="9">O24-(Q24-P24)</f>
        <v>2291923.1354</v>
      </c>
      <c r="U24">
        <f>IF(A24=$R$3,0,$R$4)</f>
        <v>195000</v>
      </c>
      <c r="V24">
        <f t="shared" ref="V24:V43" si="10">IF(R24&gt;0,$R$12,$R$13)</f>
        <v>3.4000000000000002E-2</v>
      </c>
      <c r="X24">
        <f t="shared" ref="X24:X43" si="11">-T24+U24+W24</f>
        <v>195000</v>
      </c>
      <c r="Y24">
        <f t="shared" ref="Y24:Y43" si="12">(1+V24)^($R$3-N24)</f>
        <v>1.8875142384051733</v>
      </c>
      <c r="Z24">
        <f t="shared" ref="Z24:Z43" si="13">X24*Y24</f>
        <v>368065.2764890088</v>
      </c>
      <c r="AA24">
        <f>Z24+AA23</f>
        <v>-4159171.7883335142</v>
      </c>
    </row>
    <row r="25" spans="1:27" x14ac:dyDescent="0.2">
      <c r="A25">
        <v>2</v>
      </c>
      <c r="C25">
        <f t="shared" si="0"/>
        <v>15000</v>
      </c>
      <c r="D25">
        <f t="shared" si="1"/>
        <v>15000</v>
      </c>
      <c r="E25">
        <f t="shared" si="2"/>
        <v>0.98319104007333435</v>
      </c>
      <c r="F25">
        <f t="shared" si="3"/>
        <v>99000</v>
      </c>
      <c r="G25">
        <f t="shared" si="4"/>
        <v>97335.912967260098</v>
      </c>
      <c r="H25">
        <f t="shared" si="5"/>
        <v>0</v>
      </c>
      <c r="I25">
        <f t="shared" si="6"/>
        <v>97335.912967260098</v>
      </c>
      <c r="J25">
        <f t="shared" si="7"/>
        <v>82335.912967260098</v>
      </c>
      <c r="K25">
        <f t="shared" si="8"/>
        <v>0.93426047357721353</v>
      </c>
      <c r="N25">
        <v>2</v>
      </c>
      <c r="O25">
        <f t="shared" ref="O25:O43" si="14">R24</f>
        <v>2291923.1354</v>
      </c>
      <c r="P25">
        <f>O25*$R$12</f>
        <v>77925.386603600011</v>
      </c>
      <c r="Q25">
        <f>$R$4</f>
        <v>195000</v>
      </c>
      <c r="R25">
        <f t="shared" si="9"/>
        <v>2174848.5220035999</v>
      </c>
      <c r="U25">
        <f>IF(A25=$R$3,0,$R$4)</f>
        <v>195000</v>
      </c>
      <c r="V25">
        <f t="shared" si="10"/>
        <v>3.4000000000000002E-2</v>
      </c>
      <c r="X25">
        <f t="shared" si="11"/>
        <v>195000</v>
      </c>
      <c r="Y25">
        <f t="shared" si="12"/>
        <v>1.8254489733125465</v>
      </c>
      <c r="Z25">
        <f t="shared" si="13"/>
        <v>355962.54979594657</v>
      </c>
      <c r="AA25">
        <f t="shared" ref="AA25:AA43" si="15">Z25+AA24</f>
        <v>-3803209.2385375677</v>
      </c>
    </row>
    <row r="26" spans="1:27" x14ac:dyDescent="0.2">
      <c r="A26">
        <v>3</v>
      </c>
      <c r="C26">
        <f t="shared" si="0"/>
        <v>16000</v>
      </c>
      <c r="D26">
        <f t="shared" si="1"/>
        <v>16000</v>
      </c>
      <c r="E26">
        <f t="shared" si="2"/>
        <v>0.98319104007333435</v>
      </c>
      <c r="F26">
        <f t="shared" si="3"/>
        <v>99000</v>
      </c>
      <c r="G26">
        <f t="shared" si="4"/>
        <v>97335.912967260098</v>
      </c>
      <c r="H26">
        <f t="shared" si="5"/>
        <v>0</v>
      </c>
      <c r="I26">
        <f t="shared" si="6"/>
        <v>97335.912967260098</v>
      </c>
      <c r="J26">
        <f t="shared" si="7"/>
        <v>81335.912967260098</v>
      </c>
      <c r="K26">
        <f t="shared" si="8"/>
        <v>0.90302955166887677</v>
      </c>
      <c r="N26">
        <v>3</v>
      </c>
      <c r="O26">
        <f t="shared" si="14"/>
        <v>2174848.5220035999</v>
      </c>
      <c r="P26">
        <f>O26*$R$12</f>
        <v>73944.849748122404</v>
      </c>
      <c r="Q26">
        <f>$R$4</f>
        <v>195000</v>
      </c>
      <c r="R26">
        <f t="shared" si="9"/>
        <v>2053793.3717517224</v>
      </c>
      <c r="U26">
        <f>IF(A26=$R$3,0,$R$4)</f>
        <v>195000</v>
      </c>
      <c r="V26">
        <f t="shared" si="10"/>
        <v>3.4000000000000002E-2</v>
      </c>
      <c r="X26">
        <f t="shared" si="11"/>
        <v>195000</v>
      </c>
      <c r="Y26">
        <f t="shared" si="12"/>
        <v>1.7654245389869889</v>
      </c>
      <c r="Z26">
        <f t="shared" si="13"/>
        <v>344257.78510246286</v>
      </c>
      <c r="AA26">
        <f t="shared" si="15"/>
        <v>-3458951.4534351048</v>
      </c>
    </row>
    <row r="27" spans="1:27" x14ac:dyDescent="0.2">
      <c r="A27">
        <v>4</v>
      </c>
      <c r="C27">
        <f t="shared" si="0"/>
        <v>17000</v>
      </c>
      <c r="D27">
        <f t="shared" si="1"/>
        <v>17000</v>
      </c>
      <c r="E27">
        <f t="shared" si="2"/>
        <v>0.98319104007333435</v>
      </c>
      <c r="F27">
        <f t="shared" si="3"/>
        <v>99000</v>
      </c>
      <c r="G27">
        <f t="shared" si="4"/>
        <v>97335.912967260098</v>
      </c>
      <c r="H27">
        <f t="shared" si="5"/>
        <v>0</v>
      </c>
      <c r="I27">
        <f t="shared" si="6"/>
        <v>97335.912967260098</v>
      </c>
      <c r="J27">
        <f t="shared" si="7"/>
        <v>80335.912967260098</v>
      </c>
      <c r="K27">
        <f t="shared" si="8"/>
        <v>0.87284263248871929</v>
      </c>
      <c r="N27">
        <v>4</v>
      </c>
      <c r="O27">
        <f t="shared" si="14"/>
        <v>2053793.3717517224</v>
      </c>
      <c r="P27">
        <f>O27*$R$12</f>
        <v>69828.974639558568</v>
      </c>
      <c r="Q27">
        <f>$R$4</f>
        <v>195000</v>
      </c>
      <c r="R27">
        <f t="shared" si="9"/>
        <v>1928622.3463912809</v>
      </c>
      <c r="U27">
        <f>IF(A27=$R$3,0,$R$4)</f>
        <v>195000</v>
      </c>
      <c r="V27">
        <f t="shared" si="10"/>
        <v>3.4000000000000002E-2</v>
      </c>
      <c r="X27">
        <f t="shared" si="11"/>
        <v>195000</v>
      </c>
      <c r="Y27">
        <f t="shared" si="12"/>
        <v>1.7073738288075329</v>
      </c>
      <c r="Z27">
        <f t="shared" si="13"/>
        <v>332937.89661746891</v>
      </c>
      <c r="AA27">
        <f t="shared" si="15"/>
        <v>-3126013.5568176359</v>
      </c>
    </row>
    <row r="28" spans="1:27" x14ac:dyDescent="0.2">
      <c r="A28">
        <v>5</v>
      </c>
      <c r="C28">
        <f t="shared" si="0"/>
        <v>18000</v>
      </c>
      <c r="D28">
        <f t="shared" si="1"/>
        <v>18000</v>
      </c>
      <c r="E28">
        <f t="shared" si="2"/>
        <v>0.98319104007333435</v>
      </c>
      <c r="F28">
        <f t="shared" si="3"/>
        <v>99000</v>
      </c>
      <c r="G28">
        <f t="shared" si="4"/>
        <v>97335.912967260098</v>
      </c>
      <c r="H28">
        <f t="shared" si="5"/>
        <v>0</v>
      </c>
      <c r="I28">
        <f t="shared" si="6"/>
        <v>97335.912967260098</v>
      </c>
      <c r="J28">
        <f t="shared" si="7"/>
        <v>79335.912967260098</v>
      </c>
      <c r="K28">
        <f t="shared" si="8"/>
        <v>0.84366481659638359</v>
      </c>
      <c r="N28">
        <v>5</v>
      </c>
      <c r="O28">
        <f t="shared" si="14"/>
        <v>1928622.3463912809</v>
      </c>
      <c r="P28">
        <f>O28*$R$12</f>
        <v>65573.159777303561</v>
      </c>
      <c r="Q28">
        <f>$R$4</f>
        <v>195000</v>
      </c>
      <c r="R28">
        <f t="shared" si="9"/>
        <v>1799195.5061685843</v>
      </c>
      <c r="U28">
        <f>IF(A28=$R$3,0,$R$4)</f>
        <v>195000</v>
      </c>
      <c r="V28">
        <f t="shared" si="10"/>
        <v>3.4000000000000002E-2</v>
      </c>
      <c r="X28">
        <f t="shared" si="11"/>
        <v>195000</v>
      </c>
      <c r="Y28">
        <f t="shared" si="12"/>
        <v>1.6512319427539004</v>
      </c>
      <c r="Z28">
        <f t="shared" si="13"/>
        <v>321990.22883701057</v>
      </c>
      <c r="AA28">
        <f t="shared" si="15"/>
        <v>-2804023.3279806254</v>
      </c>
    </row>
    <row r="29" spans="1:27" x14ac:dyDescent="0.2">
      <c r="A29">
        <v>6</v>
      </c>
      <c r="C29">
        <f t="shared" si="0"/>
        <v>19000</v>
      </c>
      <c r="D29">
        <f t="shared" si="1"/>
        <v>19000</v>
      </c>
      <c r="E29">
        <f t="shared" si="2"/>
        <v>0.98319104007333435</v>
      </c>
      <c r="F29">
        <f t="shared" si="3"/>
        <v>99990</v>
      </c>
      <c r="G29">
        <f t="shared" si="4"/>
        <v>98309.272096932706</v>
      </c>
      <c r="H29">
        <f t="shared" si="5"/>
        <v>0</v>
      </c>
      <c r="I29">
        <f t="shared" si="6"/>
        <v>98309.272096932706</v>
      </c>
      <c r="J29">
        <f t="shared" si="7"/>
        <v>79309.272096932706</v>
      </c>
      <c r="K29">
        <f t="shared" si="8"/>
        <v>0.81546237118729259</v>
      </c>
      <c r="N29">
        <v>6</v>
      </c>
      <c r="O29">
        <f t="shared" si="14"/>
        <v>1799195.5061685843</v>
      </c>
      <c r="P29">
        <f>O29*$R$12</f>
        <v>61172.647209731869</v>
      </c>
      <c r="Q29">
        <f>$R$4</f>
        <v>195000</v>
      </c>
      <c r="R29">
        <f t="shared" si="9"/>
        <v>1665368.1533783162</v>
      </c>
      <c r="U29">
        <f>IF(A29=$R$3,0,$R$4)</f>
        <v>195000</v>
      </c>
      <c r="V29">
        <f t="shared" si="10"/>
        <v>3.4000000000000002E-2</v>
      </c>
      <c r="X29">
        <f t="shared" si="11"/>
        <v>195000</v>
      </c>
      <c r="Y29">
        <f t="shared" si="12"/>
        <v>1.5969361148490331</v>
      </c>
      <c r="Z29">
        <f t="shared" si="13"/>
        <v>311402.54239556147</v>
      </c>
      <c r="AA29">
        <f t="shared" si="15"/>
        <v>-2492620.785585064</v>
      </c>
    </row>
    <row r="30" spans="1:27" x14ac:dyDescent="0.2">
      <c r="A30">
        <v>7</v>
      </c>
      <c r="C30">
        <f t="shared" si="0"/>
        <v>20000</v>
      </c>
      <c r="D30">
        <f t="shared" si="1"/>
        <v>20000</v>
      </c>
      <c r="E30">
        <f t="shared" si="2"/>
        <v>0.98319104007333435</v>
      </c>
      <c r="F30">
        <f t="shared" si="3"/>
        <v>100989.9</v>
      </c>
      <c r="G30">
        <f t="shared" si="4"/>
        <v>99292.364817902024</v>
      </c>
      <c r="H30">
        <f t="shared" si="5"/>
        <v>0</v>
      </c>
      <c r="I30">
        <f t="shared" si="6"/>
        <v>99292.364817902024</v>
      </c>
      <c r="J30">
        <f t="shared" si="7"/>
        <v>79292.364817902024</v>
      </c>
      <c r="K30">
        <f t="shared" si="8"/>
        <v>0.78820269109377039</v>
      </c>
      <c r="N30">
        <v>7</v>
      </c>
      <c r="O30">
        <f t="shared" si="14"/>
        <v>1665368.1533783162</v>
      </c>
      <c r="P30">
        <f>O30*$R$12</f>
        <v>56622.517214862753</v>
      </c>
      <c r="Q30">
        <f>$R$4</f>
        <v>195000</v>
      </c>
      <c r="R30">
        <f t="shared" si="9"/>
        <v>1526990.6705931788</v>
      </c>
      <c r="U30">
        <f>IF(A30=$R$3,0,$R$4)</f>
        <v>195000</v>
      </c>
      <c r="V30">
        <f t="shared" si="10"/>
        <v>3.4000000000000002E-2</v>
      </c>
      <c r="X30">
        <f t="shared" si="11"/>
        <v>195000</v>
      </c>
      <c r="Y30">
        <f t="shared" si="12"/>
        <v>1.5444256429874594</v>
      </c>
      <c r="Z30">
        <f t="shared" si="13"/>
        <v>301163.0003825546</v>
      </c>
      <c r="AA30">
        <f t="shared" si="15"/>
        <v>-2191457.7852025093</v>
      </c>
    </row>
    <row r="31" spans="1:27" x14ac:dyDescent="0.2">
      <c r="A31">
        <v>8</v>
      </c>
      <c r="C31">
        <f t="shared" si="0"/>
        <v>21000</v>
      </c>
      <c r="D31">
        <f t="shared" si="1"/>
        <v>21000</v>
      </c>
      <c r="E31">
        <f t="shared" si="2"/>
        <v>0.98319104007333435</v>
      </c>
      <c r="F31">
        <f t="shared" si="3"/>
        <v>101999.79899999998</v>
      </c>
      <c r="G31">
        <f t="shared" si="4"/>
        <v>100285.28846608104</v>
      </c>
      <c r="H31">
        <f t="shared" si="5"/>
        <v>0</v>
      </c>
      <c r="I31">
        <f t="shared" si="6"/>
        <v>100285.28846608104</v>
      </c>
      <c r="J31">
        <f t="shared" si="7"/>
        <v>79285.288466081038</v>
      </c>
      <c r="K31">
        <f t="shared" si="8"/>
        <v>0.76185426108983745</v>
      </c>
      <c r="N31">
        <v>8</v>
      </c>
      <c r="O31">
        <f t="shared" si="14"/>
        <v>1526990.6705931788</v>
      </c>
      <c r="P31">
        <f>O31*$R$12</f>
        <v>51917.682800168084</v>
      </c>
      <c r="Q31">
        <f>$R$4</f>
        <v>195000</v>
      </c>
      <c r="R31">
        <f t="shared" si="9"/>
        <v>1383908.353393347</v>
      </c>
      <c r="U31">
        <f>IF(A31=$R$3,0,$R$4)</f>
        <v>195000</v>
      </c>
      <c r="V31">
        <f t="shared" si="10"/>
        <v>3.4000000000000002E-2</v>
      </c>
      <c r="X31">
        <f t="shared" si="11"/>
        <v>195000</v>
      </c>
      <c r="Y31">
        <f t="shared" si="12"/>
        <v>1.493641821071044</v>
      </c>
      <c r="Z31">
        <f t="shared" si="13"/>
        <v>291260.15510885359</v>
      </c>
      <c r="AA31">
        <f t="shared" si="15"/>
        <v>-1900197.6300936555</v>
      </c>
    </row>
    <row r="32" spans="1:27" x14ac:dyDescent="0.2">
      <c r="A32">
        <v>9</v>
      </c>
      <c r="C32">
        <f t="shared" si="0"/>
        <v>22000</v>
      </c>
      <c r="D32">
        <f t="shared" si="1"/>
        <v>22000</v>
      </c>
      <c r="E32">
        <f t="shared" si="2"/>
        <v>0.98319104007333435</v>
      </c>
      <c r="F32">
        <f t="shared" si="3"/>
        <v>103019.79699</v>
      </c>
      <c r="G32">
        <f t="shared" si="4"/>
        <v>101288.14135074186</v>
      </c>
      <c r="H32">
        <f t="shared" si="5"/>
        <v>0</v>
      </c>
      <c r="I32">
        <f t="shared" si="6"/>
        <v>101288.14135074186</v>
      </c>
      <c r="J32">
        <f t="shared" si="7"/>
        <v>79288.141350741862</v>
      </c>
      <c r="K32">
        <f t="shared" si="8"/>
        <v>0.73638661945609996</v>
      </c>
      <c r="N32">
        <v>9</v>
      </c>
      <c r="O32">
        <f t="shared" si="14"/>
        <v>1383908.353393347</v>
      </c>
      <c r="P32">
        <f>O32*$R$12</f>
        <v>47052.884015373798</v>
      </c>
      <c r="Q32">
        <f>$R$4</f>
        <v>195000</v>
      </c>
      <c r="R32">
        <f t="shared" si="9"/>
        <v>1235961.2374087209</v>
      </c>
      <c r="U32">
        <f>IF(A32=$R$3,0,$R$4)</f>
        <v>195000</v>
      </c>
      <c r="V32">
        <f t="shared" si="10"/>
        <v>3.4000000000000002E-2</v>
      </c>
      <c r="X32">
        <f t="shared" si="11"/>
        <v>195000</v>
      </c>
      <c r="Y32">
        <f t="shared" si="12"/>
        <v>1.4445278733762519</v>
      </c>
      <c r="Z32">
        <f t="shared" si="13"/>
        <v>281682.93530836911</v>
      </c>
      <c r="AA32">
        <f t="shared" si="15"/>
        <v>-1618514.6947852864</v>
      </c>
    </row>
    <row r="33" spans="1:28" x14ac:dyDescent="0.2">
      <c r="A33">
        <v>10</v>
      </c>
      <c r="C33">
        <f t="shared" si="0"/>
        <v>23000</v>
      </c>
      <c r="D33">
        <f t="shared" si="1"/>
        <v>23000</v>
      </c>
      <c r="E33">
        <f t="shared" si="2"/>
        <v>0.98319104007333435</v>
      </c>
      <c r="F33">
        <f t="shared" si="3"/>
        <v>104049.9949599</v>
      </c>
      <c r="G33">
        <f t="shared" si="4"/>
        <v>102301.02276424927</v>
      </c>
      <c r="H33">
        <f t="shared" si="5"/>
        <v>0</v>
      </c>
      <c r="I33">
        <f t="shared" si="6"/>
        <v>102301.02276424927</v>
      </c>
      <c r="J33">
        <f t="shared" si="7"/>
        <v>79301.022764249268</v>
      </c>
      <c r="K33">
        <f t="shared" si="8"/>
        <v>0.71177032276260965</v>
      </c>
      <c r="N33">
        <v>10</v>
      </c>
      <c r="O33">
        <f t="shared" si="14"/>
        <v>1235961.2374087209</v>
      </c>
      <c r="P33">
        <f>O33*$R$12</f>
        <v>42022.68207189651</v>
      </c>
      <c r="Q33">
        <f>$R$4</f>
        <v>195000</v>
      </c>
      <c r="R33">
        <f t="shared" si="9"/>
        <v>1082983.9194806174</v>
      </c>
      <c r="U33">
        <f>IF(A33=$R$3,0,$R$4)</f>
        <v>195000</v>
      </c>
      <c r="V33">
        <f t="shared" si="10"/>
        <v>3.4000000000000002E-2</v>
      </c>
      <c r="X33">
        <f t="shared" si="11"/>
        <v>195000</v>
      </c>
      <c r="Y33">
        <f t="shared" si="12"/>
        <v>1.397028891079547</v>
      </c>
      <c r="Z33">
        <f t="shared" si="13"/>
        <v>272420.63376051164</v>
      </c>
      <c r="AA33">
        <f t="shared" si="15"/>
        <v>-1346094.0610247748</v>
      </c>
    </row>
    <row r="34" spans="1:28" x14ac:dyDescent="0.2">
      <c r="A34">
        <v>11</v>
      </c>
      <c r="C34">
        <f t="shared" si="0"/>
        <v>24000</v>
      </c>
      <c r="D34">
        <f t="shared" si="1"/>
        <v>24000</v>
      </c>
      <c r="E34">
        <f t="shared" si="2"/>
        <v>0.98319104007333435</v>
      </c>
      <c r="F34">
        <f t="shared" si="3"/>
        <v>105090.49490949902</v>
      </c>
      <c r="G34">
        <f t="shared" si="4"/>
        <v>103324.03299189179</v>
      </c>
      <c r="H34">
        <f t="shared" si="5"/>
        <v>0</v>
      </c>
      <c r="I34">
        <f t="shared" si="6"/>
        <v>103324.03299189179</v>
      </c>
      <c r="J34">
        <f t="shared" si="7"/>
        <v>79324.032991891785</v>
      </c>
      <c r="K34">
        <f t="shared" si="8"/>
        <v>0.68797691182897935</v>
      </c>
      <c r="N34">
        <v>11</v>
      </c>
      <c r="O34">
        <f t="shared" si="14"/>
        <v>1082983.9194806174</v>
      </c>
      <c r="P34">
        <f>O34*$R$12</f>
        <v>36821.45326234099</v>
      </c>
      <c r="Q34">
        <f>$R$4</f>
        <v>195000</v>
      </c>
      <c r="R34">
        <f t="shared" si="9"/>
        <v>924805.37274295837</v>
      </c>
      <c r="U34">
        <f>IF(A34=$R$3,0,$R$4)</f>
        <v>195000</v>
      </c>
      <c r="V34">
        <f t="shared" si="10"/>
        <v>3.4000000000000002E-2</v>
      </c>
      <c r="X34">
        <f t="shared" si="11"/>
        <v>195000</v>
      </c>
      <c r="Y34">
        <f t="shared" si="12"/>
        <v>1.3510917708699681</v>
      </c>
      <c r="Z34">
        <f t="shared" si="13"/>
        <v>263462.89531964378</v>
      </c>
      <c r="AA34">
        <f t="shared" si="15"/>
        <v>-1082631.1657051309</v>
      </c>
    </row>
    <row r="35" spans="1:28" x14ac:dyDescent="0.2">
      <c r="A35">
        <v>12</v>
      </c>
      <c r="C35">
        <f t="shared" si="0"/>
        <v>25000</v>
      </c>
      <c r="D35">
        <f t="shared" si="1"/>
        <v>25000</v>
      </c>
      <c r="E35">
        <f t="shared" si="2"/>
        <v>0.98319104007333435</v>
      </c>
      <c r="F35">
        <f t="shared" si="3"/>
        <v>106141.39985859397</v>
      </c>
      <c r="G35">
        <f t="shared" si="4"/>
        <v>104357.27332181067</v>
      </c>
      <c r="H35">
        <f t="shared" si="5"/>
        <v>0</v>
      </c>
      <c r="I35">
        <f t="shared" si="6"/>
        <v>104357.27332181067</v>
      </c>
      <c r="J35">
        <f t="shared" si="7"/>
        <v>79357.273321810673</v>
      </c>
      <c r="K35">
        <f t="shared" si="8"/>
        <v>0.66497887882240181</v>
      </c>
      <c r="N35">
        <v>12</v>
      </c>
      <c r="O35">
        <f t="shared" si="14"/>
        <v>924805.37274295837</v>
      </c>
      <c r="P35">
        <f>O35*$R$12</f>
        <v>31443.382673260588</v>
      </c>
      <c r="Q35">
        <f>$R$4</f>
        <v>195000</v>
      </c>
      <c r="R35">
        <f t="shared" si="9"/>
        <v>761248.75541621889</v>
      </c>
      <c r="U35">
        <f>IF(A35=$R$3,0,$R$4)</f>
        <v>195000</v>
      </c>
      <c r="V35">
        <f t="shared" si="10"/>
        <v>3.4000000000000002E-2</v>
      </c>
      <c r="X35">
        <f t="shared" si="11"/>
        <v>195000</v>
      </c>
      <c r="Y35">
        <f t="shared" si="12"/>
        <v>1.30666515558024</v>
      </c>
      <c r="Z35">
        <f t="shared" si="13"/>
        <v>254799.7053381468</v>
      </c>
      <c r="AA35">
        <f t="shared" si="15"/>
        <v>-827831.46036698413</v>
      </c>
    </row>
    <row r="36" spans="1:28" x14ac:dyDescent="0.2">
      <c r="A36">
        <v>13</v>
      </c>
      <c r="C36">
        <f t="shared" si="0"/>
        <v>26000</v>
      </c>
      <c r="D36">
        <f t="shared" si="1"/>
        <v>26000</v>
      </c>
      <c r="E36">
        <f t="shared" si="2"/>
        <v>0.98319104007333435</v>
      </c>
      <c r="F36">
        <f t="shared" si="3"/>
        <v>107202.81385717994</v>
      </c>
      <c r="G36">
        <f t="shared" si="4"/>
        <v>105400.8460550288</v>
      </c>
      <c r="H36">
        <f t="shared" si="5"/>
        <v>0</v>
      </c>
      <c r="I36">
        <f t="shared" si="6"/>
        <v>105400.8460550288</v>
      </c>
      <c r="J36">
        <f t="shared" si="7"/>
        <v>79400.8460550288</v>
      </c>
      <c r="K36">
        <f t="shared" si="8"/>
        <v>0.6427496354555311</v>
      </c>
      <c r="N36">
        <v>13</v>
      </c>
      <c r="O36">
        <f t="shared" si="14"/>
        <v>761248.75541621889</v>
      </c>
      <c r="P36">
        <f>O36*$R$12</f>
        <v>25882.457684151443</v>
      </c>
      <c r="Q36">
        <f>$R$4</f>
        <v>195000</v>
      </c>
      <c r="R36">
        <f t="shared" si="9"/>
        <v>592131.21310037037</v>
      </c>
      <c r="U36">
        <f>IF(A36=$R$3,0,$R$4)</f>
        <v>195000</v>
      </c>
      <c r="V36">
        <f t="shared" si="10"/>
        <v>3.4000000000000002E-2</v>
      </c>
      <c r="X36">
        <f t="shared" si="11"/>
        <v>195000</v>
      </c>
      <c r="Y36">
        <f t="shared" si="12"/>
        <v>1.2636993767700582</v>
      </c>
      <c r="Z36">
        <f t="shared" si="13"/>
        <v>246421.37847016135</v>
      </c>
      <c r="AA36">
        <f t="shared" si="15"/>
        <v>-581410.08189682278</v>
      </c>
    </row>
    <row r="37" spans="1:28" x14ac:dyDescent="0.2">
      <c r="A37">
        <v>14</v>
      </c>
      <c r="C37">
        <f t="shared" si="0"/>
        <v>27000</v>
      </c>
      <c r="D37">
        <f t="shared" si="1"/>
        <v>27000</v>
      </c>
      <c r="E37">
        <f t="shared" si="2"/>
        <v>0.98319104007333435</v>
      </c>
      <c r="F37">
        <f t="shared" si="3"/>
        <v>108274.84199575175</v>
      </c>
      <c r="G37">
        <f t="shared" si="4"/>
        <v>106454.85451557911</v>
      </c>
      <c r="H37">
        <f t="shared" si="5"/>
        <v>0</v>
      </c>
      <c r="I37">
        <f t="shared" si="6"/>
        <v>106454.85451557911</v>
      </c>
      <c r="J37">
        <f t="shared" si="7"/>
        <v>79454.854515579107</v>
      </c>
      <c r="K37">
        <f t="shared" si="8"/>
        <v>0.62126348224746153</v>
      </c>
      <c r="N37">
        <v>14</v>
      </c>
      <c r="O37">
        <f t="shared" si="14"/>
        <v>592131.21310037037</v>
      </c>
      <c r="P37">
        <f>O37*$R$12</f>
        <v>20132.461245412593</v>
      </c>
      <c r="Q37">
        <f>$R$4</f>
        <v>195000</v>
      </c>
      <c r="R37">
        <f t="shared" si="9"/>
        <v>417263.67434578296</v>
      </c>
      <c r="U37">
        <f>IF(A37=$R$3,0,$R$4)</f>
        <v>195000</v>
      </c>
      <c r="V37">
        <f t="shared" si="10"/>
        <v>3.4000000000000002E-2</v>
      </c>
      <c r="X37">
        <f t="shared" si="11"/>
        <v>195000</v>
      </c>
      <c r="Y37">
        <f t="shared" si="12"/>
        <v>1.2221463991973482</v>
      </c>
      <c r="Z37">
        <f t="shared" si="13"/>
        <v>238318.5478434829</v>
      </c>
      <c r="AA37">
        <f t="shared" si="15"/>
        <v>-343091.53405333986</v>
      </c>
    </row>
    <row r="38" spans="1:28" x14ac:dyDescent="0.2">
      <c r="A38">
        <v>15</v>
      </c>
      <c r="C38">
        <f t="shared" si="0"/>
        <v>28000</v>
      </c>
      <c r="D38">
        <f t="shared" si="1"/>
        <v>28000</v>
      </c>
      <c r="E38">
        <f t="shared" si="2"/>
        <v>0.98319104007333435</v>
      </c>
      <c r="F38">
        <f t="shared" si="3"/>
        <v>109357.59041570927</v>
      </c>
      <c r="G38">
        <f t="shared" si="4"/>
        <v>107519.4030607349</v>
      </c>
      <c r="H38">
        <f t="shared" si="5"/>
        <v>0</v>
      </c>
      <c r="I38">
        <f t="shared" si="6"/>
        <v>107519.4030607349</v>
      </c>
      <c r="J38">
        <f t="shared" si="7"/>
        <v>79519.403060734898</v>
      </c>
      <c r="K38">
        <f t="shared" si="8"/>
        <v>0.6004955788122659</v>
      </c>
      <c r="N38">
        <v>15</v>
      </c>
      <c r="O38">
        <f t="shared" si="14"/>
        <v>417263.67434578296</v>
      </c>
      <c r="P38">
        <f>O38*$R$12</f>
        <v>14186.964927756622</v>
      </c>
      <c r="Q38">
        <f>$R$4</f>
        <v>195000</v>
      </c>
      <c r="R38">
        <f t="shared" si="9"/>
        <v>236450.63927353959</v>
      </c>
      <c r="U38">
        <f>IF(A38=$R$3,0,$R$4)</f>
        <v>195000</v>
      </c>
      <c r="V38">
        <f t="shared" si="10"/>
        <v>3.4000000000000002E-2</v>
      </c>
      <c r="X38">
        <f t="shared" si="11"/>
        <v>195000</v>
      </c>
      <c r="Y38">
        <f t="shared" si="12"/>
        <v>1.1819597671154238</v>
      </c>
      <c r="Z38">
        <f t="shared" si="13"/>
        <v>230482.15458750766</v>
      </c>
      <c r="AA38">
        <f t="shared" si="15"/>
        <v>-112609.3794658322</v>
      </c>
    </row>
    <row r="39" spans="1:28" x14ac:dyDescent="0.2">
      <c r="A39">
        <v>16</v>
      </c>
      <c r="C39">
        <f t="shared" si="0"/>
        <v>29000</v>
      </c>
      <c r="D39">
        <f t="shared" si="1"/>
        <v>29000</v>
      </c>
      <c r="E39">
        <f t="shared" si="2"/>
        <v>0.98319104007333435</v>
      </c>
      <c r="F39">
        <f t="shared" si="3"/>
        <v>110451.16631986634</v>
      </c>
      <c r="G39">
        <f t="shared" si="4"/>
        <v>108594.59709134224</v>
      </c>
      <c r="H39">
        <f t="shared" si="5"/>
        <v>0</v>
      </c>
      <c r="I39">
        <f t="shared" si="6"/>
        <v>108594.59709134224</v>
      </c>
      <c r="J39">
        <f t="shared" si="7"/>
        <v>79594.597091342235</v>
      </c>
      <c r="K39">
        <f t="shared" si="8"/>
        <v>0.58042191514074215</v>
      </c>
      <c r="N39" s="1">
        <v>16</v>
      </c>
      <c r="O39">
        <f t="shared" si="14"/>
        <v>236450.63927353959</v>
      </c>
      <c r="P39">
        <f>O39*$R$12</f>
        <v>8039.3217353003465</v>
      </c>
      <c r="Q39">
        <f>$R$4</f>
        <v>195000</v>
      </c>
      <c r="R39">
        <f>O39-(Q39-P39)</f>
        <v>49489.961008839949</v>
      </c>
      <c r="U39">
        <f>IF(A39=$R$3,0,$R$4)</f>
        <v>195000</v>
      </c>
      <c r="V39">
        <f t="shared" si="10"/>
        <v>3.4000000000000002E-2</v>
      </c>
      <c r="X39">
        <f t="shared" si="11"/>
        <v>195000</v>
      </c>
      <c r="Y39">
        <f t="shared" si="12"/>
        <v>1.1430945523359999</v>
      </c>
      <c r="Z39">
        <f t="shared" si="13"/>
        <v>222903.43770551999</v>
      </c>
      <c r="AA39" s="1">
        <f t="shared" si="15"/>
        <v>110294.05823968779</v>
      </c>
      <c r="AB39" s="1" t="s">
        <v>50</v>
      </c>
    </row>
    <row r="40" spans="1:28" x14ac:dyDescent="0.2">
      <c r="A40">
        <v>17</v>
      </c>
      <c r="C40">
        <f t="shared" si="0"/>
        <v>30000</v>
      </c>
      <c r="D40">
        <f t="shared" si="1"/>
        <v>30000</v>
      </c>
      <c r="E40">
        <f t="shared" si="2"/>
        <v>0.98319104007333435</v>
      </c>
      <c r="F40">
        <f t="shared" si="3"/>
        <v>111555.677983065</v>
      </c>
      <c r="G40">
        <f t="shared" si="4"/>
        <v>109680.54306225565</v>
      </c>
      <c r="H40">
        <f t="shared" si="5"/>
        <v>0</v>
      </c>
      <c r="I40">
        <f t="shared" si="6"/>
        <v>109680.54306225565</v>
      </c>
      <c r="J40">
        <f t="shared" si="7"/>
        <v>79680.543062255645</v>
      </c>
      <c r="K40">
        <f t="shared" si="8"/>
        <v>0.56101928384217037</v>
      </c>
      <c r="N40">
        <v>17</v>
      </c>
      <c r="O40">
        <f t="shared" si="14"/>
        <v>49489.961008839949</v>
      </c>
      <c r="P40">
        <f>O40*$R$12</f>
        <v>1682.6586743005585</v>
      </c>
      <c r="Q40">
        <f>$R$4</f>
        <v>195000</v>
      </c>
      <c r="R40">
        <f t="shared" si="9"/>
        <v>-143827.38031685949</v>
      </c>
      <c r="U40">
        <f>IF(A40=$R$3,0,$R$4)</f>
        <v>195000</v>
      </c>
      <c r="V40">
        <f t="shared" si="10"/>
        <v>0.04</v>
      </c>
      <c r="X40">
        <f t="shared" si="11"/>
        <v>195000</v>
      </c>
      <c r="Y40">
        <f t="shared" si="12"/>
        <v>1.1248640000000001</v>
      </c>
      <c r="Z40">
        <f t="shared" si="13"/>
        <v>219348.48000000001</v>
      </c>
      <c r="AA40">
        <f t="shared" si="15"/>
        <v>329642.5382396878</v>
      </c>
    </row>
    <row r="41" spans="1:28" x14ac:dyDescent="0.2">
      <c r="A41">
        <v>18</v>
      </c>
      <c r="C41">
        <f t="shared" si="0"/>
        <v>31000</v>
      </c>
      <c r="D41">
        <f t="shared" si="1"/>
        <v>31000</v>
      </c>
      <c r="E41">
        <f t="shared" si="2"/>
        <v>0.98319104007333435</v>
      </c>
      <c r="F41">
        <f t="shared" si="3"/>
        <v>112671.23476289566</v>
      </c>
      <c r="G41">
        <f t="shared" si="4"/>
        <v>110777.34849287821</v>
      </c>
      <c r="H41">
        <f t="shared" si="5"/>
        <v>0</v>
      </c>
      <c r="I41">
        <f t="shared" si="6"/>
        <v>110777.34849287821</v>
      </c>
      <c r="J41">
        <f t="shared" si="7"/>
        <v>79777.348492878213</v>
      </c>
      <c r="K41">
        <f t="shared" si="8"/>
        <v>0.54226525331398301</v>
      </c>
      <c r="N41">
        <v>18</v>
      </c>
      <c r="O41">
        <f t="shared" si="14"/>
        <v>-143827.38031685949</v>
      </c>
      <c r="P41">
        <f>O41*$R$12</f>
        <v>-4890.1309307732226</v>
      </c>
      <c r="Q41">
        <f>$R$4</f>
        <v>195000</v>
      </c>
      <c r="R41">
        <f t="shared" si="9"/>
        <v>-343717.51124763268</v>
      </c>
      <c r="U41">
        <f>IF(A41=$R$3,0,$R$4)</f>
        <v>195000</v>
      </c>
      <c r="V41">
        <f t="shared" si="10"/>
        <v>0.04</v>
      </c>
      <c r="X41">
        <f t="shared" si="11"/>
        <v>195000</v>
      </c>
      <c r="Y41">
        <f t="shared" si="12"/>
        <v>1.0816000000000001</v>
      </c>
      <c r="Z41">
        <f t="shared" si="13"/>
        <v>210912.00000000003</v>
      </c>
      <c r="AA41">
        <f t="shared" si="15"/>
        <v>540554.5382396878</v>
      </c>
    </row>
    <row r="42" spans="1:28" x14ac:dyDescent="0.2">
      <c r="A42">
        <v>19</v>
      </c>
      <c r="C42">
        <f t="shared" si="0"/>
        <v>32000</v>
      </c>
      <c r="D42">
        <f t="shared" si="1"/>
        <v>32000</v>
      </c>
      <c r="E42">
        <f t="shared" si="2"/>
        <v>0.98319104007333435</v>
      </c>
      <c r="F42">
        <f t="shared" si="3"/>
        <v>113797.94711052463</v>
      </c>
      <c r="G42">
        <f t="shared" si="4"/>
        <v>111885.12197780701</v>
      </c>
      <c r="H42">
        <f t="shared" si="5"/>
        <v>0</v>
      </c>
      <c r="I42">
        <f t="shared" si="6"/>
        <v>111885.12197780701</v>
      </c>
      <c r="J42">
        <f t="shared" si="7"/>
        <v>79885.121977807008</v>
      </c>
      <c r="K42">
        <f t="shared" si="8"/>
        <v>0.52413814180833518</v>
      </c>
      <c r="N42">
        <v>19</v>
      </c>
      <c r="O42">
        <f t="shared" si="14"/>
        <v>-343717.51124763268</v>
      </c>
      <c r="P42">
        <f>O42*$R$12</f>
        <v>-11686.395382419512</v>
      </c>
      <c r="Q42">
        <f>$R$4</f>
        <v>195000</v>
      </c>
      <c r="R42">
        <f t="shared" si="9"/>
        <v>-550403.90663005225</v>
      </c>
      <c r="U42">
        <f>IF(A42=$R$3,0,$R$4)</f>
        <v>195000</v>
      </c>
      <c r="V42">
        <f t="shared" si="10"/>
        <v>0.04</v>
      </c>
      <c r="X42">
        <f t="shared" si="11"/>
        <v>195000</v>
      </c>
      <c r="Y42">
        <f t="shared" si="12"/>
        <v>1.04</v>
      </c>
      <c r="Z42">
        <f t="shared" si="13"/>
        <v>202800</v>
      </c>
      <c r="AA42">
        <f t="shared" si="15"/>
        <v>743354.5382396878</v>
      </c>
    </row>
    <row r="43" spans="1:28" x14ac:dyDescent="0.2">
      <c r="A43">
        <v>20</v>
      </c>
      <c r="C43">
        <f t="shared" si="0"/>
        <v>0</v>
      </c>
      <c r="D43">
        <f t="shared" si="1"/>
        <v>0</v>
      </c>
      <c r="E43">
        <f t="shared" si="2"/>
        <v>0.98319104007333435</v>
      </c>
      <c r="F43">
        <f t="shared" si="3"/>
        <v>0</v>
      </c>
      <c r="G43">
        <f t="shared" si="4"/>
        <v>0</v>
      </c>
      <c r="H43">
        <f t="shared" si="5"/>
        <v>3000000</v>
      </c>
      <c r="I43">
        <f t="shared" si="6"/>
        <v>3000000</v>
      </c>
      <c r="J43">
        <f t="shared" si="7"/>
        <v>3000000</v>
      </c>
      <c r="K43">
        <f t="shared" si="8"/>
        <v>0.50661699236558944</v>
      </c>
      <c r="N43">
        <v>20</v>
      </c>
      <c r="O43">
        <f t="shared" si="14"/>
        <v>-550403.90663005225</v>
      </c>
      <c r="P43">
        <f>O43*$R$12</f>
        <v>-18713.732825421779</v>
      </c>
      <c r="R43">
        <f t="shared" si="9"/>
        <v>-569117.63945547398</v>
      </c>
      <c r="U43">
        <f>IF(A43=$R$3,0,$R$4)</f>
        <v>0</v>
      </c>
      <c r="V43">
        <f t="shared" si="10"/>
        <v>0.04</v>
      </c>
      <c r="W43">
        <f>T23</f>
        <v>2514650</v>
      </c>
      <c r="X43">
        <f t="shared" si="11"/>
        <v>2514650</v>
      </c>
      <c r="Y43">
        <f t="shared" si="12"/>
        <v>1</v>
      </c>
      <c r="Z43">
        <f t="shared" si="13"/>
        <v>2514650</v>
      </c>
      <c r="AA43">
        <f t="shared" si="15"/>
        <v>3258004.5382396877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Kwetsi Mthetho</dc:creator>
  <cp:lastModifiedBy>Kwetsi Mthetho</cp:lastModifiedBy>
  <dcterms:created xsi:type="dcterms:W3CDTF">2025-07-31T15:31:58Z</dcterms:created>
  <dcterms:modified xsi:type="dcterms:W3CDTF">2025-08-02T07:30:08Z</dcterms:modified>
</cp:coreProperties>
</file>